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uantilfarms.sharepoint.com/sites/QuantilShared/Shared Documents/2024 Shared/"/>
    </mc:Choice>
  </mc:AlternateContent>
  <xr:revisionPtr revIDLastSave="7920" documentId="8_{CCE6BD50-9A69-4B14-A849-CD25BA775586}" xr6:coauthVersionLast="47" xr6:coauthVersionMax="47" xr10:uidLastSave="{FD6BEBDD-33D8-4DD9-BDA0-500C5ADCC18B}"/>
  <bookViews>
    <workbookView xWindow="-120" yWindow="-120" windowWidth="29040" windowHeight="15720" firstSheet="13" activeTab="16" xr2:uid="{00000000-000D-0000-FFFF-FFFF00000000}"/>
  </bookViews>
  <sheets>
    <sheet name="sum" sheetId="32" r:id="rId1"/>
    <sheet name="Accrualstrip" sheetId="10" r:id="rId2"/>
    <sheet name="Accrualpot" sheetId="11" r:id="rId3"/>
    <sheet name="Accrualherb" sheetId="34" r:id="rId4"/>
    <sheet name="PassVol" sheetId="9" r:id="rId5"/>
    <sheet name="PassRev Strip" sheetId="16" r:id="rId6"/>
    <sheet name="PassRev Pot" sheetId="21" r:id="rId7"/>
    <sheet name="PassRev Herb" sheetId="33" r:id="rId8"/>
    <sheet name="BD" sheetId="23" r:id="rId9"/>
    <sheet name="Prosper" sheetId="29" r:id="rId10"/>
    <sheet name="Till" sheetId="17" r:id="rId11"/>
    <sheet name="GW" sheetId="27" r:id="rId12"/>
    <sheet name="Grovewell" sheetId="30" r:id="rId13"/>
    <sheet name="Choice" sheetId="31" r:id="rId14"/>
    <sheet name="BGC" sheetId="26" r:id="rId15"/>
    <sheet name="Daily" sheetId="20" r:id="rId16"/>
    <sheet name="Analysis" sheetId="14" r:id="rId17"/>
    <sheet name="Transport" sheetId="12" r:id="rId18"/>
    <sheet name="Trolley" sheetId="35" r:id="rId19"/>
    <sheet name="Stock Calculations" sheetId="13" r:id="rId20"/>
    <sheet name="Calculations" sheetId="15" r:id="rId21"/>
    <sheet name="October 8.5cm stock" sheetId="28" r:id="rId22"/>
    <sheet name="Budget" sheetId="36" r:id="rId23"/>
    <sheet name="Sheet1" sheetId="37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xlnm.Print_Area" localSheetId="3">Accrualherb!$AT$3:$AT$81</definedName>
    <definedName name="_xlnm.Print_Area" localSheetId="2">Accrualpot!$AT$3:$AT$86</definedName>
    <definedName name="_xlnm.Print_Area" localSheetId="1">Accrualstrip!$AT$3:$AT$91</definedName>
    <definedName name="_xlnm.Print_Area" localSheetId="16">Analysis!$C$4:$AR$117</definedName>
    <definedName name="_xlnm.Print_Titles" localSheetId="3">Accrualherb!$A:$C,Accrualherb!$1:$2</definedName>
    <definedName name="_xlnm.Print_Titles" localSheetId="2">Accrualpot!$A:$C,Accrualpot!$1:$2</definedName>
    <definedName name="_xlnm.Print_Titles" localSheetId="1">Accrualstrip!$A:$C,Accrualstrip!$1:$2</definedName>
    <definedName name="_xlnm.Print_Titles" localSheetId="16">Analysis!$A:$B,Analysis!$1:$3</definedName>
    <definedName name="_xlnm.Print_Titles" localSheetId="8">BD!$A:$C,BD!$1:$2</definedName>
    <definedName name="_xlnm.Print_Titles" localSheetId="14">BGC!$A:$C,BGC!$1:$2</definedName>
    <definedName name="_xlnm.Print_Titles" localSheetId="13">Choice!$A:$C,Choice!$1:$2</definedName>
    <definedName name="_xlnm.Print_Titles" localSheetId="15">Daily!$A:$C,Daily!$1:$2</definedName>
    <definedName name="_xlnm.Print_Titles" localSheetId="6">'PassRev Pot'!$A:$C,'PassRev Pot'!$1:$2</definedName>
    <definedName name="_xlnm.Print_Titles" localSheetId="5">'PassRev Strip'!$A:$C,'PassRev Strip'!$1:$2</definedName>
    <definedName name="_xlnm.Print_Titles" localSheetId="4">PassVol!$1:$2</definedName>
    <definedName name="_xlnm.Print_Titles" localSheetId="9">Prosper!$C:$C,Prosper!$1:$2</definedName>
    <definedName name="_xlnm.Print_Titles" localSheetId="23">Sheet1!$A:$B,Sheet1!$2:$3</definedName>
    <definedName name="_xlnm.Print_Titles" localSheetId="0">sum!$A:$C,sum!$1:$2</definedName>
    <definedName name="_xlnm.Print_Titles" localSheetId="10">Till!$A:$C,Till!$1:$2</definedName>
    <definedName name="_xlnm.Print_Titles" localSheetId="17">Transport!$A:$D,Transport!$1:$2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0" l="1"/>
  <c r="AT81" i="34"/>
  <c r="AT80" i="34"/>
  <c r="AT79" i="34"/>
  <c r="AT78" i="34"/>
  <c r="AT77" i="34"/>
  <c r="AT76" i="34"/>
  <c r="AT75" i="34"/>
  <c r="AT74" i="34"/>
  <c r="AT73" i="34"/>
  <c r="AT70" i="34"/>
  <c r="AT69" i="34"/>
  <c r="AT68" i="34"/>
  <c r="AT67" i="34"/>
  <c r="AT66" i="34"/>
  <c r="AT65" i="34"/>
  <c r="AT64" i="34"/>
  <c r="AT63" i="34"/>
  <c r="AT62" i="34"/>
  <c r="AT61" i="34"/>
  <c r="AT60" i="34"/>
  <c r="AT59" i="34"/>
  <c r="AT58" i="34"/>
  <c r="AT57" i="34"/>
  <c r="AT56" i="34"/>
  <c r="AT55" i="34"/>
  <c r="AT54" i="34"/>
  <c r="AT53" i="34"/>
  <c r="AT52" i="34"/>
  <c r="AT51" i="34"/>
  <c r="AT50" i="34"/>
  <c r="AT47" i="34"/>
  <c r="AT46" i="34"/>
  <c r="AT45" i="34"/>
  <c r="AT44" i="34"/>
  <c r="AT43" i="34"/>
  <c r="AT42" i="34"/>
  <c r="AT41" i="34"/>
  <c r="AT40" i="34"/>
  <c r="AT39" i="34"/>
  <c r="AT38" i="34"/>
  <c r="AT37" i="34"/>
  <c r="AT36" i="34"/>
  <c r="AT35" i="34"/>
  <c r="AT34" i="34"/>
  <c r="AT33" i="34"/>
  <c r="AT32" i="34"/>
  <c r="AT31" i="34"/>
  <c r="AT30" i="34"/>
  <c r="AT29" i="34"/>
  <c r="AT28" i="34"/>
  <c r="AT27" i="34"/>
  <c r="AT24" i="34"/>
  <c r="AT23" i="34"/>
  <c r="AT22" i="34"/>
  <c r="AT21" i="34"/>
  <c r="AT20" i="34"/>
  <c r="AT19" i="34"/>
  <c r="AT18" i="34"/>
  <c r="AT17" i="34"/>
  <c r="AT16" i="34"/>
  <c r="AT15" i="34"/>
  <c r="AT14" i="34"/>
  <c r="AT13" i="34"/>
  <c r="AT12" i="34"/>
  <c r="AT11" i="34"/>
  <c r="AT10" i="34"/>
  <c r="AT9" i="34"/>
  <c r="AT8" i="34"/>
  <c r="AT7" i="34"/>
  <c r="AT6" i="34"/>
  <c r="AT5" i="34"/>
  <c r="AT4" i="34"/>
  <c r="AT81" i="11"/>
  <c r="AT80" i="11"/>
  <c r="AT79" i="11"/>
  <c r="AT78" i="11"/>
  <c r="AT77" i="11"/>
  <c r="AT76" i="11"/>
  <c r="AT75" i="11"/>
  <c r="AT74" i="11"/>
  <c r="AT73" i="11"/>
  <c r="AT70" i="11"/>
  <c r="AT69" i="11"/>
  <c r="AT68" i="11"/>
  <c r="AT67" i="11"/>
  <c r="AT66" i="11"/>
  <c r="AT65" i="11"/>
  <c r="AT64" i="11"/>
  <c r="AT63" i="11"/>
  <c r="AT62" i="11"/>
  <c r="AT61" i="11"/>
  <c r="AT60" i="11"/>
  <c r="AT59" i="11"/>
  <c r="AT58" i="11"/>
  <c r="AT57" i="11"/>
  <c r="AT56" i="11"/>
  <c r="AT55" i="11"/>
  <c r="AT54" i="11"/>
  <c r="AT53" i="11"/>
  <c r="AT52" i="11"/>
  <c r="AT51" i="11"/>
  <c r="AT50" i="11"/>
  <c r="AT47" i="11"/>
  <c r="AT46" i="11"/>
  <c r="AT45" i="11"/>
  <c r="AT44" i="11"/>
  <c r="AT43" i="11"/>
  <c r="AT42" i="11"/>
  <c r="AT41" i="11"/>
  <c r="AT40" i="11"/>
  <c r="AT39" i="11"/>
  <c r="AT38" i="11"/>
  <c r="AT37" i="11"/>
  <c r="AT36" i="11"/>
  <c r="AT35" i="11"/>
  <c r="AT34" i="11"/>
  <c r="AT33" i="11"/>
  <c r="AT32" i="11"/>
  <c r="AT31" i="11"/>
  <c r="AT30" i="11"/>
  <c r="AT29" i="11"/>
  <c r="AT28" i="11"/>
  <c r="AT27" i="11"/>
  <c r="AT24" i="11"/>
  <c r="AT23" i="11"/>
  <c r="AT22" i="11"/>
  <c r="AT21" i="11"/>
  <c r="AT20" i="11"/>
  <c r="AT19" i="11"/>
  <c r="AT18" i="11"/>
  <c r="AT17" i="11"/>
  <c r="AT16" i="11"/>
  <c r="AT15" i="11"/>
  <c r="AT14" i="11"/>
  <c r="AT13" i="11"/>
  <c r="AT12" i="11"/>
  <c r="AT11" i="11"/>
  <c r="AT10" i="11"/>
  <c r="AT9" i="11"/>
  <c r="AT8" i="11"/>
  <c r="AT7" i="11"/>
  <c r="AT6" i="11"/>
  <c r="AT5" i="11"/>
  <c r="AT4" i="11"/>
  <c r="AT91" i="10"/>
  <c r="AT90" i="10"/>
  <c r="AT89" i="10"/>
  <c r="AT88" i="10"/>
  <c r="AT87" i="10"/>
  <c r="AT86" i="10"/>
  <c r="AT85" i="10"/>
  <c r="AT84" i="10"/>
  <c r="AT83" i="10"/>
  <c r="AT82" i="10"/>
  <c r="AT81" i="10"/>
  <c r="AT80" i="10"/>
  <c r="AT79" i="10"/>
  <c r="AT78" i="10"/>
  <c r="AT77" i="10"/>
  <c r="AT71" i="10"/>
  <c r="AT70" i="10"/>
  <c r="AT69" i="10"/>
  <c r="AT68" i="10"/>
  <c r="AT67" i="10"/>
  <c r="AT66" i="10"/>
  <c r="AT65" i="10"/>
  <c r="AT64" i="10"/>
  <c r="AT63" i="10"/>
  <c r="AT62" i="10"/>
  <c r="AT61" i="10"/>
  <c r="AT60" i="10"/>
  <c r="AT59" i="10"/>
  <c r="AT58" i="10"/>
  <c r="AT57" i="10"/>
  <c r="AT56" i="10"/>
  <c r="AT55" i="10"/>
  <c r="AT54" i="10"/>
  <c r="AT52" i="10"/>
  <c r="AT47" i="10"/>
  <c r="AT46" i="10"/>
  <c r="AT45" i="10"/>
  <c r="AT44" i="10"/>
  <c r="AT43" i="10"/>
  <c r="AT42" i="10"/>
  <c r="AT41" i="10"/>
  <c r="AT40" i="10"/>
  <c r="AT39" i="10"/>
  <c r="AT38" i="10"/>
  <c r="AT37" i="10"/>
  <c r="AT36" i="10"/>
  <c r="AT35" i="10"/>
  <c r="AT34" i="10"/>
  <c r="AT33" i="10"/>
  <c r="AT32" i="10"/>
  <c r="AT31" i="10"/>
  <c r="AT30" i="10"/>
  <c r="AT29" i="10"/>
  <c r="AT28" i="10"/>
  <c r="AT24" i="10"/>
  <c r="AT23" i="10"/>
  <c r="AT22" i="10"/>
  <c r="AT21" i="10"/>
  <c r="AT20" i="10"/>
  <c r="AT19" i="10"/>
  <c r="AT18" i="10"/>
  <c r="AT17" i="10"/>
  <c r="AT16" i="10"/>
  <c r="AT15" i="10"/>
  <c r="AT14" i="10"/>
  <c r="AT13" i="10"/>
  <c r="AT12" i="10"/>
  <c r="AT11" i="10"/>
  <c r="AT10" i="10"/>
  <c r="AT9" i="10"/>
  <c r="AT8" i="10"/>
  <c r="AT7" i="10"/>
  <c r="AT6" i="10"/>
  <c r="AT5" i="10"/>
  <c r="AT4" i="10"/>
  <c r="AP239" i="9"/>
  <c r="AP215" i="9"/>
  <c r="AP45" i="33"/>
  <c r="AP22" i="33"/>
  <c r="AN114" i="16" l="1"/>
  <c r="AN91" i="33"/>
  <c r="AN57" i="17"/>
  <c r="AO114" i="16"/>
  <c r="AN405" i="21"/>
  <c r="AR405" i="21"/>
  <c r="AR429" i="21" s="1"/>
  <c r="AO22" i="33"/>
  <c r="AO215" i="9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O14" i="11"/>
  <c r="AP14" i="11"/>
  <c r="AQ14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O5" i="11"/>
  <c r="AP5" i="11"/>
  <c r="AQ5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Q4" i="11"/>
  <c r="K422" i="21"/>
  <c r="L422" i="21"/>
  <c r="M422" i="21"/>
  <c r="N422" i="21"/>
  <c r="O422" i="21"/>
  <c r="P422" i="21"/>
  <c r="Q422" i="21"/>
  <c r="R422" i="21"/>
  <c r="S422" i="21"/>
  <c r="T422" i="21"/>
  <c r="U422" i="21"/>
  <c r="V422" i="21"/>
  <c r="W422" i="21"/>
  <c r="X422" i="21"/>
  <c r="Y422" i="21"/>
  <c r="Z422" i="21"/>
  <c r="AA422" i="21"/>
  <c r="AB422" i="21"/>
  <c r="AC422" i="21"/>
  <c r="AD422" i="21"/>
  <c r="AE422" i="21"/>
  <c r="AF422" i="21"/>
  <c r="AG422" i="21"/>
  <c r="AH422" i="21"/>
  <c r="AI422" i="21"/>
  <c r="AJ422" i="21"/>
  <c r="AK422" i="21"/>
  <c r="AL422" i="21"/>
  <c r="AM422" i="21"/>
  <c r="AN422" i="21"/>
  <c r="AO422" i="21"/>
  <c r="AP422" i="21"/>
  <c r="AQ422" i="21"/>
  <c r="K423" i="21"/>
  <c r="L423" i="21"/>
  <c r="M423" i="21"/>
  <c r="N423" i="21"/>
  <c r="O423" i="21"/>
  <c r="P423" i="21"/>
  <c r="Q423" i="21"/>
  <c r="R423" i="21"/>
  <c r="S423" i="21"/>
  <c r="T423" i="21"/>
  <c r="U423" i="21"/>
  <c r="V423" i="21"/>
  <c r="W423" i="21"/>
  <c r="X423" i="21"/>
  <c r="Y423" i="21"/>
  <c r="Z423" i="21"/>
  <c r="AA423" i="21"/>
  <c r="AB423" i="21"/>
  <c r="AC423" i="21"/>
  <c r="AD423" i="21"/>
  <c r="AE423" i="21"/>
  <c r="AF423" i="21"/>
  <c r="AG423" i="21"/>
  <c r="AH423" i="21"/>
  <c r="AI423" i="21"/>
  <c r="AJ423" i="21"/>
  <c r="AK423" i="21"/>
  <c r="AL423" i="21"/>
  <c r="AM423" i="21"/>
  <c r="AN423" i="21"/>
  <c r="AO423" i="21"/>
  <c r="AP423" i="21"/>
  <c r="K424" i="21"/>
  <c r="L424" i="21"/>
  <c r="M424" i="21"/>
  <c r="N424" i="21"/>
  <c r="O424" i="21"/>
  <c r="P424" i="21"/>
  <c r="Q424" i="21"/>
  <c r="R424" i="21"/>
  <c r="S424" i="21"/>
  <c r="T424" i="21"/>
  <c r="U424" i="21"/>
  <c r="V424" i="21"/>
  <c r="W424" i="21"/>
  <c r="X424" i="21"/>
  <c r="Y424" i="21"/>
  <c r="Z424" i="21"/>
  <c r="AA424" i="21"/>
  <c r="AB424" i="21"/>
  <c r="AC424" i="21"/>
  <c r="AD424" i="21"/>
  <c r="AE424" i="21"/>
  <c r="AF424" i="21"/>
  <c r="AG424" i="21"/>
  <c r="AH424" i="21"/>
  <c r="AI424" i="21"/>
  <c r="AJ424" i="21"/>
  <c r="AK424" i="21"/>
  <c r="AL424" i="21"/>
  <c r="AM424" i="21"/>
  <c r="AN424" i="21"/>
  <c r="AO424" i="21"/>
  <c r="AP424" i="21"/>
  <c r="AQ424" i="21"/>
  <c r="K425" i="21"/>
  <c r="L425" i="21"/>
  <c r="M425" i="21"/>
  <c r="N425" i="21"/>
  <c r="O425" i="21"/>
  <c r="P425" i="21"/>
  <c r="Q425" i="21"/>
  <c r="R425" i="21"/>
  <c r="S425" i="21"/>
  <c r="T425" i="21"/>
  <c r="U425" i="21"/>
  <c r="V425" i="21"/>
  <c r="W425" i="21"/>
  <c r="X425" i="21"/>
  <c r="Y425" i="21"/>
  <c r="Z425" i="21"/>
  <c r="AA425" i="21"/>
  <c r="AB425" i="21"/>
  <c r="AC425" i="21"/>
  <c r="AD425" i="21"/>
  <c r="AE425" i="21"/>
  <c r="AF425" i="21"/>
  <c r="AG425" i="21"/>
  <c r="AH425" i="21"/>
  <c r="AI425" i="21"/>
  <c r="AJ425" i="21"/>
  <c r="AK425" i="21"/>
  <c r="AL425" i="21"/>
  <c r="AM425" i="21"/>
  <c r="AN425" i="21"/>
  <c r="AO425" i="21"/>
  <c r="AP425" i="21"/>
  <c r="AQ425" i="21"/>
  <c r="K426" i="21"/>
  <c r="L426" i="21"/>
  <c r="M426" i="21"/>
  <c r="N426" i="21"/>
  <c r="O426" i="21"/>
  <c r="P426" i="21"/>
  <c r="Q426" i="21"/>
  <c r="R426" i="21"/>
  <c r="S426" i="21"/>
  <c r="T426" i="21"/>
  <c r="U426" i="21"/>
  <c r="V426" i="21"/>
  <c r="W426" i="21"/>
  <c r="X426" i="21"/>
  <c r="Y426" i="21"/>
  <c r="Z426" i="21"/>
  <c r="AA426" i="21"/>
  <c r="AB426" i="21"/>
  <c r="AC426" i="21"/>
  <c r="AD426" i="21"/>
  <c r="AE426" i="21"/>
  <c r="AF426" i="21"/>
  <c r="AG426" i="21"/>
  <c r="AH426" i="21"/>
  <c r="AI426" i="21"/>
  <c r="AJ426" i="21"/>
  <c r="AK426" i="21"/>
  <c r="AL426" i="21"/>
  <c r="AM426" i="21"/>
  <c r="AN426" i="21"/>
  <c r="AO426" i="21"/>
  <c r="AP426" i="21"/>
  <c r="AQ426" i="21"/>
  <c r="K427" i="21"/>
  <c r="L427" i="21"/>
  <c r="M427" i="21"/>
  <c r="N427" i="21"/>
  <c r="O427" i="21"/>
  <c r="P427" i="21"/>
  <c r="Q427" i="21"/>
  <c r="R427" i="21"/>
  <c r="S427" i="21"/>
  <c r="T427" i="21"/>
  <c r="U427" i="21"/>
  <c r="V427" i="21"/>
  <c r="W427" i="21"/>
  <c r="X427" i="21"/>
  <c r="Y427" i="21"/>
  <c r="Z427" i="21"/>
  <c r="AA427" i="21"/>
  <c r="AB427" i="21"/>
  <c r="AC427" i="21"/>
  <c r="AD427" i="21"/>
  <c r="AE427" i="21"/>
  <c r="AF427" i="21"/>
  <c r="AG427" i="21"/>
  <c r="AH427" i="21"/>
  <c r="AI427" i="21"/>
  <c r="AJ427" i="21"/>
  <c r="AK427" i="21"/>
  <c r="AL427" i="21"/>
  <c r="AM427" i="21"/>
  <c r="AN427" i="21"/>
  <c r="AO427" i="21"/>
  <c r="AP427" i="21"/>
  <c r="K428" i="21"/>
  <c r="L428" i="21"/>
  <c r="M428" i="21"/>
  <c r="N428" i="21"/>
  <c r="O428" i="21"/>
  <c r="P428" i="21"/>
  <c r="Q428" i="21"/>
  <c r="R428" i="21"/>
  <c r="S428" i="21"/>
  <c r="T428" i="21"/>
  <c r="U428" i="21"/>
  <c r="V428" i="21"/>
  <c r="W428" i="21"/>
  <c r="X428" i="21"/>
  <c r="Y428" i="21"/>
  <c r="Z428" i="21"/>
  <c r="AA428" i="21"/>
  <c r="AB428" i="21"/>
  <c r="AC428" i="21"/>
  <c r="AD428" i="21"/>
  <c r="AE428" i="21"/>
  <c r="AF428" i="21"/>
  <c r="AG428" i="21"/>
  <c r="AH428" i="21"/>
  <c r="AI428" i="21"/>
  <c r="AJ428" i="21"/>
  <c r="AK428" i="21"/>
  <c r="AL428" i="21"/>
  <c r="AM428" i="21"/>
  <c r="AN428" i="21"/>
  <c r="AO428" i="21"/>
  <c r="AP428" i="21"/>
  <c r="AQ428" i="21"/>
  <c r="K429" i="21"/>
  <c r="L429" i="21"/>
  <c r="M429" i="21"/>
  <c r="N429" i="21"/>
  <c r="O429" i="21"/>
  <c r="P429" i="21"/>
  <c r="Q429" i="21"/>
  <c r="R429" i="21"/>
  <c r="S429" i="21"/>
  <c r="T429" i="21"/>
  <c r="U429" i="21"/>
  <c r="V429" i="21"/>
  <c r="W429" i="21"/>
  <c r="X429" i="21"/>
  <c r="Y429" i="21"/>
  <c r="Z429" i="21"/>
  <c r="AA429" i="21"/>
  <c r="AB429" i="21"/>
  <c r="AC429" i="21"/>
  <c r="AD429" i="21"/>
  <c r="AE429" i="21"/>
  <c r="AF429" i="21"/>
  <c r="AG429" i="21"/>
  <c r="AH429" i="21"/>
  <c r="AI429" i="21"/>
  <c r="AJ429" i="21"/>
  <c r="AK429" i="21"/>
  <c r="AL429" i="21"/>
  <c r="AM429" i="21"/>
  <c r="AN429" i="21"/>
  <c r="AN14" i="11" s="1"/>
  <c r="AO429" i="21"/>
  <c r="AP429" i="21"/>
  <c r="AQ429" i="21"/>
  <c r="K430" i="21"/>
  <c r="L430" i="21"/>
  <c r="M430" i="21"/>
  <c r="N430" i="21"/>
  <c r="O430" i="21"/>
  <c r="P430" i="21"/>
  <c r="Q430" i="21"/>
  <c r="R430" i="21"/>
  <c r="S430" i="21"/>
  <c r="T430" i="21"/>
  <c r="U430" i="21"/>
  <c r="V430" i="21"/>
  <c r="W430" i="21"/>
  <c r="X430" i="21"/>
  <c r="Y430" i="21"/>
  <c r="Z430" i="21"/>
  <c r="AA430" i="21"/>
  <c r="AB430" i="21"/>
  <c r="AC430" i="21"/>
  <c r="AD430" i="21"/>
  <c r="AE430" i="21"/>
  <c r="AF430" i="21"/>
  <c r="AG430" i="21"/>
  <c r="AH430" i="21"/>
  <c r="AI430" i="21"/>
  <c r="AJ430" i="21"/>
  <c r="AK430" i="21"/>
  <c r="AL430" i="21"/>
  <c r="AM430" i="21"/>
  <c r="AN430" i="21"/>
  <c r="AO430" i="21"/>
  <c r="AP430" i="21"/>
  <c r="AQ430" i="21"/>
  <c r="K431" i="21"/>
  <c r="L431" i="21"/>
  <c r="M431" i="21"/>
  <c r="N431" i="21"/>
  <c r="O431" i="21"/>
  <c r="P431" i="21"/>
  <c r="Q431" i="21"/>
  <c r="R431" i="21"/>
  <c r="S431" i="21"/>
  <c r="T431" i="21"/>
  <c r="U431" i="21"/>
  <c r="V431" i="21"/>
  <c r="W431" i="21"/>
  <c r="X431" i="21"/>
  <c r="Y431" i="21"/>
  <c r="Z431" i="21"/>
  <c r="AA431" i="21"/>
  <c r="AB431" i="21"/>
  <c r="AC431" i="21"/>
  <c r="AD431" i="21"/>
  <c r="AE431" i="21"/>
  <c r="AF431" i="21"/>
  <c r="AG431" i="21"/>
  <c r="AH431" i="21"/>
  <c r="AI431" i="21"/>
  <c r="AJ431" i="21"/>
  <c r="AK431" i="21"/>
  <c r="AL431" i="21"/>
  <c r="AM431" i="21"/>
  <c r="AN431" i="21"/>
  <c r="AO431" i="21"/>
  <c r="AP431" i="21"/>
  <c r="AQ431" i="21"/>
  <c r="K432" i="21"/>
  <c r="L432" i="21"/>
  <c r="M432" i="21"/>
  <c r="N432" i="21"/>
  <c r="O432" i="21"/>
  <c r="P432" i="21"/>
  <c r="Q432" i="21"/>
  <c r="R432" i="21"/>
  <c r="S432" i="21"/>
  <c r="T432" i="21"/>
  <c r="U432" i="21"/>
  <c r="V432" i="21"/>
  <c r="W432" i="21"/>
  <c r="X432" i="21"/>
  <c r="Y432" i="21"/>
  <c r="Z432" i="21"/>
  <c r="AA432" i="21"/>
  <c r="AB432" i="21"/>
  <c r="AC432" i="21"/>
  <c r="AD432" i="21"/>
  <c r="AE432" i="21"/>
  <c r="AF432" i="21"/>
  <c r="AG432" i="21"/>
  <c r="AH432" i="21"/>
  <c r="AI432" i="21"/>
  <c r="AJ432" i="21"/>
  <c r="AK432" i="21"/>
  <c r="AL432" i="21"/>
  <c r="AM432" i="21"/>
  <c r="AN432" i="21"/>
  <c r="AO432" i="21"/>
  <c r="AP432" i="21"/>
  <c r="AQ432" i="21"/>
  <c r="K433" i="21"/>
  <c r="L433" i="21"/>
  <c r="M433" i="21"/>
  <c r="N433" i="21"/>
  <c r="O433" i="21"/>
  <c r="P433" i="21"/>
  <c r="Q433" i="21"/>
  <c r="R433" i="21"/>
  <c r="S433" i="21"/>
  <c r="T433" i="21"/>
  <c r="U433" i="21"/>
  <c r="V433" i="21"/>
  <c r="W433" i="21"/>
  <c r="X433" i="21"/>
  <c r="Y433" i="21"/>
  <c r="Z433" i="21"/>
  <c r="AA433" i="21"/>
  <c r="AB433" i="21"/>
  <c r="AC433" i="21"/>
  <c r="AD433" i="21"/>
  <c r="AE433" i="21"/>
  <c r="AF433" i="21"/>
  <c r="AG433" i="21"/>
  <c r="AH433" i="21"/>
  <c r="AI433" i="21"/>
  <c r="AJ433" i="21"/>
  <c r="AK433" i="21"/>
  <c r="AL433" i="21"/>
  <c r="AM433" i="21"/>
  <c r="AN433" i="21"/>
  <c r="AO433" i="21"/>
  <c r="AP433" i="21"/>
  <c r="AQ433" i="21"/>
  <c r="K434" i="21"/>
  <c r="L434" i="21"/>
  <c r="M434" i="21"/>
  <c r="N434" i="21"/>
  <c r="O434" i="21"/>
  <c r="P434" i="21"/>
  <c r="Q434" i="21"/>
  <c r="R434" i="21"/>
  <c r="S434" i="21"/>
  <c r="T434" i="21"/>
  <c r="U434" i="21"/>
  <c r="V434" i="21"/>
  <c r="W434" i="21"/>
  <c r="X434" i="21"/>
  <c r="Y434" i="21"/>
  <c r="Z434" i="21"/>
  <c r="AA434" i="21"/>
  <c r="AB434" i="21"/>
  <c r="AC434" i="21"/>
  <c r="AD434" i="21"/>
  <c r="AE434" i="21"/>
  <c r="AF434" i="21"/>
  <c r="AG434" i="21"/>
  <c r="AH434" i="21"/>
  <c r="AI434" i="21"/>
  <c r="AJ434" i="21"/>
  <c r="AK434" i="21"/>
  <c r="AL434" i="21"/>
  <c r="AM434" i="21"/>
  <c r="AN434" i="21"/>
  <c r="AO434" i="21"/>
  <c r="AP434" i="21"/>
  <c r="AQ434" i="21"/>
  <c r="K435" i="21"/>
  <c r="L435" i="21"/>
  <c r="M435" i="21"/>
  <c r="N435" i="21"/>
  <c r="O435" i="21"/>
  <c r="P435" i="21"/>
  <c r="Q435" i="21"/>
  <c r="R435" i="21"/>
  <c r="S435" i="21"/>
  <c r="T435" i="21"/>
  <c r="U435" i="21"/>
  <c r="V435" i="21"/>
  <c r="W435" i="21"/>
  <c r="X435" i="21"/>
  <c r="Y435" i="21"/>
  <c r="Z435" i="21"/>
  <c r="AA435" i="21"/>
  <c r="AB435" i="21"/>
  <c r="AC435" i="21"/>
  <c r="AD435" i="21"/>
  <c r="AE435" i="21"/>
  <c r="AF435" i="21"/>
  <c r="AG435" i="21"/>
  <c r="AH435" i="21"/>
  <c r="AI435" i="21"/>
  <c r="AJ435" i="21"/>
  <c r="AK435" i="21"/>
  <c r="AL435" i="21"/>
  <c r="AM435" i="21"/>
  <c r="AN435" i="21"/>
  <c r="AO435" i="21"/>
  <c r="AP435" i="21"/>
  <c r="AQ435" i="21"/>
  <c r="K436" i="21"/>
  <c r="L436" i="21"/>
  <c r="M436" i="21"/>
  <c r="N436" i="21"/>
  <c r="O436" i="21"/>
  <c r="P436" i="21"/>
  <c r="Q436" i="21"/>
  <c r="R436" i="21"/>
  <c r="S436" i="21"/>
  <c r="T436" i="21"/>
  <c r="U436" i="21"/>
  <c r="V436" i="21"/>
  <c r="W436" i="21"/>
  <c r="X436" i="21"/>
  <c r="Y436" i="21"/>
  <c r="Z436" i="21"/>
  <c r="AA436" i="21"/>
  <c r="AB436" i="21"/>
  <c r="AC436" i="21"/>
  <c r="AD436" i="21"/>
  <c r="AE436" i="21"/>
  <c r="AF436" i="21"/>
  <c r="AG436" i="21"/>
  <c r="AH436" i="21"/>
  <c r="AI436" i="21"/>
  <c r="AJ436" i="21"/>
  <c r="AK436" i="21"/>
  <c r="AL436" i="21"/>
  <c r="AM436" i="21"/>
  <c r="AN436" i="21"/>
  <c r="AO436" i="21"/>
  <c r="AP436" i="21"/>
  <c r="AQ436" i="21"/>
  <c r="K437" i="21"/>
  <c r="L437" i="21"/>
  <c r="M437" i="21"/>
  <c r="N437" i="21"/>
  <c r="O437" i="21"/>
  <c r="P437" i="21"/>
  <c r="Q437" i="21"/>
  <c r="R437" i="21"/>
  <c r="S437" i="21"/>
  <c r="T437" i="21"/>
  <c r="U437" i="21"/>
  <c r="V437" i="21"/>
  <c r="W437" i="21"/>
  <c r="X437" i="21"/>
  <c r="Y437" i="21"/>
  <c r="Y22" i="11" s="1"/>
  <c r="Z437" i="21"/>
  <c r="AA437" i="21"/>
  <c r="AB437" i="21"/>
  <c r="AC437" i="21"/>
  <c r="AD437" i="21"/>
  <c r="AE437" i="21"/>
  <c r="AF437" i="21"/>
  <c r="AG437" i="21"/>
  <c r="AH437" i="21"/>
  <c r="AI437" i="21"/>
  <c r="AJ437" i="21"/>
  <c r="AK437" i="21"/>
  <c r="AL437" i="21"/>
  <c r="AM437" i="21"/>
  <c r="AN437" i="21"/>
  <c r="AO437" i="21"/>
  <c r="AO22" i="11" s="1"/>
  <c r="AP437" i="21"/>
  <c r="AP22" i="11" s="1"/>
  <c r="AQ437" i="21"/>
  <c r="AQ22" i="11" s="1"/>
  <c r="K421" i="21"/>
  <c r="L421" i="21"/>
  <c r="M421" i="21"/>
  <c r="N421" i="21"/>
  <c r="O421" i="21"/>
  <c r="P421" i="21"/>
  <c r="Q421" i="21"/>
  <c r="R421" i="21"/>
  <c r="S421" i="21"/>
  <c r="T421" i="21"/>
  <c r="U421" i="21"/>
  <c r="V421" i="21"/>
  <c r="W421" i="21"/>
  <c r="X421" i="21"/>
  <c r="Y421" i="21"/>
  <c r="Z421" i="21"/>
  <c r="AA421" i="21"/>
  <c r="AB421" i="21"/>
  <c r="AC421" i="21"/>
  <c r="AD421" i="21"/>
  <c r="AE421" i="21"/>
  <c r="AF421" i="21"/>
  <c r="AG421" i="21"/>
  <c r="AH421" i="21"/>
  <c r="AI421" i="21"/>
  <c r="AJ421" i="21"/>
  <c r="AK421" i="21"/>
  <c r="AL421" i="21"/>
  <c r="AM421" i="21"/>
  <c r="AN421" i="21"/>
  <c r="AO421" i="21"/>
  <c r="AP421" i="21"/>
  <c r="AQ421" i="21"/>
  <c r="L420" i="21"/>
  <c r="M420" i="21"/>
  <c r="N420" i="21"/>
  <c r="O420" i="21"/>
  <c r="P420" i="21"/>
  <c r="Q420" i="21"/>
  <c r="R420" i="21"/>
  <c r="S420" i="21"/>
  <c r="T420" i="21"/>
  <c r="U420" i="21"/>
  <c r="V420" i="21"/>
  <c r="W420" i="21"/>
  <c r="X420" i="21"/>
  <c r="Y420" i="21"/>
  <c r="Z420" i="21"/>
  <c r="AA420" i="21"/>
  <c r="AB420" i="21"/>
  <c r="AC420" i="21"/>
  <c r="AD420" i="21"/>
  <c r="AE420" i="21"/>
  <c r="AF420" i="21"/>
  <c r="AG420" i="21"/>
  <c r="AH420" i="21"/>
  <c r="AI420" i="21"/>
  <c r="AJ420" i="21"/>
  <c r="AK420" i="21"/>
  <c r="AL420" i="21"/>
  <c r="AM420" i="21"/>
  <c r="AO420" i="21"/>
  <c r="AP420" i="21"/>
  <c r="AQ420" i="21"/>
  <c r="N419" i="21"/>
  <c r="O419" i="21"/>
  <c r="P419" i="21"/>
  <c r="Q419" i="21"/>
  <c r="R419" i="21"/>
  <c r="S419" i="21"/>
  <c r="T419" i="21"/>
  <c r="U419" i="21"/>
  <c r="V419" i="21"/>
  <c r="W419" i="21"/>
  <c r="X419" i="21"/>
  <c r="Y419" i="21"/>
  <c r="Z419" i="21"/>
  <c r="AA419" i="21"/>
  <c r="AB419" i="21"/>
  <c r="AC419" i="21"/>
  <c r="AD419" i="21"/>
  <c r="AE419" i="21"/>
  <c r="AF419" i="21"/>
  <c r="AG419" i="21"/>
  <c r="AH419" i="21"/>
  <c r="AI419" i="21"/>
  <c r="AJ419" i="21"/>
  <c r="AK419" i="21"/>
  <c r="AL419" i="21"/>
  <c r="AM419" i="21"/>
  <c r="AN419" i="21"/>
  <c r="AO419" i="21"/>
  <c r="AQ419" i="21"/>
  <c r="M419" i="21"/>
  <c r="N416" i="21"/>
  <c r="O416" i="21"/>
  <c r="P416" i="21" s="1"/>
  <c r="Q416" i="21" s="1"/>
  <c r="R416" i="21" s="1"/>
  <c r="S416" i="21" s="1"/>
  <c r="T416" i="21" s="1"/>
  <c r="U416" i="21" s="1"/>
  <c r="V416" i="21" s="1"/>
  <c r="W416" i="21" s="1"/>
  <c r="X416" i="21" s="1"/>
  <c r="AR397" i="21"/>
  <c r="AR398" i="21"/>
  <c r="AR422" i="21" s="1"/>
  <c r="AR400" i="21"/>
  <c r="AR401" i="21"/>
  <c r="AR402" i="21"/>
  <c r="AR404" i="21"/>
  <c r="AR428" i="21" s="1"/>
  <c r="AR406" i="21"/>
  <c r="AR430" i="21" s="1"/>
  <c r="AR407" i="21"/>
  <c r="AR408" i="21"/>
  <c r="AR409" i="21"/>
  <c r="AR410" i="21"/>
  <c r="AR411" i="21"/>
  <c r="AR412" i="21"/>
  <c r="AR436" i="21" s="1"/>
  <c r="AR413" i="21"/>
  <c r="AR414" i="21"/>
  <c r="V414" i="21"/>
  <c r="AR421" i="21"/>
  <c r="AR424" i="21"/>
  <c r="AR425" i="21"/>
  <c r="AR426" i="21"/>
  <c r="AR431" i="21"/>
  <c r="AR432" i="21"/>
  <c r="AR433" i="21"/>
  <c r="AR434" i="21"/>
  <c r="AR435" i="21"/>
  <c r="AN22" i="16" l="1"/>
  <c r="AN22" i="33"/>
  <c r="AN45" i="33"/>
  <c r="AN22" i="9"/>
  <c r="AN215" i="9"/>
  <c r="AN239" i="9"/>
  <c r="AM91" i="33" l="1"/>
  <c r="AM114" i="16"/>
  <c r="AM413" i="21"/>
  <c r="AM95" i="36"/>
  <c r="AC438" i="21" l="1"/>
  <c r="AM22" i="16" l="1"/>
  <c r="AM22" i="33"/>
  <c r="AM45" i="33"/>
  <c r="AM22" i="9"/>
  <c r="AM239" i="9"/>
  <c r="AM215" i="9"/>
  <c r="AL91" i="33"/>
  <c r="AL52" i="17"/>
  <c r="AL114" i="16"/>
  <c r="AL22" i="16"/>
  <c r="AL45" i="33"/>
  <c r="AL22" i="33"/>
  <c r="AL22" i="9"/>
  <c r="AL239" i="9"/>
  <c r="AL215" i="9"/>
  <c r="AK91" i="33"/>
  <c r="AK114" i="16"/>
  <c r="AT85" i="34" l="1"/>
  <c r="AJ29" i="12"/>
  <c r="AI30" i="12"/>
  <c r="AK22" i="16" l="1"/>
  <c r="AK45" i="33"/>
  <c r="AK22" i="33"/>
  <c r="AK22" i="9"/>
  <c r="AK239" i="9"/>
  <c r="AK215" i="9"/>
  <c r="AI29" i="12"/>
  <c r="AJ91" i="33"/>
  <c r="AI91" i="33"/>
  <c r="AI111" i="23"/>
  <c r="AI132" i="26"/>
  <c r="AJ114" i="16"/>
  <c r="AI114" i="16"/>
  <c r="AI413" i="21"/>
  <c r="AI401" i="21"/>
  <c r="AJ45" i="33"/>
  <c r="AJ22" i="33"/>
  <c r="AJ22" i="16"/>
  <c r="AJ215" i="9"/>
  <c r="AJ239" i="9"/>
  <c r="AJ22" i="9"/>
  <c r="AD215" i="9"/>
  <c r="AI51" i="12"/>
  <c r="AI22" i="16" l="1"/>
  <c r="AI45" i="33"/>
  <c r="AI22" i="33"/>
  <c r="AI22" i="9"/>
  <c r="AI239" i="9"/>
  <c r="AI215" i="9"/>
  <c r="E71" i="33"/>
  <c r="F71" i="33"/>
  <c r="G71" i="33"/>
  <c r="H71" i="33"/>
  <c r="I71" i="33"/>
  <c r="J71" i="33"/>
  <c r="K71" i="33"/>
  <c r="L71" i="33"/>
  <c r="M71" i="33"/>
  <c r="N71" i="33"/>
  <c r="O71" i="33"/>
  <c r="P71" i="33"/>
  <c r="Q71" i="33"/>
  <c r="R71" i="33"/>
  <c r="S71" i="33"/>
  <c r="T71" i="33"/>
  <c r="U71" i="33"/>
  <c r="V71" i="33"/>
  <c r="W71" i="33"/>
  <c r="X71" i="33"/>
  <c r="Y71" i="33"/>
  <c r="Z71" i="33"/>
  <c r="AA71" i="33"/>
  <c r="AB71" i="33"/>
  <c r="AC71" i="33"/>
  <c r="AD71" i="33"/>
  <c r="AE71" i="33"/>
  <c r="AF71" i="33"/>
  <c r="AG71" i="33"/>
  <c r="AH71" i="33"/>
  <c r="AQ71" i="33"/>
  <c r="D71" i="33"/>
  <c r="AH91" i="33"/>
  <c r="AH128" i="23"/>
  <c r="AH123" i="23"/>
  <c r="AH112" i="23"/>
  <c r="AH104" i="23"/>
  <c r="AH100" i="23"/>
  <c r="AH76" i="33"/>
  <c r="AH114" i="16"/>
  <c r="AG91" i="33"/>
  <c r="AG119" i="23"/>
  <c r="AG114" i="16"/>
  <c r="AG413" i="21"/>
  <c r="AG61" i="23"/>
  <c r="AH22" i="16"/>
  <c r="AH45" i="33"/>
  <c r="AH22" i="33"/>
  <c r="AH239" i="9"/>
  <c r="AH215" i="9"/>
  <c r="AH22" i="9"/>
  <c r="AE15" i="20" l="1"/>
  <c r="AH15" i="20"/>
  <c r="AF101" i="23"/>
  <c r="AF114" i="16"/>
  <c r="AF413" i="21"/>
  <c r="AF407" i="21"/>
  <c r="AG22" i="16"/>
  <c r="AG45" i="33"/>
  <c r="AG22" i="33"/>
  <c r="AG239" i="9"/>
  <c r="AG215" i="9"/>
  <c r="AG22" i="9"/>
  <c r="AF30" i="12"/>
  <c r="AG29" i="12"/>
  <c r="V373" i="21" l="1"/>
  <c r="AF51" i="12"/>
  <c r="AE91" i="33"/>
  <c r="AE114" i="16"/>
  <c r="AE102" i="16"/>
  <c r="AE413" i="21"/>
  <c r="AF45" i="33"/>
  <c r="AF22" i="33"/>
  <c r="AF22" i="16"/>
  <c r="AF239" i="9"/>
  <c r="AF215" i="9"/>
  <c r="AF22" i="9"/>
  <c r="AF29" i="12" l="1"/>
  <c r="AE29" i="12"/>
  <c r="AD91" i="33" l="1"/>
  <c r="AC91" i="33"/>
  <c r="AC76" i="33"/>
  <c r="AD114" i="16"/>
  <c r="AD413" i="21"/>
  <c r="AD401" i="21"/>
  <c r="AD29" i="17"/>
  <c r="AE45" i="33" l="1"/>
  <c r="AE22" i="33"/>
  <c r="AE22" i="16"/>
  <c r="AE239" i="9"/>
  <c r="AE215" i="9"/>
  <c r="AE22" i="9"/>
  <c r="AD29" i="12" l="1"/>
  <c r="AC30" i="12" l="1"/>
  <c r="AD30" i="12"/>
  <c r="AC29" i="12"/>
  <c r="AC52" i="17"/>
  <c r="AC114" i="16"/>
  <c r="AC413" i="21"/>
  <c r="AC401" i="21"/>
  <c r="AC415" i="21"/>
  <c r="AD22" i="16"/>
  <c r="AD22" i="21"/>
  <c r="AD22" i="33"/>
  <c r="AD45" i="33"/>
  <c r="AD22" i="9"/>
  <c r="AD119" i="9"/>
  <c r="AD239" i="9"/>
  <c r="AD15" i="20"/>
  <c r="S30" i="12" l="1"/>
  <c r="AB32" i="12"/>
  <c r="AB29" i="12"/>
  <c r="AA29" i="12"/>
  <c r="Z30" i="12"/>
  <c r="AB91" i="33" l="1"/>
  <c r="AB76" i="33"/>
  <c r="AB114" i="16"/>
  <c r="AB99" i="16"/>
  <c r="AB413" i="21"/>
  <c r="AB401" i="21"/>
  <c r="AB398" i="21"/>
  <c r="AC45" i="33" l="1"/>
  <c r="AC22" i="33"/>
  <c r="AC45" i="21"/>
  <c r="AC22" i="21"/>
  <c r="AC22" i="16"/>
  <c r="AC215" i="9"/>
  <c r="AC239" i="9"/>
  <c r="AC22" i="9"/>
  <c r="AA91" i="33" l="1"/>
  <c r="AA114" i="16"/>
  <c r="AA413" i="21"/>
  <c r="Y417" i="21"/>
  <c r="AB77" i="16"/>
  <c r="AB78" i="16"/>
  <c r="AB79" i="16"/>
  <c r="AB80" i="16"/>
  <c r="AB81" i="16"/>
  <c r="AB82" i="16"/>
  <c r="AB83" i="16"/>
  <c r="AB84" i="16"/>
  <c r="AB85" i="16"/>
  <c r="AB86" i="16"/>
  <c r="AB87" i="16"/>
  <c r="AB88" i="16"/>
  <c r="AB89" i="16"/>
  <c r="AB90" i="16"/>
  <c r="AB73" i="16"/>
  <c r="AB74" i="16"/>
  <c r="AB75" i="16"/>
  <c r="AB76" i="16"/>
  <c r="AB22" i="9"/>
  <c r="AB143" i="9"/>
  <c r="AB119" i="9"/>
  <c r="AB215" i="9"/>
  <c r="AB239" i="9"/>
  <c r="AB22" i="16"/>
  <c r="AB45" i="21"/>
  <c r="AB22" i="21"/>
  <c r="AB22" i="33"/>
  <c r="AB45" i="33"/>
  <c r="AB23" i="16"/>
  <c r="AB50" i="33"/>
  <c r="AB51" i="33"/>
  <c r="AB52" i="33"/>
  <c r="AB53" i="33"/>
  <c r="AB54" i="33"/>
  <c r="AB55" i="33"/>
  <c r="AB56" i="33"/>
  <c r="AB57" i="33"/>
  <c r="AB58" i="33"/>
  <c r="AB59" i="33"/>
  <c r="AB60" i="33"/>
  <c r="AB61" i="33"/>
  <c r="AB62" i="33"/>
  <c r="AB63" i="33"/>
  <c r="AB64" i="33"/>
  <c r="AC15" i="20"/>
  <c r="X30" i="12"/>
  <c r="AA32" i="12"/>
  <c r="Z29" i="12"/>
  <c r="AB51" i="12"/>
  <c r="Z51" i="12"/>
  <c r="AT1" i="34"/>
  <c r="AT1" i="11"/>
  <c r="AB15" i="20"/>
  <c r="AA45" i="21"/>
  <c r="AA22" i="21"/>
  <c r="AA45" i="33"/>
  <c r="AA22" i="33"/>
  <c r="AA45" i="16"/>
  <c r="AA22" i="16"/>
  <c r="AA239" i="9"/>
  <c r="AA215" i="9"/>
  <c r="AA143" i="9"/>
  <c r="Y119" i="9"/>
  <c r="AA119" i="9"/>
  <c r="AA45" i="9"/>
  <c r="AA22" i="9"/>
  <c r="V30" i="12"/>
  <c r="Y252" i="21"/>
  <c r="Y407" i="9"/>
  <c r="Z91" i="33"/>
  <c r="Z78" i="33"/>
  <c r="Z52" i="17"/>
  <c r="Z132" i="26"/>
  <c r="Z114" i="16"/>
  <c r="Z6" i="17"/>
  <c r="V413" i="21"/>
  <c r="Y413" i="21"/>
  <c r="X413" i="21"/>
  <c r="Y406" i="21"/>
  <c r="X406" i="21"/>
  <c r="Z413" i="21"/>
  <c r="Z44" i="17"/>
  <c r="Z41" i="17"/>
  <c r="Z34" i="17"/>
  <c r="Z401" i="21"/>
  <c r="Z400" i="21"/>
  <c r="Z29" i="17"/>
  <c r="X407" i="21"/>
  <c r="Y22" i="27"/>
  <c r="Y29" i="12"/>
  <c r="X29" i="12"/>
  <c r="Y32" i="12"/>
  <c r="Y91" i="33"/>
  <c r="Y120" i="31"/>
  <c r="Y78" i="33"/>
  <c r="Y105" i="23"/>
  <c r="Y103" i="23"/>
  <c r="Y114" i="16"/>
  <c r="Y86" i="23"/>
  <c r="Y407" i="21"/>
  <c r="Y401" i="21"/>
  <c r="Y400" i="21"/>
  <c r="Y21" i="30"/>
  <c r="Y29" i="17"/>
  <c r="Z45" i="16"/>
  <c r="Z22" i="16"/>
  <c r="Z45" i="21"/>
  <c r="Z22" i="21"/>
  <c r="Y22" i="21"/>
  <c r="Z22" i="33"/>
  <c r="Z45" i="33"/>
  <c r="Z22" i="9"/>
  <c r="Z45" i="9"/>
  <c r="Z143" i="9"/>
  <c r="Z119" i="9"/>
  <c r="Z215" i="9"/>
  <c r="Z239" i="9"/>
  <c r="AA15" i="20"/>
  <c r="X65" i="14"/>
  <c r="X91" i="33"/>
  <c r="X85" i="33"/>
  <c r="X78" i="33"/>
  <c r="X120" i="31"/>
  <c r="X114" i="16"/>
  <c r="X108" i="16"/>
  <c r="X44" i="17"/>
  <c r="X27" i="17"/>
  <c r="X408" i="21"/>
  <c r="X26" i="27"/>
  <c r="X400" i="21"/>
  <c r="Y22" i="16"/>
  <c r="Y45" i="16"/>
  <c r="Y45" i="21"/>
  <c r="Y22" i="33"/>
  <c r="Y45" i="33"/>
  <c r="Y22" i="9"/>
  <c r="Y45" i="9"/>
  <c r="Y143" i="9"/>
  <c r="Y215" i="9"/>
  <c r="Y239" i="9"/>
  <c r="X51" i="12"/>
  <c r="W51" i="12"/>
  <c r="Z15" i="20"/>
  <c r="W30" i="12"/>
  <c r="V417" i="21"/>
  <c r="W91" i="33"/>
  <c r="W118" i="23"/>
  <c r="W78" i="33"/>
  <c r="W52" i="17"/>
  <c r="W114" i="16"/>
  <c r="W413" i="21"/>
  <c r="W41" i="17"/>
  <c r="W400" i="21"/>
  <c r="Y15" i="20"/>
  <c r="U30" i="12"/>
  <c r="X68" i="16"/>
  <c r="X45" i="16"/>
  <c r="X22" i="16"/>
  <c r="X45" i="21"/>
  <c r="X22" i="21"/>
  <c r="X45" i="33"/>
  <c r="X22" i="33"/>
  <c r="X68" i="9"/>
  <c r="X22" i="9"/>
  <c r="X45" i="9"/>
  <c r="X143" i="9"/>
  <c r="X119" i="9"/>
  <c r="X215" i="9"/>
  <c r="X239" i="9"/>
  <c r="X32" i="12"/>
  <c r="X15" i="20"/>
  <c r="W64" i="20"/>
  <c r="W171" i="20"/>
  <c r="W62" i="20"/>
  <c r="W170" i="20"/>
  <c r="W61" i="20"/>
  <c r="W169" i="20"/>
  <c r="W60" i="20"/>
  <c r="V91" i="33"/>
  <c r="V78" i="33"/>
  <c r="V52" i="17"/>
  <c r="V114" i="16"/>
  <c r="V406" i="21"/>
  <c r="V401" i="21"/>
  <c r="V400" i="21"/>
  <c r="V20" i="29"/>
  <c r="W68" i="16"/>
  <c r="W22" i="16"/>
  <c r="W45" i="16"/>
  <c r="V45" i="21"/>
  <c r="W45" i="21"/>
  <c r="V22" i="21"/>
  <c r="W22" i="21"/>
  <c r="W114" i="21"/>
  <c r="W68" i="21"/>
  <c r="W22" i="33"/>
  <c r="W252" i="21"/>
  <c r="W45" i="33"/>
  <c r="W229" i="21"/>
  <c r="W68" i="9"/>
  <c r="W22" i="9"/>
  <c r="W45" i="9"/>
  <c r="V143" i="9"/>
  <c r="W143" i="9"/>
  <c r="U119" i="9"/>
  <c r="V119" i="9"/>
  <c r="W119" i="9"/>
  <c r="W263" i="9"/>
  <c r="W167" i="9"/>
  <c r="W215" i="9"/>
  <c r="W407" i="9"/>
  <c r="W239" i="9"/>
  <c r="W383" i="9"/>
  <c r="U32" i="12"/>
  <c r="V32" i="12"/>
  <c r="W29" i="12"/>
  <c r="W15" i="20" l="1"/>
  <c r="T30" i="12" l="1"/>
  <c r="V29" i="12"/>
  <c r="T29" i="12"/>
  <c r="V112" i="20"/>
  <c r="W112" i="20"/>
  <c r="X112" i="20"/>
  <c r="U135" i="20"/>
  <c r="V135" i="20"/>
  <c r="W135" i="20"/>
  <c r="X135" i="20"/>
  <c r="Y135" i="20"/>
  <c r="Z135" i="20"/>
  <c r="V64" i="20"/>
  <c r="V63" i="20"/>
  <c r="V107" i="20"/>
  <c r="V62" i="20"/>
  <c r="V60" i="20"/>
  <c r="U91" i="33"/>
  <c r="U85" i="33"/>
  <c r="U84" i="33"/>
  <c r="U41" i="27"/>
  <c r="U78" i="33"/>
  <c r="U112" i="23"/>
  <c r="U52" i="17"/>
  <c r="Q114" i="16"/>
  <c r="U114" i="16"/>
  <c r="Q413" i="21"/>
  <c r="U413" i="21"/>
  <c r="U407" i="21"/>
  <c r="U406" i="21"/>
  <c r="U405" i="21"/>
  <c r="U401" i="21"/>
  <c r="U400" i="21"/>
  <c r="U29" i="17"/>
  <c r="U20" i="29"/>
  <c r="U68" i="26" l="1"/>
  <c r="V68" i="16" l="1"/>
  <c r="U22" i="16"/>
  <c r="V22" i="16"/>
  <c r="V45" i="16"/>
  <c r="U45" i="21"/>
  <c r="V114" i="21"/>
  <c r="V68" i="21"/>
  <c r="V22" i="33"/>
  <c r="V45" i="33"/>
  <c r="V137" i="21"/>
  <c r="V229" i="21"/>
  <c r="V91" i="21"/>
  <c r="V183" i="21"/>
  <c r="V24" i="12"/>
  <c r="S29" i="12"/>
  <c r="V68" i="9"/>
  <c r="U22" i="9"/>
  <c r="V22" i="9"/>
  <c r="V45" i="9"/>
  <c r="U143" i="9"/>
  <c r="U263" i="9"/>
  <c r="V263" i="9"/>
  <c r="V167" i="9"/>
  <c r="U215" i="9"/>
  <c r="V215" i="9"/>
  <c r="U239" i="9"/>
  <c r="V239" i="9"/>
  <c r="U287" i="9"/>
  <c r="V287" i="9"/>
  <c r="V383" i="9"/>
  <c r="U191" i="9"/>
  <c r="V191" i="9"/>
  <c r="V335" i="9"/>
  <c r="AR15" i="20" l="1"/>
  <c r="U29" i="12"/>
  <c r="U27" i="12"/>
  <c r="U26" i="12"/>
  <c r="U25" i="12" l="1"/>
  <c r="U24" i="12"/>
  <c r="T27" i="12"/>
  <c r="V15" i="20" l="1"/>
  <c r="V51" i="12" l="1"/>
  <c r="V52" i="12" s="1"/>
  <c r="U51" i="12"/>
  <c r="T51" i="12"/>
  <c r="U68" i="16" l="1"/>
  <c r="N22" i="16"/>
  <c r="R22" i="16"/>
  <c r="S22" i="16"/>
  <c r="Q45" i="16"/>
  <c r="S45" i="16"/>
  <c r="U45" i="16"/>
  <c r="N45" i="21"/>
  <c r="Q45" i="21"/>
  <c r="S45" i="21"/>
  <c r="N22" i="21"/>
  <c r="Q22" i="21"/>
  <c r="R22" i="21"/>
  <c r="S22" i="21"/>
  <c r="U22" i="21"/>
  <c r="Q114" i="21"/>
  <c r="U114" i="21"/>
  <c r="U68" i="21"/>
  <c r="R22" i="33"/>
  <c r="S22" i="33"/>
  <c r="U22" i="33"/>
  <c r="R45" i="33"/>
  <c r="U45" i="33"/>
  <c r="U137" i="21"/>
  <c r="U229" i="21"/>
  <c r="U91" i="21"/>
  <c r="S215" i="9"/>
  <c r="T112" i="20"/>
  <c r="U112" i="20"/>
  <c r="S112" i="20"/>
  <c r="R112" i="20"/>
  <c r="Q112" i="20"/>
  <c r="U68" i="9"/>
  <c r="N22" i="9"/>
  <c r="R22" i="9"/>
  <c r="S22" i="9"/>
  <c r="Q45" i="9"/>
  <c r="S45" i="9"/>
  <c r="U45" i="9"/>
  <c r="N143" i="9"/>
  <c r="Q143" i="9"/>
  <c r="S143" i="9"/>
  <c r="P119" i="9"/>
  <c r="M119" i="9"/>
  <c r="Q263" i="9"/>
  <c r="U167" i="9"/>
  <c r="N119" i="9"/>
  <c r="Q119" i="9"/>
  <c r="R119" i="9"/>
  <c r="S119" i="9"/>
  <c r="R215" i="9"/>
  <c r="R239" i="9"/>
  <c r="S239" i="9"/>
  <c r="U383" i="9"/>
  <c r="U173" i="20"/>
  <c r="U109" i="20"/>
  <c r="U64" i="20"/>
  <c r="U108" i="20"/>
  <c r="U63" i="20"/>
  <c r="U107" i="20"/>
  <c r="U62" i="20"/>
  <c r="U170" i="20"/>
  <c r="U106" i="20"/>
  <c r="U61" i="20"/>
  <c r="U105" i="20"/>
  <c r="U60" i="20"/>
  <c r="U15" i="20" l="1"/>
  <c r="T91" i="33"/>
  <c r="S91" i="33"/>
  <c r="R91" i="33"/>
  <c r="T131" i="23"/>
  <c r="S127" i="23"/>
  <c r="T84" i="33"/>
  <c r="T78" i="33"/>
  <c r="S112" i="23"/>
  <c r="T52" i="17"/>
  <c r="S52" i="17"/>
  <c r="T114" i="16"/>
  <c r="S114" i="16"/>
  <c r="R114" i="16"/>
  <c r="S43" i="23"/>
  <c r="S102" i="16"/>
  <c r="S9" i="31"/>
  <c r="T413" i="21"/>
  <c r="S413" i="21"/>
  <c r="R413" i="21"/>
  <c r="T88" i="23"/>
  <c r="S88" i="23"/>
  <c r="S43" i="17"/>
  <c r="S408" i="21"/>
  <c r="S41" i="17"/>
  <c r="T41" i="17"/>
  <c r="S407" i="21"/>
  <c r="T406" i="21"/>
  <c r="R406" i="21"/>
  <c r="S26" i="27"/>
  <c r="T25" i="27"/>
  <c r="T26" i="29"/>
  <c r="T405" i="21"/>
  <c r="S405" i="21"/>
  <c r="S401" i="21"/>
  <c r="T401" i="21"/>
  <c r="T400" i="21"/>
  <c r="T21" i="30"/>
  <c r="S20" i="29"/>
  <c r="T22" i="27"/>
  <c r="S53" i="23"/>
  <c r="S68" i="26"/>
  <c r="T109" i="20" l="1"/>
  <c r="T64" i="20"/>
  <c r="T171" i="20"/>
  <c r="T108" i="20"/>
  <c r="T63" i="20"/>
  <c r="T107" i="20"/>
  <c r="T62" i="20"/>
  <c r="T170" i="20"/>
  <c r="T106" i="20"/>
  <c r="T61" i="20"/>
  <c r="T169" i="20"/>
  <c r="T105" i="20"/>
  <c r="T60" i="20"/>
  <c r="T68" i="16"/>
  <c r="T22" i="16"/>
  <c r="T45" i="16"/>
  <c r="T45" i="21"/>
  <c r="T22" i="21"/>
  <c r="T114" i="21"/>
  <c r="T68" i="21"/>
  <c r="T22" i="33"/>
  <c r="T45" i="33"/>
  <c r="T137" i="21"/>
  <c r="T160" i="21"/>
  <c r="T183" i="21"/>
  <c r="T68" i="9"/>
  <c r="T22" i="9"/>
  <c r="T45" i="9"/>
  <c r="T143" i="9"/>
  <c r="T119" i="9"/>
  <c r="T263" i="9"/>
  <c r="T167" i="9"/>
  <c r="T215" i="9"/>
  <c r="T239" i="9"/>
  <c r="T287" i="9"/>
  <c r="T311" i="9"/>
  <c r="T335" i="9"/>
  <c r="T32" i="12" l="1"/>
  <c r="S32" i="12"/>
  <c r="S51" i="12" l="1"/>
  <c r="K96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AG58" i="14"/>
  <c r="AH58" i="14"/>
  <c r="AI58" i="14"/>
  <c r="AJ58" i="14"/>
  <c r="AK58" i="14"/>
  <c r="AL58" i="14"/>
  <c r="AM58" i="14"/>
  <c r="AN58" i="14"/>
  <c r="AO58" i="14"/>
  <c r="AP58" i="14"/>
  <c r="C58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K54" i="14"/>
  <c r="AL54" i="14"/>
  <c r="AM54" i="14"/>
  <c r="AN54" i="14"/>
  <c r="AO54" i="14"/>
  <c r="AP54" i="14"/>
  <c r="C54" i="14"/>
  <c r="S64" i="20" l="1"/>
  <c r="S63" i="20"/>
  <c r="S62" i="20"/>
  <c r="S61" i="20"/>
  <c r="S68" i="16" l="1"/>
  <c r="S114" i="21"/>
  <c r="S68" i="21"/>
  <c r="S45" i="33"/>
  <c r="R160" i="21"/>
  <c r="S160" i="21"/>
  <c r="S91" i="21"/>
  <c r="R68" i="9"/>
  <c r="S68" i="9"/>
  <c r="S263" i="9"/>
  <c r="S167" i="9"/>
  <c r="R311" i="9"/>
  <c r="S311" i="9"/>
  <c r="S191" i="9"/>
  <c r="T15" i="20"/>
  <c r="R29" i="12"/>
  <c r="S24" i="12"/>
  <c r="R32" i="12" l="1"/>
  <c r="Q30" i="12" l="1"/>
  <c r="K64" i="14"/>
  <c r="R173" i="20"/>
  <c r="R109" i="20"/>
  <c r="R64" i="20"/>
  <c r="R172" i="20"/>
  <c r="R108" i="20"/>
  <c r="R63" i="20"/>
  <c r="R171" i="20"/>
  <c r="R107" i="20"/>
  <c r="R62" i="20"/>
  <c r="R169" i="20"/>
  <c r="R105" i="20"/>
  <c r="Q408" i="21"/>
  <c r="Q43" i="17"/>
  <c r="Q84" i="23"/>
  <c r="Q81" i="31"/>
  <c r="Q41" i="17"/>
  <c r="Q81" i="23"/>
  <c r="Q407" i="21"/>
  <c r="Q405" i="21"/>
  <c r="Q400" i="21"/>
  <c r="Q20" i="29"/>
  <c r="Q91" i="33"/>
  <c r="Q107" i="31"/>
  <c r="Q99" i="23"/>
  <c r="R68" i="16"/>
  <c r="R45" i="21"/>
  <c r="R114" i="21"/>
  <c r="R68" i="21"/>
  <c r="Q91" i="21"/>
  <c r="R91" i="21"/>
  <c r="R183" i="21"/>
  <c r="R143" i="9"/>
  <c r="R263" i="9"/>
  <c r="R167" i="9"/>
  <c r="Q191" i="9"/>
  <c r="R335" i="9"/>
  <c r="S15" i="20"/>
  <c r="R51" i="12" l="1"/>
  <c r="R52" i="12" s="1"/>
  <c r="P114" i="16" l="1"/>
  <c r="P413" i="21"/>
  <c r="P91" i="33"/>
  <c r="Q63" i="20"/>
  <c r="Q62" i="20"/>
  <c r="Q60" i="20"/>
  <c r="Q51" i="12"/>
  <c r="Q24" i="12"/>
  <c r="R15" i="20" l="1"/>
  <c r="Q68" i="16"/>
  <c r="Q22" i="16"/>
  <c r="Q68" i="21"/>
  <c r="Q22" i="33"/>
  <c r="P22" i="33"/>
  <c r="P45" i="33"/>
  <c r="Q45" i="33"/>
  <c r="Q68" i="9"/>
  <c r="Q22" i="9"/>
  <c r="Q167" i="9"/>
  <c r="P215" i="9"/>
  <c r="P216" i="9"/>
  <c r="P219" i="9" s="1"/>
  <c r="Q215" i="9"/>
  <c r="P239" i="9"/>
  <c r="Q239" i="9"/>
  <c r="P30" i="12" l="1"/>
  <c r="Q29" i="12"/>
  <c r="P32" i="12"/>
  <c r="P63" i="20"/>
  <c r="P62" i="20"/>
  <c r="P61" i="20"/>
  <c r="P60" i="20"/>
  <c r="P44" i="17"/>
  <c r="P408" i="21"/>
  <c r="P21" i="30"/>
  <c r="P29" i="17"/>
  <c r="P20" i="29"/>
  <c r="P68" i="21"/>
  <c r="P367" i="21"/>
  <c r="P45" i="21"/>
  <c r="P22" i="21"/>
  <c r="P114" i="21"/>
  <c r="P45" i="16"/>
  <c r="P22" i="16"/>
  <c r="P68" i="16"/>
  <c r="P527" i="9"/>
  <c r="P143" i="9"/>
  <c r="P263" i="9"/>
  <c r="P167" i="9"/>
  <c r="P22" i="9"/>
  <c r="P45" i="9"/>
  <c r="P68" i="9"/>
  <c r="P29" i="12" l="1"/>
  <c r="P51" i="12" l="1"/>
  <c r="L24" i="12"/>
  <c r="O64" i="20"/>
  <c r="O63" i="20"/>
  <c r="O62" i="20"/>
  <c r="O114" i="16" l="1"/>
  <c r="O413" i="21"/>
  <c r="O406" i="21"/>
  <c r="O69" i="31"/>
  <c r="O401" i="21"/>
  <c r="O91" i="33"/>
  <c r="O123" i="23" l="1"/>
  <c r="O79" i="33"/>
  <c r="H24" i="12" l="1"/>
  <c r="O24" i="12" l="1"/>
  <c r="O32" i="12"/>
  <c r="O45" i="33" l="1"/>
  <c r="O22" i="33"/>
  <c r="O68" i="21"/>
  <c r="O114" i="21"/>
  <c r="O22" i="21"/>
  <c r="O45" i="21"/>
  <c r="O22" i="16"/>
  <c r="O45" i="16"/>
  <c r="O68" i="16"/>
  <c r="O68" i="9" l="1"/>
  <c r="O22" i="9"/>
  <c r="O45" i="9"/>
  <c r="O143" i="9"/>
  <c r="O119" i="9"/>
  <c r="O263" i="9"/>
  <c r="O167" i="9"/>
  <c r="O215" i="9"/>
  <c r="O239" i="9"/>
  <c r="O30" i="12"/>
  <c r="O29" i="12"/>
  <c r="N29" i="12" l="1"/>
  <c r="M29" i="12"/>
  <c r="O51" i="12" l="1"/>
  <c r="M30" i="12"/>
  <c r="N64" i="20" l="1"/>
  <c r="N63" i="20"/>
  <c r="N62" i="20"/>
  <c r="N114" i="16" l="1"/>
  <c r="M114" i="16"/>
  <c r="N413" i="21"/>
  <c r="N407" i="21"/>
  <c r="M406" i="21"/>
  <c r="N91" i="33"/>
  <c r="M91" i="33"/>
  <c r="N45" i="33" l="1"/>
  <c r="N22" i="33"/>
  <c r="N68" i="21"/>
  <c r="N114" i="21"/>
  <c r="N45" i="16"/>
  <c r="N68" i="16"/>
  <c r="M120" i="9" l="1"/>
  <c r="M263" i="9"/>
  <c r="N263" i="9"/>
  <c r="N167" i="9"/>
  <c r="N239" i="9"/>
  <c r="N215" i="9"/>
  <c r="M45" i="9"/>
  <c r="N45" i="9"/>
  <c r="M22" i="9"/>
  <c r="N68" i="9"/>
  <c r="M51" i="12" l="1"/>
  <c r="N51" i="12"/>
  <c r="M64" i="20"/>
  <c r="M63" i="20"/>
  <c r="M62" i="20"/>
  <c r="M32" i="12" l="1"/>
  <c r="M68" i="16"/>
  <c r="M22" i="16"/>
  <c r="M45" i="16"/>
  <c r="M45" i="21"/>
  <c r="M22" i="21"/>
  <c r="M114" i="21"/>
  <c r="M68" i="21"/>
  <c r="M45" i="33"/>
  <c r="L45" i="33"/>
  <c r="L22" i="33"/>
  <c r="M22" i="33"/>
  <c r="M68" i="9" l="1"/>
  <c r="M143" i="9"/>
  <c r="M167" i="9"/>
  <c r="L215" i="9"/>
  <c r="M215" i="9"/>
  <c r="L239" i="9"/>
  <c r="M239" i="9"/>
  <c r="L30" i="12"/>
  <c r="K30" i="12"/>
  <c r="N15" i="20"/>
  <c r="M15" i="20"/>
  <c r="M557" i="9"/>
  <c r="E557" i="9"/>
  <c r="F557" i="9"/>
  <c r="G557" i="9"/>
  <c r="H557" i="9"/>
  <c r="I557" i="9"/>
  <c r="J557" i="9"/>
  <c r="K557" i="9"/>
  <c r="L557" i="9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I8" i="12"/>
  <c r="J8" i="12"/>
  <c r="K8" i="12"/>
  <c r="L8" i="12"/>
  <c r="M8" i="12"/>
  <c r="N8" i="12"/>
  <c r="G8" i="12"/>
  <c r="H8" i="12"/>
  <c r="E8" i="12"/>
  <c r="L68" i="16"/>
  <c r="L22" i="16"/>
  <c r="L45" i="16"/>
  <c r="L68" i="21"/>
  <c r="L167" i="9"/>
  <c r="L22" i="9"/>
  <c r="L45" i="9"/>
  <c r="L68" i="9"/>
  <c r="J91" i="33" l="1"/>
  <c r="J134" i="23"/>
  <c r="H41" i="27"/>
  <c r="K95" i="23"/>
  <c r="H95" i="23"/>
  <c r="K45" i="33"/>
  <c r="K22" i="33"/>
  <c r="K239" i="9"/>
  <c r="K215" i="9"/>
  <c r="D110" i="14" l="1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E110" i="14"/>
  <c r="AF110" i="14"/>
  <c r="AG110" i="14"/>
  <c r="AH110" i="14"/>
  <c r="AI110" i="14"/>
  <c r="AJ110" i="14"/>
  <c r="AK110" i="14"/>
  <c r="AL110" i="14"/>
  <c r="AM110" i="14"/>
  <c r="AN110" i="14"/>
  <c r="AO110" i="14"/>
  <c r="AP110" i="14"/>
  <c r="C110" i="14"/>
  <c r="D96" i="14"/>
  <c r="E96" i="14"/>
  <c r="F96" i="14"/>
  <c r="G96" i="14"/>
  <c r="H96" i="14"/>
  <c r="I96" i="14"/>
  <c r="J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C96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C79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N63" i="14"/>
  <c r="AO63" i="14"/>
  <c r="AP63" i="14"/>
  <c r="C63" i="14"/>
  <c r="AQ110" i="14" l="1"/>
  <c r="AQ96" i="14"/>
  <c r="AQ79" i="14"/>
  <c r="AQ63" i="14"/>
  <c r="J45" i="33"/>
  <c r="J22" i="33"/>
  <c r="J239" i="9"/>
  <c r="J215" i="9"/>
  <c r="I45" i="33"/>
  <c r="I22" i="33"/>
  <c r="I239" i="9"/>
  <c r="I215" i="9"/>
  <c r="H29" i="12"/>
  <c r="U8" i="12" l="1"/>
  <c r="H22" i="33" l="1"/>
  <c r="H45" i="33"/>
  <c r="H239" i="9"/>
  <c r="H215" i="9"/>
  <c r="G22" i="33"/>
  <c r="G45" i="33"/>
  <c r="G215" i="9"/>
  <c r="G239" i="9"/>
  <c r="K56" i="36" l="1"/>
  <c r="L56" i="36"/>
  <c r="M56" i="36"/>
  <c r="N56" i="36"/>
  <c r="O56" i="36"/>
  <c r="P56" i="36"/>
  <c r="Q56" i="36"/>
  <c r="R56" i="36"/>
  <c r="S56" i="36"/>
  <c r="T56" i="36"/>
  <c r="U56" i="36"/>
  <c r="V56" i="36"/>
  <c r="W56" i="36"/>
  <c r="X56" i="36"/>
  <c r="Y56" i="36"/>
  <c r="Z56" i="36"/>
  <c r="AA56" i="36"/>
  <c r="AB56" i="36"/>
  <c r="K57" i="36"/>
  <c r="L57" i="36"/>
  <c r="M57" i="36"/>
  <c r="N57" i="36"/>
  <c r="O57" i="36"/>
  <c r="P57" i="36"/>
  <c r="Q57" i="36"/>
  <c r="R57" i="36"/>
  <c r="S57" i="36"/>
  <c r="T57" i="36"/>
  <c r="U57" i="36"/>
  <c r="V57" i="36"/>
  <c r="W57" i="36"/>
  <c r="X57" i="36"/>
  <c r="Y57" i="36"/>
  <c r="Z57" i="36"/>
  <c r="AA57" i="36"/>
  <c r="AB57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X58" i="36"/>
  <c r="Y58" i="36"/>
  <c r="Z58" i="36"/>
  <c r="AA58" i="36"/>
  <c r="AB58" i="36"/>
  <c r="K59" i="36"/>
  <c r="L59" i="36"/>
  <c r="M59" i="36"/>
  <c r="N59" i="36"/>
  <c r="O59" i="36"/>
  <c r="P59" i="36"/>
  <c r="Q59" i="36"/>
  <c r="R59" i="36"/>
  <c r="S59" i="36"/>
  <c r="T59" i="36"/>
  <c r="U59" i="36"/>
  <c r="V59" i="36"/>
  <c r="W59" i="36"/>
  <c r="X59" i="36"/>
  <c r="Y59" i="36"/>
  <c r="Z59" i="36"/>
  <c r="AA59" i="36"/>
  <c r="AB59" i="36"/>
  <c r="K60" i="36"/>
  <c r="L60" i="36"/>
  <c r="M60" i="36"/>
  <c r="N60" i="36"/>
  <c r="O60" i="36"/>
  <c r="P60" i="36"/>
  <c r="Q60" i="36"/>
  <c r="R60" i="36"/>
  <c r="S60" i="36"/>
  <c r="T60" i="36"/>
  <c r="U60" i="36"/>
  <c r="V60" i="36"/>
  <c r="W60" i="36"/>
  <c r="X60" i="36"/>
  <c r="Y60" i="36"/>
  <c r="Z60" i="36"/>
  <c r="AA60" i="36"/>
  <c r="AB60" i="36"/>
  <c r="K61" i="36"/>
  <c r="L61" i="36"/>
  <c r="M61" i="36"/>
  <c r="N61" i="36"/>
  <c r="O61" i="36"/>
  <c r="P61" i="36"/>
  <c r="Q61" i="36"/>
  <c r="R61" i="36"/>
  <c r="S61" i="36"/>
  <c r="T61" i="36"/>
  <c r="U61" i="36"/>
  <c r="V61" i="36"/>
  <c r="W61" i="36"/>
  <c r="X61" i="36"/>
  <c r="Y61" i="36"/>
  <c r="Z61" i="36"/>
  <c r="AA61" i="36"/>
  <c r="AB61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AB62" i="36"/>
  <c r="K63" i="36"/>
  <c r="L63" i="36"/>
  <c r="M63" i="36"/>
  <c r="N63" i="36"/>
  <c r="O63" i="36"/>
  <c r="P63" i="36"/>
  <c r="Q63" i="36"/>
  <c r="R63" i="36"/>
  <c r="S63" i="36"/>
  <c r="T63" i="36"/>
  <c r="U63" i="36"/>
  <c r="V63" i="36"/>
  <c r="W63" i="36"/>
  <c r="X63" i="36"/>
  <c r="Y63" i="36"/>
  <c r="Z63" i="36"/>
  <c r="AA63" i="36"/>
  <c r="AB63" i="36"/>
  <c r="K64" i="36"/>
  <c r="L64" i="36"/>
  <c r="M64" i="36"/>
  <c r="N64" i="36"/>
  <c r="O64" i="36"/>
  <c r="P64" i="36"/>
  <c r="Q64" i="36"/>
  <c r="R64" i="36"/>
  <c r="S64" i="36"/>
  <c r="T64" i="36"/>
  <c r="U64" i="36"/>
  <c r="V64" i="36"/>
  <c r="W64" i="36"/>
  <c r="X64" i="36"/>
  <c r="Y64" i="36"/>
  <c r="Z64" i="36"/>
  <c r="AA64" i="36"/>
  <c r="AB64" i="36"/>
  <c r="K65" i="36"/>
  <c r="L65" i="36"/>
  <c r="M65" i="36"/>
  <c r="N65" i="36"/>
  <c r="O65" i="36"/>
  <c r="P65" i="36"/>
  <c r="Q65" i="36"/>
  <c r="R65" i="36"/>
  <c r="S65" i="36"/>
  <c r="T65" i="36"/>
  <c r="U65" i="36"/>
  <c r="V65" i="36"/>
  <c r="W65" i="36"/>
  <c r="X65" i="36"/>
  <c r="Y65" i="36"/>
  <c r="Z65" i="36"/>
  <c r="AA65" i="36"/>
  <c r="AB65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X66" i="36"/>
  <c r="Y66" i="36"/>
  <c r="Z66" i="36"/>
  <c r="AA66" i="36"/>
  <c r="AB66" i="36"/>
  <c r="K67" i="36"/>
  <c r="L67" i="36"/>
  <c r="M67" i="36"/>
  <c r="N67" i="36"/>
  <c r="O67" i="36"/>
  <c r="P67" i="36"/>
  <c r="Q67" i="36"/>
  <c r="R67" i="36"/>
  <c r="S67" i="36"/>
  <c r="T67" i="36"/>
  <c r="U67" i="36"/>
  <c r="V67" i="36"/>
  <c r="W67" i="36"/>
  <c r="X67" i="36"/>
  <c r="Y67" i="36"/>
  <c r="Z67" i="36"/>
  <c r="AA67" i="36"/>
  <c r="AB67" i="36"/>
  <c r="K68" i="36"/>
  <c r="L68" i="36"/>
  <c r="M68" i="36"/>
  <c r="N68" i="36"/>
  <c r="O68" i="36"/>
  <c r="P68" i="36"/>
  <c r="Q68" i="36"/>
  <c r="R68" i="36"/>
  <c r="S68" i="36"/>
  <c r="T68" i="36"/>
  <c r="U68" i="36"/>
  <c r="V68" i="36"/>
  <c r="W68" i="36"/>
  <c r="X68" i="36"/>
  <c r="Y68" i="36"/>
  <c r="Z68" i="36"/>
  <c r="AA68" i="36"/>
  <c r="AB68" i="36"/>
  <c r="K69" i="36"/>
  <c r="L69" i="36"/>
  <c r="M69" i="36"/>
  <c r="N69" i="36"/>
  <c r="O69" i="36"/>
  <c r="P69" i="36"/>
  <c r="Q69" i="36"/>
  <c r="R69" i="36"/>
  <c r="S69" i="36"/>
  <c r="T69" i="36"/>
  <c r="U69" i="36"/>
  <c r="V69" i="36"/>
  <c r="W69" i="36"/>
  <c r="X69" i="36"/>
  <c r="Y69" i="36"/>
  <c r="Z69" i="36"/>
  <c r="AA69" i="36"/>
  <c r="AB69" i="36"/>
  <c r="J57" i="36"/>
  <c r="J58" i="36"/>
  <c r="J59" i="36"/>
  <c r="J60" i="36"/>
  <c r="J61" i="36"/>
  <c r="J62" i="36"/>
  <c r="J63" i="36"/>
  <c r="J64" i="36"/>
  <c r="J65" i="36"/>
  <c r="J66" i="36"/>
  <c r="J67" i="36"/>
  <c r="J68" i="36"/>
  <c r="J69" i="36"/>
  <c r="J56" i="36"/>
  <c r="L33" i="36"/>
  <c r="M33" i="36"/>
  <c r="N33" i="36"/>
  <c r="O33" i="36"/>
  <c r="P33" i="36"/>
  <c r="Q33" i="36"/>
  <c r="R33" i="36"/>
  <c r="S33" i="36"/>
  <c r="T33" i="36"/>
  <c r="U33" i="36"/>
  <c r="V33" i="36"/>
  <c r="W33" i="36"/>
  <c r="X33" i="36"/>
  <c r="Y33" i="36"/>
  <c r="Z33" i="36"/>
  <c r="AA33" i="36"/>
  <c r="AB33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Z35" i="36"/>
  <c r="AA35" i="36"/>
  <c r="AB35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Z36" i="36"/>
  <c r="AA36" i="36"/>
  <c r="AB36" i="36"/>
  <c r="L37" i="36"/>
  <c r="M37" i="36"/>
  <c r="N37" i="36"/>
  <c r="O37" i="36"/>
  <c r="P37" i="36"/>
  <c r="Q37" i="36"/>
  <c r="S37" i="36"/>
  <c r="T37" i="36"/>
  <c r="U37" i="36"/>
  <c r="V37" i="36"/>
  <c r="W37" i="36"/>
  <c r="X37" i="36"/>
  <c r="Y37" i="36"/>
  <c r="Z37" i="36"/>
  <c r="AA37" i="36"/>
  <c r="AB37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Z38" i="36"/>
  <c r="AA38" i="36"/>
  <c r="AB38" i="36"/>
  <c r="L39" i="36"/>
  <c r="M39" i="36"/>
  <c r="N39" i="36"/>
  <c r="O39" i="36"/>
  <c r="P39" i="36"/>
  <c r="Q39" i="36"/>
  <c r="R39" i="36"/>
  <c r="S39" i="36"/>
  <c r="T39" i="36"/>
  <c r="U39" i="36"/>
  <c r="V39" i="36"/>
  <c r="W39" i="36"/>
  <c r="X39" i="36"/>
  <c r="Y39" i="36"/>
  <c r="Z39" i="36"/>
  <c r="AA39" i="36"/>
  <c r="AB39" i="36"/>
  <c r="L40" i="36"/>
  <c r="M40" i="36"/>
  <c r="N40" i="36"/>
  <c r="O40" i="36"/>
  <c r="P40" i="36"/>
  <c r="Q40" i="36"/>
  <c r="R40" i="36"/>
  <c r="S40" i="36"/>
  <c r="T40" i="36"/>
  <c r="U40" i="36"/>
  <c r="V40" i="36"/>
  <c r="W40" i="36"/>
  <c r="X40" i="36"/>
  <c r="Y40" i="36"/>
  <c r="Z40" i="36"/>
  <c r="AA40" i="36"/>
  <c r="AB40" i="36"/>
  <c r="L41" i="36"/>
  <c r="M41" i="36"/>
  <c r="N41" i="36"/>
  <c r="O41" i="36"/>
  <c r="P41" i="36"/>
  <c r="Q41" i="36"/>
  <c r="R41" i="36"/>
  <c r="S41" i="36"/>
  <c r="T41" i="36"/>
  <c r="U41" i="36"/>
  <c r="V41" i="36"/>
  <c r="W41" i="36"/>
  <c r="X41" i="36"/>
  <c r="Y41" i="36"/>
  <c r="Z41" i="36"/>
  <c r="AA41" i="36"/>
  <c r="AB41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Z42" i="36"/>
  <c r="AA42" i="36"/>
  <c r="AB42" i="36"/>
  <c r="L43" i="36"/>
  <c r="M43" i="36"/>
  <c r="N43" i="36"/>
  <c r="O43" i="36"/>
  <c r="P43" i="36"/>
  <c r="Q43" i="36"/>
  <c r="R43" i="36"/>
  <c r="S43" i="36"/>
  <c r="T43" i="36"/>
  <c r="U43" i="36"/>
  <c r="V43" i="36"/>
  <c r="W43" i="36"/>
  <c r="X43" i="36"/>
  <c r="Y43" i="36"/>
  <c r="Z43" i="36"/>
  <c r="AA43" i="36"/>
  <c r="AB43" i="36"/>
  <c r="L44" i="36"/>
  <c r="M44" i="36"/>
  <c r="N44" i="36"/>
  <c r="O44" i="36"/>
  <c r="P44" i="36"/>
  <c r="Q44" i="36"/>
  <c r="R44" i="36"/>
  <c r="S44" i="36"/>
  <c r="T44" i="36"/>
  <c r="U44" i="36"/>
  <c r="V44" i="36"/>
  <c r="W44" i="36"/>
  <c r="X44" i="36"/>
  <c r="Y44" i="36"/>
  <c r="Z44" i="36"/>
  <c r="AA44" i="36"/>
  <c r="AB44" i="36"/>
  <c r="L45" i="36"/>
  <c r="M45" i="36"/>
  <c r="N45" i="36"/>
  <c r="O45" i="36"/>
  <c r="P45" i="36"/>
  <c r="Q45" i="36"/>
  <c r="R45" i="36"/>
  <c r="S45" i="36"/>
  <c r="T45" i="36"/>
  <c r="U45" i="36"/>
  <c r="V45" i="36"/>
  <c r="W45" i="36"/>
  <c r="X45" i="36"/>
  <c r="Y45" i="36"/>
  <c r="Z45" i="36"/>
  <c r="AA45" i="36"/>
  <c r="AB45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Z46" i="36"/>
  <c r="AA46" i="36"/>
  <c r="AB46" i="36"/>
  <c r="K33" i="36"/>
  <c r="K34" i="36"/>
  <c r="K35" i="36"/>
  <c r="K36" i="36"/>
  <c r="K37" i="36"/>
  <c r="K38" i="36"/>
  <c r="K39" i="36"/>
  <c r="K40" i="36"/>
  <c r="K41" i="36"/>
  <c r="K42" i="36"/>
  <c r="K43" i="36"/>
  <c r="K44" i="36"/>
  <c r="K45" i="36"/>
  <c r="K46" i="36"/>
  <c r="J34" i="36"/>
  <c r="J35" i="36"/>
  <c r="J36" i="36"/>
  <c r="J37" i="36"/>
  <c r="J38" i="36"/>
  <c r="J39" i="36"/>
  <c r="J40" i="36"/>
  <c r="J41" i="36"/>
  <c r="J42" i="36"/>
  <c r="J43" i="36"/>
  <c r="J44" i="36"/>
  <c r="J45" i="36"/>
  <c r="J46" i="36"/>
  <c r="J33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X21" i="36"/>
  <c r="Y21" i="36"/>
  <c r="Z21" i="36"/>
  <c r="AA21" i="36"/>
  <c r="AB21" i="36"/>
  <c r="AC21" i="36"/>
  <c r="AD21" i="36"/>
  <c r="AE21" i="36"/>
  <c r="AF21" i="36"/>
  <c r="AG21" i="36"/>
  <c r="AH21" i="36"/>
  <c r="AI21" i="36"/>
  <c r="AJ21" i="36"/>
  <c r="AK21" i="36"/>
  <c r="AL21" i="36"/>
  <c r="AM21" i="36"/>
  <c r="AN21" i="36"/>
  <c r="AO21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Z22" i="36"/>
  <c r="AA22" i="36"/>
  <c r="AB22" i="36"/>
  <c r="AC22" i="36"/>
  <c r="AD22" i="36"/>
  <c r="AE22" i="36"/>
  <c r="AF22" i="36"/>
  <c r="AG22" i="36"/>
  <c r="AH22" i="36"/>
  <c r="AI22" i="36"/>
  <c r="AJ22" i="36"/>
  <c r="AK22" i="36"/>
  <c r="AL22" i="36"/>
  <c r="AM22" i="36"/>
  <c r="AN22" i="36"/>
  <c r="AO22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AC23" i="36"/>
  <c r="AD23" i="36"/>
  <c r="AE23" i="36"/>
  <c r="AF23" i="36"/>
  <c r="AG23" i="36"/>
  <c r="AH23" i="36"/>
  <c r="AI23" i="36"/>
  <c r="AJ23" i="36"/>
  <c r="AK23" i="36"/>
  <c r="AL23" i="36"/>
  <c r="AM23" i="36"/>
  <c r="AN23" i="36"/>
  <c r="AO23" i="36"/>
  <c r="I22" i="36"/>
  <c r="I23" i="36"/>
  <c r="I21" i="36"/>
  <c r="K25" i="36" s="1"/>
  <c r="K27" i="36" s="1"/>
  <c r="K28" i="36" s="1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Z6" i="36"/>
  <c r="AA6" i="36"/>
  <c r="AB6" i="36"/>
  <c r="AC6" i="36"/>
  <c r="AD6" i="36"/>
  <c r="AE6" i="36"/>
  <c r="AF6" i="36"/>
  <c r="AG6" i="36"/>
  <c r="AH6" i="36"/>
  <c r="AI6" i="36"/>
  <c r="AJ6" i="36"/>
  <c r="AK6" i="36"/>
  <c r="AL6" i="36"/>
  <c r="AM6" i="36"/>
  <c r="AN6" i="36"/>
  <c r="AO6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Z7" i="36"/>
  <c r="AA7" i="36"/>
  <c r="AB7" i="36"/>
  <c r="AC7" i="36"/>
  <c r="AD7" i="36"/>
  <c r="AE7" i="36"/>
  <c r="AF7" i="36"/>
  <c r="AG7" i="36"/>
  <c r="AH7" i="36"/>
  <c r="AI7" i="36"/>
  <c r="AJ7" i="36"/>
  <c r="AK7" i="36"/>
  <c r="AL7" i="36"/>
  <c r="AM7" i="36"/>
  <c r="AN7" i="36"/>
  <c r="AO7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I8" i="36"/>
  <c r="I7" i="36"/>
  <c r="I6" i="36"/>
  <c r="D107" i="36"/>
  <c r="E107" i="36"/>
  <c r="F107" i="36"/>
  <c r="G107" i="36"/>
  <c r="H107" i="36"/>
  <c r="I107" i="36"/>
  <c r="J107" i="36"/>
  <c r="K107" i="36"/>
  <c r="L107" i="36"/>
  <c r="M107" i="36"/>
  <c r="N107" i="36"/>
  <c r="O107" i="36"/>
  <c r="P107" i="36"/>
  <c r="Q107" i="36"/>
  <c r="R107" i="36"/>
  <c r="S107" i="36"/>
  <c r="T107" i="36"/>
  <c r="U107" i="36"/>
  <c r="V107" i="36"/>
  <c r="W107" i="36"/>
  <c r="X107" i="36"/>
  <c r="Y107" i="36"/>
  <c r="Z107" i="36"/>
  <c r="AA107" i="36"/>
  <c r="AB107" i="36"/>
  <c r="AC107" i="36"/>
  <c r="AD107" i="36"/>
  <c r="AE107" i="36"/>
  <c r="AF107" i="36"/>
  <c r="AG107" i="36"/>
  <c r="AH107" i="36"/>
  <c r="AI107" i="36"/>
  <c r="AJ107" i="36"/>
  <c r="AK107" i="36"/>
  <c r="AL107" i="36"/>
  <c r="AM107" i="36"/>
  <c r="AN107" i="36"/>
  <c r="AO107" i="36"/>
  <c r="D108" i="36"/>
  <c r="E108" i="36"/>
  <c r="F108" i="36"/>
  <c r="G108" i="36"/>
  <c r="H108" i="36"/>
  <c r="I108" i="36"/>
  <c r="J108" i="36"/>
  <c r="K108" i="36"/>
  <c r="L108" i="36"/>
  <c r="M108" i="36"/>
  <c r="N108" i="36"/>
  <c r="O108" i="36"/>
  <c r="P108" i="36"/>
  <c r="Q108" i="36"/>
  <c r="R108" i="36"/>
  <c r="S108" i="36"/>
  <c r="T108" i="36"/>
  <c r="U108" i="36"/>
  <c r="V108" i="36"/>
  <c r="W108" i="36"/>
  <c r="X108" i="36"/>
  <c r="Y108" i="36"/>
  <c r="Z108" i="36"/>
  <c r="AA108" i="36"/>
  <c r="AB108" i="36"/>
  <c r="AC108" i="36"/>
  <c r="AD108" i="36"/>
  <c r="AE108" i="36"/>
  <c r="AF108" i="36"/>
  <c r="AG108" i="36"/>
  <c r="AH108" i="36"/>
  <c r="AI108" i="36"/>
  <c r="AJ108" i="36"/>
  <c r="AK108" i="36"/>
  <c r="AL108" i="36"/>
  <c r="AM108" i="36"/>
  <c r="AN108" i="36"/>
  <c r="AO108" i="36"/>
  <c r="C108" i="36"/>
  <c r="C107" i="36"/>
  <c r="D94" i="36"/>
  <c r="E94" i="36"/>
  <c r="F94" i="36"/>
  <c r="G94" i="36"/>
  <c r="H94" i="36"/>
  <c r="I94" i="36"/>
  <c r="J94" i="36"/>
  <c r="K94" i="36"/>
  <c r="L94" i="36"/>
  <c r="M94" i="36"/>
  <c r="N94" i="36"/>
  <c r="O94" i="36"/>
  <c r="P94" i="36"/>
  <c r="Q94" i="36"/>
  <c r="R94" i="36"/>
  <c r="S94" i="36"/>
  <c r="T94" i="36"/>
  <c r="U94" i="36"/>
  <c r="V94" i="36"/>
  <c r="W94" i="36"/>
  <c r="X94" i="36"/>
  <c r="Y94" i="36"/>
  <c r="Z94" i="36"/>
  <c r="AA94" i="36"/>
  <c r="AB94" i="36"/>
  <c r="AC94" i="36"/>
  <c r="AD94" i="36"/>
  <c r="AE94" i="36"/>
  <c r="AF94" i="36"/>
  <c r="AG94" i="36"/>
  <c r="AH94" i="36"/>
  <c r="AI94" i="36"/>
  <c r="AJ94" i="36"/>
  <c r="AK94" i="36"/>
  <c r="AL94" i="36"/>
  <c r="AM94" i="36"/>
  <c r="AN94" i="36"/>
  <c r="AO94" i="36"/>
  <c r="D95" i="36"/>
  <c r="E95" i="36"/>
  <c r="F95" i="36"/>
  <c r="G95" i="36"/>
  <c r="H95" i="36"/>
  <c r="I95" i="36"/>
  <c r="J95" i="36"/>
  <c r="K95" i="36"/>
  <c r="L95" i="36"/>
  <c r="M95" i="36"/>
  <c r="N95" i="36"/>
  <c r="O95" i="36"/>
  <c r="P95" i="36"/>
  <c r="Q95" i="36"/>
  <c r="R95" i="36"/>
  <c r="S95" i="36"/>
  <c r="T95" i="36"/>
  <c r="U95" i="36"/>
  <c r="V95" i="36"/>
  <c r="W95" i="36"/>
  <c r="X95" i="36"/>
  <c r="Y95" i="36"/>
  <c r="Z95" i="36"/>
  <c r="AA95" i="36"/>
  <c r="AB95" i="36"/>
  <c r="AC95" i="36"/>
  <c r="AD95" i="36"/>
  <c r="AE95" i="36"/>
  <c r="AF95" i="36"/>
  <c r="AG95" i="36"/>
  <c r="AH95" i="36"/>
  <c r="AI95" i="36"/>
  <c r="AJ95" i="36"/>
  <c r="AK95" i="36"/>
  <c r="AL95" i="36"/>
  <c r="AN95" i="36"/>
  <c r="AO95" i="36"/>
  <c r="C95" i="36"/>
  <c r="C94" i="36"/>
  <c r="X25" i="36" l="1"/>
  <c r="X27" i="36" s="1"/>
  <c r="X28" i="36" s="1"/>
  <c r="T30" i="36" s="1"/>
  <c r="O25" i="36"/>
  <c r="O27" i="36" s="1"/>
  <c r="O28" i="36" s="1"/>
  <c r="N30" i="36" s="1"/>
  <c r="AG25" i="36"/>
  <c r="AG27" i="36" s="1"/>
  <c r="AG28" i="36" s="1"/>
  <c r="AB25" i="36"/>
  <c r="AB27" i="36" s="1"/>
  <c r="AB28" i="36" s="1"/>
  <c r="Z30" i="36" s="1"/>
  <c r="S25" i="36"/>
  <c r="S27" i="36" s="1"/>
  <c r="S28" i="36" s="1"/>
  <c r="R30" i="36" s="1"/>
  <c r="AK25" i="36"/>
  <c r="AK27" i="36" s="1"/>
  <c r="AK28" i="36" s="1"/>
  <c r="AK30" i="36" s="1"/>
  <c r="M30" i="36"/>
  <c r="L30" i="36"/>
  <c r="O30" i="36"/>
  <c r="AC30" i="36"/>
  <c r="AG30" i="36"/>
  <c r="AF30" i="36"/>
  <c r="AE30" i="36"/>
  <c r="AD30" i="36"/>
  <c r="K30" i="36"/>
  <c r="J30" i="36"/>
  <c r="AB30" i="36"/>
  <c r="AA30" i="36"/>
  <c r="S30" i="36" l="1"/>
  <c r="V30" i="36"/>
  <c r="X30" i="36"/>
  <c r="U30" i="36"/>
  <c r="W30" i="36"/>
  <c r="AH30" i="36"/>
  <c r="P30" i="36"/>
  <c r="Y30" i="36"/>
  <c r="Q30" i="36"/>
  <c r="AI30" i="36"/>
  <c r="AJ30" i="36"/>
  <c r="AR5" i="23"/>
  <c r="AU39" i="33"/>
  <c r="AU38" i="33"/>
  <c r="AU33" i="33"/>
  <c r="AU32" i="33"/>
  <c r="AU30" i="33"/>
  <c r="AU27" i="33"/>
  <c r="AU45" i="33"/>
  <c r="AU44" i="33"/>
  <c r="AU41" i="33"/>
  <c r="AU40" i="33"/>
  <c r="AU37" i="33"/>
  <c r="AU35" i="33"/>
  <c r="AU34" i="33"/>
  <c r="AU31" i="33"/>
  <c r="AU29" i="33"/>
  <c r="AU28" i="33"/>
  <c r="AU16" i="33"/>
  <c r="AU7" i="33"/>
  <c r="AU22" i="33"/>
  <c r="AU21" i="33"/>
  <c r="AU18" i="33"/>
  <c r="AU17" i="33"/>
  <c r="AU14" i="33"/>
  <c r="AU12" i="33"/>
  <c r="AU11" i="33"/>
  <c r="AU8" i="33"/>
  <c r="AU6" i="33"/>
  <c r="AU5" i="33"/>
  <c r="AU4" i="33"/>
  <c r="AU246" i="21"/>
  <c r="AU245" i="21"/>
  <c r="AU252" i="21"/>
  <c r="AU251" i="21"/>
  <c r="AU248" i="21"/>
  <c r="AU247" i="21"/>
  <c r="AU244" i="21"/>
  <c r="AU242" i="21"/>
  <c r="AU241" i="21"/>
  <c r="AU240" i="21"/>
  <c r="AU239" i="21"/>
  <c r="AU238" i="21"/>
  <c r="AU236" i="21"/>
  <c r="AU235" i="21"/>
  <c r="AU234" i="21"/>
  <c r="AU108" i="21"/>
  <c r="AU107" i="21"/>
  <c r="AU101" i="21"/>
  <c r="AU96" i="21"/>
  <c r="AU114" i="21"/>
  <c r="AU113" i="21"/>
  <c r="AU110" i="21"/>
  <c r="AU109" i="21"/>
  <c r="AU106" i="21"/>
  <c r="AU104" i="21"/>
  <c r="AU103" i="21"/>
  <c r="AU102" i="21"/>
  <c r="AU100" i="21"/>
  <c r="AU98" i="21"/>
  <c r="AU97" i="21"/>
  <c r="AU73" i="21"/>
  <c r="AU62" i="21"/>
  <c r="AU61" i="21"/>
  <c r="AU68" i="21"/>
  <c r="AU67" i="21"/>
  <c r="AU64" i="21"/>
  <c r="AU63" i="21"/>
  <c r="AU60" i="21"/>
  <c r="AU58" i="21"/>
  <c r="AU57" i="21"/>
  <c r="AU56" i="21"/>
  <c r="AU55" i="21"/>
  <c r="AU54" i="21"/>
  <c r="AU52" i="21"/>
  <c r="AU51" i="21"/>
  <c r="AU39" i="21"/>
  <c r="AU45" i="21"/>
  <c r="AU44" i="21"/>
  <c r="AU41" i="21"/>
  <c r="AU40" i="21"/>
  <c r="AU38" i="21"/>
  <c r="AU34" i="21"/>
  <c r="AU35" i="21"/>
  <c r="AU37" i="21"/>
  <c r="AU33" i="21"/>
  <c r="AU31" i="21"/>
  <c r="AU29" i="21"/>
  <c r="AU28" i="21"/>
  <c r="AU27" i="21"/>
  <c r="AU16" i="21"/>
  <c r="AU15" i="21"/>
  <c r="AU9" i="21"/>
  <c r="AU7" i="21"/>
  <c r="AU22" i="21"/>
  <c r="AU21" i="21"/>
  <c r="AU18" i="21"/>
  <c r="AU17" i="21"/>
  <c r="AU14" i="21"/>
  <c r="AU12" i="21"/>
  <c r="AU11" i="21"/>
  <c r="AU10" i="21"/>
  <c r="AU8" i="21"/>
  <c r="AU6" i="21"/>
  <c r="AU5" i="21"/>
  <c r="AU4" i="21"/>
  <c r="AU39" i="16"/>
  <c r="AU62" i="16"/>
  <c r="AU61" i="16"/>
  <c r="AU68" i="16"/>
  <c r="AU67" i="16"/>
  <c r="AU64" i="16"/>
  <c r="AU63" i="16"/>
  <c r="AU60" i="16"/>
  <c r="AU59" i="16"/>
  <c r="AU58" i="16"/>
  <c r="AU57" i="16"/>
  <c r="AU56" i="16"/>
  <c r="AU55" i="16"/>
  <c r="AU54" i="16"/>
  <c r="AU53" i="16"/>
  <c r="AU52" i="16"/>
  <c r="AU51" i="16"/>
  <c r="AU50" i="16"/>
  <c r="AU38" i="16"/>
  <c r="AU36" i="16"/>
  <c r="AU32" i="16"/>
  <c r="AU30" i="16"/>
  <c r="AU45" i="16"/>
  <c r="AU44" i="16"/>
  <c r="AU41" i="16"/>
  <c r="AU40" i="16"/>
  <c r="AU35" i="16"/>
  <c r="AU34" i="16"/>
  <c r="AU33" i="16"/>
  <c r="AU31" i="16"/>
  <c r="AU29" i="16"/>
  <c r="AU28" i="16"/>
  <c r="AU27" i="16"/>
  <c r="AU16" i="16"/>
  <c r="AU15" i="16"/>
  <c r="AU13" i="16"/>
  <c r="AU9" i="16"/>
  <c r="AU7" i="16"/>
  <c r="AU22" i="16"/>
  <c r="AU21" i="16"/>
  <c r="AU18" i="16"/>
  <c r="AU17" i="16"/>
  <c r="AU14" i="16"/>
  <c r="AU12" i="16"/>
  <c r="AU11" i="16"/>
  <c r="AU10" i="16"/>
  <c r="AU8" i="16"/>
  <c r="AU6" i="16"/>
  <c r="AU4" i="16"/>
  <c r="AU5" i="16"/>
  <c r="AR7" i="23" l="1"/>
  <c r="AR29" i="23"/>
  <c r="AR41" i="23"/>
  <c r="AR51" i="23"/>
  <c r="AR73" i="23"/>
  <c r="AR85" i="23"/>
  <c r="AR130" i="23"/>
  <c r="AR96" i="23"/>
  <c r="AR118" i="23"/>
  <c r="AR8" i="17" l="1"/>
  <c r="AR31" i="17"/>
  <c r="AR54" i="17"/>
  <c r="AT69" i="17"/>
  <c r="AT68" i="17"/>
  <c r="AT67" i="17"/>
  <c r="AT66" i="17"/>
  <c r="AT65" i="17"/>
  <c r="AT64" i="17"/>
  <c r="AT63" i="17"/>
  <c r="AT62" i="17"/>
  <c r="AT61" i="17"/>
  <c r="AT60" i="17"/>
  <c r="AT59" i="17"/>
  <c r="AT58" i="17"/>
  <c r="AT57" i="17"/>
  <c r="AT56" i="17"/>
  <c r="AT55" i="17"/>
  <c r="AT54" i="17"/>
  <c r="AT53" i="17"/>
  <c r="AT52" i="17"/>
  <c r="AT51" i="17"/>
  <c r="AT50" i="17"/>
  <c r="AT46" i="17"/>
  <c r="AT45" i="17"/>
  <c r="AT44" i="17"/>
  <c r="AT43" i="17"/>
  <c r="AT42" i="17"/>
  <c r="AT41" i="17"/>
  <c r="AT40" i="17"/>
  <c r="AT39" i="17"/>
  <c r="AT38" i="17"/>
  <c r="AT37" i="17"/>
  <c r="AT36" i="17"/>
  <c r="AT35" i="17"/>
  <c r="AT34" i="17"/>
  <c r="AT33" i="17"/>
  <c r="AT32" i="17"/>
  <c r="AT31" i="17"/>
  <c r="AT30" i="17"/>
  <c r="AT29" i="17"/>
  <c r="AT28" i="17"/>
  <c r="AT27" i="17"/>
  <c r="AT5" i="17"/>
  <c r="AT6" i="17"/>
  <c r="AT7" i="17"/>
  <c r="AT8" i="17"/>
  <c r="AT9" i="17"/>
  <c r="AT10" i="17"/>
  <c r="AT11" i="17"/>
  <c r="AT12" i="17"/>
  <c r="AT13" i="17"/>
  <c r="AT14" i="17"/>
  <c r="AT15" i="17"/>
  <c r="AT16" i="17"/>
  <c r="AT17" i="17"/>
  <c r="AT18" i="17"/>
  <c r="AT19" i="17"/>
  <c r="AT20" i="17"/>
  <c r="AT21" i="17"/>
  <c r="AT22" i="17"/>
  <c r="AT23" i="17"/>
  <c r="AT4" i="17"/>
  <c r="AT47" i="17" l="1"/>
  <c r="AT24" i="17"/>
  <c r="AT70" i="17"/>
  <c r="AU54" i="17"/>
  <c r="AT47" i="36" l="1"/>
  <c r="AS44" i="36"/>
  <c r="AS41" i="36"/>
  <c r="AT40" i="36"/>
  <c r="AS39" i="36"/>
  <c r="AT38" i="36"/>
  <c r="AT37" i="36"/>
  <c r="AT36" i="36"/>
  <c r="AS35" i="36"/>
  <c r="AS33" i="36"/>
  <c r="AS47" i="36" s="1"/>
  <c r="AT33" i="36"/>
  <c r="AD46" i="33" l="1"/>
  <c r="AA91" i="9" l="1"/>
  <c r="Y125" i="20" l="1"/>
  <c r="W137" i="20" l="1" a="1"/>
  <c r="W137" i="20" s="1"/>
  <c r="R135" i="20" l="1"/>
  <c r="S135" i="20"/>
  <c r="T135" i="20"/>
  <c r="S123" i="20" l="1"/>
  <c r="T123" i="20"/>
  <c r="U123" i="20"/>
  <c r="V123" i="20"/>
  <c r="W123" i="20"/>
  <c r="T136" i="20" l="1"/>
  <c r="T456" i="9" l="1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R123" i="20" l="1"/>
  <c r="AR78" i="33" l="1"/>
  <c r="F8" i="12"/>
  <c r="D5" i="35" s="1"/>
  <c r="E5" i="35"/>
  <c r="F5" i="35"/>
  <c r="G5" i="35"/>
  <c r="H5" i="35"/>
  <c r="I5" i="35"/>
  <c r="J5" i="35"/>
  <c r="K5" i="35"/>
  <c r="L5" i="35"/>
  <c r="O8" i="12"/>
  <c r="M5" i="35" s="1"/>
  <c r="Q8" i="12"/>
  <c r="O5" i="35" s="1"/>
  <c r="R8" i="12"/>
  <c r="P5" i="35" s="1"/>
  <c r="S8" i="12"/>
  <c r="Q5" i="35" s="1"/>
  <c r="T8" i="12"/>
  <c r="R5" i="35" s="1"/>
  <c r="S5" i="35"/>
  <c r="V8" i="12"/>
  <c r="T5" i="35" s="1"/>
  <c r="W8" i="12"/>
  <c r="U5" i="35" s="1"/>
  <c r="X8" i="12"/>
  <c r="V5" i="35" s="1"/>
  <c r="Y8" i="12"/>
  <c r="W5" i="35" s="1"/>
  <c r="Z8" i="12"/>
  <c r="X5" i="35" s="1"/>
  <c r="AA8" i="12"/>
  <c r="Y5" i="35" s="1"/>
  <c r="AB8" i="12"/>
  <c r="Z5" i="35" s="1"/>
  <c r="AC8" i="12"/>
  <c r="AA5" i="35" s="1"/>
  <c r="AD8" i="12"/>
  <c r="AB5" i="35" s="1"/>
  <c r="AE8" i="12"/>
  <c r="AC5" i="35" s="1"/>
  <c r="AF8" i="12"/>
  <c r="AD5" i="35" s="1"/>
  <c r="AG8" i="12"/>
  <c r="AE5" i="35" s="1"/>
  <c r="AH8" i="12"/>
  <c r="AF5" i="35" s="1"/>
  <c r="AI8" i="12"/>
  <c r="AG5" i="35" s="1"/>
  <c r="AJ8" i="12"/>
  <c r="AH5" i="35" s="1"/>
  <c r="AK8" i="12"/>
  <c r="AI5" i="35" s="1"/>
  <c r="AL8" i="12"/>
  <c r="AJ5" i="35" s="1"/>
  <c r="AM8" i="12"/>
  <c r="AK5" i="35" s="1"/>
  <c r="AN8" i="12"/>
  <c r="AL5" i="35" s="1"/>
  <c r="AO8" i="12"/>
  <c r="AM5" i="35" s="1"/>
  <c r="AP8" i="12"/>
  <c r="AN5" i="35" s="1"/>
  <c r="AQ8" i="12"/>
  <c r="AO5" i="35" s="1"/>
  <c r="AR8" i="12"/>
  <c r="AP5" i="35" s="1"/>
  <c r="C5" i="35"/>
  <c r="N18" i="20"/>
  <c r="N22" i="20"/>
  <c r="N24" i="20"/>
  <c r="P8" i="12"/>
  <c r="N5" i="35" s="1"/>
  <c r="N21" i="20"/>
  <c r="N20" i="20"/>
  <c r="N19" i="20"/>
  <c r="L120" i="9" l="1"/>
  <c r="O71" i="12"/>
  <c r="O76" i="12" s="1"/>
  <c r="N71" i="12"/>
  <c r="N76" i="12" s="1"/>
  <c r="N78" i="12" s="1"/>
  <c r="N80" i="12" s="1"/>
  <c r="P71" i="12"/>
  <c r="P76" i="12" s="1"/>
  <c r="P78" i="12" s="1"/>
  <c r="P80" i="12" s="1"/>
  <c r="Q71" i="12"/>
  <c r="Q76" i="12" s="1"/>
  <c r="Q78" i="12" s="1"/>
  <c r="Q80" i="12" s="1"/>
  <c r="R71" i="12"/>
  <c r="R76" i="12" s="1"/>
  <c r="R78" i="12" s="1"/>
  <c r="R80" i="12" s="1"/>
  <c r="S71" i="12"/>
  <c r="S76" i="12" s="1"/>
  <c r="S78" i="12" s="1"/>
  <c r="T71" i="12"/>
  <c r="T76" i="12" s="1"/>
  <c r="T78" i="12" s="1"/>
  <c r="T80" i="12" s="1"/>
  <c r="T81" i="12" s="1"/>
  <c r="U71" i="12"/>
  <c r="U76" i="12" s="1"/>
  <c r="U78" i="12" s="1"/>
  <c r="U80" i="12" s="1"/>
  <c r="U81" i="12" s="1"/>
  <c r="V71" i="12"/>
  <c r="V76" i="12" s="1"/>
  <c r="V78" i="12" s="1"/>
  <c r="V80" i="12" s="1"/>
  <c r="V81" i="12" s="1"/>
  <c r="W71" i="12"/>
  <c r="W76" i="12" s="1"/>
  <c r="X71" i="12"/>
  <c r="X76" i="12" s="1"/>
  <c r="Y71" i="12"/>
  <c r="Y76" i="12" s="1"/>
  <c r="Y78" i="12" s="1"/>
  <c r="Y80" i="12" s="1"/>
  <c r="Y82" i="12" s="1"/>
  <c r="Z71" i="12"/>
  <c r="Z76" i="12" s="1"/>
  <c r="Z78" i="12" s="1"/>
  <c r="Z80" i="12" s="1"/>
  <c r="Z82" i="12" s="1"/>
  <c r="AA71" i="12"/>
  <c r="AA76" i="12" s="1"/>
  <c r="AB71" i="12"/>
  <c r="AB76" i="12" s="1"/>
  <c r="AB78" i="12" s="1"/>
  <c r="AB80" i="12" s="1"/>
  <c r="AB82" i="12" s="1"/>
  <c r="AC71" i="12"/>
  <c r="AC76" i="12" s="1"/>
  <c r="AC78" i="12" s="1"/>
  <c r="AC80" i="12" s="1"/>
  <c r="AC82" i="12" s="1"/>
  <c r="AD71" i="12"/>
  <c r="AD76" i="12" s="1"/>
  <c r="AD78" i="12" s="1"/>
  <c r="AD80" i="12" s="1"/>
  <c r="AD82" i="12" s="1"/>
  <c r="AE71" i="12"/>
  <c r="AE76" i="12" s="1"/>
  <c r="AF71" i="12"/>
  <c r="AF76" i="12" s="1"/>
  <c r="AF78" i="12" s="1"/>
  <c r="AF80" i="12" s="1"/>
  <c r="AF82" i="12" s="1"/>
  <c r="AG71" i="12"/>
  <c r="AG76" i="12" s="1"/>
  <c r="AG78" i="12" s="1"/>
  <c r="AG80" i="12" s="1"/>
  <c r="AG82" i="12" s="1"/>
  <c r="AH71" i="12"/>
  <c r="AH76" i="12" s="1"/>
  <c r="AH78" i="12" s="1"/>
  <c r="AH80" i="12" s="1"/>
  <c r="AH82" i="12" s="1"/>
  <c r="AI71" i="12"/>
  <c r="AI76" i="12" s="1"/>
  <c r="AI78" i="12" s="1"/>
  <c r="AI80" i="12" s="1"/>
  <c r="AI82" i="12" s="1"/>
  <c r="AJ71" i="12"/>
  <c r="AJ76" i="12" s="1"/>
  <c r="AJ78" i="12" s="1"/>
  <c r="AJ80" i="12" s="1"/>
  <c r="AJ82" i="12" s="1"/>
  <c r="AK71" i="12"/>
  <c r="AK76" i="12" s="1"/>
  <c r="AK78" i="12" s="1"/>
  <c r="AK80" i="12" s="1"/>
  <c r="AK82" i="12" s="1"/>
  <c r="AL71" i="12"/>
  <c r="AL76" i="12" s="1"/>
  <c r="AL78" i="12" s="1"/>
  <c r="M71" i="12"/>
  <c r="S80" i="12" l="1"/>
  <c r="S81" i="12" s="1"/>
  <c r="X78" i="12"/>
  <c r="X80" i="12" s="1"/>
  <c r="AA78" i="12"/>
  <c r="AA80" i="12" s="1"/>
  <c r="AA82" i="12" s="1"/>
  <c r="W78" i="12"/>
  <c r="AE78" i="12"/>
  <c r="AE80" i="12" s="1"/>
  <c r="AE82" i="12" s="1"/>
  <c r="O78" i="12"/>
  <c r="O80" i="12" s="1"/>
  <c r="M76" i="12"/>
  <c r="M78" i="12" s="1"/>
  <c r="M80" i="12" s="1"/>
  <c r="W80" i="12" l="1"/>
  <c r="W81" i="12" s="1"/>
  <c r="W82" i="12" s="1"/>
  <c r="W84" i="12" s="1"/>
  <c r="W47" i="12" s="1"/>
  <c r="R86" i="10"/>
  <c r="Z86" i="10"/>
  <c r="D49" i="35"/>
  <c r="E49" i="35"/>
  <c r="F49" i="35"/>
  <c r="G49" i="35"/>
  <c r="H49" i="35"/>
  <c r="I49" i="35"/>
  <c r="J49" i="35"/>
  <c r="K49" i="35"/>
  <c r="L49" i="35"/>
  <c r="M49" i="35"/>
  <c r="N49" i="35"/>
  <c r="O49" i="35"/>
  <c r="P49" i="35"/>
  <c r="Q49" i="35"/>
  <c r="R49" i="35"/>
  <c r="S49" i="35"/>
  <c r="T49" i="35"/>
  <c r="U49" i="35"/>
  <c r="V49" i="35"/>
  <c r="W49" i="35"/>
  <c r="X49" i="35"/>
  <c r="Y49" i="35"/>
  <c r="C49" i="35"/>
  <c r="D48" i="35"/>
  <c r="E48" i="35"/>
  <c r="F48" i="35"/>
  <c r="G48" i="35"/>
  <c r="H48" i="35"/>
  <c r="I48" i="35"/>
  <c r="J48" i="35"/>
  <c r="K48" i="35"/>
  <c r="L48" i="35"/>
  <c r="M48" i="35"/>
  <c r="N48" i="35"/>
  <c r="O48" i="35"/>
  <c r="P48" i="35"/>
  <c r="Q48" i="35"/>
  <c r="R48" i="35"/>
  <c r="S48" i="35"/>
  <c r="T48" i="35"/>
  <c r="U48" i="35"/>
  <c r="V48" i="35"/>
  <c r="W48" i="35"/>
  <c r="X48" i="35"/>
  <c r="Y48" i="35"/>
  <c r="C48" i="35"/>
  <c r="G136" i="23"/>
  <c r="G73" i="33" s="1"/>
  <c r="AR84" i="33"/>
  <c r="J50" i="33"/>
  <c r="J53" i="33"/>
  <c r="J100" i="33" s="1"/>
  <c r="J7" i="34" s="1"/>
  <c r="AR107" i="16"/>
  <c r="G131" i="16"/>
  <c r="G15" i="10"/>
  <c r="G39" i="10" s="1"/>
  <c r="G63" i="10" s="1"/>
  <c r="J136" i="23"/>
  <c r="J73" i="33" s="1"/>
  <c r="H136" i="23"/>
  <c r="H73" i="33" s="1"/>
  <c r="I70" i="17"/>
  <c r="I87" i="33" s="1"/>
  <c r="I111" i="33" s="1"/>
  <c r="I18" i="34" s="1"/>
  <c r="J70" i="17"/>
  <c r="J87" i="33" s="1"/>
  <c r="G240" i="9"/>
  <c r="H240" i="9"/>
  <c r="H216" i="9"/>
  <c r="J240" i="9"/>
  <c r="J243" i="9" s="1"/>
  <c r="J216" i="9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AE111" i="14"/>
  <c r="AF111" i="14"/>
  <c r="AG111" i="14"/>
  <c r="AH111" i="14"/>
  <c r="AI111" i="14"/>
  <c r="AJ111" i="14"/>
  <c r="AK111" i="14"/>
  <c r="AL111" i="14"/>
  <c r="AM111" i="14"/>
  <c r="AN111" i="14"/>
  <c r="AO111" i="14"/>
  <c r="AP111" i="14"/>
  <c r="C111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AP97" i="14"/>
  <c r="C97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C80" i="14"/>
  <c r="D64" i="14"/>
  <c r="E64" i="14"/>
  <c r="F64" i="14"/>
  <c r="G64" i="14"/>
  <c r="H64" i="14"/>
  <c r="I64" i="14"/>
  <c r="J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C64" i="14"/>
  <c r="AQ58" i="14"/>
  <c r="Q109" i="36"/>
  <c r="R109" i="36"/>
  <c r="R41" i="14" s="1"/>
  <c r="S109" i="36"/>
  <c r="S41" i="14" s="1"/>
  <c r="W109" i="36"/>
  <c r="Z109" i="36"/>
  <c r="Z41" i="14" s="1"/>
  <c r="AE109" i="36"/>
  <c r="AG109" i="36"/>
  <c r="AH109" i="36"/>
  <c r="AI109" i="36"/>
  <c r="AK109" i="36"/>
  <c r="AO109" i="36"/>
  <c r="AP109" i="36"/>
  <c r="AP41" i="14" s="1"/>
  <c r="AP46" i="14" s="1"/>
  <c r="C41" i="14"/>
  <c r="C46" i="14" s="1"/>
  <c r="AP96" i="36"/>
  <c r="AP35" i="14" s="1"/>
  <c r="C35" i="14"/>
  <c r="AD70" i="36"/>
  <c r="AE70" i="36"/>
  <c r="AF70" i="36"/>
  <c r="AG70" i="36"/>
  <c r="AH70" i="36"/>
  <c r="AI70" i="36"/>
  <c r="AJ70" i="36"/>
  <c r="AK70" i="36"/>
  <c r="AL70" i="36"/>
  <c r="AM70" i="36"/>
  <c r="AN70" i="36"/>
  <c r="AO70" i="36"/>
  <c r="AP70" i="36"/>
  <c r="AC47" i="36"/>
  <c r="AC20" i="14" s="1"/>
  <c r="AD47" i="36"/>
  <c r="AD20" i="14" s="1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D24" i="36"/>
  <c r="D11" i="14" s="1"/>
  <c r="E24" i="36"/>
  <c r="E11" i="14" s="1"/>
  <c r="F24" i="36"/>
  <c r="F11" i="14" s="1"/>
  <c r="G24" i="36"/>
  <c r="G11" i="14" s="1"/>
  <c r="H24" i="36"/>
  <c r="H11" i="14" s="1"/>
  <c r="AP11" i="14"/>
  <c r="AP16" i="14" s="1"/>
  <c r="L98" i="16"/>
  <c r="N98" i="16"/>
  <c r="P98" i="16"/>
  <c r="R98" i="16"/>
  <c r="L104" i="16"/>
  <c r="M104" i="16"/>
  <c r="AO104" i="16"/>
  <c r="AP104" i="16"/>
  <c r="L113" i="16"/>
  <c r="AR14" i="20"/>
  <c r="AK46" i="33"/>
  <c r="AS32" i="12"/>
  <c r="AS30" i="12"/>
  <c r="AS29" i="12"/>
  <c r="AG101" i="20"/>
  <c r="AG102" i="20" s="1"/>
  <c r="AF216" i="9"/>
  <c r="AF219" i="9" s="1"/>
  <c r="AR131" i="9"/>
  <c r="AS24" i="12"/>
  <c r="AS25" i="12"/>
  <c r="AS26" i="12"/>
  <c r="AT222" i="9"/>
  <c r="AT223" i="9"/>
  <c r="AT224" i="9"/>
  <c r="AT225" i="9"/>
  <c r="AT226" i="9"/>
  <c r="AT227" i="9"/>
  <c r="AT228" i="9"/>
  <c r="AT229" i="9"/>
  <c r="AT230" i="9"/>
  <c r="AT231" i="9"/>
  <c r="AT232" i="9"/>
  <c r="AT233" i="9"/>
  <c r="AT234" i="9"/>
  <c r="AT235" i="9"/>
  <c r="AT236" i="9"/>
  <c r="AT237" i="9"/>
  <c r="AT238" i="9"/>
  <c r="AT239" i="9"/>
  <c r="AT221" i="9"/>
  <c r="AT198" i="9"/>
  <c r="AT199" i="9"/>
  <c r="AT200" i="9"/>
  <c r="AT201" i="9"/>
  <c r="AT202" i="9"/>
  <c r="AT203" i="9"/>
  <c r="AT204" i="9"/>
  <c r="AT205" i="9"/>
  <c r="AT206" i="9"/>
  <c r="AT207" i="9"/>
  <c r="AT208" i="9"/>
  <c r="AT209" i="9"/>
  <c r="AT210" i="9"/>
  <c r="AT211" i="9"/>
  <c r="AT212" i="9"/>
  <c r="AT213" i="9"/>
  <c r="AT214" i="9"/>
  <c r="AT215" i="9"/>
  <c r="AT197" i="9"/>
  <c r="AT174" i="9"/>
  <c r="AT175" i="9"/>
  <c r="AT176" i="9"/>
  <c r="AT177" i="9"/>
  <c r="AT178" i="9"/>
  <c r="AT179" i="9"/>
  <c r="AT180" i="9"/>
  <c r="AT181" i="9"/>
  <c r="AT182" i="9"/>
  <c r="AT183" i="9"/>
  <c r="AT184" i="9"/>
  <c r="AT185" i="9"/>
  <c r="AT186" i="9"/>
  <c r="AT187" i="9"/>
  <c r="AT188" i="9"/>
  <c r="AT189" i="9"/>
  <c r="AT190" i="9"/>
  <c r="AT191" i="9"/>
  <c r="AT173" i="9"/>
  <c r="AT150" i="9"/>
  <c r="AT151" i="9"/>
  <c r="AT152" i="9"/>
  <c r="AT153" i="9"/>
  <c r="AT154" i="9"/>
  <c r="AT155" i="9"/>
  <c r="AT156" i="9"/>
  <c r="AT157" i="9"/>
  <c r="AT158" i="9"/>
  <c r="AT159" i="9"/>
  <c r="AT160" i="9"/>
  <c r="AT161" i="9"/>
  <c r="AT162" i="9"/>
  <c r="AT163" i="9"/>
  <c r="AT164" i="9"/>
  <c r="AT165" i="9"/>
  <c r="AT166" i="9"/>
  <c r="AT167" i="9"/>
  <c r="AT149" i="9"/>
  <c r="AT126" i="9"/>
  <c r="AT127" i="9"/>
  <c r="AT128" i="9"/>
  <c r="AT129" i="9"/>
  <c r="AT130" i="9"/>
  <c r="AT131" i="9"/>
  <c r="AT132" i="9"/>
  <c r="AT133" i="9"/>
  <c r="AT134" i="9"/>
  <c r="AT135" i="9"/>
  <c r="AT136" i="9"/>
  <c r="AT137" i="9"/>
  <c r="AT138" i="9"/>
  <c r="AT139" i="9"/>
  <c r="AT140" i="9"/>
  <c r="AT141" i="9"/>
  <c r="AT142" i="9"/>
  <c r="AT143" i="9"/>
  <c r="AT125" i="9"/>
  <c r="AT103" i="9"/>
  <c r="AT107" i="9"/>
  <c r="AT109" i="9"/>
  <c r="AT111" i="9"/>
  <c r="AT115" i="9"/>
  <c r="AT117" i="9"/>
  <c r="AT119" i="9"/>
  <c r="AT102" i="9"/>
  <c r="AT104" i="9"/>
  <c r="AT105" i="9"/>
  <c r="AT106" i="9"/>
  <c r="AT108" i="9"/>
  <c r="AT110" i="9"/>
  <c r="AT112" i="9"/>
  <c r="AT113" i="9"/>
  <c r="AT114" i="9"/>
  <c r="AT116" i="9"/>
  <c r="AT118" i="9"/>
  <c r="AT101" i="9"/>
  <c r="AT51" i="9"/>
  <c r="AT52" i="9"/>
  <c r="AT53" i="9"/>
  <c r="AT54" i="9"/>
  <c r="AT55" i="9"/>
  <c r="AT56" i="9"/>
  <c r="AT57" i="9"/>
  <c r="AT58" i="9"/>
  <c r="AT59" i="9"/>
  <c r="AT60" i="9"/>
  <c r="AT61" i="9"/>
  <c r="AT62" i="9"/>
  <c r="AT63" i="9"/>
  <c r="AT64" i="9"/>
  <c r="AT65" i="9"/>
  <c r="AT66" i="9"/>
  <c r="AT67" i="9"/>
  <c r="AT68" i="9"/>
  <c r="AT50" i="9"/>
  <c r="AT38" i="9"/>
  <c r="AT33" i="9"/>
  <c r="AT31" i="9"/>
  <c r="AT30" i="9"/>
  <c r="AT28" i="9"/>
  <c r="AT29" i="9"/>
  <c r="AT32" i="9"/>
  <c r="AT34" i="9"/>
  <c r="AT35" i="9"/>
  <c r="AT36" i="9"/>
  <c r="AT37" i="9"/>
  <c r="AT39" i="9"/>
  <c r="AT40" i="9"/>
  <c r="AT41" i="9"/>
  <c r="AT42" i="9"/>
  <c r="AT43" i="9"/>
  <c r="AT44" i="9"/>
  <c r="AT45" i="9"/>
  <c r="AT27" i="9"/>
  <c r="AT5" i="9"/>
  <c r="AT6" i="9"/>
  <c r="AT7" i="9"/>
  <c r="AT8" i="9"/>
  <c r="AT9" i="9"/>
  <c r="AT10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4" i="9"/>
  <c r="R69" i="9"/>
  <c r="R161" i="21"/>
  <c r="O69" i="21"/>
  <c r="I81" i="33"/>
  <c r="J81" i="33"/>
  <c r="K81" i="33"/>
  <c r="E403" i="21"/>
  <c r="D403" i="21"/>
  <c r="F104" i="16"/>
  <c r="J104" i="16"/>
  <c r="K104" i="16"/>
  <c r="AQ193" i="26"/>
  <c r="AQ81" i="33" s="1"/>
  <c r="AP193" i="26"/>
  <c r="AP81" i="33" s="1"/>
  <c r="AO193" i="26"/>
  <c r="AO81" i="33" s="1"/>
  <c r="AN193" i="26"/>
  <c r="AN81" i="33" s="1"/>
  <c r="AM193" i="26"/>
  <c r="AM81" i="33" s="1"/>
  <c r="AL193" i="26"/>
  <c r="AL81" i="33"/>
  <c r="AK193" i="26"/>
  <c r="AK81" i="33" s="1"/>
  <c r="AJ193" i="26"/>
  <c r="AJ81" i="33" s="1"/>
  <c r="AI193" i="26"/>
  <c r="AI81" i="33" s="1"/>
  <c r="AH193" i="26"/>
  <c r="AH81" i="33" s="1"/>
  <c r="AG193" i="26"/>
  <c r="AG81" i="33" s="1"/>
  <c r="AF193" i="26"/>
  <c r="AF81" i="33" s="1"/>
  <c r="AE193" i="26"/>
  <c r="AE81" i="33" s="1"/>
  <c r="AD193" i="26"/>
  <c r="AD81" i="33" s="1"/>
  <c r="AC193" i="26"/>
  <c r="AC81" i="33" s="1"/>
  <c r="AB193" i="26"/>
  <c r="AB81" i="33" s="1"/>
  <c r="AA193" i="26"/>
  <c r="AA81" i="33" s="1"/>
  <c r="Z193" i="26"/>
  <c r="Z81" i="33" s="1"/>
  <c r="Y193" i="26"/>
  <c r="Y81" i="33" s="1"/>
  <c r="X193" i="26"/>
  <c r="X81" i="33" s="1"/>
  <c r="W193" i="26"/>
  <c r="W81" i="33" s="1"/>
  <c r="V193" i="26"/>
  <c r="V81" i="33" s="1"/>
  <c r="U193" i="26"/>
  <c r="U81" i="33" s="1"/>
  <c r="T193" i="26"/>
  <c r="T81" i="33" s="1"/>
  <c r="S193" i="26"/>
  <c r="S81" i="33" s="1"/>
  <c r="R193" i="26"/>
  <c r="R81" i="33" s="1"/>
  <c r="Q193" i="26"/>
  <c r="Q81" i="33" s="1"/>
  <c r="P193" i="26"/>
  <c r="P81" i="33" s="1"/>
  <c r="O193" i="26"/>
  <c r="O81" i="33"/>
  <c r="N193" i="26"/>
  <c r="N81" i="33" s="1"/>
  <c r="M193" i="26"/>
  <c r="M81" i="33"/>
  <c r="L193" i="26"/>
  <c r="L81" i="33"/>
  <c r="K193" i="26"/>
  <c r="J193" i="26"/>
  <c r="I193" i="26"/>
  <c r="H193" i="26"/>
  <c r="H81" i="33"/>
  <c r="G193" i="26"/>
  <c r="G81" i="33"/>
  <c r="F193" i="26"/>
  <c r="F81" i="33"/>
  <c r="E193" i="26"/>
  <c r="E81" i="33"/>
  <c r="D193" i="26"/>
  <c r="D81" i="33"/>
  <c r="AR192" i="26"/>
  <c r="AR191" i="26"/>
  <c r="AR190" i="26"/>
  <c r="AR189" i="26"/>
  <c r="AR188" i="26"/>
  <c r="AR187" i="26"/>
  <c r="AR186" i="26"/>
  <c r="AR185" i="26"/>
  <c r="AR184" i="26"/>
  <c r="AR183" i="26"/>
  <c r="AR182" i="26"/>
  <c r="AR181" i="26"/>
  <c r="AR180" i="26"/>
  <c r="AR179" i="26"/>
  <c r="AR178" i="26"/>
  <c r="AR177" i="26"/>
  <c r="AR176" i="26"/>
  <c r="AR175" i="26"/>
  <c r="AR174" i="26"/>
  <c r="AR173" i="26"/>
  <c r="AR172" i="26"/>
  <c r="AR171" i="26"/>
  <c r="AR170" i="26"/>
  <c r="AR169" i="26"/>
  <c r="AR168" i="26"/>
  <c r="AR167" i="26"/>
  <c r="AR166" i="26"/>
  <c r="AR165" i="26"/>
  <c r="AR164" i="26"/>
  <c r="AR163" i="26"/>
  <c r="AR162" i="26"/>
  <c r="AR161" i="26"/>
  <c r="AR160" i="26"/>
  <c r="AR159" i="26"/>
  <c r="AR158" i="26"/>
  <c r="AR157" i="26"/>
  <c r="AR156" i="26"/>
  <c r="AR155" i="26"/>
  <c r="AR154" i="26"/>
  <c r="AR153" i="26"/>
  <c r="AR152" i="26"/>
  <c r="AR151" i="26"/>
  <c r="AR150" i="26"/>
  <c r="AR149" i="26"/>
  <c r="AR148" i="26"/>
  <c r="AR147" i="26"/>
  <c r="AR146" i="26"/>
  <c r="AR145" i="26"/>
  <c r="AR144" i="26"/>
  <c r="AR143" i="26"/>
  <c r="AR142" i="26"/>
  <c r="AR141" i="26"/>
  <c r="AR140" i="26"/>
  <c r="AR139" i="26"/>
  <c r="AR138" i="26"/>
  <c r="AR137" i="26"/>
  <c r="AR136" i="26"/>
  <c r="AR135" i="26"/>
  <c r="AR134" i="26"/>
  <c r="AR133" i="26"/>
  <c r="AR132" i="26"/>
  <c r="AQ129" i="26"/>
  <c r="AQ403" i="21" s="1"/>
  <c r="AP129" i="26"/>
  <c r="AP403" i="21" s="1"/>
  <c r="AO129" i="26"/>
  <c r="AO403" i="21" s="1"/>
  <c r="AN129" i="26"/>
  <c r="AN403" i="21" s="1"/>
  <c r="AM129" i="26"/>
  <c r="AM403" i="21"/>
  <c r="AL129" i="26"/>
  <c r="AL403" i="21" s="1"/>
  <c r="AK129" i="26"/>
  <c r="AK403" i="21" s="1"/>
  <c r="AJ129" i="26"/>
  <c r="AJ403" i="21" s="1"/>
  <c r="AI129" i="26"/>
  <c r="AI403" i="21" s="1"/>
  <c r="AH129" i="26"/>
  <c r="AH403" i="21" s="1"/>
  <c r="AG129" i="26"/>
  <c r="AG403" i="21"/>
  <c r="AF129" i="26"/>
  <c r="AF403" i="21" s="1"/>
  <c r="AE129" i="26"/>
  <c r="AE403" i="21" s="1"/>
  <c r="AD129" i="26"/>
  <c r="AD403" i="21" s="1"/>
  <c r="AC129" i="26"/>
  <c r="AC402" i="21" s="1"/>
  <c r="AB129" i="26"/>
  <c r="AB403" i="21" s="1"/>
  <c r="AA129" i="26"/>
  <c r="AA403" i="21" s="1"/>
  <c r="Z129" i="26"/>
  <c r="Z403" i="21" s="1"/>
  <c r="Y129" i="26"/>
  <c r="Y403" i="21" s="1"/>
  <c r="X129" i="26"/>
  <c r="X403" i="21" s="1"/>
  <c r="W129" i="26"/>
  <c r="W403" i="21" s="1"/>
  <c r="V129" i="26"/>
  <c r="V403" i="21" s="1"/>
  <c r="U129" i="26"/>
  <c r="U403" i="21" s="1"/>
  <c r="T129" i="26"/>
  <c r="T403" i="21" s="1"/>
  <c r="S129" i="26"/>
  <c r="S403" i="21" s="1"/>
  <c r="R129" i="26"/>
  <c r="R403" i="21" s="1"/>
  <c r="Q129" i="26"/>
  <c r="Q403" i="21" s="1"/>
  <c r="P129" i="26"/>
  <c r="P403" i="21" s="1"/>
  <c r="O129" i="26"/>
  <c r="O403" i="21" s="1"/>
  <c r="N129" i="26"/>
  <c r="N403" i="21"/>
  <c r="M129" i="26"/>
  <c r="M403" i="21" s="1"/>
  <c r="L129" i="26"/>
  <c r="L403" i="21"/>
  <c r="K129" i="26"/>
  <c r="K403" i="21" s="1"/>
  <c r="J129" i="26"/>
  <c r="J403" i="21" s="1"/>
  <c r="I129" i="26"/>
  <c r="I403" i="21"/>
  <c r="H129" i="26"/>
  <c r="H403" i="21"/>
  <c r="G129" i="26"/>
  <c r="G403" i="21" s="1"/>
  <c r="F129" i="26"/>
  <c r="F403" i="21" s="1"/>
  <c r="E129" i="26"/>
  <c r="D129" i="26"/>
  <c r="AR128" i="26"/>
  <c r="AR127" i="26"/>
  <c r="AR126" i="26"/>
  <c r="AR125" i="26"/>
  <c r="AR124" i="26"/>
  <c r="AR123" i="26"/>
  <c r="AR122" i="26"/>
  <c r="AR121" i="26"/>
  <c r="AR120" i="26"/>
  <c r="AR119" i="26"/>
  <c r="AR118" i="26"/>
  <c r="AR117" i="26"/>
  <c r="AR116" i="26"/>
  <c r="AR115" i="26"/>
  <c r="AR114" i="26"/>
  <c r="AR113" i="26"/>
  <c r="AR112" i="26"/>
  <c r="AR111" i="26"/>
  <c r="AR110" i="26"/>
  <c r="AR109" i="26"/>
  <c r="AR108" i="26"/>
  <c r="AR107" i="26"/>
  <c r="AR106" i="26"/>
  <c r="AR105" i="26"/>
  <c r="AR104" i="26"/>
  <c r="AR103" i="26"/>
  <c r="AR102" i="26"/>
  <c r="AR101" i="26"/>
  <c r="AR100" i="26"/>
  <c r="AR99" i="26"/>
  <c r="AR98" i="26"/>
  <c r="AR97" i="26"/>
  <c r="AR96" i="26"/>
  <c r="AR95" i="26"/>
  <c r="AR94" i="26"/>
  <c r="AR93" i="26"/>
  <c r="AR92" i="26"/>
  <c r="AR91" i="26"/>
  <c r="AR90" i="26"/>
  <c r="AR89" i="26"/>
  <c r="AR88" i="26"/>
  <c r="AR87" i="26"/>
  <c r="AR86" i="26"/>
  <c r="AR85" i="26"/>
  <c r="AR84" i="26"/>
  <c r="AR83" i="26"/>
  <c r="AR82" i="26"/>
  <c r="AR81" i="26"/>
  <c r="AR80" i="26"/>
  <c r="AR79" i="26"/>
  <c r="AR78" i="26"/>
  <c r="AR77" i="26"/>
  <c r="AR76" i="26"/>
  <c r="AR75" i="26"/>
  <c r="AR74" i="26"/>
  <c r="AR73" i="26"/>
  <c r="AR72" i="26"/>
  <c r="AR71" i="26"/>
  <c r="AR70" i="26"/>
  <c r="AR69" i="26"/>
  <c r="AR68" i="26"/>
  <c r="AR64" i="26"/>
  <c r="AR5" i="26"/>
  <c r="AR6" i="26"/>
  <c r="AR7" i="26"/>
  <c r="AR8" i="26"/>
  <c r="AR9" i="26"/>
  <c r="AR10" i="26"/>
  <c r="AR11" i="26"/>
  <c r="AR12" i="26"/>
  <c r="AR13" i="26"/>
  <c r="AR14" i="26"/>
  <c r="AR15" i="26"/>
  <c r="AR16" i="26"/>
  <c r="AR17" i="26"/>
  <c r="AR18" i="26"/>
  <c r="AR19" i="26"/>
  <c r="AR20" i="26"/>
  <c r="AR21" i="26"/>
  <c r="AR22" i="26"/>
  <c r="AR23" i="26"/>
  <c r="AR24" i="26"/>
  <c r="AR25" i="26"/>
  <c r="AR26" i="26"/>
  <c r="AR27" i="26"/>
  <c r="AR28" i="26"/>
  <c r="AR29" i="26"/>
  <c r="AR30" i="26"/>
  <c r="AR31" i="26"/>
  <c r="AR32" i="26"/>
  <c r="AR33" i="26"/>
  <c r="AR34" i="26"/>
  <c r="AR35" i="26"/>
  <c r="AR36" i="26"/>
  <c r="AR37" i="26"/>
  <c r="AR38" i="26"/>
  <c r="AR39" i="26"/>
  <c r="AR40" i="26"/>
  <c r="AR41" i="26"/>
  <c r="AR42" i="26"/>
  <c r="AR43" i="26"/>
  <c r="AR44" i="26"/>
  <c r="AR45" i="26"/>
  <c r="AR46" i="26"/>
  <c r="AR47" i="26"/>
  <c r="AR48" i="26"/>
  <c r="AR49" i="26"/>
  <c r="AR50" i="26"/>
  <c r="AR51" i="26"/>
  <c r="AR52" i="26"/>
  <c r="AR53" i="26"/>
  <c r="AR54" i="26"/>
  <c r="AR55" i="26"/>
  <c r="AR56" i="26"/>
  <c r="AR57" i="26"/>
  <c r="AR58" i="26"/>
  <c r="AR59" i="26"/>
  <c r="AR60" i="26"/>
  <c r="AR61" i="26"/>
  <c r="AR62" i="26"/>
  <c r="AR63" i="26"/>
  <c r="AR4" i="26"/>
  <c r="AR65" i="26" s="1"/>
  <c r="E65" i="26"/>
  <c r="E104" i="16"/>
  <c r="F65" i="26"/>
  <c r="G65" i="26"/>
  <c r="G104" i="16"/>
  <c r="H65" i="26"/>
  <c r="H104" i="16"/>
  <c r="I65" i="26"/>
  <c r="I104" i="16"/>
  <c r="J65" i="26"/>
  <c r="K65" i="26"/>
  <c r="L65" i="26"/>
  <c r="M65" i="26"/>
  <c r="N65" i="26"/>
  <c r="N104" i="16" s="1"/>
  <c r="O65" i="26"/>
  <c r="O104" i="16" s="1"/>
  <c r="P65" i="26"/>
  <c r="P104" i="16" s="1"/>
  <c r="Q65" i="26"/>
  <c r="Q104" i="16" s="1"/>
  <c r="R65" i="26"/>
  <c r="R104" i="16" s="1"/>
  <c r="S65" i="26"/>
  <c r="S104" i="16" s="1"/>
  <c r="T65" i="26"/>
  <c r="T104" i="16" s="1"/>
  <c r="U65" i="26"/>
  <c r="U104" i="16" s="1"/>
  <c r="V65" i="26"/>
  <c r="V104" i="16" s="1"/>
  <c r="W65" i="26"/>
  <c r="W104" i="16" s="1"/>
  <c r="X65" i="26"/>
  <c r="X104" i="16"/>
  <c r="Y65" i="26"/>
  <c r="Y104" i="16" s="1"/>
  <c r="Z65" i="26"/>
  <c r="Z104" i="16" s="1"/>
  <c r="AA65" i="26"/>
  <c r="AA104" i="16" s="1"/>
  <c r="AB65" i="26"/>
  <c r="AB104" i="16" s="1"/>
  <c r="AC65" i="26"/>
  <c r="AC104" i="16" s="1"/>
  <c r="AD65" i="26"/>
  <c r="AD104" i="16" s="1"/>
  <c r="AE65" i="26"/>
  <c r="AE104" i="16" s="1"/>
  <c r="AF65" i="26"/>
  <c r="AF104" i="16" s="1"/>
  <c r="AG65" i="26"/>
  <c r="AG104" i="16" s="1"/>
  <c r="AH65" i="26"/>
  <c r="AH104" i="16" s="1"/>
  <c r="AI65" i="26"/>
  <c r="AI104" i="16" s="1"/>
  <c r="AJ65" i="26"/>
  <c r="AJ104" i="16" s="1"/>
  <c r="AK65" i="26"/>
  <c r="AK104" i="16" s="1"/>
  <c r="AL65" i="26"/>
  <c r="AL104" i="16" s="1"/>
  <c r="AM65" i="26"/>
  <c r="AM104" i="16" s="1"/>
  <c r="AN65" i="26"/>
  <c r="AN104" i="16" s="1"/>
  <c r="AO65" i="26"/>
  <c r="AP65" i="26"/>
  <c r="AQ65" i="26"/>
  <c r="AQ104" i="16" s="1"/>
  <c r="D65" i="26"/>
  <c r="D104" i="16"/>
  <c r="N82" i="12"/>
  <c r="N84" i="12" s="1"/>
  <c r="N47" i="12" s="1"/>
  <c r="M74" i="11" s="1"/>
  <c r="O82" i="12"/>
  <c r="O83" i="12" s="1"/>
  <c r="O46" i="12" s="1"/>
  <c r="P82" i="12"/>
  <c r="P83" i="12" s="1"/>
  <c r="P46" i="12" s="1"/>
  <c r="O79" i="10" s="1"/>
  <c r="Q82" i="12"/>
  <c r="Q83" i="12" s="1"/>
  <c r="Q46" i="12" s="1"/>
  <c r="P79" i="10" s="1"/>
  <c r="R82" i="12"/>
  <c r="R84" i="12" s="1"/>
  <c r="R47" i="12" s="1"/>
  <c r="S82" i="12"/>
  <c r="S84" i="12" s="1"/>
  <c r="S47" i="12" s="1"/>
  <c r="T82" i="12"/>
  <c r="T84" i="12" s="1"/>
  <c r="T47" i="12" s="1"/>
  <c r="U82" i="12"/>
  <c r="V82" i="12"/>
  <c r="V84" i="12" s="1"/>
  <c r="V47" i="12" s="1"/>
  <c r="X82" i="12"/>
  <c r="X84" i="12" s="1"/>
  <c r="X47" i="12" s="1"/>
  <c r="W74" i="11" s="1"/>
  <c r="Y83" i="12"/>
  <c r="Y46" i="12" s="1"/>
  <c r="AL82" i="12"/>
  <c r="M82" i="12"/>
  <c r="M84" i="12" s="1"/>
  <c r="M47" i="12" s="1"/>
  <c r="Z83" i="12"/>
  <c r="Z46" i="12" s="1"/>
  <c r="AA83" i="12"/>
  <c r="AA46" i="12" s="1"/>
  <c r="AB84" i="12"/>
  <c r="AB47" i="12" s="1"/>
  <c r="AC84" i="12"/>
  <c r="AC47" i="12" s="1"/>
  <c r="AD84" i="12"/>
  <c r="AD47" i="12" s="1"/>
  <c r="AC74" i="11" s="1"/>
  <c r="AE83" i="12"/>
  <c r="AE46" i="12" s="1"/>
  <c r="AF83" i="12"/>
  <c r="AF46" i="12" s="1"/>
  <c r="AG83" i="12"/>
  <c r="AG46" i="12" s="1"/>
  <c r="AH83" i="12"/>
  <c r="AH46" i="12" s="1"/>
  <c r="AI83" i="12"/>
  <c r="AI46" i="12" s="1"/>
  <c r="AJ84" i="12"/>
  <c r="AJ47" i="12" s="1"/>
  <c r="AK84" i="12"/>
  <c r="AK47" i="12" s="1"/>
  <c r="AL84" i="12"/>
  <c r="AL47" i="12" s="1"/>
  <c r="U84" i="12"/>
  <c r="U47" i="12" s="1"/>
  <c r="O84" i="12"/>
  <c r="O47" i="12" s="1"/>
  <c r="N74" i="11" s="1"/>
  <c r="AA84" i="12"/>
  <c r="AA47" i="12" s="1"/>
  <c r="Z84" i="12"/>
  <c r="Z47" i="12" s="1"/>
  <c r="Y74" i="11" s="1"/>
  <c r="AI84" i="12"/>
  <c r="AI47" i="12" s="1"/>
  <c r="AH74" i="11" s="1"/>
  <c r="AH84" i="12"/>
  <c r="AH47" i="12" s="1"/>
  <c r="AG74" i="11" s="1"/>
  <c r="W83" i="12"/>
  <c r="W46" i="12" s="1"/>
  <c r="V79" i="10" s="1"/>
  <c r="AG84" i="12"/>
  <c r="AG47" i="12" s="1"/>
  <c r="AF74" i="11" s="1"/>
  <c r="Y84" i="12"/>
  <c r="Y47" i="12" s="1"/>
  <c r="AL83" i="12"/>
  <c r="AL46" i="12" s="1"/>
  <c r="AK79" i="10" s="1"/>
  <c r="AD83" i="12"/>
  <c r="AD46" i="12" s="1"/>
  <c r="N83" i="12"/>
  <c r="N46" i="12" s="1"/>
  <c r="M79" i="10" s="1"/>
  <c r="AF84" i="12"/>
  <c r="AF47" i="12" s="1"/>
  <c r="AE74" i="11" s="1"/>
  <c r="P84" i="12"/>
  <c r="P47" i="12" s="1"/>
  <c r="AC83" i="12"/>
  <c r="AC46" i="12" s="1"/>
  <c r="U83" i="12"/>
  <c r="U46" i="12" s="1"/>
  <c r="AJ83" i="12"/>
  <c r="AJ46" i="12" s="1"/>
  <c r="AI79" i="10" s="1"/>
  <c r="AB83" i="12"/>
  <c r="AB46" i="12" s="1"/>
  <c r="T83" i="12"/>
  <c r="T46" i="12" s="1"/>
  <c r="AK83" i="12"/>
  <c r="AK46" i="12" s="1"/>
  <c r="AJ79" i="10" s="1"/>
  <c r="AE84" i="12"/>
  <c r="AE47" i="12" s="1"/>
  <c r="AD74" i="11" s="1"/>
  <c r="H102" i="10"/>
  <c r="K77" i="34" s="1"/>
  <c r="H101" i="10"/>
  <c r="AC77" i="11" s="1"/>
  <c r="H100" i="10"/>
  <c r="P86" i="10" s="1"/>
  <c r="D100" i="10"/>
  <c r="R77" i="11"/>
  <c r="AA77" i="34"/>
  <c r="O77" i="34"/>
  <c r="Y77" i="11"/>
  <c r="T77" i="11"/>
  <c r="L77" i="34"/>
  <c r="S77" i="34"/>
  <c r="Q77" i="34"/>
  <c r="AC77" i="3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C112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AP98" i="14"/>
  <c r="C98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C81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C65" i="14"/>
  <c r="AQ111" i="36"/>
  <c r="AQ98" i="36"/>
  <c r="AQ49" i="36"/>
  <c r="AQ26" i="36"/>
  <c r="C56" i="36"/>
  <c r="C67" i="36"/>
  <c r="C64" i="36"/>
  <c r="C63" i="36"/>
  <c r="C62" i="36"/>
  <c r="C61" i="36"/>
  <c r="C60" i="36"/>
  <c r="C59" i="36"/>
  <c r="C58" i="36"/>
  <c r="C57" i="36"/>
  <c r="AR88" i="36"/>
  <c r="AR85" i="36"/>
  <c r="AR83" i="36"/>
  <c r="AR82" i="36"/>
  <c r="AR80" i="36"/>
  <c r="X85" i="36"/>
  <c r="V85" i="36"/>
  <c r="V88" i="36"/>
  <c r="T88" i="36"/>
  <c r="T80" i="36"/>
  <c r="R80" i="36"/>
  <c r="U83" i="36"/>
  <c r="S83" i="36"/>
  <c r="Q83" i="36"/>
  <c r="T82" i="36"/>
  <c r="R82" i="36"/>
  <c r="U81" i="36"/>
  <c r="S81" i="36"/>
  <c r="Q81" i="36"/>
  <c r="O81" i="36"/>
  <c r="AR81" i="36"/>
  <c r="AQ86" i="36"/>
  <c r="AQ87" i="36"/>
  <c r="AQ89" i="36"/>
  <c r="AQ90" i="36"/>
  <c r="AR79" i="36"/>
  <c r="M79" i="36"/>
  <c r="N79" i="36"/>
  <c r="O79" i="36"/>
  <c r="P79" i="36"/>
  <c r="Q79" i="36"/>
  <c r="R79" i="36"/>
  <c r="S79" i="36"/>
  <c r="T79" i="36"/>
  <c r="U79" i="36"/>
  <c r="L79" i="36"/>
  <c r="AR84" i="36"/>
  <c r="U84" i="36"/>
  <c r="V84" i="36"/>
  <c r="W84" i="36"/>
  <c r="L84" i="36"/>
  <c r="M84" i="36"/>
  <c r="N84" i="36"/>
  <c r="O84" i="36"/>
  <c r="P84" i="36"/>
  <c r="Q84" i="36"/>
  <c r="R84" i="36"/>
  <c r="S84" i="36"/>
  <c r="T84" i="36"/>
  <c r="K84" i="36"/>
  <c r="D5" i="14"/>
  <c r="E5" i="14"/>
  <c r="F5" i="14"/>
  <c r="G5" i="14"/>
  <c r="H5" i="14"/>
  <c r="C5" i="14"/>
  <c r="AP5" i="14"/>
  <c r="O19" i="35"/>
  <c r="P19" i="35"/>
  <c r="Q19" i="35"/>
  <c r="R19" i="35"/>
  <c r="S19" i="35"/>
  <c r="L18" i="35"/>
  <c r="M18" i="35"/>
  <c r="N18" i="35"/>
  <c r="O18" i="35"/>
  <c r="O24" i="35" s="1"/>
  <c r="O57" i="35" s="1"/>
  <c r="P18" i="35"/>
  <c r="Q18" i="35"/>
  <c r="R18" i="35"/>
  <c r="R24" i="35" s="1"/>
  <c r="R57" i="35" s="1"/>
  <c r="S18" i="35"/>
  <c r="L16" i="35"/>
  <c r="L22" i="35" s="1"/>
  <c r="L55" i="35" s="1"/>
  <c r="M16" i="35"/>
  <c r="N16" i="35"/>
  <c r="N22" i="35" s="1"/>
  <c r="N55" i="35" s="1"/>
  <c r="O16" i="35"/>
  <c r="O22" i="35" s="1"/>
  <c r="O55" i="35" s="1"/>
  <c r="P16" i="35"/>
  <c r="P22" i="35" s="1"/>
  <c r="P55" i="35" s="1"/>
  <c r="Q16" i="35"/>
  <c r="Q22" i="35" s="1"/>
  <c r="Q55" i="35" s="1"/>
  <c r="R16" i="35"/>
  <c r="R22" i="35" s="1"/>
  <c r="R55" i="35" s="1"/>
  <c r="S16" i="35"/>
  <c r="S22" i="35" s="1"/>
  <c r="S55" i="35" s="1"/>
  <c r="K30" i="35"/>
  <c r="K37" i="35" s="1"/>
  <c r="K50" i="35" s="1"/>
  <c r="K33" i="35"/>
  <c r="M19" i="35"/>
  <c r="M24" i="35" s="1"/>
  <c r="M57" i="35" s="1"/>
  <c r="N19" i="35"/>
  <c r="L19" i="35"/>
  <c r="T16" i="35"/>
  <c r="AQ136" i="23"/>
  <c r="AQ73" i="33" s="1"/>
  <c r="AP136" i="23"/>
  <c r="AP73" i="33" s="1"/>
  <c r="AO136" i="23"/>
  <c r="AO73" i="33" s="1"/>
  <c r="AN136" i="23"/>
  <c r="AN73" i="33" s="1"/>
  <c r="AM136" i="23"/>
  <c r="AM73" i="33" s="1"/>
  <c r="AL136" i="23"/>
  <c r="AL73" i="33" s="1"/>
  <c r="AK136" i="23"/>
  <c r="AK73" i="33" s="1"/>
  <c r="AJ136" i="23"/>
  <c r="AJ73" i="33" s="1"/>
  <c r="AI136" i="23"/>
  <c r="AI73" i="33" s="1"/>
  <c r="AH136" i="23"/>
  <c r="AH73" i="33" s="1"/>
  <c r="AG136" i="23"/>
  <c r="AG73" i="33" s="1"/>
  <c r="AF136" i="23"/>
  <c r="AF73" i="33" s="1"/>
  <c r="AE136" i="23"/>
  <c r="AE73" i="33" s="1"/>
  <c r="AD136" i="23"/>
  <c r="AD73" i="33" s="1"/>
  <c r="AC136" i="23"/>
  <c r="AC73" i="33" s="1"/>
  <c r="AB136" i="23"/>
  <c r="AB73" i="33" s="1"/>
  <c r="AA136" i="23"/>
  <c r="AA73" i="33" s="1"/>
  <c r="Z136" i="23"/>
  <c r="Z73" i="33" s="1"/>
  <c r="Y136" i="23"/>
  <c r="Y73" i="33" s="1"/>
  <c r="X136" i="23"/>
  <c r="X73" i="33" s="1"/>
  <c r="W136" i="23"/>
  <c r="W73" i="33" s="1"/>
  <c r="V136" i="23"/>
  <c r="V73" i="33" s="1"/>
  <c r="U136" i="23"/>
  <c r="U73" i="33" s="1"/>
  <c r="T136" i="23"/>
  <c r="T73" i="33" s="1"/>
  <c r="S136" i="23"/>
  <c r="S73" i="33" s="1"/>
  <c r="R136" i="23"/>
  <c r="R73" i="33" s="1"/>
  <c r="Q136" i="23"/>
  <c r="Q73" i="33" s="1"/>
  <c r="P136" i="23"/>
  <c r="P73" i="33" s="1"/>
  <c r="O136" i="23"/>
  <c r="O73" i="33" s="1"/>
  <c r="N136" i="23"/>
  <c r="N73" i="33" s="1"/>
  <c r="M136" i="23"/>
  <c r="M73" i="33" s="1"/>
  <c r="L136" i="23"/>
  <c r="L73" i="33" s="1"/>
  <c r="K136" i="23"/>
  <c r="K73" i="33" s="1"/>
  <c r="I136" i="23"/>
  <c r="I73" i="33" s="1"/>
  <c r="F136" i="23"/>
  <c r="F73" i="33" s="1"/>
  <c r="E136" i="23"/>
  <c r="E73" i="33" s="1"/>
  <c r="D136" i="23"/>
  <c r="D73" i="33" s="1"/>
  <c r="AR135" i="23"/>
  <c r="AR134" i="23"/>
  <c r="AR133" i="23"/>
  <c r="AR132" i="23"/>
  <c r="AR131" i="23"/>
  <c r="AR129" i="23"/>
  <c r="AR128" i="23"/>
  <c r="AR127" i="23"/>
  <c r="AR126" i="23"/>
  <c r="AR125" i="23"/>
  <c r="AR124" i="23"/>
  <c r="AR123" i="23"/>
  <c r="AR122" i="23"/>
  <c r="AR121" i="23"/>
  <c r="AR120" i="23"/>
  <c r="AR119" i="23"/>
  <c r="AR117" i="23"/>
  <c r="AR116" i="23"/>
  <c r="AR115" i="23"/>
  <c r="AR114" i="23"/>
  <c r="AR113" i="23"/>
  <c r="AR112" i="23"/>
  <c r="AR111" i="23"/>
  <c r="AR110" i="23"/>
  <c r="AR109" i="23"/>
  <c r="AR108" i="23"/>
  <c r="AR107" i="23"/>
  <c r="AR106" i="23"/>
  <c r="AR105" i="23"/>
  <c r="AR104" i="23"/>
  <c r="AR103" i="23"/>
  <c r="AR102" i="23"/>
  <c r="AR101" i="23"/>
  <c r="AR100" i="23"/>
  <c r="AR99" i="23"/>
  <c r="AR98" i="23"/>
  <c r="AR97" i="23"/>
  <c r="AR95" i="23"/>
  <c r="AR94" i="23"/>
  <c r="AQ528" i="9"/>
  <c r="AQ530" i="9" s="1"/>
  <c r="AP528" i="9"/>
  <c r="AP530" i="9" s="1"/>
  <c r="AO528" i="9"/>
  <c r="AO530" i="9" s="1"/>
  <c r="AN528" i="9"/>
  <c r="AN530" i="9" s="1"/>
  <c r="AM528" i="9"/>
  <c r="AM530" i="9" s="1"/>
  <c r="AL528" i="9"/>
  <c r="AL530" i="9" s="1"/>
  <c r="AK528" i="9"/>
  <c r="AK530" i="9" s="1"/>
  <c r="AJ528" i="9"/>
  <c r="AJ530" i="9" s="1"/>
  <c r="AI528" i="9"/>
  <c r="AI530" i="9" s="1"/>
  <c r="AH528" i="9"/>
  <c r="AH530" i="9" s="1"/>
  <c r="AG528" i="9"/>
  <c r="AG530" i="9" s="1"/>
  <c r="AF528" i="9"/>
  <c r="AF530" i="9" s="1"/>
  <c r="AE528" i="9"/>
  <c r="AE530" i="9" s="1"/>
  <c r="AD528" i="9"/>
  <c r="AD530" i="9" s="1"/>
  <c r="AC528" i="9"/>
  <c r="AC530" i="9" s="1"/>
  <c r="AB528" i="9"/>
  <c r="AB530" i="9" s="1"/>
  <c r="AA528" i="9"/>
  <c r="AA530" i="9" s="1"/>
  <c r="Z528" i="9"/>
  <c r="Z530" i="9" s="1"/>
  <c r="Y528" i="9"/>
  <c r="Y530" i="9" s="1"/>
  <c r="X528" i="9"/>
  <c r="X530" i="9" s="1"/>
  <c r="W528" i="9"/>
  <c r="W530" i="9" s="1"/>
  <c r="V528" i="9"/>
  <c r="V530" i="9" s="1"/>
  <c r="U528" i="9"/>
  <c r="U530" i="9" s="1"/>
  <c r="T528" i="9"/>
  <c r="T530" i="9" s="1"/>
  <c r="S528" i="9"/>
  <c r="S530" i="9" s="1"/>
  <c r="R528" i="9"/>
  <c r="R530" i="9" s="1"/>
  <c r="Q528" i="9"/>
  <c r="Q530" i="9" s="1"/>
  <c r="P528" i="9"/>
  <c r="P530" i="9" s="1"/>
  <c r="O528" i="9"/>
  <c r="O530" i="9" s="1"/>
  <c r="N528" i="9"/>
  <c r="N530" i="9" s="1"/>
  <c r="M528" i="9"/>
  <c r="M530" i="9" s="1"/>
  <c r="L528" i="9"/>
  <c r="L530" i="9" s="1"/>
  <c r="K528" i="9"/>
  <c r="K530" i="9" s="1"/>
  <c r="J528" i="9"/>
  <c r="I528" i="9"/>
  <c r="I530" i="9" s="1"/>
  <c r="H528" i="9"/>
  <c r="H530" i="9" s="1"/>
  <c r="G528" i="9"/>
  <c r="G530" i="9" s="1"/>
  <c r="F528" i="9"/>
  <c r="F530" i="9" s="1"/>
  <c r="E528" i="9"/>
  <c r="E530" i="9" s="1"/>
  <c r="D528" i="9"/>
  <c r="D530" i="9" s="1"/>
  <c r="AQ504" i="9"/>
  <c r="AP504" i="9"/>
  <c r="AO504" i="9"/>
  <c r="AN504" i="9"/>
  <c r="AM504" i="9"/>
  <c r="AL504" i="9"/>
  <c r="AK504" i="9"/>
  <c r="AJ504" i="9"/>
  <c r="AI504" i="9"/>
  <c r="AH504" i="9"/>
  <c r="AG504" i="9"/>
  <c r="AF504" i="9"/>
  <c r="AE504" i="9"/>
  <c r="AD504" i="9"/>
  <c r="AC504" i="9"/>
  <c r="AB504" i="9"/>
  <c r="AA504" i="9"/>
  <c r="Z504" i="9"/>
  <c r="Y504" i="9"/>
  <c r="X504" i="9"/>
  <c r="W504" i="9"/>
  <c r="V504" i="9"/>
  <c r="U504" i="9"/>
  <c r="T504" i="9"/>
  <c r="S504" i="9"/>
  <c r="R504" i="9"/>
  <c r="Q504" i="9"/>
  <c r="P504" i="9"/>
  <c r="O504" i="9"/>
  <c r="N504" i="9"/>
  <c r="M504" i="9"/>
  <c r="L504" i="9"/>
  <c r="K504" i="9"/>
  <c r="J504" i="9"/>
  <c r="I504" i="9"/>
  <c r="H504" i="9"/>
  <c r="G504" i="9"/>
  <c r="F504" i="9"/>
  <c r="E504" i="9"/>
  <c r="D504" i="9"/>
  <c r="AQ480" i="9"/>
  <c r="AP480" i="9"/>
  <c r="AO480" i="9"/>
  <c r="AN480" i="9"/>
  <c r="AM480" i="9"/>
  <c r="AL480" i="9"/>
  <c r="AK480" i="9"/>
  <c r="AJ480" i="9"/>
  <c r="AI480" i="9"/>
  <c r="AH480" i="9"/>
  <c r="AG480" i="9"/>
  <c r="AF480" i="9"/>
  <c r="AE480" i="9"/>
  <c r="AD480" i="9"/>
  <c r="AC480" i="9"/>
  <c r="AB480" i="9"/>
  <c r="AA480" i="9"/>
  <c r="Z480" i="9"/>
  <c r="Y480" i="9"/>
  <c r="X480" i="9"/>
  <c r="X481" i="9" s="1"/>
  <c r="W480" i="9"/>
  <c r="W481" i="9" s="1"/>
  <c r="V480" i="9"/>
  <c r="U480" i="9"/>
  <c r="T480" i="9"/>
  <c r="S480" i="9"/>
  <c r="R480" i="9"/>
  <c r="Q480" i="9"/>
  <c r="P480" i="9"/>
  <c r="O480" i="9"/>
  <c r="N480" i="9"/>
  <c r="M480" i="9"/>
  <c r="L480" i="9"/>
  <c r="K480" i="9"/>
  <c r="J480" i="9"/>
  <c r="I480" i="9"/>
  <c r="H480" i="9"/>
  <c r="G480" i="9"/>
  <c r="F480" i="9"/>
  <c r="E480" i="9"/>
  <c r="D480" i="9"/>
  <c r="AA458" i="9"/>
  <c r="S456" i="9"/>
  <c r="R456" i="9"/>
  <c r="Q456" i="9"/>
  <c r="P456" i="9"/>
  <c r="O456" i="9"/>
  <c r="N456" i="9"/>
  <c r="M456" i="9"/>
  <c r="L456" i="9"/>
  <c r="K456" i="9"/>
  <c r="J456" i="9"/>
  <c r="I456" i="9"/>
  <c r="H456" i="9"/>
  <c r="G456" i="9"/>
  <c r="F456" i="9"/>
  <c r="E456" i="9"/>
  <c r="D456" i="9"/>
  <c r="AQ432" i="9"/>
  <c r="AP432" i="9"/>
  <c r="AO432" i="9"/>
  <c r="AN432" i="9"/>
  <c r="AM432" i="9"/>
  <c r="AL432" i="9"/>
  <c r="AK432" i="9"/>
  <c r="AJ432" i="9"/>
  <c r="AI432" i="9"/>
  <c r="AH432" i="9"/>
  <c r="AG432" i="9"/>
  <c r="AF432" i="9"/>
  <c r="AE432" i="9"/>
  <c r="AD432" i="9"/>
  <c r="AC432" i="9"/>
  <c r="AB432" i="9"/>
  <c r="AA432" i="9"/>
  <c r="Z432" i="9"/>
  <c r="Y432" i="9"/>
  <c r="X432" i="9"/>
  <c r="W432" i="9"/>
  <c r="V432" i="9"/>
  <c r="U432" i="9"/>
  <c r="T432" i="9"/>
  <c r="S432" i="9"/>
  <c r="R432" i="9"/>
  <c r="Q432" i="9"/>
  <c r="P432" i="9"/>
  <c r="O432" i="9"/>
  <c r="N432" i="9"/>
  <c r="M432" i="9"/>
  <c r="L432" i="9"/>
  <c r="K432" i="9"/>
  <c r="J432" i="9"/>
  <c r="I432" i="9"/>
  <c r="H432" i="9"/>
  <c r="G432" i="9"/>
  <c r="F432" i="9"/>
  <c r="E432" i="9"/>
  <c r="D432" i="9"/>
  <c r="AQ408" i="9"/>
  <c r="AP408" i="9"/>
  <c r="AO408" i="9"/>
  <c r="AN408" i="9"/>
  <c r="AM408" i="9"/>
  <c r="AL408" i="9"/>
  <c r="AK408" i="9"/>
  <c r="AJ408" i="9"/>
  <c r="AI408" i="9"/>
  <c r="AH408" i="9"/>
  <c r="AG408" i="9"/>
  <c r="AF408" i="9"/>
  <c r="AE408" i="9"/>
  <c r="AD408" i="9"/>
  <c r="AC408" i="9"/>
  <c r="AB408" i="9"/>
  <c r="AA408" i="9"/>
  <c r="Z408" i="9"/>
  <c r="Y408" i="9"/>
  <c r="X408" i="9"/>
  <c r="X410" i="9" s="1"/>
  <c r="W408" i="9"/>
  <c r="V408" i="9"/>
  <c r="U408" i="9"/>
  <c r="T408" i="9"/>
  <c r="S408" i="9"/>
  <c r="R408" i="9"/>
  <c r="Q408" i="9"/>
  <c r="P408" i="9"/>
  <c r="O408" i="9"/>
  <c r="N408" i="9"/>
  <c r="M408" i="9"/>
  <c r="L408" i="9"/>
  <c r="K408" i="9"/>
  <c r="J408" i="9"/>
  <c r="I408" i="9"/>
  <c r="H408" i="9"/>
  <c r="G408" i="9"/>
  <c r="F408" i="9"/>
  <c r="E408" i="9"/>
  <c r="D408" i="9"/>
  <c r="AQ384" i="9"/>
  <c r="AP384" i="9"/>
  <c r="AO384" i="9"/>
  <c r="AN384" i="9"/>
  <c r="AM384" i="9"/>
  <c r="AL384" i="9"/>
  <c r="AK384" i="9"/>
  <c r="AJ384" i="9"/>
  <c r="AI384" i="9"/>
  <c r="AH384" i="9"/>
  <c r="AG384" i="9"/>
  <c r="AF384" i="9"/>
  <c r="AE384" i="9"/>
  <c r="AD384" i="9"/>
  <c r="AC384" i="9"/>
  <c r="AB384" i="9"/>
  <c r="AA384" i="9"/>
  <c r="Z384" i="9"/>
  <c r="Y384" i="9"/>
  <c r="X384" i="9"/>
  <c r="X386" i="9" s="1"/>
  <c r="W384" i="9"/>
  <c r="V384" i="9"/>
  <c r="V386" i="9" s="1"/>
  <c r="U384" i="9"/>
  <c r="U386" i="9" s="1"/>
  <c r="T384" i="9"/>
  <c r="S384" i="9"/>
  <c r="R384" i="9"/>
  <c r="Q384" i="9"/>
  <c r="P384" i="9"/>
  <c r="O384" i="9"/>
  <c r="N384" i="9"/>
  <c r="M384" i="9"/>
  <c r="L384" i="9"/>
  <c r="K384" i="9"/>
  <c r="J384" i="9"/>
  <c r="I384" i="9"/>
  <c r="H384" i="9"/>
  <c r="G384" i="9"/>
  <c r="F384" i="9"/>
  <c r="E384" i="9"/>
  <c r="D384" i="9"/>
  <c r="AQ360" i="9"/>
  <c r="AP360" i="9"/>
  <c r="AO360" i="9"/>
  <c r="AN360" i="9"/>
  <c r="AM360" i="9"/>
  <c r="AL360" i="9"/>
  <c r="AK360" i="9"/>
  <c r="AJ360" i="9"/>
  <c r="AI360" i="9"/>
  <c r="AH360" i="9"/>
  <c r="AG360" i="9"/>
  <c r="AF360" i="9"/>
  <c r="AE360" i="9"/>
  <c r="AD360" i="9"/>
  <c r="AC360" i="9"/>
  <c r="AB360" i="9"/>
  <c r="AA360" i="9"/>
  <c r="Z360" i="9"/>
  <c r="Y360" i="9"/>
  <c r="X360" i="9"/>
  <c r="W360" i="9"/>
  <c r="V360" i="9"/>
  <c r="U360" i="9"/>
  <c r="T360" i="9"/>
  <c r="S360" i="9"/>
  <c r="R360" i="9"/>
  <c r="Q360" i="9"/>
  <c r="P360" i="9"/>
  <c r="O360" i="9"/>
  <c r="N360" i="9"/>
  <c r="M360" i="9"/>
  <c r="L360" i="9"/>
  <c r="K360" i="9"/>
  <c r="J360" i="9"/>
  <c r="I360" i="9"/>
  <c r="H360" i="9"/>
  <c r="G360" i="9"/>
  <c r="F360" i="9"/>
  <c r="E360" i="9"/>
  <c r="D360" i="9"/>
  <c r="AQ336" i="9"/>
  <c r="AP336" i="9"/>
  <c r="AO336" i="9"/>
  <c r="AN336" i="9"/>
  <c r="AM336" i="9"/>
  <c r="AL336" i="9"/>
  <c r="AK336" i="9"/>
  <c r="AJ336" i="9"/>
  <c r="AI336" i="9"/>
  <c r="AH336" i="9"/>
  <c r="AG336" i="9"/>
  <c r="AF336" i="9"/>
  <c r="AE336" i="9"/>
  <c r="AD336" i="9"/>
  <c r="AC336" i="9"/>
  <c r="AB336" i="9"/>
  <c r="AA336" i="9"/>
  <c r="Z336" i="9"/>
  <c r="Y336" i="9"/>
  <c r="X336" i="9"/>
  <c r="W336" i="9"/>
  <c r="V336" i="9"/>
  <c r="V338" i="9" s="1"/>
  <c r="U336" i="9"/>
  <c r="T336" i="9"/>
  <c r="S336" i="9"/>
  <c r="R336" i="9"/>
  <c r="R338" i="9" s="1"/>
  <c r="Q336" i="9"/>
  <c r="P336" i="9"/>
  <c r="O336" i="9"/>
  <c r="N336" i="9"/>
  <c r="M336" i="9"/>
  <c r="L336" i="9"/>
  <c r="K336" i="9"/>
  <c r="J336" i="9"/>
  <c r="I336" i="9"/>
  <c r="H336" i="9"/>
  <c r="G336" i="9"/>
  <c r="F336" i="9"/>
  <c r="E336" i="9"/>
  <c r="D336" i="9"/>
  <c r="AQ312" i="9"/>
  <c r="AP312" i="9"/>
  <c r="AO312" i="9"/>
  <c r="AN312" i="9"/>
  <c r="AM312" i="9"/>
  <c r="AL312" i="9"/>
  <c r="AK312" i="9"/>
  <c r="AJ312" i="9"/>
  <c r="AI312" i="9"/>
  <c r="AH312" i="9"/>
  <c r="AG312" i="9"/>
  <c r="AF312" i="9"/>
  <c r="AE312" i="9"/>
  <c r="AD312" i="9"/>
  <c r="AC312" i="9"/>
  <c r="AB312" i="9"/>
  <c r="AA312" i="9"/>
  <c r="Z312" i="9"/>
  <c r="Y312" i="9"/>
  <c r="X312" i="9"/>
  <c r="W312" i="9"/>
  <c r="V312" i="9"/>
  <c r="U312" i="9"/>
  <c r="U315" i="9" s="1"/>
  <c r="T312" i="9"/>
  <c r="S312" i="9"/>
  <c r="S315" i="9" s="1"/>
  <c r="R312" i="9"/>
  <c r="Q312" i="9"/>
  <c r="P312" i="9"/>
  <c r="O312" i="9"/>
  <c r="N312" i="9"/>
  <c r="M312" i="9"/>
  <c r="L312" i="9"/>
  <c r="K312" i="9"/>
  <c r="J312" i="9"/>
  <c r="I312" i="9"/>
  <c r="H312" i="9"/>
  <c r="G312" i="9"/>
  <c r="F312" i="9"/>
  <c r="E312" i="9"/>
  <c r="D312" i="9"/>
  <c r="AQ288" i="9"/>
  <c r="AP288" i="9"/>
  <c r="AO288" i="9"/>
  <c r="AN288" i="9"/>
  <c r="AM288" i="9"/>
  <c r="AL288" i="9"/>
  <c r="AK288" i="9"/>
  <c r="AJ288" i="9"/>
  <c r="AI288" i="9"/>
  <c r="AH288" i="9"/>
  <c r="AG288" i="9"/>
  <c r="AF288" i="9"/>
  <c r="AF290" i="9" s="1"/>
  <c r="AE288" i="9"/>
  <c r="AD288" i="9"/>
  <c r="AC288" i="9"/>
  <c r="AB288" i="9"/>
  <c r="AA288" i="9"/>
  <c r="Z288" i="9"/>
  <c r="Y288" i="9"/>
  <c r="X288" i="9"/>
  <c r="X291" i="9" s="1"/>
  <c r="W288" i="9"/>
  <c r="V288" i="9"/>
  <c r="V291" i="9" s="1"/>
  <c r="U288" i="9"/>
  <c r="U290" i="9" s="1"/>
  <c r="T288" i="9"/>
  <c r="S288" i="9"/>
  <c r="R288" i="9"/>
  <c r="R291" i="9" s="1"/>
  <c r="Q288" i="9"/>
  <c r="P288" i="9"/>
  <c r="O288" i="9"/>
  <c r="N288" i="9"/>
  <c r="M288" i="9"/>
  <c r="L288" i="9"/>
  <c r="K288" i="9"/>
  <c r="J288" i="9"/>
  <c r="I288" i="9"/>
  <c r="H288" i="9"/>
  <c r="G288" i="9"/>
  <c r="F288" i="9"/>
  <c r="E288" i="9"/>
  <c r="D288" i="9"/>
  <c r="AQ264" i="9"/>
  <c r="AP264" i="9"/>
  <c r="AO264" i="9"/>
  <c r="AN264" i="9"/>
  <c r="AM264" i="9"/>
  <c r="AL264" i="9"/>
  <c r="AK264" i="9"/>
  <c r="AJ264" i="9"/>
  <c r="AI264" i="9"/>
  <c r="AH264" i="9"/>
  <c r="AG264" i="9"/>
  <c r="AF264" i="9"/>
  <c r="AE264" i="9"/>
  <c r="AD264" i="9"/>
  <c r="AC264" i="9"/>
  <c r="AB264" i="9"/>
  <c r="AA264" i="9"/>
  <c r="Z264" i="9"/>
  <c r="Y264" i="9"/>
  <c r="X264" i="9"/>
  <c r="X266" i="9" s="1"/>
  <c r="W264" i="9"/>
  <c r="V264" i="9"/>
  <c r="V267" i="9" s="1"/>
  <c r="U264" i="9"/>
  <c r="T264" i="9"/>
  <c r="S264" i="9"/>
  <c r="R264" i="9"/>
  <c r="Q264" i="9"/>
  <c r="Q266" i="9" s="1"/>
  <c r="P264" i="9"/>
  <c r="P266" i="9" s="1"/>
  <c r="O264" i="9"/>
  <c r="O267" i="9" s="1"/>
  <c r="N264" i="9"/>
  <c r="M264" i="9"/>
  <c r="M266" i="9" s="1"/>
  <c r="L264" i="9"/>
  <c r="L266" i="9" s="1"/>
  <c r="K264" i="9"/>
  <c r="J264" i="9"/>
  <c r="I264" i="9"/>
  <c r="H264" i="9"/>
  <c r="G264" i="9"/>
  <c r="F264" i="9"/>
  <c r="E264" i="9"/>
  <c r="D264" i="9"/>
  <c r="AQ240" i="9"/>
  <c r="AQ243" i="9" s="1"/>
  <c r="AP240" i="9"/>
  <c r="AO240" i="9"/>
  <c r="AO243" i="9" s="1"/>
  <c r="AN240" i="9"/>
  <c r="AM240" i="9"/>
  <c r="AM243" i="9" s="1"/>
  <c r="AM556" i="9" s="1"/>
  <c r="AN6" i="12" s="1"/>
  <c r="AL240" i="9"/>
  <c r="AL243" i="9" s="1"/>
  <c r="AK240" i="9"/>
  <c r="AK243" i="9" s="1"/>
  <c r="AJ240" i="9"/>
  <c r="AJ243" i="9" s="1"/>
  <c r="AI240" i="9"/>
  <c r="AI243" i="9" s="1"/>
  <c r="AH240" i="9"/>
  <c r="AH243" i="9" s="1"/>
  <c r="AG240" i="9"/>
  <c r="AG243" i="9" s="1"/>
  <c r="AF240" i="9"/>
  <c r="AF243" i="9" s="1"/>
  <c r="AE240" i="9"/>
  <c r="AE243" i="9" s="1"/>
  <c r="AE556" i="9" s="1"/>
  <c r="AF6" i="12" s="1"/>
  <c r="AF18" i="12" s="1"/>
  <c r="AE73" i="34" s="1"/>
  <c r="AD240" i="9"/>
  <c r="AC240" i="9"/>
  <c r="AC243" i="9" s="1"/>
  <c r="AB240" i="9"/>
  <c r="AA240" i="9"/>
  <c r="AA243" i="9" s="1"/>
  <c r="Z240" i="9"/>
  <c r="Z243" i="9" s="1"/>
  <c r="Y240" i="9"/>
  <c r="Y243" i="9" s="1"/>
  <c r="X240" i="9"/>
  <c r="X243" i="9" s="1"/>
  <c r="W240" i="9"/>
  <c r="W243" i="9" s="1"/>
  <c r="V240" i="9"/>
  <c r="V243" i="9" s="1"/>
  <c r="U240" i="9"/>
  <c r="U243" i="9" s="1"/>
  <c r="T240" i="9"/>
  <c r="T243" i="9" s="1"/>
  <c r="S240" i="9"/>
  <c r="S243" i="9" s="1"/>
  <c r="R240" i="9"/>
  <c r="R243" i="9" s="1"/>
  <c r="Q240" i="9"/>
  <c r="P240" i="9"/>
  <c r="P243" i="9" s="1"/>
  <c r="O240" i="9"/>
  <c r="N240" i="9"/>
  <c r="N243" i="9" s="1"/>
  <c r="M240" i="9"/>
  <c r="M243" i="9" s="1"/>
  <c r="L240" i="9"/>
  <c r="K240" i="9"/>
  <c r="K243" i="9" s="1"/>
  <c r="I240" i="9"/>
  <c r="I243" i="9" s="1"/>
  <c r="F240" i="9"/>
  <c r="F243" i="9" s="1"/>
  <c r="E240" i="9"/>
  <c r="E243" i="9" s="1"/>
  <c r="D240" i="9"/>
  <c r="D243" i="9" s="1"/>
  <c r="AQ216" i="9"/>
  <c r="AQ219" i="9" s="1"/>
  <c r="AP216" i="9"/>
  <c r="AP219" i="9" s="1"/>
  <c r="AO216" i="9"/>
  <c r="AO219" i="9" s="1"/>
  <c r="AN216" i="9"/>
  <c r="AN219" i="9" s="1"/>
  <c r="AM216" i="9"/>
  <c r="AM219" i="9" s="1"/>
  <c r="AL216" i="9"/>
  <c r="AL219" i="9" s="1"/>
  <c r="AK216" i="9"/>
  <c r="AJ216" i="9"/>
  <c r="AJ219" i="9" s="1"/>
  <c r="AI216" i="9"/>
  <c r="AI219" i="9" s="1"/>
  <c r="AH216" i="9"/>
  <c r="AH219" i="9" s="1"/>
  <c r="AG216" i="9"/>
  <c r="AG219" i="9" s="1"/>
  <c r="AE216" i="9"/>
  <c r="AE219" i="9" s="1"/>
  <c r="AD216" i="9"/>
  <c r="AD219" i="9" s="1"/>
  <c r="AC216" i="9"/>
  <c r="AC219" i="9" s="1"/>
  <c r="AB216" i="9"/>
  <c r="AB219" i="9" s="1"/>
  <c r="AA216" i="9"/>
  <c r="Z216" i="9"/>
  <c r="Z219" i="9" s="1"/>
  <c r="Y216" i="9"/>
  <c r="Y219" i="9" s="1"/>
  <c r="X216" i="9"/>
  <c r="X219" i="9" s="1"/>
  <c r="W216" i="9"/>
  <c r="V216" i="9"/>
  <c r="V219" i="9" s="1"/>
  <c r="U216" i="9"/>
  <c r="U219" i="9" s="1"/>
  <c r="T216" i="9"/>
  <c r="T219" i="9" s="1"/>
  <c r="S216" i="9"/>
  <c r="S219" i="9" s="1"/>
  <c r="R216" i="9"/>
  <c r="R219" i="9" s="1"/>
  <c r="Q216" i="9"/>
  <c r="P218" i="9"/>
  <c r="O216" i="9"/>
  <c r="N216" i="9"/>
  <c r="N219" i="9" s="1"/>
  <c r="M216" i="9"/>
  <c r="L216" i="9"/>
  <c r="K216" i="9"/>
  <c r="I216" i="9"/>
  <c r="I219" i="9" s="1"/>
  <c r="G216" i="9"/>
  <c r="G219" i="9" s="1"/>
  <c r="F216" i="9"/>
  <c r="F219" i="9" s="1"/>
  <c r="E216" i="9"/>
  <c r="D216" i="9"/>
  <c r="D219" i="9" s="1"/>
  <c r="AQ192" i="9"/>
  <c r="AP192" i="9"/>
  <c r="AO192" i="9"/>
  <c r="AN192" i="9"/>
  <c r="AM192" i="9"/>
  <c r="AL192" i="9"/>
  <c r="AK192" i="9"/>
  <c r="AJ192" i="9"/>
  <c r="AI192" i="9"/>
  <c r="AH192" i="9"/>
  <c r="AG192" i="9"/>
  <c r="AF192" i="9"/>
  <c r="AE192" i="9"/>
  <c r="AD192" i="9"/>
  <c r="AC192" i="9"/>
  <c r="AB192" i="9"/>
  <c r="AA192" i="9"/>
  <c r="Z192" i="9"/>
  <c r="Y192" i="9"/>
  <c r="X192" i="9"/>
  <c r="W192" i="9"/>
  <c r="V192" i="9"/>
  <c r="V194" i="9" s="1"/>
  <c r="U192" i="9"/>
  <c r="T192" i="9"/>
  <c r="T195" i="9" s="1"/>
  <c r="S192" i="9"/>
  <c r="S195" i="9" s="1"/>
  <c r="R192" i="9"/>
  <c r="R195" i="9" s="1"/>
  <c r="Q192" i="9"/>
  <c r="P192" i="9"/>
  <c r="O192" i="9"/>
  <c r="N192" i="9"/>
  <c r="M192" i="9"/>
  <c r="L192" i="9"/>
  <c r="K192" i="9"/>
  <c r="J192" i="9"/>
  <c r="I192" i="9"/>
  <c r="H192" i="9"/>
  <c r="G192" i="9"/>
  <c r="F192" i="9"/>
  <c r="E192" i="9"/>
  <c r="D192" i="9"/>
  <c r="AQ168" i="9"/>
  <c r="AP168" i="9"/>
  <c r="AO168" i="9"/>
  <c r="AN168" i="9"/>
  <c r="AM168" i="9"/>
  <c r="AL168" i="9"/>
  <c r="AK168" i="9"/>
  <c r="AJ168" i="9"/>
  <c r="AI168" i="9"/>
  <c r="AH168" i="9"/>
  <c r="AG168" i="9"/>
  <c r="AF168" i="9"/>
  <c r="AE168" i="9"/>
  <c r="AD168" i="9"/>
  <c r="AC168" i="9"/>
  <c r="AB168" i="9"/>
  <c r="AA168" i="9"/>
  <c r="Z168" i="9"/>
  <c r="Z171" i="9" s="1"/>
  <c r="Y168" i="9"/>
  <c r="X168" i="9"/>
  <c r="W168" i="9"/>
  <c r="V168" i="9"/>
  <c r="V171" i="9" s="1"/>
  <c r="U168" i="9"/>
  <c r="T168" i="9"/>
  <c r="T170" i="9" s="1"/>
  <c r="S168" i="9"/>
  <c r="S170" i="9" s="1"/>
  <c r="R168" i="9"/>
  <c r="R170" i="9" s="1"/>
  <c r="Q168" i="9"/>
  <c r="Q171" i="9" s="1"/>
  <c r="P168" i="9"/>
  <c r="P170" i="9" s="1"/>
  <c r="O168" i="9"/>
  <c r="O170" i="9" s="1"/>
  <c r="N168" i="9"/>
  <c r="M168" i="9"/>
  <c r="M170" i="9" s="1"/>
  <c r="L168" i="9"/>
  <c r="L170" i="9" s="1"/>
  <c r="K168" i="9"/>
  <c r="J168" i="9"/>
  <c r="I168" i="9"/>
  <c r="H168" i="9"/>
  <c r="G168" i="9"/>
  <c r="F168" i="9"/>
  <c r="E168" i="9"/>
  <c r="E171" i="9" s="1"/>
  <c r="D168" i="9"/>
  <c r="AQ144" i="9"/>
  <c r="AP144" i="9"/>
  <c r="AO144" i="9"/>
  <c r="AN144" i="9"/>
  <c r="AM144" i="9"/>
  <c r="AL144" i="9"/>
  <c r="AK144" i="9"/>
  <c r="AJ144" i="9"/>
  <c r="AI144" i="9"/>
  <c r="AH144" i="9"/>
  <c r="AG144" i="9"/>
  <c r="AF144" i="9"/>
  <c r="AE144" i="9"/>
  <c r="AD144" i="9"/>
  <c r="AC144" i="9"/>
  <c r="AB144" i="9"/>
  <c r="AB147" i="9" s="1"/>
  <c r="AA144" i="9"/>
  <c r="AA147" i="9" s="1"/>
  <c r="Z144" i="9"/>
  <c r="Z146" i="9" s="1"/>
  <c r="Y144" i="9"/>
  <c r="Y146" i="9" s="1"/>
  <c r="X144" i="9"/>
  <c r="X146" i="9" s="1"/>
  <c r="W144" i="9"/>
  <c r="V144" i="9"/>
  <c r="V147" i="9" s="1"/>
  <c r="U144" i="9"/>
  <c r="T144" i="9"/>
  <c r="T146" i="9" s="1"/>
  <c r="S144" i="9"/>
  <c r="S147" i="9" s="1"/>
  <c r="R144" i="9"/>
  <c r="R147" i="9" s="1"/>
  <c r="Q144" i="9"/>
  <c r="Q146" i="9" s="1"/>
  <c r="P144" i="9"/>
  <c r="P147" i="9" s="1"/>
  <c r="O144" i="9"/>
  <c r="O147" i="9" s="1"/>
  <c r="N144" i="9"/>
  <c r="N147" i="9" s="1"/>
  <c r="M144" i="9"/>
  <c r="M147" i="9" s="1"/>
  <c r="L144" i="9"/>
  <c r="K144" i="9"/>
  <c r="J144" i="9"/>
  <c r="I144" i="9"/>
  <c r="H144" i="9"/>
  <c r="G144" i="9"/>
  <c r="F144" i="9"/>
  <c r="E144" i="9"/>
  <c r="E147" i="9" s="1"/>
  <c r="D144" i="9"/>
  <c r="AQ120" i="9"/>
  <c r="AP120" i="9"/>
  <c r="AO120" i="9"/>
  <c r="AN120" i="9"/>
  <c r="AM120" i="9"/>
  <c r="AL120" i="9"/>
  <c r="AK120" i="9"/>
  <c r="AJ120" i="9"/>
  <c r="AJ123" i="9" s="1"/>
  <c r="AI120" i="9"/>
  <c r="AH120" i="9"/>
  <c r="AH123" i="9" s="1"/>
  <c r="AG120" i="9"/>
  <c r="AF120" i="9"/>
  <c r="AE120" i="9"/>
  <c r="AD120" i="9"/>
  <c r="AC120" i="9"/>
  <c r="AB120" i="9"/>
  <c r="AB123" i="9" s="1"/>
  <c r="AA120" i="9"/>
  <c r="Z120" i="9"/>
  <c r="Z122" i="9" s="1"/>
  <c r="Y120" i="9"/>
  <c r="Y123" i="9" s="1"/>
  <c r="X120" i="9"/>
  <c r="X123" i="9" s="1"/>
  <c r="W120" i="9"/>
  <c r="W122" i="9" s="1"/>
  <c r="V120" i="9"/>
  <c r="V122" i="9" s="1"/>
  <c r="U120" i="9"/>
  <c r="T120" i="9"/>
  <c r="T122" i="9" s="1"/>
  <c r="S120" i="9"/>
  <c r="S123" i="9" s="1"/>
  <c r="R120" i="9"/>
  <c r="R123" i="9" s="1"/>
  <c r="Q120" i="9"/>
  <c r="P120" i="9"/>
  <c r="O120" i="9"/>
  <c r="O123" i="9" s="1"/>
  <c r="N120" i="9"/>
  <c r="N123" i="9" s="1"/>
  <c r="M123" i="9"/>
  <c r="K120" i="9"/>
  <c r="J120" i="9"/>
  <c r="I120" i="9"/>
  <c r="H120" i="9"/>
  <c r="G120" i="9"/>
  <c r="F120" i="9"/>
  <c r="E120" i="9"/>
  <c r="D120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AZ125" i="9"/>
  <c r="BK125" i="9" s="1"/>
  <c r="BA125" i="9"/>
  <c r="BL125" i="9" s="1"/>
  <c r="BC125" i="9"/>
  <c r="BD125" i="9"/>
  <c r="AR125" i="9"/>
  <c r="AV125" i="9"/>
  <c r="BG125" i="9" s="1"/>
  <c r="AW125" i="9"/>
  <c r="BH125" i="9"/>
  <c r="AX125" i="9"/>
  <c r="BI125" i="9" s="1"/>
  <c r="AY125" i="9"/>
  <c r="BJ125" i="9" s="1"/>
  <c r="BB125" i="9"/>
  <c r="BE125" i="9"/>
  <c r="AR126" i="9"/>
  <c r="BB126" i="9"/>
  <c r="BC126" i="9"/>
  <c r="AV126" i="9"/>
  <c r="BG126" i="9" s="1"/>
  <c r="AW126" i="9"/>
  <c r="BH126" i="9" s="1"/>
  <c r="AX126" i="9"/>
  <c r="BI126" i="9" s="1"/>
  <c r="AY126" i="9"/>
  <c r="BJ126" i="9" s="1"/>
  <c r="BA126" i="9"/>
  <c r="BL126" i="9" s="1"/>
  <c r="BE126" i="9"/>
  <c r="BA127" i="9"/>
  <c r="BL127" i="9" s="1"/>
  <c r="BB127" i="9"/>
  <c r="BC127" i="9"/>
  <c r="AV127" i="9"/>
  <c r="BG127" i="9"/>
  <c r="AW127" i="9"/>
  <c r="BH127" i="9" s="1"/>
  <c r="AX127" i="9"/>
  <c r="BI127" i="9" s="1"/>
  <c r="AY127" i="9"/>
  <c r="BJ127" i="9" s="1"/>
  <c r="AZ127" i="9"/>
  <c r="BK127" i="9" s="1"/>
  <c r="BD127" i="9"/>
  <c r="BE127" i="9"/>
  <c r="AR128" i="9"/>
  <c r="AV128" i="9"/>
  <c r="AW128" i="9"/>
  <c r="BH128" i="9" s="1"/>
  <c r="AX128" i="9"/>
  <c r="BI128" i="9" s="1"/>
  <c r="AY128" i="9"/>
  <c r="BJ128" i="9" s="1"/>
  <c r="AZ128" i="9"/>
  <c r="BK128" i="9" s="1"/>
  <c r="BA128" i="9"/>
  <c r="BL128" i="9" s="1"/>
  <c r="BB128" i="9"/>
  <c r="BC128" i="9"/>
  <c r="BD128" i="9"/>
  <c r="BE128" i="9"/>
  <c r="BG128" i="9"/>
  <c r="AR129" i="9"/>
  <c r="BB129" i="9"/>
  <c r="BC129" i="9"/>
  <c r="BD129" i="9"/>
  <c r="AV129" i="9"/>
  <c r="BG129" i="9" s="1"/>
  <c r="AW129" i="9"/>
  <c r="BH129" i="9"/>
  <c r="AX129" i="9"/>
  <c r="AY129" i="9"/>
  <c r="BA129" i="9"/>
  <c r="BL129" i="9" s="1"/>
  <c r="BE129" i="9"/>
  <c r="AR130" i="9"/>
  <c r="AV130" i="9"/>
  <c r="BG130" i="9"/>
  <c r="AW130" i="9"/>
  <c r="BH130" i="9" s="1"/>
  <c r="AX130" i="9"/>
  <c r="BI130" i="9" s="1"/>
  <c r="AY130" i="9"/>
  <c r="BJ130" i="9" s="1"/>
  <c r="AZ130" i="9"/>
  <c r="BK130" i="9" s="1"/>
  <c r="BA130" i="9"/>
  <c r="BB130" i="9"/>
  <c r="BC130" i="9"/>
  <c r="BD130" i="9"/>
  <c r="BE130" i="9"/>
  <c r="AV131" i="9"/>
  <c r="BG131" i="9" s="1"/>
  <c r="AW131" i="9"/>
  <c r="BH131" i="9" s="1"/>
  <c r="AX131" i="9"/>
  <c r="BI131" i="9" s="1"/>
  <c r="AY131" i="9"/>
  <c r="AZ131" i="9"/>
  <c r="BA131" i="9"/>
  <c r="BL131" i="9" s="1"/>
  <c r="BB131" i="9"/>
  <c r="BC131" i="9"/>
  <c r="BD131" i="9"/>
  <c r="BE131" i="9"/>
  <c r="AR132" i="9"/>
  <c r="AV132" i="9"/>
  <c r="BG132" i="9"/>
  <c r="AW132" i="9"/>
  <c r="BH132" i="9" s="1"/>
  <c r="AX132" i="9"/>
  <c r="BI132" i="9" s="1"/>
  <c r="AY132" i="9"/>
  <c r="AZ132" i="9"/>
  <c r="BA132" i="9"/>
  <c r="BB132" i="9"/>
  <c r="BC132" i="9"/>
  <c r="BD132" i="9"/>
  <c r="BE132" i="9"/>
  <c r="AR133" i="9"/>
  <c r="AV133" i="9"/>
  <c r="BG133" i="9" s="1"/>
  <c r="AW133" i="9"/>
  <c r="BH133" i="9"/>
  <c r="AX133" i="9"/>
  <c r="BI133" i="9" s="1"/>
  <c r="AY133" i="9"/>
  <c r="AZ133" i="9"/>
  <c r="BK133" i="9" s="1"/>
  <c r="BA133" i="9"/>
  <c r="BL133" i="9" s="1"/>
  <c r="BB133" i="9"/>
  <c r="BC133" i="9"/>
  <c r="BD133" i="9"/>
  <c r="BE133" i="9"/>
  <c r="AR134" i="9"/>
  <c r="AV134" i="9"/>
  <c r="BG134" i="9" s="1"/>
  <c r="AW134" i="9"/>
  <c r="BH134" i="9" s="1"/>
  <c r="AX134" i="9"/>
  <c r="AY134" i="9"/>
  <c r="AZ134" i="9"/>
  <c r="BA134" i="9"/>
  <c r="BB134" i="9"/>
  <c r="BC134" i="9"/>
  <c r="BD134" i="9"/>
  <c r="BE134" i="9"/>
  <c r="AR135" i="9"/>
  <c r="AV135" i="9"/>
  <c r="BG135" i="9"/>
  <c r="AW135" i="9"/>
  <c r="BH135" i="9" s="1"/>
  <c r="AX135" i="9"/>
  <c r="AY135" i="9"/>
  <c r="BJ135" i="9" s="1"/>
  <c r="AZ135" i="9"/>
  <c r="BA135" i="9"/>
  <c r="BL135" i="9" s="1"/>
  <c r="BB135" i="9"/>
  <c r="BC135" i="9"/>
  <c r="BD135" i="9"/>
  <c r="BE135" i="9"/>
  <c r="AR136" i="9"/>
  <c r="AV136" i="9"/>
  <c r="BG136" i="9" s="1"/>
  <c r="AW136" i="9"/>
  <c r="BH136" i="9" s="1"/>
  <c r="AX136" i="9"/>
  <c r="AY136" i="9"/>
  <c r="BJ136" i="9" s="1"/>
  <c r="AZ136" i="9"/>
  <c r="BK136" i="9" s="1"/>
  <c r="BA136" i="9"/>
  <c r="BL136" i="9" s="1"/>
  <c r="BB136" i="9"/>
  <c r="BC136" i="9"/>
  <c r="BD136" i="9"/>
  <c r="BE136" i="9"/>
  <c r="AR137" i="9"/>
  <c r="AV137" i="9"/>
  <c r="BG137" i="9" s="1"/>
  <c r="AW137" i="9"/>
  <c r="BH137" i="9" s="1"/>
  <c r="AX137" i="9"/>
  <c r="BI137" i="9" s="1"/>
  <c r="AY137" i="9"/>
  <c r="AZ137" i="9"/>
  <c r="BA137" i="9"/>
  <c r="BL137" i="9" s="1"/>
  <c r="BB137" i="9"/>
  <c r="BC137" i="9"/>
  <c r="BD137" i="9"/>
  <c r="BE137" i="9"/>
  <c r="AR138" i="9"/>
  <c r="AV138" i="9"/>
  <c r="BG138" i="9" s="1"/>
  <c r="AW138" i="9"/>
  <c r="BH138" i="9" s="1"/>
  <c r="AX138" i="9"/>
  <c r="BI138" i="9" s="1"/>
  <c r="AY138" i="9"/>
  <c r="BJ138" i="9" s="1"/>
  <c r="AZ138" i="9"/>
  <c r="BK138" i="9" s="1"/>
  <c r="BA138" i="9"/>
  <c r="BL138" i="9" s="1"/>
  <c r="BB138" i="9"/>
  <c r="BC138" i="9"/>
  <c r="BD138" i="9"/>
  <c r="BE138" i="9"/>
  <c r="AZ139" i="9"/>
  <c r="BK139" i="9" s="1"/>
  <c r="BA139" i="9"/>
  <c r="BC139" i="9"/>
  <c r="BD139" i="9"/>
  <c r="AR139" i="9"/>
  <c r="AV139" i="9"/>
  <c r="BG139" i="9" s="1"/>
  <c r="AW139" i="9"/>
  <c r="BH139" i="9" s="1"/>
  <c r="AX139" i="9"/>
  <c r="BI139" i="9" s="1"/>
  <c r="AY139" i="9"/>
  <c r="BJ139" i="9" s="1"/>
  <c r="BB139" i="9"/>
  <c r="BE139" i="9"/>
  <c r="AR140" i="9"/>
  <c r="AV140" i="9"/>
  <c r="BG140" i="9" s="1"/>
  <c r="AW140" i="9"/>
  <c r="BH140" i="9" s="1"/>
  <c r="AX140" i="9"/>
  <c r="BI140" i="9" s="1"/>
  <c r="AY140" i="9"/>
  <c r="AZ140" i="9"/>
  <c r="BA140" i="9"/>
  <c r="BB140" i="9"/>
  <c r="BC140" i="9"/>
  <c r="BD140" i="9"/>
  <c r="BE140" i="9"/>
  <c r="AR141" i="9"/>
  <c r="AV141" i="9"/>
  <c r="BG141" i="9" s="1"/>
  <c r="AW141" i="9"/>
  <c r="BH141" i="9" s="1"/>
  <c r="AX141" i="9"/>
  <c r="AY141" i="9"/>
  <c r="AZ141" i="9"/>
  <c r="BA141" i="9"/>
  <c r="BL141" i="9" s="1"/>
  <c r="BB141" i="9"/>
  <c r="BC141" i="9"/>
  <c r="BD141" i="9"/>
  <c r="BE141" i="9"/>
  <c r="AR142" i="9"/>
  <c r="BB142" i="9"/>
  <c r="BC142" i="9"/>
  <c r="BD142" i="9"/>
  <c r="AV142" i="9"/>
  <c r="BG142" i="9" s="1"/>
  <c r="AW142" i="9"/>
  <c r="BH142" i="9" s="1"/>
  <c r="AX142" i="9"/>
  <c r="BI142" i="9" s="1"/>
  <c r="AY142" i="9"/>
  <c r="BJ142" i="9" s="1"/>
  <c r="BA142" i="9"/>
  <c r="BL142" i="9" s="1"/>
  <c r="BE142" i="9"/>
  <c r="AR143" i="9"/>
  <c r="BA143" i="9"/>
  <c r="BL143" i="9" s="1"/>
  <c r="AV143" i="9"/>
  <c r="BG143" i="9" s="1"/>
  <c r="AW143" i="9"/>
  <c r="BH143" i="9"/>
  <c r="AX143" i="9"/>
  <c r="AY143" i="9"/>
  <c r="BJ143" i="9" s="1"/>
  <c r="AZ143" i="9"/>
  <c r="BK143" i="9" s="1"/>
  <c r="BB143" i="9"/>
  <c r="BC143" i="9"/>
  <c r="BD143" i="9"/>
  <c r="BE14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Z142" i="9"/>
  <c r="AZ129" i="9"/>
  <c r="BK129" i="9" s="1"/>
  <c r="BD126" i="9"/>
  <c r="BD144" i="9" s="1"/>
  <c r="AZ126" i="9"/>
  <c r="BK126" i="9" s="1"/>
  <c r="AR127" i="9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28" i="32"/>
  <c r="AL34" i="12"/>
  <c r="B41" i="11"/>
  <c r="AB202" i="20"/>
  <c r="AA202" i="20"/>
  <c r="Y16" i="35"/>
  <c r="Y22" i="35"/>
  <c r="Y55" i="35"/>
  <c r="Y17" i="35"/>
  <c r="Y23" i="35"/>
  <c r="Y56" i="35"/>
  <c r="Y18" i="35"/>
  <c r="Y19" i="35"/>
  <c r="Y24" i="35"/>
  <c r="Y57" i="35"/>
  <c r="Z202" i="20"/>
  <c r="X16" i="35"/>
  <c r="X22" i="35"/>
  <c r="X55" i="35"/>
  <c r="X17" i="35"/>
  <c r="X23" i="35"/>
  <c r="X56" i="35"/>
  <c r="X18" i="35"/>
  <c r="X19" i="35"/>
  <c r="W16" i="35"/>
  <c r="W22" i="35"/>
  <c r="W55" i="35"/>
  <c r="W17" i="35"/>
  <c r="W23" i="35"/>
  <c r="W56" i="35"/>
  <c r="W18" i="35"/>
  <c r="W19" i="35"/>
  <c r="X24" i="35"/>
  <c r="X57" i="35"/>
  <c r="W24" i="35"/>
  <c r="W57" i="35"/>
  <c r="X202" i="20"/>
  <c r="Y202" i="20"/>
  <c r="V16" i="35"/>
  <c r="V22" i="35"/>
  <c r="V55" i="35"/>
  <c r="V17" i="35"/>
  <c r="V23" i="35"/>
  <c r="V56" i="35"/>
  <c r="V18" i="35"/>
  <c r="V19" i="35"/>
  <c r="V24" i="35"/>
  <c r="V57" i="35"/>
  <c r="W202" i="20"/>
  <c r="T22" i="35"/>
  <c r="T55" i="35"/>
  <c r="T17" i="35"/>
  <c r="T23" i="35"/>
  <c r="T56" i="35"/>
  <c r="T18" i="35"/>
  <c r="T19" i="35"/>
  <c r="U17" i="35"/>
  <c r="U23" i="35"/>
  <c r="U56" i="35"/>
  <c r="U18" i="35"/>
  <c r="U19" i="35"/>
  <c r="U16" i="35"/>
  <c r="U22" i="35"/>
  <c r="U55" i="35"/>
  <c r="U24" i="35"/>
  <c r="U57" i="35"/>
  <c r="T24" i="35"/>
  <c r="T57" i="35"/>
  <c r="U202" i="20"/>
  <c r="V202" i="20"/>
  <c r="AR48" i="27"/>
  <c r="AR32" i="27"/>
  <c r="P8" i="35"/>
  <c r="P24" i="35"/>
  <c r="P57" i="35" s="1"/>
  <c r="AQ133" i="31"/>
  <c r="AQ74" i="33" s="1"/>
  <c r="AP133" i="31"/>
  <c r="AP74" i="33" s="1"/>
  <c r="AO133" i="31"/>
  <c r="AO74" i="33" s="1"/>
  <c r="AN133" i="31"/>
  <c r="AN74" i="33" s="1"/>
  <c r="AM133" i="31"/>
  <c r="AM74" i="33" s="1"/>
  <c r="AL133" i="31"/>
  <c r="AL74" i="33" s="1"/>
  <c r="AK133" i="31"/>
  <c r="AK74" i="33" s="1"/>
  <c r="AJ133" i="31"/>
  <c r="AJ74" i="33" s="1"/>
  <c r="AI133" i="31"/>
  <c r="AI74" i="33" s="1"/>
  <c r="AH133" i="31"/>
  <c r="AH74" i="33" s="1"/>
  <c r="AG133" i="31"/>
  <c r="AG74" i="33" s="1"/>
  <c r="AF133" i="31"/>
  <c r="AF74" i="33" s="1"/>
  <c r="AE133" i="31"/>
  <c r="AE74" i="33" s="1"/>
  <c r="AD133" i="31"/>
  <c r="AD74" i="33" s="1"/>
  <c r="AC133" i="31"/>
  <c r="AC74" i="33" s="1"/>
  <c r="AB133" i="31"/>
  <c r="AB74" i="33" s="1"/>
  <c r="AA133" i="31"/>
  <c r="AA74" i="33" s="1"/>
  <c r="Z133" i="31"/>
  <c r="Z74" i="33" s="1"/>
  <c r="Y133" i="31"/>
  <c r="Y74" i="33" s="1"/>
  <c r="X133" i="31"/>
  <c r="X74" i="33" s="1"/>
  <c r="W133" i="31"/>
  <c r="W74" i="33" s="1"/>
  <c r="V133" i="31"/>
  <c r="V74" i="33" s="1"/>
  <c r="U133" i="31"/>
  <c r="U74" i="33" s="1"/>
  <c r="T133" i="31"/>
  <c r="T74" i="33" s="1"/>
  <c r="S133" i="31"/>
  <c r="S74" i="33" s="1"/>
  <c r="R133" i="31"/>
  <c r="R74" i="33" s="1"/>
  <c r="Q133" i="31"/>
  <c r="Q74" i="33" s="1"/>
  <c r="P133" i="31"/>
  <c r="P74" i="33" s="1"/>
  <c r="O133" i="31"/>
  <c r="O74" i="33" s="1"/>
  <c r="N133" i="31"/>
  <c r="N74" i="33" s="1"/>
  <c r="M133" i="31"/>
  <c r="M74" i="33" s="1"/>
  <c r="L133" i="31"/>
  <c r="L74" i="33" s="1"/>
  <c r="K133" i="31"/>
  <c r="K74" i="33" s="1"/>
  <c r="J133" i="31"/>
  <c r="J74" i="33" s="1"/>
  <c r="I133" i="31"/>
  <c r="I74" i="33" s="1"/>
  <c r="H133" i="31"/>
  <c r="H74" i="33" s="1"/>
  <c r="G133" i="31"/>
  <c r="G74" i="33" s="1"/>
  <c r="F133" i="31"/>
  <c r="F74" i="33" s="1"/>
  <c r="F98" i="33" s="1"/>
  <c r="F5" i="34" s="1"/>
  <c r="E133" i="31"/>
  <c r="E74" i="33" s="1"/>
  <c r="E98" i="33" s="1"/>
  <c r="E5" i="34" s="1"/>
  <c r="D133" i="31"/>
  <c r="D74" i="33" s="1"/>
  <c r="D98" i="33" s="1"/>
  <c r="D5" i="34" s="1"/>
  <c r="AR132" i="31"/>
  <c r="AR131" i="31"/>
  <c r="AR130" i="31"/>
  <c r="AR129" i="31"/>
  <c r="AR128" i="31"/>
  <c r="AR127" i="31"/>
  <c r="AR126" i="31"/>
  <c r="AR125" i="31"/>
  <c r="AR124" i="31"/>
  <c r="AR123" i="31"/>
  <c r="AR122" i="31"/>
  <c r="AR121" i="31"/>
  <c r="AR120" i="31"/>
  <c r="AR119" i="31"/>
  <c r="AR118" i="31"/>
  <c r="AR117" i="31"/>
  <c r="AR116" i="31"/>
  <c r="AR115" i="31"/>
  <c r="AR114" i="31"/>
  <c r="AR113" i="31"/>
  <c r="AR111" i="31"/>
  <c r="AR110" i="31"/>
  <c r="AR109" i="31"/>
  <c r="AR108" i="31"/>
  <c r="AR107" i="31"/>
  <c r="AR106" i="31"/>
  <c r="AR105" i="31"/>
  <c r="AR103" i="31"/>
  <c r="AR101" i="31"/>
  <c r="AR100" i="31"/>
  <c r="AR98" i="31"/>
  <c r="AR97" i="31"/>
  <c r="AR96" i="31"/>
  <c r="AR95" i="31"/>
  <c r="AR93" i="31"/>
  <c r="AR92" i="31"/>
  <c r="AQ49" i="30"/>
  <c r="AQ77" i="33"/>
  <c r="AP49" i="30"/>
  <c r="AP77" i="33" s="1"/>
  <c r="AO49" i="30"/>
  <c r="AO77" i="33" s="1"/>
  <c r="AN49" i="30"/>
  <c r="AN77" i="33" s="1"/>
  <c r="AM49" i="30"/>
  <c r="AM77" i="33" s="1"/>
  <c r="AL49" i="30"/>
  <c r="AL77" i="33" s="1"/>
  <c r="AK49" i="30"/>
  <c r="AK77" i="33" s="1"/>
  <c r="AJ49" i="30"/>
  <c r="AJ77" i="33"/>
  <c r="AI49" i="30"/>
  <c r="AI77" i="33" s="1"/>
  <c r="AH49" i="30"/>
  <c r="AH77" i="33" s="1"/>
  <c r="AG49" i="30"/>
  <c r="AG77" i="33" s="1"/>
  <c r="AF49" i="30"/>
  <c r="AF77" i="33"/>
  <c r="AE49" i="30"/>
  <c r="AE77" i="33" s="1"/>
  <c r="AD49" i="30"/>
  <c r="AD77" i="33" s="1"/>
  <c r="AC49" i="30"/>
  <c r="AC77" i="33" s="1"/>
  <c r="AB49" i="30"/>
  <c r="AB77" i="33"/>
  <c r="AA49" i="30"/>
  <c r="AA77" i="33" s="1"/>
  <c r="Z49" i="30"/>
  <c r="Z77" i="33" s="1"/>
  <c r="Y49" i="30"/>
  <c r="Y77" i="33" s="1"/>
  <c r="X49" i="30"/>
  <c r="X77" i="33"/>
  <c r="W49" i="30"/>
  <c r="W77" i="33" s="1"/>
  <c r="V49" i="30"/>
  <c r="V77" i="33" s="1"/>
  <c r="U49" i="30"/>
  <c r="U77" i="33" s="1"/>
  <c r="T49" i="30"/>
  <c r="T77" i="33"/>
  <c r="S49" i="30"/>
  <c r="S77" i="33" s="1"/>
  <c r="R49" i="30"/>
  <c r="R77" i="33" s="1"/>
  <c r="Q49" i="30"/>
  <c r="Q77" i="33" s="1"/>
  <c r="P49" i="30"/>
  <c r="P77" i="33"/>
  <c r="O49" i="30"/>
  <c r="O77" i="33" s="1"/>
  <c r="N49" i="30"/>
  <c r="N77" i="33" s="1"/>
  <c r="M49" i="30"/>
  <c r="M77" i="33" s="1"/>
  <c r="L49" i="30"/>
  <c r="L77" i="33"/>
  <c r="K49" i="30"/>
  <c r="K77" i="33" s="1"/>
  <c r="J49" i="30"/>
  <c r="J77" i="33" s="1"/>
  <c r="I49" i="30"/>
  <c r="I77" i="33" s="1"/>
  <c r="H49" i="30"/>
  <c r="H77" i="33"/>
  <c r="G49" i="30"/>
  <c r="G77" i="33"/>
  <c r="F49" i="30"/>
  <c r="F77" i="33"/>
  <c r="E49" i="30"/>
  <c r="E77" i="33"/>
  <c r="D49" i="30"/>
  <c r="D77" i="33"/>
  <c r="AR48" i="30"/>
  <c r="AR47" i="30"/>
  <c r="AR46" i="30"/>
  <c r="AR45" i="30"/>
  <c r="AR44" i="30"/>
  <c r="AR43" i="30"/>
  <c r="AR42" i="30"/>
  <c r="AR41" i="30"/>
  <c r="AR40" i="30"/>
  <c r="AR39" i="30"/>
  <c r="AR38" i="30"/>
  <c r="AR49" i="30" s="1"/>
  <c r="AR37" i="30"/>
  <c r="AR36" i="30"/>
  <c r="AQ49" i="27"/>
  <c r="AQ90" i="33"/>
  <c r="AP49" i="27"/>
  <c r="AP90" i="33"/>
  <c r="AO49" i="27"/>
  <c r="AO90" i="33" s="1"/>
  <c r="AN49" i="27"/>
  <c r="AN90" i="33" s="1"/>
  <c r="AM49" i="27"/>
  <c r="AM90" i="33"/>
  <c r="AL49" i="27"/>
  <c r="AL90" i="33"/>
  <c r="AK49" i="27"/>
  <c r="AK90" i="33"/>
  <c r="AJ49" i="27"/>
  <c r="AJ90" i="33"/>
  <c r="AI49" i="27"/>
  <c r="AI90" i="33"/>
  <c r="AI114" i="33" s="1"/>
  <c r="AI21" i="34" s="1"/>
  <c r="AH49" i="27"/>
  <c r="AH90" i="33" s="1"/>
  <c r="AG49" i="27"/>
  <c r="AG90" i="33" s="1"/>
  <c r="AF49" i="27"/>
  <c r="AF90" i="33" s="1"/>
  <c r="AE49" i="27"/>
  <c r="AE90" i="33" s="1"/>
  <c r="AD49" i="27"/>
  <c r="AD90" i="33" s="1"/>
  <c r="AC49" i="27"/>
  <c r="AC90" i="33" s="1"/>
  <c r="AB49" i="27"/>
  <c r="AB90" i="33" s="1"/>
  <c r="AA49" i="27"/>
  <c r="AA90" i="33" s="1"/>
  <c r="Z49" i="27"/>
  <c r="Z90" i="33" s="1"/>
  <c r="Y49" i="27"/>
  <c r="Y90" i="33" s="1"/>
  <c r="X49" i="27"/>
  <c r="X90" i="33" s="1"/>
  <c r="W49" i="27"/>
  <c r="W90" i="33" s="1"/>
  <c r="V49" i="27"/>
  <c r="V90" i="33" s="1"/>
  <c r="U49" i="27"/>
  <c r="U90" i="33" s="1"/>
  <c r="T49" i="27"/>
  <c r="T90" i="33" s="1"/>
  <c r="S49" i="27"/>
  <c r="S90" i="33" s="1"/>
  <c r="R49" i="27"/>
  <c r="R90" i="33" s="1"/>
  <c r="Q49" i="27"/>
  <c r="Q90" i="33" s="1"/>
  <c r="P49" i="27"/>
  <c r="P90" i="33" s="1"/>
  <c r="O49" i="27"/>
  <c r="O90" i="33" s="1"/>
  <c r="N49" i="27"/>
  <c r="N90" i="33" s="1"/>
  <c r="M49" i="27"/>
  <c r="M90" i="33" s="1"/>
  <c r="L49" i="27"/>
  <c r="L90" i="33"/>
  <c r="K49" i="27"/>
  <c r="K90" i="33"/>
  <c r="J49" i="27"/>
  <c r="J90" i="33"/>
  <c r="J114" i="33" s="1"/>
  <c r="J21" i="34" s="1"/>
  <c r="I49" i="27"/>
  <c r="I90" i="33" s="1"/>
  <c r="H49" i="27"/>
  <c r="H90" i="33"/>
  <c r="H114" i="33" s="1"/>
  <c r="H21" i="34" s="1"/>
  <c r="G49" i="27"/>
  <c r="G90" i="33"/>
  <c r="F49" i="27"/>
  <c r="F90" i="33"/>
  <c r="E49" i="27"/>
  <c r="E90" i="33"/>
  <c r="D49" i="27"/>
  <c r="D90" i="33"/>
  <c r="AR47" i="27"/>
  <c r="AR46" i="27"/>
  <c r="AR45" i="27"/>
  <c r="AR44" i="27"/>
  <c r="AR43" i="27"/>
  <c r="AR42" i="27"/>
  <c r="AR41" i="27"/>
  <c r="AR40" i="27"/>
  <c r="AR39" i="27"/>
  <c r="AR38" i="27"/>
  <c r="AR37" i="27"/>
  <c r="AR36" i="27"/>
  <c r="AQ49" i="29"/>
  <c r="AQ75" i="33"/>
  <c r="AP49" i="29"/>
  <c r="AP75" i="33"/>
  <c r="AO49" i="29"/>
  <c r="AO75" i="33"/>
  <c r="AN49" i="29"/>
  <c r="AN75" i="33" s="1"/>
  <c r="AM49" i="29"/>
  <c r="AM75" i="33"/>
  <c r="AL49" i="29"/>
  <c r="AL75" i="33" s="1"/>
  <c r="AK49" i="29"/>
  <c r="AK75" i="33"/>
  <c r="AJ49" i="29"/>
  <c r="AJ75" i="33"/>
  <c r="AI49" i="29"/>
  <c r="AI75" i="33"/>
  <c r="AH49" i="29"/>
  <c r="AH75" i="33"/>
  <c r="AG49" i="29"/>
  <c r="AG75" i="33"/>
  <c r="AF49" i="29"/>
  <c r="AF75" i="33"/>
  <c r="AE49" i="29"/>
  <c r="AE75" i="33" s="1"/>
  <c r="AD49" i="29"/>
  <c r="AD75" i="33" s="1"/>
  <c r="AC49" i="29"/>
  <c r="AC75" i="33" s="1"/>
  <c r="AB49" i="29"/>
  <c r="AB75" i="33" s="1"/>
  <c r="AA49" i="29"/>
  <c r="AA75" i="33" s="1"/>
  <c r="Z49" i="29"/>
  <c r="Z75" i="33" s="1"/>
  <c r="Y49" i="29"/>
  <c r="Y75" i="33" s="1"/>
  <c r="X49" i="29"/>
  <c r="X75" i="33" s="1"/>
  <c r="W49" i="29"/>
  <c r="W75" i="33"/>
  <c r="V49" i="29"/>
  <c r="V75" i="33" s="1"/>
  <c r="U49" i="29"/>
  <c r="U75" i="33" s="1"/>
  <c r="T49" i="29"/>
  <c r="T75" i="33"/>
  <c r="S49" i="29"/>
  <c r="S75" i="33" s="1"/>
  <c r="R49" i="29"/>
  <c r="R75" i="33"/>
  <c r="Q49" i="29"/>
  <c r="Q75" i="33"/>
  <c r="P49" i="29"/>
  <c r="P75" i="33" s="1"/>
  <c r="O49" i="29"/>
  <c r="O75" i="33"/>
  <c r="N49" i="29"/>
  <c r="N75" i="33"/>
  <c r="M49" i="29"/>
  <c r="M75" i="33"/>
  <c r="L49" i="29"/>
  <c r="L75" i="33"/>
  <c r="K49" i="29"/>
  <c r="K75" i="33"/>
  <c r="J49" i="29"/>
  <c r="J75" i="33"/>
  <c r="I49" i="29"/>
  <c r="I75" i="33"/>
  <c r="H49" i="29"/>
  <c r="H75" i="33"/>
  <c r="G49" i="29"/>
  <c r="G75" i="33"/>
  <c r="F49" i="29"/>
  <c r="F75" i="33"/>
  <c r="E49" i="29"/>
  <c r="E75" i="33"/>
  <c r="D49" i="29"/>
  <c r="D75" i="33"/>
  <c r="AR48" i="29"/>
  <c r="AR47" i="29"/>
  <c r="AR46" i="29"/>
  <c r="AR45" i="29"/>
  <c r="AR44" i="29"/>
  <c r="AR43" i="29"/>
  <c r="AR42" i="29"/>
  <c r="AR41" i="29"/>
  <c r="AR40" i="29"/>
  <c r="AR39" i="29"/>
  <c r="AR38" i="29"/>
  <c r="AR37" i="29"/>
  <c r="AR36" i="29"/>
  <c r="AQ70" i="17"/>
  <c r="AQ87" i="33" s="1"/>
  <c r="AP70" i="17"/>
  <c r="AP87" i="33" s="1"/>
  <c r="AO70" i="17"/>
  <c r="AO87" i="33" s="1"/>
  <c r="AN70" i="17"/>
  <c r="AN87" i="33" s="1"/>
  <c r="AM70" i="17"/>
  <c r="AM87" i="33" s="1"/>
  <c r="AL70" i="17"/>
  <c r="AL87" i="33" s="1"/>
  <c r="AK70" i="17"/>
  <c r="AK87" i="33" s="1"/>
  <c r="AJ70" i="17"/>
  <c r="AJ87" i="33" s="1"/>
  <c r="AI70" i="17"/>
  <c r="AI87" i="33" s="1"/>
  <c r="AH70" i="17"/>
  <c r="AH87" i="33" s="1"/>
  <c r="AG70" i="17"/>
  <c r="AG87" i="33" s="1"/>
  <c r="AF70" i="17"/>
  <c r="AF87" i="33" s="1"/>
  <c r="AE70" i="17"/>
  <c r="AE87" i="33" s="1"/>
  <c r="AD70" i="17"/>
  <c r="AD87" i="33" s="1"/>
  <c r="AC70" i="17"/>
  <c r="AC87" i="33" s="1"/>
  <c r="AB70" i="17"/>
  <c r="AB87" i="33" s="1"/>
  <c r="AA70" i="17"/>
  <c r="AA87" i="33" s="1"/>
  <c r="Z70" i="17"/>
  <c r="Z87" i="33" s="1"/>
  <c r="Y70" i="17"/>
  <c r="Y87" i="33" s="1"/>
  <c r="X70" i="17"/>
  <c r="X87" i="33" s="1"/>
  <c r="W70" i="17"/>
  <c r="W87" i="33" s="1"/>
  <c r="V70" i="17"/>
  <c r="V87" i="33" s="1"/>
  <c r="U70" i="17"/>
  <c r="U87" i="33" s="1"/>
  <c r="T70" i="17"/>
  <c r="T87" i="33" s="1"/>
  <c r="S70" i="17"/>
  <c r="S87" i="33" s="1"/>
  <c r="R70" i="17"/>
  <c r="R87" i="33" s="1"/>
  <c r="Q70" i="17"/>
  <c r="Q87" i="33" s="1"/>
  <c r="P70" i="17"/>
  <c r="P87" i="33" s="1"/>
  <c r="O70" i="17"/>
  <c r="O87" i="33" s="1"/>
  <c r="N70" i="17"/>
  <c r="N87" i="33" s="1"/>
  <c r="M70" i="17"/>
  <c r="M87" i="33" s="1"/>
  <c r="L70" i="17"/>
  <c r="L87" i="33" s="1"/>
  <c r="K70" i="17"/>
  <c r="K87" i="33" s="1"/>
  <c r="H70" i="17"/>
  <c r="H87" i="33" s="1"/>
  <c r="G70" i="17"/>
  <c r="G87" i="33" s="1"/>
  <c r="F70" i="17"/>
  <c r="F87" i="33" s="1"/>
  <c r="E70" i="17"/>
  <c r="E87" i="33" s="1"/>
  <c r="E111" i="33" s="1"/>
  <c r="E18" i="34" s="1"/>
  <c r="D70" i="17"/>
  <c r="D87" i="33" s="1"/>
  <c r="D111" i="33" s="1"/>
  <c r="D18" i="34" s="1"/>
  <c r="AR69" i="17"/>
  <c r="AR68" i="17"/>
  <c r="AR67" i="17"/>
  <c r="AR66" i="17"/>
  <c r="AR65" i="17"/>
  <c r="AR64" i="17"/>
  <c r="AR63" i="17"/>
  <c r="AR62" i="17"/>
  <c r="AR61" i="17"/>
  <c r="AR60" i="17"/>
  <c r="AR59" i="17"/>
  <c r="AR58" i="17"/>
  <c r="AR57" i="17"/>
  <c r="AR56" i="17"/>
  <c r="AR55" i="17"/>
  <c r="AR53" i="17"/>
  <c r="AR52" i="17"/>
  <c r="AR51" i="17"/>
  <c r="AR50" i="17"/>
  <c r="E48" i="12"/>
  <c r="D74" i="34" s="1"/>
  <c r="F48" i="12"/>
  <c r="E74" i="34" s="1"/>
  <c r="G48" i="12"/>
  <c r="F74" i="34" s="1"/>
  <c r="H48" i="12"/>
  <c r="I48" i="12"/>
  <c r="H74" i="34" s="1"/>
  <c r="J48" i="12"/>
  <c r="I74" i="34" s="1"/>
  <c r="K48" i="12"/>
  <c r="J74" i="34" s="1"/>
  <c r="L48" i="12"/>
  <c r="K74" i="34" s="1"/>
  <c r="M48" i="12"/>
  <c r="L74" i="34" s="1"/>
  <c r="N48" i="12"/>
  <c r="M74" i="34" s="1"/>
  <c r="O48" i="12"/>
  <c r="N74" i="34" s="1"/>
  <c r="P48" i="12"/>
  <c r="O74" i="34" s="1"/>
  <c r="AR47" i="12"/>
  <c r="S48" i="12"/>
  <c r="R74" i="34" s="1"/>
  <c r="T48" i="12"/>
  <c r="S74" i="34" s="1"/>
  <c r="U48" i="12"/>
  <c r="T74" i="34" s="1"/>
  <c r="V48" i="12"/>
  <c r="U74" i="34" s="1"/>
  <c r="W48" i="12"/>
  <c r="V74" i="34" s="1"/>
  <c r="X48" i="12"/>
  <c r="W74" i="34" s="1"/>
  <c r="Y48" i="12"/>
  <c r="X74" i="34" s="1"/>
  <c r="Z48" i="12"/>
  <c r="Y74" i="34" s="1"/>
  <c r="AA48" i="12"/>
  <c r="Z74" i="34" s="1"/>
  <c r="AB48" i="12"/>
  <c r="AA74" i="34" s="1"/>
  <c r="AC48" i="12"/>
  <c r="AB74" i="34" s="1"/>
  <c r="AD48" i="12"/>
  <c r="AC74" i="34" s="1"/>
  <c r="AE48" i="12"/>
  <c r="AD74" i="34" s="1"/>
  <c r="AF48" i="12"/>
  <c r="AE74" i="34" s="1"/>
  <c r="AG48" i="12"/>
  <c r="AF74" i="34" s="1"/>
  <c r="AH48" i="12"/>
  <c r="AG74" i="34" s="1"/>
  <c r="AI48" i="12"/>
  <c r="AH74" i="34" s="1"/>
  <c r="AJ48" i="12"/>
  <c r="AI74" i="34" s="1"/>
  <c r="AK48" i="12"/>
  <c r="AJ74" i="34" s="1"/>
  <c r="AL48" i="12"/>
  <c r="AK74" i="34" s="1"/>
  <c r="AM48" i="12"/>
  <c r="AL74" i="34" s="1"/>
  <c r="AN48" i="12"/>
  <c r="AM74" i="34" s="1"/>
  <c r="AO48" i="12"/>
  <c r="AN74" i="34" s="1"/>
  <c r="AP48" i="12"/>
  <c r="AO74" i="34" s="1"/>
  <c r="AQ48" i="12"/>
  <c r="AP74" i="34" s="1"/>
  <c r="AR48" i="12"/>
  <c r="AQ74" i="34" s="1"/>
  <c r="R48" i="12"/>
  <c r="Q74" i="34" s="1"/>
  <c r="Q48" i="12"/>
  <c r="P74" i="34" s="1"/>
  <c r="Q194" i="20"/>
  <c r="R194" i="20"/>
  <c r="S194" i="20"/>
  <c r="T194" i="20"/>
  <c r="U194" i="20"/>
  <c r="V194" i="20"/>
  <c r="W194" i="20"/>
  <c r="X194" i="20"/>
  <c r="Y194" i="20"/>
  <c r="Z194" i="20"/>
  <c r="AA194" i="20"/>
  <c r="AB194" i="20"/>
  <c r="AC194" i="20"/>
  <c r="AD194" i="20"/>
  <c r="AE194" i="20"/>
  <c r="AF194" i="20"/>
  <c r="AG194" i="20"/>
  <c r="AH194" i="20"/>
  <c r="AI194" i="20"/>
  <c r="AJ194" i="20"/>
  <c r="AK194" i="20"/>
  <c r="AL194" i="20"/>
  <c r="AM194" i="20"/>
  <c r="AN194" i="20"/>
  <c r="AO194" i="20"/>
  <c r="AP194" i="20"/>
  <c r="AQ194" i="20"/>
  <c r="D194" i="20"/>
  <c r="E194" i="20"/>
  <c r="F194" i="20"/>
  <c r="G194" i="20"/>
  <c r="H194" i="20"/>
  <c r="I194" i="20"/>
  <c r="J194" i="20"/>
  <c r="K194" i="20"/>
  <c r="L194" i="20"/>
  <c r="M194" i="20"/>
  <c r="N194" i="20"/>
  <c r="O194" i="20"/>
  <c r="P194" i="20"/>
  <c r="P24" i="20"/>
  <c r="O8" i="35"/>
  <c r="Q8" i="35"/>
  <c r="R8" i="35"/>
  <c r="S8" i="35"/>
  <c r="T8" i="35"/>
  <c r="T33" i="35" s="1"/>
  <c r="U8" i="35"/>
  <c r="U33" i="35" s="1"/>
  <c r="V8" i="35"/>
  <c r="W8" i="35"/>
  <c r="W30" i="35" s="1"/>
  <c r="X8" i="35"/>
  <c r="X33" i="35" s="1"/>
  <c r="Y8" i="35"/>
  <c r="Y33" i="35" s="1"/>
  <c r="Z8" i="35"/>
  <c r="Z51" i="35" s="1"/>
  <c r="M30" i="35"/>
  <c r="M37" i="35" s="1"/>
  <c r="M50" i="35" s="1"/>
  <c r="L30" i="35"/>
  <c r="L37" i="35" s="1"/>
  <c r="L50" i="35" s="1"/>
  <c r="I30" i="35"/>
  <c r="I37" i="35" s="1"/>
  <c r="I50" i="35" s="1"/>
  <c r="J30" i="35"/>
  <c r="J37" i="35" s="1"/>
  <c r="J50" i="35" s="1"/>
  <c r="I33" i="35"/>
  <c r="I39" i="35" s="1"/>
  <c r="I57" i="35" s="1"/>
  <c r="J33" i="35"/>
  <c r="J39" i="35" s="1"/>
  <c r="J52" i="35" s="1"/>
  <c r="D30" i="35"/>
  <c r="D37" i="35"/>
  <c r="D50" i="35" s="1"/>
  <c r="E30" i="35"/>
  <c r="E37" i="35" s="1"/>
  <c r="E50" i="35" s="1"/>
  <c r="D32" i="35"/>
  <c r="E32" i="35"/>
  <c r="D33" i="35"/>
  <c r="D39" i="35" s="1"/>
  <c r="D52" i="35" s="1"/>
  <c r="E33" i="35"/>
  <c r="D23" i="35"/>
  <c r="D56" i="35"/>
  <c r="E23" i="35"/>
  <c r="E56" i="35"/>
  <c r="F23" i="35"/>
  <c r="F56" i="35"/>
  <c r="G23" i="35"/>
  <c r="G56" i="35"/>
  <c r="H23" i="35"/>
  <c r="H56" i="35"/>
  <c r="I23" i="35"/>
  <c r="I56" i="35"/>
  <c r="J23" i="35"/>
  <c r="J56" i="35"/>
  <c r="C23" i="35"/>
  <c r="C56" i="35"/>
  <c r="K19" i="35"/>
  <c r="I38" i="35"/>
  <c r="E17" i="20"/>
  <c r="F17" i="20"/>
  <c r="G17" i="20"/>
  <c r="H17" i="20"/>
  <c r="I17" i="20"/>
  <c r="J17" i="20"/>
  <c r="K17" i="20"/>
  <c r="L17" i="20"/>
  <c r="E18" i="20"/>
  <c r="F18" i="20"/>
  <c r="G18" i="20"/>
  <c r="H18" i="20"/>
  <c r="I18" i="20"/>
  <c r="J18" i="20"/>
  <c r="K18" i="20"/>
  <c r="E19" i="20"/>
  <c r="F19" i="20"/>
  <c r="G19" i="20"/>
  <c r="H19" i="20"/>
  <c r="I19" i="20"/>
  <c r="J19" i="20"/>
  <c r="K19" i="20"/>
  <c r="E20" i="20"/>
  <c r="F20" i="20"/>
  <c r="G20" i="20"/>
  <c r="H20" i="20"/>
  <c r="I20" i="20"/>
  <c r="J20" i="20"/>
  <c r="K20" i="20"/>
  <c r="E21" i="20"/>
  <c r="F21" i="20"/>
  <c r="G21" i="20"/>
  <c r="H21" i="20"/>
  <c r="I21" i="20"/>
  <c r="J21" i="20"/>
  <c r="K21" i="20"/>
  <c r="L21" i="20"/>
  <c r="M21" i="20"/>
  <c r="E22" i="20"/>
  <c r="F22" i="20"/>
  <c r="G22" i="20"/>
  <c r="H22" i="20"/>
  <c r="I22" i="20"/>
  <c r="J22" i="20"/>
  <c r="K22" i="20"/>
  <c r="L22" i="20"/>
  <c r="M22" i="20"/>
  <c r="E24" i="20"/>
  <c r="F24" i="20"/>
  <c r="G24" i="20"/>
  <c r="H24" i="20"/>
  <c r="I24" i="20"/>
  <c r="J24" i="20"/>
  <c r="K24" i="20"/>
  <c r="L24" i="20"/>
  <c r="M24" i="20"/>
  <c r="M20" i="20"/>
  <c r="M19" i="20"/>
  <c r="M18" i="20"/>
  <c r="M17" i="20"/>
  <c r="M193" i="20"/>
  <c r="N193" i="20"/>
  <c r="O193" i="20"/>
  <c r="P193" i="20"/>
  <c r="Q193" i="20"/>
  <c r="R193" i="20"/>
  <c r="S193" i="20"/>
  <c r="T193" i="20"/>
  <c r="U193" i="20"/>
  <c r="V193" i="20"/>
  <c r="W193" i="20"/>
  <c r="X193" i="20"/>
  <c r="Y193" i="20"/>
  <c r="Z193" i="20"/>
  <c r="AA193" i="20"/>
  <c r="AB193" i="20"/>
  <c r="AC193" i="20"/>
  <c r="AD193" i="20"/>
  <c r="AE193" i="20"/>
  <c r="AF193" i="20"/>
  <c r="AG193" i="20"/>
  <c r="AH193" i="20"/>
  <c r="AI193" i="20"/>
  <c r="AJ193" i="20"/>
  <c r="AK193" i="20"/>
  <c r="AL193" i="20"/>
  <c r="AM193" i="20"/>
  <c r="AN193" i="20"/>
  <c r="AO193" i="20"/>
  <c r="AP193" i="20"/>
  <c r="AQ193" i="20"/>
  <c r="E193" i="20"/>
  <c r="F193" i="20"/>
  <c r="G193" i="20"/>
  <c r="H193" i="20"/>
  <c r="I193" i="20"/>
  <c r="J193" i="20"/>
  <c r="K193" i="20"/>
  <c r="L18" i="20"/>
  <c r="L19" i="20"/>
  <c r="L20" i="20"/>
  <c r="D191" i="20"/>
  <c r="E191" i="20"/>
  <c r="F191" i="20"/>
  <c r="G191" i="20"/>
  <c r="H191" i="20"/>
  <c r="I191" i="20"/>
  <c r="J191" i="20"/>
  <c r="D192" i="20"/>
  <c r="D193" i="20"/>
  <c r="D195" i="20"/>
  <c r="E195" i="20"/>
  <c r="F195" i="20"/>
  <c r="G195" i="20"/>
  <c r="H195" i="20"/>
  <c r="I195" i="20"/>
  <c r="J195" i="20"/>
  <c r="D196" i="20"/>
  <c r="E196" i="20"/>
  <c r="F196" i="20"/>
  <c r="G196" i="20"/>
  <c r="H196" i="20"/>
  <c r="I196" i="20"/>
  <c r="J196" i="20"/>
  <c r="D197" i="20"/>
  <c r="E197" i="20"/>
  <c r="F197" i="20"/>
  <c r="G197" i="20"/>
  <c r="H197" i="20"/>
  <c r="I197" i="20"/>
  <c r="J197" i="20"/>
  <c r="D176" i="20"/>
  <c r="E176" i="20"/>
  <c r="F176" i="20"/>
  <c r="G176" i="20"/>
  <c r="H176" i="20"/>
  <c r="I176" i="20"/>
  <c r="J176" i="20"/>
  <c r="D185" i="20"/>
  <c r="E185" i="20"/>
  <c r="F185" i="20"/>
  <c r="G185" i="20"/>
  <c r="H185" i="20"/>
  <c r="I185" i="20"/>
  <c r="J185" i="20"/>
  <c r="D167" i="20"/>
  <c r="E167" i="20"/>
  <c r="F167" i="20"/>
  <c r="G167" i="20"/>
  <c r="H167" i="20"/>
  <c r="I167" i="20"/>
  <c r="J167" i="20"/>
  <c r="D158" i="20"/>
  <c r="E158" i="20"/>
  <c r="F158" i="20"/>
  <c r="G158" i="20"/>
  <c r="H158" i="20"/>
  <c r="I158" i="20"/>
  <c r="J158" i="20"/>
  <c r="D148" i="20"/>
  <c r="D149" i="20" s="1"/>
  <c r="E148" i="20"/>
  <c r="E149" i="20" s="1"/>
  <c r="F148" i="20"/>
  <c r="F149" i="20" s="1"/>
  <c r="G148" i="20"/>
  <c r="G149" i="20" s="1"/>
  <c r="H148" i="20"/>
  <c r="H149" i="20" s="1"/>
  <c r="I148" i="20"/>
  <c r="I149" i="20" s="1"/>
  <c r="J148" i="20"/>
  <c r="J149" i="20" s="1"/>
  <c r="D136" i="20"/>
  <c r="D137" i="20" s="1"/>
  <c r="E136" i="20"/>
  <c r="E137" i="20" s="1"/>
  <c r="F136" i="20"/>
  <c r="F137" i="20" s="1"/>
  <c r="G136" i="20"/>
  <c r="G137" i="20" s="1"/>
  <c r="H136" i="20"/>
  <c r="H137" i="20" s="1"/>
  <c r="I136" i="20"/>
  <c r="I137" i="20" s="1"/>
  <c r="J136" i="20"/>
  <c r="J137" i="20" s="1"/>
  <c r="D124" i="20"/>
  <c r="D125" i="20" s="1"/>
  <c r="E124" i="20"/>
  <c r="E125" i="20" s="1"/>
  <c r="F124" i="20"/>
  <c r="G124" i="20"/>
  <c r="G125" i="20" s="1"/>
  <c r="H124" i="20"/>
  <c r="H125" i="20" s="1"/>
  <c r="I124" i="20"/>
  <c r="I125" i="20" s="1"/>
  <c r="J124" i="20"/>
  <c r="J125" i="20" s="1"/>
  <c r="F125" i="20"/>
  <c r="D111" i="20"/>
  <c r="D113" i="20" s="1"/>
  <c r="D114" i="20" s="1"/>
  <c r="E111" i="20"/>
  <c r="E23" i="20" s="1"/>
  <c r="F111" i="20"/>
  <c r="F23" i="20" s="1"/>
  <c r="G111" i="20"/>
  <c r="G113" i="20" s="1"/>
  <c r="G114" i="20" s="1"/>
  <c r="H111" i="20"/>
  <c r="H113" i="20" s="1"/>
  <c r="H114" i="20" s="1"/>
  <c r="I111" i="20"/>
  <c r="I23" i="20" s="1"/>
  <c r="J111" i="20"/>
  <c r="D101" i="20"/>
  <c r="D102" i="20" s="1"/>
  <c r="E101" i="20"/>
  <c r="E102" i="20" s="1"/>
  <c r="F101" i="20"/>
  <c r="F102" i="20" s="1"/>
  <c r="G101" i="20"/>
  <c r="G102" i="20" s="1"/>
  <c r="H101" i="20"/>
  <c r="H102" i="20" s="1"/>
  <c r="I101" i="20"/>
  <c r="I102" i="20" s="1"/>
  <c r="J101" i="20"/>
  <c r="J102" i="20" s="1"/>
  <c r="D90" i="20"/>
  <c r="D91" i="20" s="1"/>
  <c r="E90" i="20"/>
  <c r="E91" i="20" s="1"/>
  <c r="F90" i="20"/>
  <c r="F91" i="20" s="1"/>
  <c r="G90" i="20"/>
  <c r="G91" i="20" s="1"/>
  <c r="H90" i="20"/>
  <c r="H91" i="20" s="1"/>
  <c r="I90" i="20"/>
  <c r="I91" i="20" s="1"/>
  <c r="J90" i="20"/>
  <c r="J91" i="20" s="1"/>
  <c r="D79" i="20"/>
  <c r="D80" i="20" s="1"/>
  <c r="E79" i="20"/>
  <c r="E80" i="20" s="1"/>
  <c r="F79" i="20"/>
  <c r="F80" i="20" s="1"/>
  <c r="G79" i="20"/>
  <c r="G80" i="20" s="1"/>
  <c r="H79" i="20"/>
  <c r="H80" i="20" s="1"/>
  <c r="I79" i="20"/>
  <c r="I80" i="20" s="1"/>
  <c r="J79" i="20"/>
  <c r="J80" i="20" s="1"/>
  <c r="D68" i="20"/>
  <c r="D69" i="20" s="1"/>
  <c r="E68" i="20"/>
  <c r="E192" i="20" s="1"/>
  <c r="F68" i="20"/>
  <c r="F69" i="20" s="1"/>
  <c r="G68" i="20"/>
  <c r="G69" i="20" s="1"/>
  <c r="H68" i="20"/>
  <c r="H192" i="20" s="1"/>
  <c r="I68" i="20"/>
  <c r="I192" i="20" s="1"/>
  <c r="J68" i="20"/>
  <c r="J69" i="20" s="1"/>
  <c r="D45" i="20"/>
  <c r="C53" i="14" s="1"/>
  <c r="E45" i="20"/>
  <c r="D53" i="14" s="1"/>
  <c r="F45" i="20"/>
  <c r="F56" i="20" s="1"/>
  <c r="E57" i="14" s="1"/>
  <c r="G45" i="20"/>
  <c r="G56" i="20" s="1"/>
  <c r="F57" i="14" s="1"/>
  <c r="H45" i="20"/>
  <c r="G53" i="14" s="1"/>
  <c r="I45" i="20"/>
  <c r="I56" i="20" s="1"/>
  <c r="H57" i="14" s="1"/>
  <c r="J45" i="20"/>
  <c r="J56" i="20" s="1"/>
  <c r="I57" i="14" s="1"/>
  <c r="I69" i="20"/>
  <c r="H23" i="20"/>
  <c r="F113" i="20"/>
  <c r="F114" i="20" s="1"/>
  <c r="AS14" i="12"/>
  <c r="Z85" i="10"/>
  <c r="AA85" i="10"/>
  <c r="AB85" i="10"/>
  <c r="AC85" i="10"/>
  <c r="AD85" i="10"/>
  <c r="AE85" i="10"/>
  <c r="AF85" i="10"/>
  <c r="AG85" i="10"/>
  <c r="AH85" i="10"/>
  <c r="AI85" i="10"/>
  <c r="AJ85" i="10"/>
  <c r="AK85" i="10"/>
  <c r="AL85" i="10"/>
  <c r="AM85" i="10"/>
  <c r="AN85" i="10"/>
  <c r="AO85" i="10"/>
  <c r="AP85" i="10"/>
  <c r="AQ85" i="10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Z75" i="34"/>
  <c r="AA75" i="34"/>
  <c r="AB75" i="34"/>
  <c r="AC75" i="34"/>
  <c r="AD75" i="34"/>
  <c r="AE75" i="34"/>
  <c r="AF75" i="34"/>
  <c r="AG75" i="34"/>
  <c r="AH75" i="34"/>
  <c r="AI75" i="34"/>
  <c r="AJ75" i="34"/>
  <c r="AK75" i="34"/>
  <c r="AL75" i="34"/>
  <c r="AM75" i="34"/>
  <c r="AN75" i="34"/>
  <c r="AO75" i="34"/>
  <c r="AP75" i="34"/>
  <c r="AQ75" i="34"/>
  <c r="AQ13" i="12"/>
  <c r="AM13" i="12"/>
  <c r="AI13" i="12"/>
  <c r="AE13" i="12"/>
  <c r="AA13" i="12"/>
  <c r="W13" i="12"/>
  <c r="S13" i="12"/>
  <c r="AP13" i="12"/>
  <c r="AL13" i="12"/>
  <c r="AH13" i="12"/>
  <c r="AD13" i="12"/>
  <c r="Z13" i="12"/>
  <c r="V13" i="12"/>
  <c r="R13" i="12"/>
  <c r="AO13" i="12"/>
  <c r="AK13" i="12"/>
  <c r="AG13" i="12"/>
  <c r="AC13" i="12"/>
  <c r="Y13" i="12"/>
  <c r="U13" i="12"/>
  <c r="Q13" i="12"/>
  <c r="AR13" i="12"/>
  <c r="AN13" i="12"/>
  <c r="AJ13" i="12"/>
  <c r="AF13" i="12"/>
  <c r="AB13" i="12"/>
  <c r="X13" i="12"/>
  <c r="T13" i="12"/>
  <c r="D47" i="32"/>
  <c r="E47" i="32"/>
  <c r="F47" i="32"/>
  <c r="G47" i="32"/>
  <c r="H47" i="32"/>
  <c r="I47" i="32"/>
  <c r="J47" i="32"/>
  <c r="K47" i="32"/>
  <c r="L47" i="32"/>
  <c r="M47" i="32"/>
  <c r="N47" i="32"/>
  <c r="O47" i="32"/>
  <c r="P47" i="32"/>
  <c r="Q47" i="32"/>
  <c r="R47" i="32"/>
  <c r="S47" i="32"/>
  <c r="T47" i="32"/>
  <c r="U47" i="32"/>
  <c r="V47" i="32"/>
  <c r="W47" i="32"/>
  <c r="X47" i="32"/>
  <c r="Y47" i="32"/>
  <c r="Z47" i="32"/>
  <c r="AA47" i="32"/>
  <c r="AB47" i="32"/>
  <c r="AC47" i="32"/>
  <c r="AD47" i="32"/>
  <c r="AE47" i="32"/>
  <c r="AF47" i="32"/>
  <c r="AG47" i="32"/>
  <c r="AH47" i="32"/>
  <c r="AI47" i="32"/>
  <c r="AJ47" i="32"/>
  <c r="AK47" i="32"/>
  <c r="AL47" i="32"/>
  <c r="AM47" i="32"/>
  <c r="AN47" i="32"/>
  <c r="AO47" i="32"/>
  <c r="AP47" i="32"/>
  <c r="AQ47" i="32"/>
  <c r="D16" i="35"/>
  <c r="D22" i="35" s="1"/>
  <c r="D55" i="35" s="1"/>
  <c r="E16" i="35"/>
  <c r="E22" i="35" s="1"/>
  <c r="E55" i="35" s="1"/>
  <c r="I16" i="35"/>
  <c r="I22" i="35" s="1"/>
  <c r="I55" i="35" s="1"/>
  <c r="J16" i="35"/>
  <c r="J22" i="35" s="1"/>
  <c r="J55" i="35" s="1"/>
  <c r="M22" i="35"/>
  <c r="M55" i="35" s="1"/>
  <c r="D18" i="35"/>
  <c r="D24" i="35" s="1"/>
  <c r="D57" i="35" s="1"/>
  <c r="E18" i="35"/>
  <c r="F18" i="35"/>
  <c r="G18" i="35"/>
  <c r="H18" i="35"/>
  <c r="H24" i="35" s="1"/>
  <c r="I18" i="35"/>
  <c r="J18" i="35"/>
  <c r="K18" i="35"/>
  <c r="D19" i="35"/>
  <c r="E19" i="35"/>
  <c r="F19" i="35"/>
  <c r="F33" i="35"/>
  <c r="G19" i="35"/>
  <c r="G33" i="35"/>
  <c r="H19" i="35"/>
  <c r="H33" i="35"/>
  <c r="I19" i="35"/>
  <c r="J19" i="35"/>
  <c r="C19" i="35"/>
  <c r="C18" i="35"/>
  <c r="C16" i="35"/>
  <c r="C22" i="35" s="1"/>
  <c r="C55" i="35" s="1"/>
  <c r="N30" i="35"/>
  <c r="N37" i="35" s="1"/>
  <c r="N50" i="35" s="1"/>
  <c r="L33" i="35"/>
  <c r="M33" i="35"/>
  <c r="N33" i="35"/>
  <c r="C33" i="35"/>
  <c r="C32" i="35"/>
  <c r="C30" i="35"/>
  <c r="C37" i="35" s="1"/>
  <c r="C50" i="35" s="1"/>
  <c r="D8" i="35"/>
  <c r="E8" i="35"/>
  <c r="F8" i="35"/>
  <c r="F52" i="35" s="1"/>
  <c r="G8" i="35"/>
  <c r="G52" i="35" s="1"/>
  <c r="H8" i="35"/>
  <c r="H52" i="35" s="1"/>
  <c r="I8" i="35"/>
  <c r="I52" i="35" s="1"/>
  <c r="J8" i="35"/>
  <c r="K8" i="35"/>
  <c r="L8" i="35"/>
  <c r="M8" i="35"/>
  <c r="N8" i="35"/>
  <c r="C8" i="35"/>
  <c r="J85" i="10"/>
  <c r="E85" i="10"/>
  <c r="K85" i="10"/>
  <c r="F85" i="10"/>
  <c r="I51" i="35"/>
  <c r="J75" i="11"/>
  <c r="H77" i="11"/>
  <c r="I77" i="11"/>
  <c r="J77" i="11"/>
  <c r="F75" i="11"/>
  <c r="K13" i="12"/>
  <c r="D85" i="10"/>
  <c r="L13" i="12"/>
  <c r="D75" i="11"/>
  <c r="E13" i="12"/>
  <c r="AS12" i="12"/>
  <c r="N13" i="12"/>
  <c r="P13" i="12"/>
  <c r="O13" i="12"/>
  <c r="G13" i="12"/>
  <c r="E75" i="11"/>
  <c r="F13" i="12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J99" i="14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AF113" i="14"/>
  <c r="AG113" i="14"/>
  <c r="AH113" i="14"/>
  <c r="AI113" i="14"/>
  <c r="AJ113" i="14"/>
  <c r="AK113" i="14"/>
  <c r="AL113" i="14"/>
  <c r="AM113" i="14"/>
  <c r="AN113" i="14"/>
  <c r="AO113" i="14"/>
  <c r="AP113" i="14"/>
  <c r="J113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AP82" i="14"/>
  <c r="J82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J66" i="14"/>
  <c r="F47" i="12"/>
  <c r="E74" i="11" s="1"/>
  <c r="G47" i="12"/>
  <c r="F74" i="11" s="1"/>
  <c r="H47" i="12"/>
  <c r="G74" i="11" s="1"/>
  <c r="I47" i="12"/>
  <c r="H74" i="11" s="1"/>
  <c r="J47" i="12"/>
  <c r="I74" i="11" s="1"/>
  <c r="K47" i="12"/>
  <c r="J74" i="11" s="1"/>
  <c r="F34" i="12"/>
  <c r="G34" i="12"/>
  <c r="H34" i="12"/>
  <c r="H41" i="12" s="1"/>
  <c r="I34" i="12"/>
  <c r="J34" i="12"/>
  <c r="K34" i="12"/>
  <c r="H49" i="32"/>
  <c r="L49" i="32"/>
  <c r="P49" i="32"/>
  <c r="T49" i="32"/>
  <c r="X49" i="32"/>
  <c r="AB49" i="32"/>
  <c r="AF49" i="32"/>
  <c r="AJ49" i="32"/>
  <c r="AN49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W23" i="32"/>
  <c r="X23" i="32"/>
  <c r="Y23" i="32"/>
  <c r="Z23" i="32"/>
  <c r="AA23" i="32"/>
  <c r="AB23" i="32"/>
  <c r="AC23" i="32"/>
  <c r="AD23" i="32"/>
  <c r="AE23" i="32"/>
  <c r="AF23" i="32"/>
  <c r="AG23" i="32"/>
  <c r="AH23" i="32"/>
  <c r="AI23" i="32"/>
  <c r="AJ23" i="32"/>
  <c r="AK23" i="32"/>
  <c r="AL23" i="32"/>
  <c r="AM23" i="32"/>
  <c r="AN23" i="32"/>
  <c r="AO23" i="32"/>
  <c r="AP23" i="32"/>
  <c r="AQ23" i="32"/>
  <c r="E49" i="32"/>
  <c r="F49" i="32"/>
  <c r="G49" i="32"/>
  <c r="I49" i="32"/>
  <c r="J49" i="32"/>
  <c r="K49" i="32"/>
  <c r="M49" i="32"/>
  <c r="N49" i="32"/>
  <c r="O49" i="32"/>
  <c r="Q49" i="32"/>
  <c r="R49" i="32"/>
  <c r="S49" i="32"/>
  <c r="U49" i="32"/>
  <c r="V49" i="32"/>
  <c r="W49" i="32"/>
  <c r="Y49" i="32"/>
  <c r="Z49" i="32"/>
  <c r="AA49" i="32"/>
  <c r="AC49" i="32"/>
  <c r="AD49" i="32"/>
  <c r="AE49" i="32"/>
  <c r="AG49" i="32"/>
  <c r="AH49" i="32"/>
  <c r="AI49" i="32"/>
  <c r="AK49" i="32"/>
  <c r="AL49" i="32"/>
  <c r="AM49" i="32"/>
  <c r="AO49" i="32"/>
  <c r="AP49" i="32"/>
  <c r="AQ49" i="32"/>
  <c r="D23" i="32"/>
  <c r="D87" i="10"/>
  <c r="E87" i="10"/>
  <c r="F87" i="10"/>
  <c r="G87" i="10"/>
  <c r="H87" i="10"/>
  <c r="I87" i="10"/>
  <c r="J87" i="10"/>
  <c r="E71" i="10"/>
  <c r="F71" i="10"/>
  <c r="G71" i="10"/>
  <c r="H71" i="10"/>
  <c r="I71" i="10"/>
  <c r="J71" i="10"/>
  <c r="K71" i="10"/>
  <c r="E49" i="10"/>
  <c r="E74" i="10"/>
  <c r="G49" i="10"/>
  <c r="G74" i="10"/>
  <c r="H49" i="10"/>
  <c r="H74" i="10"/>
  <c r="I49" i="10"/>
  <c r="I74" i="10"/>
  <c r="J49" i="10"/>
  <c r="J74" i="10"/>
  <c r="D76" i="11"/>
  <c r="E76" i="11"/>
  <c r="F76" i="11"/>
  <c r="G76" i="11"/>
  <c r="H76" i="11"/>
  <c r="I76" i="11"/>
  <c r="J76" i="11"/>
  <c r="E69" i="11"/>
  <c r="F69" i="11"/>
  <c r="G69" i="11"/>
  <c r="H69" i="11"/>
  <c r="I69" i="11"/>
  <c r="J69" i="11"/>
  <c r="K69" i="11"/>
  <c r="R69" i="34"/>
  <c r="Q69" i="34"/>
  <c r="P69" i="34"/>
  <c r="O69" i="34"/>
  <c r="N69" i="34"/>
  <c r="M69" i="34"/>
  <c r="L69" i="34"/>
  <c r="K69" i="34"/>
  <c r="J69" i="34"/>
  <c r="I69" i="34"/>
  <c r="H69" i="34"/>
  <c r="G69" i="34"/>
  <c r="F69" i="34"/>
  <c r="E69" i="34"/>
  <c r="S69" i="34"/>
  <c r="T69" i="34"/>
  <c r="U69" i="34"/>
  <c r="V69" i="34"/>
  <c r="W69" i="34"/>
  <c r="X69" i="34"/>
  <c r="Y69" i="34"/>
  <c r="Z69" i="34"/>
  <c r="AA69" i="34"/>
  <c r="AB69" i="34"/>
  <c r="AC69" i="34"/>
  <c r="AD69" i="34"/>
  <c r="AE69" i="34"/>
  <c r="AF69" i="34"/>
  <c r="AG69" i="34"/>
  <c r="AH69" i="34"/>
  <c r="AI69" i="34"/>
  <c r="AJ69" i="34"/>
  <c r="AK69" i="34"/>
  <c r="AL69" i="34"/>
  <c r="AM69" i="34"/>
  <c r="AN69" i="34"/>
  <c r="AO69" i="34"/>
  <c r="AP69" i="34"/>
  <c r="AQ69" i="34"/>
  <c r="G50" i="33"/>
  <c r="F50" i="33"/>
  <c r="E53" i="33"/>
  <c r="E100" i="33"/>
  <c r="E7" i="34"/>
  <c r="F53" i="33"/>
  <c r="F100" i="33" s="1"/>
  <c r="F7" i="34" s="1"/>
  <c r="G53" i="33"/>
  <c r="H53" i="33"/>
  <c r="H100" i="33" s="1"/>
  <c r="H7" i="34" s="1"/>
  <c r="I53" i="33"/>
  <c r="I100" i="33" s="1"/>
  <c r="I7" i="34" s="1"/>
  <c r="E55" i="33"/>
  <c r="E102" i="33"/>
  <c r="E9" i="34"/>
  <c r="F55" i="33"/>
  <c r="F102" i="33" s="1"/>
  <c r="F9" i="34" s="1"/>
  <c r="G55" i="33"/>
  <c r="G102" i="33" s="1"/>
  <c r="G9" i="34" s="1"/>
  <c r="H55" i="33"/>
  <c r="H102" i="33" s="1"/>
  <c r="H9" i="34" s="1"/>
  <c r="I55" i="33"/>
  <c r="J55" i="33"/>
  <c r="J102" i="33" s="1"/>
  <c r="J9" i="34" s="1"/>
  <c r="E56" i="33"/>
  <c r="E103" i="33"/>
  <c r="E10" i="34"/>
  <c r="F56" i="33"/>
  <c r="G56" i="33"/>
  <c r="G103" i="33"/>
  <c r="G10" i="34" s="1"/>
  <c r="H56" i="33"/>
  <c r="H103" i="33" s="1"/>
  <c r="H10" i="34" s="1"/>
  <c r="I56" i="33"/>
  <c r="I103" i="33" s="1"/>
  <c r="I10" i="34" s="1"/>
  <c r="J56" i="33"/>
  <c r="J103" i="33" s="1"/>
  <c r="J10" i="34"/>
  <c r="E57" i="33"/>
  <c r="E104" i="33"/>
  <c r="E11" i="34"/>
  <c r="F57" i="33"/>
  <c r="F104" i="33" s="1"/>
  <c r="F11" i="34" s="1"/>
  <c r="G57" i="33"/>
  <c r="G104" i="33"/>
  <c r="G11" i="34" s="1"/>
  <c r="H57" i="33"/>
  <c r="I57" i="33"/>
  <c r="I104" i="33" s="1"/>
  <c r="I11" i="34" s="1"/>
  <c r="J57" i="33"/>
  <c r="E58" i="33"/>
  <c r="E105" i="33"/>
  <c r="E12" i="34"/>
  <c r="F58" i="33"/>
  <c r="G58" i="33"/>
  <c r="G105" i="33" s="1"/>
  <c r="G12" i="34" s="1"/>
  <c r="H58" i="33"/>
  <c r="H105" i="33" s="1"/>
  <c r="H12" i="34" s="1"/>
  <c r="I58" i="33"/>
  <c r="I105" i="33" s="1"/>
  <c r="I12" i="34" s="1"/>
  <c r="J58" i="33"/>
  <c r="J105" i="33" s="1"/>
  <c r="J12" i="34" s="1"/>
  <c r="E59" i="33"/>
  <c r="E106" i="33"/>
  <c r="E13" i="34"/>
  <c r="F59" i="33"/>
  <c r="F106" i="33" s="1"/>
  <c r="F13" i="34" s="1"/>
  <c r="G59" i="33"/>
  <c r="G106" i="33"/>
  <c r="G13" i="34" s="1"/>
  <c r="G36" i="34" s="1"/>
  <c r="H59" i="33"/>
  <c r="I59" i="33"/>
  <c r="I106" i="33" s="1"/>
  <c r="I13" i="34" s="1"/>
  <c r="J59" i="33"/>
  <c r="J106" i="33"/>
  <c r="J13" i="34"/>
  <c r="E60" i="33"/>
  <c r="E107" i="33"/>
  <c r="E14" i="34"/>
  <c r="F60" i="33"/>
  <c r="G60" i="33"/>
  <c r="G107" i="33" s="1"/>
  <c r="G14" i="34" s="1"/>
  <c r="G37" i="34" s="1"/>
  <c r="H60" i="33"/>
  <c r="H107" i="33" s="1"/>
  <c r="H14" i="34"/>
  <c r="H37" i="34" s="1"/>
  <c r="I60" i="33"/>
  <c r="I107" i="33"/>
  <c r="I14" i="34" s="1"/>
  <c r="J60" i="33"/>
  <c r="J107" i="33" s="1"/>
  <c r="J14" i="34" s="1"/>
  <c r="E61" i="33"/>
  <c r="E108" i="33"/>
  <c r="E15" i="34"/>
  <c r="F61" i="33"/>
  <c r="F108" i="33"/>
  <c r="F15" i="34"/>
  <c r="G61" i="33"/>
  <c r="G108" i="33" s="1"/>
  <c r="G15" i="34" s="1"/>
  <c r="H61" i="33"/>
  <c r="H108" i="33" s="1"/>
  <c r="H15" i="34" s="1"/>
  <c r="I61" i="33"/>
  <c r="I108" i="33"/>
  <c r="I15" i="34" s="1"/>
  <c r="J61" i="33"/>
  <c r="J108" i="33" s="1"/>
  <c r="J15" i="34" s="1"/>
  <c r="J38" i="34" s="1"/>
  <c r="E62" i="33"/>
  <c r="F62" i="33"/>
  <c r="G62" i="33"/>
  <c r="G109" i="33" s="1"/>
  <c r="G16" i="34" s="1"/>
  <c r="H62" i="33"/>
  <c r="H109" i="33" s="1"/>
  <c r="H16" i="34" s="1"/>
  <c r="I62" i="33"/>
  <c r="I109" i="33" s="1"/>
  <c r="I16" i="34" s="1"/>
  <c r="J62" i="33"/>
  <c r="J109" i="33" s="1"/>
  <c r="J16" i="34" s="1"/>
  <c r="E63" i="33"/>
  <c r="E110" i="33"/>
  <c r="E17" i="34"/>
  <c r="F63" i="33"/>
  <c r="F110" i="33" s="1"/>
  <c r="F17" i="34" s="1"/>
  <c r="G63" i="33"/>
  <c r="G110" i="33"/>
  <c r="G17" i="34" s="1"/>
  <c r="H63" i="33"/>
  <c r="H110" i="33" s="1"/>
  <c r="H17" i="34" s="1"/>
  <c r="I63" i="33"/>
  <c r="I110" i="33"/>
  <c r="I17" i="34"/>
  <c r="J63" i="33"/>
  <c r="J110" i="33"/>
  <c r="J17" i="34" s="1"/>
  <c r="E65" i="33"/>
  <c r="E112" i="33"/>
  <c r="E19" i="34"/>
  <c r="F65" i="33"/>
  <c r="F112" i="33"/>
  <c r="F19" i="34" s="1"/>
  <c r="G65" i="33"/>
  <c r="G112" i="33" s="1"/>
  <c r="G19" i="34" s="1"/>
  <c r="G42" i="34" s="1"/>
  <c r="H65" i="33"/>
  <c r="H112" i="33" s="1"/>
  <c r="H19" i="34" s="1"/>
  <c r="I65" i="33"/>
  <c r="I112" i="33" s="1"/>
  <c r="I19" i="34" s="1"/>
  <c r="J65" i="33"/>
  <c r="J112" i="33" s="1"/>
  <c r="J19" i="34" s="1"/>
  <c r="E66" i="33"/>
  <c r="E113" i="33"/>
  <c r="E20" i="34"/>
  <c r="E43" i="34"/>
  <c r="F66" i="33"/>
  <c r="F113" i="33"/>
  <c r="F20" i="34"/>
  <c r="G66" i="33"/>
  <c r="G113" i="33" s="1"/>
  <c r="G20" i="34" s="1"/>
  <c r="H66" i="33"/>
  <c r="H113" i="33"/>
  <c r="H20" i="34" s="1"/>
  <c r="I66" i="33"/>
  <c r="I113" i="33" s="1"/>
  <c r="I20" i="34" s="1"/>
  <c r="J66" i="33"/>
  <c r="J113" i="33" s="1"/>
  <c r="J20" i="34" s="1"/>
  <c r="J43" i="34" s="1"/>
  <c r="E68" i="33"/>
  <c r="E115" i="33"/>
  <c r="E22" i="34"/>
  <c r="F68" i="33"/>
  <c r="G68" i="33"/>
  <c r="G115" i="33" s="1"/>
  <c r="G22" i="34" s="1"/>
  <c r="G45" i="34" s="1"/>
  <c r="H68" i="33"/>
  <c r="H115" i="33" s="1"/>
  <c r="H22" i="34" s="1"/>
  <c r="I68" i="33"/>
  <c r="I115" i="33" s="1"/>
  <c r="I22" i="34" s="1"/>
  <c r="J68" i="33"/>
  <c r="J115" i="33" s="1"/>
  <c r="J22" i="34" s="1"/>
  <c r="J45" i="34" s="1"/>
  <c r="G100" i="33"/>
  <c r="G7" i="34" s="1"/>
  <c r="I102" i="33"/>
  <c r="I9" i="34" s="1"/>
  <c r="F103" i="33"/>
  <c r="F10" i="34" s="1"/>
  <c r="H104" i="33"/>
  <c r="H11" i="34" s="1"/>
  <c r="F105" i="33"/>
  <c r="F12" i="34"/>
  <c r="H106" i="33"/>
  <c r="H13" i="34" s="1"/>
  <c r="F107" i="33"/>
  <c r="F14" i="34"/>
  <c r="E109" i="33"/>
  <c r="E16" i="34"/>
  <c r="F109" i="33"/>
  <c r="F16" i="34"/>
  <c r="F115" i="33"/>
  <c r="F22" i="34"/>
  <c r="E50" i="33"/>
  <c r="I50" i="33"/>
  <c r="J372" i="21"/>
  <c r="E372" i="21"/>
  <c r="F372" i="21"/>
  <c r="G372" i="21"/>
  <c r="I372" i="21"/>
  <c r="E375" i="21"/>
  <c r="E422" i="21" s="1"/>
  <c r="E7" i="11" s="1"/>
  <c r="E7" i="32" s="1"/>
  <c r="F375" i="21"/>
  <c r="F422" i="21"/>
  <c r="F7" i="11" s="1"/>
  <c r="G375" i="21"/>
  <c r="G422" i="21" s="1"/>
  <c r="G7" i="11" s="1"/>
  <c r="H375" i="21"/>
  <c r="H422" i="21" s="1"/>
  <c r="H7" i="11" s="1"/>
  <c r="H30" i="11" s="1"/>
  <c r="I375" i="21"/>
  <c r="J375" i="21"/>
  <c r="J422" i="21" s="1"/>
  <c r="J7" i="11" s="1"/>
  <c r="E377" i="21"/>
  <c r="E424" i="21" s="1"/>
  <c r="E9" i="11" s="1"/>
  <c r="F377" i="21"/>
  <c r="F424" i="21" s="1"/>
  <c r="F9" i="11" s="1"/>
  <c r="G377" i="21"/>
  <c r="G424" i="21" s="1"/>
  <c r="G9" i="11" s="1"/>
  <c r="H377" i="21"/>
  <c r="H424" i="21" s="1"/>
  <c r="H9" i="11" s="1"/>
  <c r="H32" i="11" s="1"/>
  <c r="H55" i="11" s="1"/>
  <c r="I377" i="21"/>
  <c r="I424" i="21" s="1"/>
  <c r="I9" i="11" s="1"/>
  <c r="J377" i="21"/>
  <c r="J424" i="21" s="1"/>
  <c r="J9" i="11" s="1"/>
  <c r="J32" i="11" s="1"/>
  <c r="E378" i="21"/>
  <c r="E425" i="21" s="1"/>
  <c r="E10" i="11" s="1"/>
  <c r="F378" i="21"/>
  <c r="F425" i="21" s="1"/>
  <c r="F10" i="11" s="1"/>
  <c r="F33" i="11" s="1"/>
  <c r="F56" i="11" s="1"/>
  <c r="G378" i="21"/>
  <c r="G425" i="21" s="1"/>
  <c r="G10" i="11" s="1"/>
  <c r="H378" i="21"/>
  <c r="H425" i="21" s="1"/>
  <c r="H10" i="11" s="1"/>
  <c r="I378" i="21"/>
  <c r="I425" i="21" s="1"/>
  <c r="I10" i="11" s="1"/>
  <c r="I33" i="11" s="1"/>
  <c r="I56" i="11" s="1"/>
  <c r="J378" i="21"/>
  <c r="J425" i="21" s="1"/>
  <c r="J10" i="11" s="1"/>
  <c r="E379" i="21"/>
  <c r="E426" i="21" s="1"/>
  <c r="E11" i="11" s="1"/>
  <c r="F379" i="21"/>
  <c r="F426" i="21" s="1"/>
  <c r="F11" i="11" s="1"/>
  <c r="F34" i="11" s="1"/>
  <c r="F57" i="11" s="1"/>
  <c r="G379" i="21"/>
  <c r="G426" i="21" s="1"/>
  <c r="G11" i="11" s="1"/>
  <c r="H379" i="21"/>
  <c r="I379" i="21"/>
  <c r="I426" i="21" s="1"/>
  <c r="I11" i="11" s="1"/>
  <c r="J379" i="21"/>
  <c r="J426" i="21" s="1"/>
  <c r="J11" i="11" s="1"/>
  <c r="J34" i="11" s="1"/>
  <c r="E380" i="21"/>
  <c r="E427" i="21" s="1"/>
  <c r="E12" i="11" s="1"/>
  <c r="F380" i="21"/>
  <c r="G380" i="21"/>
  <c r="H380" i="21"/>
  <c r="H427" i="21" s="1"/>
  <c r="H12" i="11" s="1"/>
  <c r="I380" i="21"/>
  <c r="J380" i="21"/>
  <c r="E381" i="21"/>
  <c r="E428" i="21" s="1"/>
  <c r="E13" i="11" s="1"/>
  <c r="F381" i="21"/>
  <c r="F428" i="21" s="1"/>
  <c r="F13" i="11" s="1"/>
  <c r="F36" i="11" s="1"/>
  <c r="F59" i="11" s="1"/>
  <c r="G381" i="21"/>
  <c r="G428" i="21" s="1"/>
  <c r="G13" i="11" s="1"/>
  <c r="H381" i="21"/>
  <c r="H428" i="21" s="1"/>
  <c r="H13" i="11" s="1"/>
  <c r="I381" i="21"/>
  <c r="I428" i="21" s="1"/>
  <c r="I13" i="11" s="1"/>
  <c r="I36" i="11" s="1"/>
  <c r="J381" i="21"/>
  <c r="J428" i="21" s="1"/>
  <c r="J13" i="11" s="1"/>
  <c r="E382" i="21"/>
  <c r="E429" i="21" s="1"/>
  <c r="E14" i="11" s="1"/>
  <c r="F382" i="21"/>
  <c r="F429" i="21" s="1"/>
  <c r="F14" i="11" s="1"/>
  <c r="G382" i="21"/>
  <c r="G429" i="21" s="1"/>
  <c r="G14" i="11" s="1"/>
  <c r="H382" i="21"/>
  <c r="H429" i="21" s="1"/>
  <c r="H14" i="11" s="1"/>
  <c r="I382" i="21"/>
  <c r="I429" i="21" s="1"/>
  <c r="I14" i="11" s="1"/>
  <c r="J382" i="21"/>
  <c r="J429" i="21" s="1"/>
  <c r="J14" i="11" s="1"/>
  <c r="E383" i="21"/>
  <c r="E430" i="21"/>
  <c r="E15" i="11" s="1"/>
  <c r="F383" i="21"/>
  <c r="F430" i="21"/>
  <c r="F15" i="11" s="1"/>
  <c r="F38" i="11" s="1"/>
  <c r="G383" i="21"/>
  <c r="G430" i="21" s="1"/>
  <c r="G15" i="11" s="1"/>
  <c r="H383" i="21"/>
  <c r="H430" i="21" s="1"/>
  <c r="H15" i="11" s="1"/>
  <c r="I383" i="21"/>
  <c r="I430" i="21" s="1"/>
  <c r="I15" i="11" s="1"/>
  <c r="I38" i="11" s="1"/>
  <c r="I61" i="11" s="1"/>
  <c r="J383" i="21"/>
  <c r="J430" i="21" s="1"/>
  <c r="J15" i="11" s="1"/>
  <c r="E384" i="21"/>
  <c r="E431" i="21" s="1"/>
  <c r="E16" i="11" s="1"/>
  <c r="F384" i="21"/>
  <c r="F431" i="21" s="1"/>
  <c r="F16" i="11" s="1"/>
  <c r="G384" i="21"/>
  <c r="G431" i="21" s="1"/>
  <c r="G16" i="11" s="1"/>
  <c r="H384" i="21"/>
  <c r="H431" i="21" s="1"/>
  <c r="H16" i="11" s="1"/>
  <c r="I384" i="21"/>
  <c r="I431" i="21" s="1"/>
  <c r="I16" i="11" s="1"/>
  <c r="I39" i="11" s="1"/>
  <c r="I62" i="11" s="1"/>
  <c r="J384" i="21"/>
  <c r="J431" i="21" s="1"/>
  <c r="J16" i="11" s="1"/>
  <c r="E385" i="21"/>
  <c r="E432" i="21" s="1"/>
  <c r="E17" i="11" s="1"/>
  <c r="E40" i="11" s="1"/>
  <c r="E41" i="32" s="1"/>
  <c r="F385" i="21"/>
  <c r="F432" i="21" s="1"/>
  <c r="F17" i="11" s="1"/>
  <c r="F40" i="11" s="1"/>
  <c r="G385" i="21"/>
  <c r="G432" i="21" s="1"/>
  <c r="G17" i="11" s="1"/>
  <c r="G40" i="11" s="1"/>
  <c r="G63" i="11" s="1"/>
  <c r="H385" i="21"/>
  <c r="H432" i="21" s="1"/>
  <c r="H17" i="11" s="1"/>
  <c r="I385" i="21"/>
  <c r="I432" i="21" s="1"/>
  <c r="I17" i="11" s="1"/>
  <c r="J385" i="21"/>
  <c r="J432" i="21" s="1"/>
  <c r="J17" i="11" s="1"/>
  <c r="E387" i="21"/>
  <c r="E434" i="21" s="1"/>
  <c r="E19" i="11" s="1"/>
  <c r="F387" i="21"/>
  <c r="F434" i="21" s="1"/>
  <c r="F19" i="11" s="1"/>
  <c r="F42" i="11" s="1"/>
  <c r="F65" i="11" s="1"/>
  <c r="G387" i="21"/>
  <c r="G434" i="21" s="1"/>
  <c r="G19" i="11" s="1"/>
  <c r="G42" i="11" s="1"/>
  <c r="G65" i="11" s="1"/>
  <c r="H387" i="21"/>
  <c r="H434" i="21" s="1"/>
  <c r="H19" i="11" s="1"/>
  <c r="I387" i="21"/>
  <c r="I434" i="21" s="1"/>
  <c r="I19" i="11" s="1"/>
  <c r="I42" i="11" s="1"/>
  <c r="I65" i="11" s="1"/>
  <c r="J387" i="21"/>
  <c r="J434" i="21" s="1"/>
  <c r="J19" i="11" s="1"/>
  <c r="E388" i="21"/>
  <c r="E435" i="21" s="1"/>
  <c r="E20" i="11" s="1"/>
  <c r="F388" i="21"/>
  <c r="F435" i="21" s="1"/>
  <c r="F20" i="11" s="1"/>
  <c r="F20" i="32" s="1"/>
  <c r="G388" i="21"/>
  <c r="G435" i="21" s="1"/>
  <c r="G20" i="11" s="1"/>
  <c r="H388" i="21"/>
  <c r="H435" i="21" s="1"/>
  <c r="H20" i="11" s="1"/>
  <c r="I388" i="21"/>
  <c r="I435" i="21"/>
  <c r="I20" i="11" s="1"/>
  <c r="I43" i="11" s="1"/>
  <c r="J388" i="21"/>
  <c r="J435" i="21" s="1"/>
  <c r="J20" i="11" s="1"/>
  <c r="E390" i="21"/>
  <c r="E437" i="21" s="1"/>
  <c r="E22" i="11" s="1"/>
  <c r="E45" i="11" s="1"/>
  <c r="F390" i="21"/>
  <c r="F437" i="21" s="1"/>
  <c r="F22" i="11" s="1"/>
  <c r="G390" i="21"/>
  <c r="G437" i="21" s="1"/>
  <c r="G22" i="11" s="1"/>
  <c r="G45" i="11" s="1"/>
  <c r="H390" i="21"/>
  <c r="H437" i="21" s="1"/>
  <c r="H22" i="11" s="1"/>
  <c r="I390" i="21"/>
  <c r="I437" i="21" s="1"/>
  <c r="I22" i="11" s="1"/>
  <c r="I45" i="11" s="1"/>
  <c r="I68" i="11" s="1"/>
  <c r="J390" i="21"/>
  <c r="J437" i="21" s="1"/>
  <c r="J22" i="11" s="1"/>
  <c r="J45" i="11" s="1"/>
  <c r="H426" i="21"/>
  <c r="H11" i="11" s="1"/>
  <c r="E73" i="16"/>
  <c r="H73" i="16"/>
  <c r="I73" i="16"/>
  <c r="F73" i="16"/>
  <c r="G73" i="16"/>
  <c r="J73" i="16"/>
  <c r="E76" i="16"/>
  <c r="F76" i="16"/>
  <c r="F123" i="16"/>
  <c r="F7" i="10"/>
  <c r="G76" i="16"/>
  <c r="G123" i="16"/>
  <c r="G7" i="10"/>
  <c r="H76" i="16"/>
  <c r="H123" i="16"/>
  <c r="H7" i="10"/>
  <c r="I76" i="16"/>
  <c r="I123" i="16"/>
  <c r="I7" i="10"/>
  <c r="J76" i="16"/>
  <c r="J123" i="16"/>
  <c r="J7" i="10"/>
  <c r="E78" i="16"/>
  <c r="F78" i="16"/>
  <c r="F125" i="16"/>
  <c r="F9" i="10"/>
  <c r="G78" i="16"/>
  <c r="G125" i="16"/>
  <c r="G9" i="10"/>
  <c r="H78" i="16"/>
  <c r="H125" i="16"/>
  <c r="H9" i="10"/>
  <c r="I78" i="16"/>
  <c r="J78" i="16"/>
  <c r="J125" i="16"/>
  <c r="J9" i="10"/>
  <c r="E79" i="16"/>
  <c r="E126" i="16"/>
  <c r="E10" i="10"/>
  <c r="F79" i="16"/>
  <c r="F126" i="16"/>
  <c r="F10" i="10"/>
  <c r="G79" i="16"/>
  <c r="H79" i="16"/>
  <c r="H126" i="16"/>
  <c r="H10" i="10"/>
  <c r="I79" i="16"/>
  <c r="I126" i="16"/>
  <c r="I10" i="10"/>
  <c r="J79" i="16"/>
  <c r="J126" i="16"/>
  <c r="J10" i="10"/>
  <c r="E80" i="16"/>
  <c r="E127" i="16"/>
  <c r="E11" i="10"/>
  <c r="F80" i="16"/>
  <c r="F127" i="16"/>
  <c r="F11" i="10"/>
  <c r="G80" i="16"/>
  <c r="G127" i="16"/>
  <c r="G11" i="10"/>
  <c r="H80" i="16"/>
  <c r="H127" i="16"/>
  <c r="H11" i="10"/>
  <c r="I80" i="16"/>
  <c r="J80" i="16"/>
  <c r="E81" i="16"/>
  <c r="E128" i="16"/>
  <c r="E12" i="10"/>
  <c r="F81" i="16"/>
  <c r="F128" i="16"/>
  <c r="F12" i="10"/>
  <c r="G81" i="16"/>
  <c r="G128" i="16"/>
  <c r="G12" i="10"/>
  <c r="H81" i="16"/>
  <c r="H128" i="16"/>
  <c r="H12" i="10"/>
  <c r="I81" i="16"/>
  <c r="I128" i="16"/>
  <c r="I12" i="10"/>
  <c r="J81" i="16"/>
  <c r="J128" i="16"/>
  <c r="J12" i="10"/>
  <c r="E82" i="16"/>
  <c r="F82" i="16"/>
  <c r="G82" i="16"/>
  <c r="G129" i="16"/>
  <c r="G13" i="10" s="1"/>
  <c r="G37" i="10" s="1"/>
  <c r="G61" i="10" s="1"/>
  <c r="H82" i="16"/>
  <c r="H129" i="16"/>
  <c r="H13" i="10"/>
  <c r="I82" i="16"/>
  <c r="J82" i="16"/>
  <c r="J129" i="16"/>
  <c r="J13" i="10"/>
  <c r="E83" i="16"/>
  <c r="E130" i="16"/>
  <c r="E14" i="10"/>
  <c r="F83" i="16"/>
  <c r="F130" i="16"/>
  <c r="F14" i="10"/>
  <c r="G83" i="16"/>
  <c r="G130" i="16"/>
  <c r="G14" i="10" s="1"/>
  <c r="G38" i="10" s="1"/>
  <c r="G62" i="10" s="1"/>
  <c r="H83" i="16"/>
  <c r="H130" i="16"/>
  <c r="H14" i="10"/>
  <c r="I83" i="16"/>
  <c r="I130" i="16"/>
  <c r="I14" i="10"/>
  <c r="J83" i="16"/>
  <c r="J130" i="16"/>
  <c r="J14" i="10" s="1"/>
  <c r="J38" i="10" s="1"/>
  <c r="J62" i="10" s="1"/>
  <c r="E84" i="16"/>
  <c r="F84" i="16"/>
  <c r="F131" i="16"/>
  <c r="F15" i="10"/>
  <c r="G84" i="16"/>
  <c r="H84" i="16"/>
  <c r="H131" i="16"/>
  <c r="H15" i="10" s="1"/>
  <c r="H39" i="10" s="1"/>
  <c r="H63" i="10" s="1"/>
  <c r="I84" i="16"/>
  <c r="J84" i="16"/>
  <c r="J131" i="16"/>
  <c r="J15" i="10" s="1"/>
  <c r="J39" i="10" s="1"/>
  <c r="J63" i="10" s="1"/>
  <c r="E85" i="16"/>
  <c r="E132" i="16"/>
  <c r="E16" i="10"/>
  <c r="F85" i="16"/>
  <c r="F132" i="16"/>
  <c r="F16" i="10"/>
  <c r="G85" i="16"/>
  <c r="H85" i="16"/>
  <c r="H132" i="16"/>
  <c r="H16" i="10"/>
  <c r="I85" i="16"/>
  <c r="I132" i="16"/>
  <c r="I16" i="10"/>
  <c r="J85" i="16"/>
  <c r="J132" i="16"/>
  <c r="J16" i="10" s="1"/>
  <c r="J40" i="10" s="1"/>
  <c r="J64" i="10" s="1"/>
  <c r="E86" i="16"/>
  <c r="F86" i="16"/>
  <c r="F133" i="16"/>
  <c r="F17" i="10"/>
  <c r="G86" i="16"/>
  <c r="G133" i="16"/>
  <c r="G17" i="10"/>
  <c r="H86" i="16"/>
  <c r="H133" i="16"/>
  <c r="H17" i="10"/>
  <c r="I86" i="16"/>
  <c r="J86" i="16"/>
  <c r="E88" i="16"/>
  <c r="E135" i="16"/>
  <c r="E19" i="10"/>
  <c r="F88" i="16"/>
  <c r="F135" i="16"/>
  <c r="F19" i="10"/>
  <c r="G88" i="16"/>
  <c r="G135" i="16"/>
  <c r="G19" i="10"/>
  <c r="H88" i="16"/>
  <c r="H135" i="16"/>
  <c r="H19" i="10"/>
  <c r="I88" i="16"/>
  <c r="I135" i="16"/>
  <c r="I19" i="10"/>
  <c r="J88" i="16"/>
  <c r="J135" i="16"/>
  <c r="J19" i="10"/>
  <c r="E89" i="16"/>
  <c r="E136" i="16"/>
  <c r="E20" i="10"/>
  <c r="F89" i="16"/>
  <c r="G89" i="16"/>
  <c r="H89" i="16"/>
  <c r="H136" i="16"/>
  <c r="H20" i="10"/>
  <c r="I89" i="16"/>
  <c r="I136" i="16"/>
  <c r="I20" i="10"/>
  <c r="J89" i="16"/>
  <c r="J136" i="16"/>
  <c r="J20" i="10"/>
  <c r="E91" i="16"/>
  <c r="E138" i="16"/>
  <c r="E22" i="10"/>
  <c r="F91" i="16"/>
  <c r="F138" i="16"/>
  <c r="F22" i="10"/>
  <c r="G91" i="16"/>
  <c r="H91" i="16"/>
  <c r="I91" i="16"/>
  <c r="I138" i="16"/>
  <c r="I22" i="10" s="1"/>
  <c r="I46" i="10" s="1"/>
  <c r="I70" i="10" s="1"/>
  <c r="J91" i="16"/>
  <c r="J138" i="16"/>
  <c r="J22" i="10" s="1"/>
  <c r="J46" i="10" s="1"/>
  <c r="J70" i="10" s="1"/>
  <c r="E123" i="16"/>
  <c r="E7" i="10"/>
  <c r="E125" i="16"/>
  <c r="E9" i="10"/>
  <c r="I125" i="16"/>
  <c r="I9" i="10"/>
  <c r="G126" i="16"/>
  <c r="G10" i="10"/>
  <c r="I127" i="16"/>
  <c r="I11" i="10"/>
  <c r="J127" i="16"/>
  <c r="J11" i="10"/>
  <c r="E129" i="16"/>
  <c r="E13" i="10"/>
  <c r="F129" i="16"/>
  <c r="F13" i="10"/>
  <c r="I129" i="16"/>
  <c r="I13" i="10"/>
  <c r="E131" i="16"/>
  <c r="E15" i="10"/>
  <c r="I131" i="16"/>
  <c r="I15" i="10" s="1"/>
  <c r="I39" i="10" s="1"/>
  <c r="G132" i="16"/>
  <c r="G16" i="10" s="1"/>
  <c r="G40" i="10" s="1"/>
  <c r="G64" i="10" s="1"/>
  <c r="E133" i="16"/>
  <c r="E17" i="10"/>
  <c r="I133" i="16"/>
  <c r="I17" i="10" s="1"/>
  <c r="I41" i="10" s="1"/>
  <c r="I65" i="10" s="1"/>
  <c r="J133" i="16"/>
  <c r="J17" i="10"/>
  <c r="F136" i="16"/>
  <c r="F20" i="10"/>
  <c r="G136" i="16"/>
  <c r="G20" i="10"/>
  <c r="G138" i="16"/>
  <c r="G22" i="10"/>
  <c r="H138" i="16"/>
  <c r="H22" i="10"/>
  <c r="BE527" i="9"/>
  <c r="BD527" i="9"/>
  <c r="BC527" i="9"/>
  <c r="BB527" i="9"/>
  <c r="BA527" i="9"/>
  <c r="AZ527" i="9"/>
  <c r="AY527" i="9"/>
  <c r="AX527" i="9"/>
  <c r="AW527" i="9"/>
  <c r="AV527" i="9"/>
  <c r="BG527" i="9" s="1"/>
  <c r="BE525" i="9"/>
  <c r="BD525" i="9"/>
  <c r="BC525" i="9"/>
  <c r="BB525" i="9"/>
  <c r="BA525" i="9"/>
  <c r="AZ525" i="9"/>
  <c r="AY525" i="9"/>
  <c r="AX525" i="9"/>
  <c r="AW525" i="9"/>
  <c r="AV525" i="9"/>
  <c r="BG525" i="9" s="1"/>
  <c r="BE524" i="9"/>
  <c r="BD524" i="9"/>
  <c r="BC524" i="9"/>
  <c r="BB524" i="9"/>
  <c r="BA524" i="9"/>
  <c r="AZ524" i="9"/>
  <c r="AY524" i="9"/>
  <c r="AX524" i="9"/>
  <c r="AW524" i="9"/>
  <c r="AV524" i="9"/>
  <c r="BG524" i="9" s="1"/>
  <c r="BE522" i="9"/>
  <c r="BD522" i="9"/>
  <c r="BC522" i="9"/>
  <c r="BB522" i="9"/>
  <c r="BA522" i="9"/>
  <c r="AZ522" i="9"/>
  <c r="AY522" i="9"/>
  <c r="AX522" i="9"/>
  <c r="AW522" i="9"/>
  <c r="AV522" i="9"/>
  <c r="BG522" i="9" s="1"/>
  <c r="BE521" i="9"/>
  <c r="BD521" i="9"/>
  <c r="BC521" i="9"/>
  <c r="BB521" i="9"/>
  <c r="BA521" i="9"/>
  <c r="AZ521" i="9"/>
  <c r="AY521" i="9"/>
  <c r="AX521" i="9"/>
  <c r="AW521" i="9"/>
  <c r="AV521" i="9"/>
  <c r="BG521" i="9" s="1"/>
  <c r="BE520" i="9"/>
  <c r="BD520" i="9"/>
  <c r="BC520" i="9"/>
  <c r="BB520" i="9"/>
  <c r="BM520" i="9" s="1"/>
  <c r="BA520" i="9"/>
  <c r="AZ520" i="9"/>
  <c r="AY520" i="9"/>
  <c r="AX520" i="9"/>
  <c r="AW520" i="9"/>
  <c r="AV520" i="9"/>
  <c r="BG520" i="9" s="1"/>
  <c r="BE519" i="9"/>
  <c r="BD519" i="9"/>
  <c r="BO519" i="9" s="1"/>
  <c r="BC519" i="9"/>
  <c r="BB519" i="9"/>
  <c r="BA519" i="9"/>
  <c r="AZ519" i="9"/>
  <c r="AY519" i="9"/>
  <c r="AX519" i="9"/>
  <c r="AW519" i="9"/>
  <c r="AV519" i="9"/>
  <c r="BG519" i="9" s="1"/>
  <c r="BE518" i="9"/>
  <c r="BD518" i="9"/>
  <c r="BC518" i="9"/>
  <c r="BB518" i="9"/>
  <c r="BA518" i="9"/>
  <c r="AZ518" i="9"/>
  <c r="AY518" i="9"/>
  <c r="AX518" i="9"/>
  <c r="AW518" i="9"/>
  <c r="AV518" i="9"/>
  <c r="BG518" i="9" s="1"/>
  <c r="BE517" i="9"/>
  <c r="BD517" i="9"/>
  <c r="BC517" i="9"/>
  <c r="BB517" i="9"/>
  <c r="BA517" i="9"/>
  <c r="AZ517" i="9"/>
  <c r="AY517" i="9"/>
  <c r="AX517" i="9"/>
  <c r="AW517" i="9"/>
  <c r="AV517" i="9"/>
  <c r="BG517" i="9"/>
  <c r="BE516" i="9"/>
  <c r="BD516" i="9"/>
  <c r="BC516" i="9"/>
  <c r="BB516" i="9"/>
  <c r="BA516" i="9"/>
  <c r="AZ516" i="9"/>
  <c r="AY516" i="9"/>
  <c r="AX516" i="9"/>
  <c r="AW516" i="9"/>
  <c r="AV516" i="9"/>
  <c r="BG516" i="9" s="1"/>
  <c r="BE515" i="9"/>
  <c r="BD515" i="9"/>
  <c r="BC515" i="9"/>
  <c r="BB515" i="9"/>
  <c r="BA515" i="9"/>
  <c r="AZ515" i="9"/>
  <c r="AY515" i="9"/>
  <c r="AX515" i="9"/>
  <c r="AW515" i="9"/>
  <c r="AV515" i="9"/>
  <c r="BG515" i="9" s="1"/>
  <c r="BE514" i="9"/>
  <c r="BD514" i="9"/>
  <c r="BC514" i="9"/>
  <c r="BB514" i="9"/>
  <c r="BA514" i="9"/>
  <c r="AZ514" i="9"/>
  <c r="AY514" i="9"/>
  <c r="AX514" i="9"/>
  <c r="AW514" i="9"/>
  <c r="AV514" i="9"/>
  <c r="BG514" i="9" s="1"/>
  <c r="BE512" i="9"/>
  <c r="BD512" i="9"/>
  <c r="BC512" i="9"/>
  <c r="BB512" i="9"/>
  <c r="BA512" i="9"/>
  <c r="AZ512" i="9"/>
  <c r="AY512" i="9"/>
  <c r="AX512" i="9"/>
  <c r="AW512" i="9"/>
  <c r="AV512" i="9"/>
  <c r="BG512" i="9" s="1"/>
  <c r="BE503" i="9"/>
  <c r="BD503" i="9"/>
  <c r="BC503" i="9"/>
  <c r="BB503" i="9"/>
  <c r="BA503" i="9"/>
  <c r="AZ503" i="9"/>
  <c r="AY503" i="9"/>
  <c r="AX503" i="9"/>
  <c r="AW503" i="9"/>
  <c r="AV503" i="9"/>
  <c r="BG503" i="9" s="1"/>
  <c r="BE501" i="9"/>
  <c r="BD501" i="9"/>
  <c r="BC501" i="9"/>
  <c r="BB501" i="9"/>
  <c r="BA501" i="9"/>
  <c r="AZ501" i="9"/>
  <c r="AY501" i="9"/>
  <c r="AX501" i="9"/>
  <c r="AW501" i="9"/>
  <c r="AV501" i="9"/>
  <c r="BG501" i="9" s="1"/>
  <c r="BE500" i="9"/>
  <c r="BD500" i="9"/>
  <c r="BC500" i="9"/>
  <c r="BB500" i="9"/>
  <c r="BA500" i="9"/>
  <c r="AZ500" i="9"/>
  <c r="AY500" i="9"/>
  <c r="AX500" i="9"/>
  <c r="AW500" i="9"/>
  <c r="AV500" i="9"/>
  <c r="BG500" i="9" s="1"/>
  <c r="BE498" i="9"/>
  <c r="BD498" i="9"/>
  <c r="BC498" i="9"/>
  <c r="BB498" i="9"/>
  <c r="BA498" i="9"/>
  <c r="AZ498" i="9"/>
  <c r="AY498" i="9"/>
  <c r="AX498" i="9"/>
  <c r="AW498" i="9"/>
  <c r="AV498" i="9"/>
  <c r="BG498" i="9" s="1"/>
  <c r="BE497" i="9"/>
  <c r="BD497" i="9"/>
  <c r="BC497" i="9"/>
  <c r="BB497" i="9"/>
  <c r="BA497" i="9"/>
  <c r="AZ497" i="9"/>
  <c r="AY497" i="9"/>
  <c r="AX497" i="9"/>
  <c r="AW497" i="9"/>
  <c r="AV497" i="9"/>
  <c r="BG497" i="9" s="1"/>
  <c r="BE496" i="9"/>
  <c r="BD496" i="9"/>
  <c r="BC496" i="9"/>
  <c r="BB496" i="9"/>
  <c r="BA496" i="9"/>
  <c r="AZ496" i="9"/>
  <c r="AY496" i="9"/>
  <c r="AX496" i="9"/>
  <c r="AW496" i="9"/>
  <c r="AV496" i="9"/>
  <c r="BG496" i="9" s="1"/>
  <c r="BE495" i="9"/>
  <c r="BD495" i="9"/>
  <c r="BC495" i="9"/>
  <c r="BB495" i="9"/>
  <c r="BA495" i="9"/>
  <c r="AZ495" i="9"/>
  <c r="AY495" i="9"/>
  <c r="AX495" i="9"/>
  <c r="AW495" i="9"/>
  <c r="AV495" i="9"/>
  <c r="BG495" i="9" s="1"/>
  <c r="BE494" i="9"/>
  <c r="BD494" i="9"/>
  <c r="BC494" i="9"/>
  <c r="BB494" i="9"/>
  <c r="BA494" i="9"/>
  <c r="AZ494" i="9"/>
  <c r="AY494" i="9"/>
  <c r="AX494" i="9"/>
  <c r="AW494" i="9"/>
  <c r="AV494" i="9"/>
  <c r="BG494" i="9" s="1"/>
  <c r="BE493" i="9"/>
  <c r="BD493" i="9"/>
  <c r="BC493" i="9"/>
  <c r="BB493" i="9"/>
  <c r="BA493" i="9"/>
  <c r="AZ493" i="9"/>
  <c r="AY493" i="9"/>
  <c r="AX493" i="9"/>
  <c r="AW493" i="9"/>
  <c r="AV493" i="9"/>
  <c r="BG493" i="9" s="1"/>
  <c r="BE492" i="9"/>
  <c r="BD492" i="9"/>
  <c r="BC492" i="9"/>
  <c r="BB492" i="9"/>
  <c r="BA492" i="9"/>
  <c r="AZ492" i="9"/>
  <c r="AY492" i="9"/>
  <c r="AX492" i="9"/>
  <c r="AW492" i="9"/>
  <c r="AV492" i="9"/>
  <c r="BG492" i="9" s="1"/>
  <c r="BE491" i="9"/>
  <c r="BD491" i="9"/>
  <c r="BC491" i="9"/>
  <c r="BB491" i="9"/>
  <c r="BA491" i="9"/>
  <c r="AZ491" i="9"/>
  <c r="AY491" i="9"/>
  <c r="AX491" i="9"/>
  <c r="AW491" i="9"/>
  <c r="AV491" i="9"/>
  <c r="BG491" i="9" s="1"/>
  <c r="BE490" i="9"/>
  <c r="BD490" i="9"/>
  <c r="BC490" i="9"/>
  <c r="BB490" i="9"/>
  <c r="BA490" i="9"/>
  <c r="AZ490" i="9"/>
  <c r="AY490" i="9"/>
  <c r="AX490" i="9"/>
  <c r="AW490" i="9"/>
  <c r="AV490" i="9"/>
  <c r="BG490" i="9" s="1"/>
  <c r="BE488" i="9"/>
  <c r="BD488" i="9"/>
  <c r="BC488" i="9"/>
  <c r="BB488" i="9"/>
  <c r="BA488" i="9"/>
  <c r="AZ488" i="9"/>
  <c r="AY488" i="9"/>
  <c r="AX488" i="9"/>
  <c r="AW488" i="9"/>
  <c r="AV488" i="9"/>
  <c r="BG488" i="9" s="1"/>
  <c r="BE479" i="9"/>
  <c r="BD479" i="9"/>
  <c r="BC479" i="9"/>
  <c r="BB479" i="9"/>
  <c r="BA479" i="9"/>
  <c r="AZ479" i="9"/>
  <c r="AY479" i="9"/>
  <c r="AX479" i="9"/>
  <c r="AW479" i="9"/>
  <c r="AV479" i="9"/>
  <c r="BG479" i="9" s="1"/>
  <c r="BE477" i="9"/>
  <c r="BD477" i="9"/>
  <c r="BC477" i="9"/>
  <c r="BB477" i="9"/>
  <c r="BA477" i="9"/>
  <c r="AZ477" i="9"/>
  <c r="AY477" i="9"/>
  <c r="AX477" i="9"/>
  <c r="AW477" i="9"/>
  <c r="AV477" i="9"/>
  <c r="BG477" i="9" s="1"/>
  <c r="BE476" i="9"/>
  <c r="BD476" i="9"/>
  <c r="BC476" i="9"/>
  <c r="BB476" i="9"/>
  <c r="BA476" i="9"/>
  <c r="AZ476" i="9"/>
  <c r="AY476" i="9"/>
  <c r="AX476" i="9"/>
  <c r="AW476" i="9"/>
  <c r="AV476" i="9"/>
  <c r="BG476" i="9" s="1"/>
  <c r="BE474" i="9"/>
  <c r="BD474" i="9"/>
  <c r="BC474" i="9"/>
  <c r="BB474" i="9"/>
  <c r="BA474" i="9"/>
  <c r="AZ474" i="9"/>
  <c r="AY474" i="9"/>
  <c r="AX474" i="9"/>
  <c r="AW474" i="9"/>
  <c r="AV474" i="9"/>
  <c r="BG474" i="9" s="1"/>
  <c r="BE473" i="9"/>
  <c r="BD473" i="9"/>
  <c r="BC473" i="9"/>
  <c r="BB473" i="9"/>
  <c r="BA473" i="9"/>
  <c r="AZ473" i="9"/>
  <c r="AY473" i="9"/>
  <c r="AX473" i="9"/>
  <c r="AW473" i="9"/>
  <c r="AV473" i="9"/>
  <c r="BG473" i="9" s="1"/>
  <c r="BE472" i="9"/>
  <c r="BD472" i="9"/>
  <c r="BC472" i="9"/>
  <c r="BB472" i="9"/>
  <c r="BA472" i="9"/>
  <c r="AZ472" i="9"/>
  <c r="AY472" i="9"/>
  <c r="AX472" i="9"/>
  <c r="AW472" i="9"/>
  <c r="AV472" i="9"/>
  <c r="BG472" i="9"/>
  <c r="BE471" i="9"/>
  <c r="BD471" i="9"/>
  <c r="BC471" i="9"/>
  <c r="BB471" i="9"/>
  <c r="BA471" i="9"/>
  <c r="AZ471" i="9"/>
  <c r="AY471" i="9"/>
  <c r="AX471" i="9"/>
  <c r="AW471" i="9"/>
  <c r="AV471" i="9"/>
  <c r="BG471" i="9"/>
  <c r="BE470" i="9"/>
  <c r="BD470" i="9"/>
  <c r="BC470" i="9"/>
  <c r="BB470" i="9"/>
  <c r="BA470" i="9"/>
  <c r="AZ470" i="9"/>
  <c r="AY470" i="9"/>
  <c r="AX470" i="9"/>
  <c r="AW470" i="9"/>
  <c r="AV470" i="9"/>
  <c r="BG470" i="9" s="1"/>
  <c r="BE469" i="9"/>
  <c r="BD469" i="9"/>
  <c r="BC469" i="9"/>
  <c r="BB469" i="9"/>
  <c r="BA469" i="9"/>
  <c r="AZ469" i="9"/>
  <c r="AY469" i="9"/>
  <c r="AX469" i="9"/>
  <c r="AW469" i="9"/>
  <c r="AV469" i="9"/>
  <c r="BG469" i="9"/>
  <c r="BE468" i="9"/>
  <c r="BD468" i="9"/>
  <c r="BC468" i="9"/>
  <c r="BB468" i="9"/>
  <c r="BA468" i="9"/>
  <c r="AZ468" i="9"/>
  <c r="AY468" i="9"/>
  <c r="AX468" i="9"/>
  <c r="AW468" i="9"/>
  <c r="AV468" i="9"/>
  <c r="BG468" i="9" s="1"/>
  <c r="BE467" i="9"/>
  <c r="BD467" i="9"/>
  <c r="BC467" i="9"/>
  <c r="BB467" i="9"/>
  <c r="BA467" i="9"/>
  <c r="AZ467" i="9"/>
  <c r="AY467" i="9"/>
  <c r="AX467" i="9"/>
  <c r="AW467" i="9"/>
  <c r="AV467" i="9"/>
  <c r="BG467" i="9" s="1"/>
  <c r="BE466" i="9"/>
  <c r="BD466" i="9"/>
  <c r="BC466" i="9"/>
  <c r="BB466" i="9"/>
  <c r="BA466" i="9"/>
  <c r="AZ466" i="9"/>
  <c r="AY466" i="9"/>
  <c r="AX466" i="9"/>
  <c r="AW466" i="9"/>
  <c r="AV466" i="9"/>
  <c r="BG466" i="9" s="1"/>
  <c r="BE464" i="9"/>
  <c r="BD464" i="9"/>
  <c r="BC464" i="9"/>
  <c r="BB464" i="9"/>
  <c r="BA464" i="9"/>
  <c r="AZ464" i="9"/>
  <c r="AY464" i="9"/>
  <c r="AX464" i="9"/>
  <c r="AW464" i="9"/>
  <c r="AV464" i="9"/>
  <c r="BG464" i="9" s="1"/>
  <c r="BE455" i="9"/>
  <c r="BP455" i="9" s="1"/>
  <c r="BD455" i="9"/>
  <c r="BO455" i="9" s="1"/>
  <c r="BC455" i="9"/>
  <c r="BN455" i="9" s="1"/>
  <c r="BB455" i="9"/>
  <c r="BM455" i="9" s="1"/>
  <c r="BA455" i="9"/>
  <c r="BL455" i="9" s="1"/>
  <c r="AZ455" i="9"/>
  <c r="BK455" i="9" s="1"/>
  <c r="AY455" i="9"/>
  <c r="BJ455" i="9" s="1"/>
  <c r="AX455" i="9"/>
  <c r="BI455" i="9" s="1"/>
  <c r="AW455" i="9"/>
  <c r="BH455" i="9" s="1"/>
  <c r="AV455" i="9"/>
  <c r="BG455" i="9" s="1"/>
  <c r="BE453" i="9"/>
  <c r="BP453" i="9"/>
  <c r="BD453" i="9"/>
  <c r="BO453" i="9" s="1"/>
  <c r="BC453" i="9"/>
  <c r="BN453" i="9" s="1"/>
  <c r="BB453" i="9"/>
  <c r="BM453" i="9" s="1"/>
  <c r="BA453" i="9"/>
  <c r="BL453" i="9" s="1"/>
  <c r="AZ453" i="9"/>
  <c r="BK453" i="9"/>
  <c r="AY453" i="9"/>
  <c r="BJ453" i="9" s="1"/>
  <c r="AX453" i="9"/>
  <c r="BI453" i="9" s="1"/>
  <c r="AW453" i="9"/>
  <c r="BH453" i="9" s="1"/>
  <c r="AV453" i="9"/>
  <c r="BG453" i="9" s="1"/>
  <c r="BE452" i="9"/>
  <c r="BP452" i="9" s="1"/>
  <c r="BD452" i="9"/>
  <c r="BO452" i="9" s="1"/>
  <c r="BC452" i="9"/>
  <c r="BN452" i="9" s="1"/>
  <c r="BB452" i="9"/>
  <c r="BM452" i="9" s="1"/>
  <c r="BA452" i="9"/>
  <c r="BL452" i="9" s="1"/>
  <c r="AZ452" i="9"/>
  <c r="BK452" i="9"/>
  <c r="AY452" i="9"/>
  <c r="BJ452" i="9" s="1"/>
  <c r="AX452" i="9"/>
  <c r="BI452" i="9"/>
  <c r="AW452" i="9"/>
  <c r="BH452" i="9" s="1"/>
  <c r="AV452" i="9"/>
  <c r="BG452" i="9" s="1"/>
  <c r="BE450" i="9"/>
  <c r="BP450" i="9"/>
  <c r="BD450" i="9"/>
  <c r="BO450" i="9" s="1"/>
  <c r="BC450" i="9"/>
  <c r="BN450" i="9" s="1"/>
  <c r="BB450" i="9"/>
  <c r="BM450" i="9" s="1"/>
  <c r="BA450" i="9"/>
  <c r="BL450" i="9" s="1"/>
  <c r="AZ450" i="9"/>
  <c r="BK450" i="9"/>
  <c r="AY450" i="9"/>
  <c r="BJ450" i="9" s="1"/>
  <c r="BQ450" i="9" s="1"/>
  <c r="AX450" i="9"/>
  <c r="BI450" i="9" s="1"/>
  <c r="AW450" i="9"/>
  <c r="BH450" i="9" s="1"/>
  <c r="AV450" i="9"/>
  <c r="BG450" i="9"/>
  <c r="BE449" i="9"/>
  <c r="BP449" i="9"/>
  <c r="BD449" i="9"/>
  <c r="BO449" i="9" s="1"/>
  <c r="BC449" i="9"/>
  <c r="BN449" i="9" s="1"/>
  <c r="BB449" i="9"/>
  <c r="BM449" i="9" s="1"/>
  <c r="BA449" i="9"/>
  <c r="BL449" i="9"/>
  <c r="AZ449" i="9"/>
  <c r="BK449" i="9" s="1"/>
  <c r="AY449" i="9"/>
  <c r="BJ449" i="9" s="1"/>
  <c r="AX449" i="9"/>
  <c r="BI449" i="9" s="1"/>
  <c r="AW449" i="9"/>
  <c r="BH449" i="9" s="1"/>
  <c r="BQ449" i="9" s="1"/>
  <c r="AV449" i="9"/>
  <c r="BG449" i="9" s="1"/>
  <c r="BE448" i="9"/>
  <c r="BP448" i="9" s="1"/>
  <c r="BD448" i="9"/>
  <c r="BO448" i="9"/>
  <c r="BC448" i="9"/>
  <c r="BN448" i="9"/>
  <c r="BB448" i="9"/>
  <c r="BM448" i="9" s="1"/>
  <c r="BA448" i="9"/>
  <c r="BL448" i="9" s="1"/>
  <c r="AZ448" i="9"/>
  <c r="BK448" i="9"/>
  <c r="AY448" i="9"/>
  <c r="BJ448" i="9"/>
  <c r="AX448" i="9"/>
  <c r="BI448" i="9" s="1"/>
  <c r="AW448" i="9"/>
  <c r="BH448" i="9" s="1"/>
  <c r="AV448" i="9"/>
  <c r="BG448" i="9" s="1"/>
  <c r="BE447" i="9"/>
  <c r="BP447" i="9"/>
  <c r="BD447" i="9"/>
  <c r="BO447" i="9" s="1"/>
  <c r="BC447" i="9"/>
  <c r="BN447" i="9" s="1"/>
  <c r="BB447" i="9"/>
  <c r="BM447" i="9"/>
  <c r="BA447" i="9"/>
  <c r="BL447" i="9" s="1"/>
  <c r="AZ447" i="9"/>
  <c r="BK447" i="9" s="1"/>
  <c r="AY447" i="9"/>
  <c r="BJ447" i="9" s="1"/>
  <c r="AX447" i="9"/>
  <c r="BI447" i="9"/>
  <c r="AW447" i="9"/>
  <c r="BH447" i="9"/>
  <c r="AV447" i="9"/>
  <c r="BG447" i="9" s="1"/>
  <c r="BE446" i="9"/>
  <c r="BP446" i="9" s="1"/>
  <c r="BD446" i="9"/>
  <c r="BO446" i="9"/>
  <c r="BC446" i="9"/>
  <c r="BN446" i="9"/>
  <c r="BB446" i="9"/>
  <c r="BM446" i="9" s="1"/>
  <c r="BA446" i="9"/>
  <c r="BL446" i="9" s="1"/>
  <c r="AZ446" i="9"/>
  <c r="BK446" i="9" s="1"/>
  <c r="AY446" i="9"/>
  <c r="BJ446" i="9"/>
  <c r="AX446" i="9"/>
  <c r="BI446" i="9" s="1"/>
  <c r="AW446" i="9"/>
  <c r="BH446" i="9" s="1"/>
  <c r="AV446" i="9"/>
  <c r="BG446" i="9"/>
  <c r="BE445" i="9"/>
  <c r="BP445" i="9" s="1"/>
  <c r="BD445" i="9"/>
  <c r="BO445" i="9" s="1"/>
  <c r="BC445" i="9"/>
  <c r="BN445" i="9" s="1"/>
  <c r="BB445" i="9"/>
  <c r="BM445" i="9"/>
  <c r="BA445" i="9"/>
  <c r="BL445" i="9" s="1"/>
  <c r="BQ445" i="9" s="1"/>
  <c r="AZ445" i="9"/>
  <c r="BK445" i="9" s="1"/>
  <c r="AY445" i="9"/>
  <c r="BJ445" i="9" s="1"/>
  <c r="AX445" i="9"/>
  <c r="BI445" i="9"/>
  <c r="AW445" i="9"/>
  <c r="BH445" i="9"/>
  <c r="AV445" i="9"/>
  <c r="BG445" i="9" s="1"/>
  <c r="BE444" i="9"/>
  <c r="BP444" i="9" s="1"/>
  <c r="BD444" i="9"/>
  <c r="BO444" i="9"/>
  <c r="BC444" i="9"/>
  <c r="BN444" i="9"/>
  <c r="BB444" i="9"/>
  <c r="BM444" i="9" s="1"/>
  <c r="BA444" i="9"/>
  <c r="BL444" i="9" s="1"/>
  <c r="AZ444" i="9"/>
  <c r="BK444" i="9" s="1"/>
  <c r="AY444" i="9"/>
  <c r="BJ444" i="9"/>
  <c r="AX444" i="9"/>
  <c r="BI444" i="9" s="1"/>
  <c r="AW444" i="9"/>
  <c r="BH444" i="9" s="1"/>
  <c r="AV444" i="9"/>
  <c r="BG444" i="9"/>
  <c r="BE443" i="9"/>
  <c r="BP443" i="9"/>
  <c r="BD443" i="9"/>
  <c r="BO443" i="9" s="1"/>
  <c r="BC443" i="9"/>
  <c r="BN443" i="9" s="1"/>
  <c r="BB443" i="9"/>
  <c r="BM443" i="9"/>
  <c r="BA443" i="9"/>
  <c r="BL443" i="9"/>
  <c r="AZ443" i="9"/>
  <c r="BK443" i="9" s="1"/>
  <c r="AY443" i="9"/>
  <c r="BJ443" i="9" s="1"/>
  <c r="AX443" i="9"/>
  <c r="BI443" i="9"/>
  <c r="AW443" i="9"/>
  <c r="BH443" i="9"/>
  <c r="AV443" i="9"/>
  <c r="BG443" i="9" s="1"/>
  <c r="BE442" i="9"/>
  <c r="BP442" i="9" s="1"/>
  <c r="BD442" i="9"/>
  <c r="BO442" i="9" s="1"/>
  <c r="BC442" i="9"/>
  <c r="BN442" i="9"/>
  <c r="BB442" i="9"/>
  <c r="BM442" i="9" s="1"/>
  <c r="BA442" i="9"/>
  <c r="BL442" i="9" s="1"/>
  <c r="AZ442" i="9"/>
  <c r="BK442" i="9"/>
  <c r="AY442" i="9"/>
  <c r="BJ442" i="9" s="1"/>
  <c r="AX442" i="9"/>
  <c r="BI442" i="9" s="1"/>
  <c r="AW442" i="9"/>
  <c r="BH442" i="9" s="1"/>
  <c r="AV442" i="9"/>
  <c r="BG442" i="9"/>
  <c r="BE440" i="9"/>
  <c r="BP440" i="9"/>
  <c r="BD440" i="9"/>
  <c r="BO440" i="9" s="1"/>
  <c r="BC440" i="9"/>
  <c r="BN440" i="9" s="1"/>
  <c r="BB440" i="9"/>
  <c r="BM440" i="9"/>
  <c r="BA440" i="9"/>
  <c r="BL440" i="9"/>
  <c r="AZ440" i="9"/>
  <c r="BK440" i="9" s="1"/>
  <c r="AY440" i="9"/>
  <c r="BJ440" i="9" s="1"/>
  <c r="AX440" i="9"/>
  <c r="BI440" i="9" s="1"/>
  <c r="AW440" i="9"/>
  <c r="BH440" i="9"/>
  <c r="AV440" i="9"/>
  <c r="BG440" i="9" s="1"/>
  <c r="BE431" i="9"/>
  <c r="BP431" i="9" s="1"/>
  <c r="BD431" i="9"/>
  <c r="BO431" i="9"/>
  <c r="BC431" i="9"/>
  <c r="BN431" i="9" s="1"/>
  <c r="BB431" i="9"/>
  <c r="BM431" i="9" s="1"/>
  <c r="BA431" i="9"/>
  <c r="BL431" i="9" s="1"/>
  <c r="AZ431" i="9"/>
  <c r="BK431" i="9"/>
  <c r="AY431" i="9"/>
  <c r="BJ431" i="9" s="1"/>
  <c r="AX431" i="9"/>
  <c r="BI431" i="9" s="1"/>
  <c r="AW431" i="9"/>
  <c r="BH431" i="9"/>
  <c r="AV431" i="9"/>
  <c r="BG431" i="9" s="1"/>
  <c r="BE429" i="9"/>
  <c r="BP429" i="9" s="1"/>
  <c r="BD429" i="9"/>
  <c r="BO429" i="9"/>
  <c r="BC429" i="9"/>
  <c r="BN429" i="9" s="1"/>
  <c r="BB429" i="9"/>
  <c r="BM429" i="9"/>
  <c r="BA429" i="9"/>
  <c r="BL429" i="9" s="1"/>
  <c r="AZ429" i="9"/>
  <c r="BK429" i="9" s="1"/>
  <c r="AY429" i="9"/>
  <c r="BJ429" i="9"/>
  <c r="AX429" i="9"/>
  <c r="BI429" i="9" s="1"/>
  <c r="AW429" i="9"/>
  <c r="BH429" i="9" s="1"/>
  <c r="AV429" i="9"/>
  <c r="BG429" i="9" s="1"/>
  <c r="BE428" i="9"/>
  <c r="BP428" i="9" s="1"/>
  <c r="BD428" i="9"/>
  <c r="BO428" i="9" s="1"/>
  <c r="BC428" i="9"/>
  <c r="BN428" i="9" s="1"/>
  <c r="BB428" i="9"/>
  <c r="BM428" i="9" s="1"/>
  <c r="BA428" i="9"/>
  <c r="BL428" i="9" s="1"/>
  <c r="AZ428" i="9"/>
  <c r="BK428" i="9" s="1"/>
  <c r="AY428" i="9"/>
  <c r="BJ428" i="9" s="1"/>
  <c r="AX428" i="9"/>
  <c r="BI428" i="9"/>
  <c r="AW428" i="9"/>
  <c r="BH428" i="9" s="1"/>
  <c r="AV428" i="9"/>
  <c r="BG428" i="9"/>
  <c r="BE426" i="9"/>
  <c r="BP426" i="9" s="1"/>
  <c r="BD426" i="9"/>
  <c r="BO426" i="9" s="1"/>
  <c r="BC426" i="9"/>
  <c r="BN426" i="9"/>
  <c r="BB426" i="9"/>
  <c r="BM426" i="9" s="1"/>
  <c r="BA426" i="9"/>
  <c r="BL426" i="9"/>
  <c r="AZ426" i="9"/>
  <c r="BK426" i="9" s="1"/>
  <c r="AY426" i="9"/>
  <c r="BJ426" i="9" s="1"/>
  <c r="AX426" i="9"/>
  <c r="BI426" i="9" s="1"/>
  <c r="BQ426" i="9" s="1"/>
  <c r="AW426" i="9"/>
  <c r="BH426" i="9"/>
  <c r="AV426" i="9"/>
  <c r="BG426" i="9" s="1"/>
  <c r="BE425" i="9"/>
  <c r="BP425" i="9"/>
  <c r="BD425" i="9"/>
  <c r="BO425" i="9"/>
  <c r="BC425" i="9"/>
  <c r="BN425" i="9" s="1"/>
  <c r="BB425" i="9"/>
  <c r="BM425" i="9" s="1"/>
  <c r="BA425" i="9"/>
  <c r="BL425" i="9" s="1"/>
  <c r="AZ425" i="9"/>
  <c r="BK425" i="9"/>
  <c r="AY425" i="9"/>
  <c r="BJ425" i="9"/>
  <c r="AX425" i="9"/>
  <c r="BI425" i="9" s="1"/>
  <c r="AW425" i="9"/>
  <c r="BH425" i="9" s="1"/>
  <c r="AV425" i="9"/>
  <c r="BG425" i="9" s="1"/>
  <c r="BE424" i="9"/>
  <c r="BP424" i="9" s="1"/>
  <c r="BD424" i="9"/>
  <c r="BO424" i="9"/>
  <c r="BC424" i="9"/>
  <c r="BN424" i="9" s="1"/>
  <c r="BB424" i="9"/>
  <c r="BM424" i="9" s="1"/>
  <c r="BA424" i="9"/>
  <c r="BL424" i="9" s="1"/>
  <c r="AZ424" i="9"/>
  <c r="BK424" i="9" s="1"/>
  <c r="AY424" i="9"/>
  <c r="BJ424" i="9" s="1"/>
  <c r="AX424" i="9"/>
  <c r="BI424" i="9" s="1"/>
  <c r="AW424" i="9"/>
  <c r="BH424" i="9" s="1"/>
  <c r="AV424" i="9"/>
  <c r="BG424" i="9"/>
  <c r="BE423" i="9"/>
  <c r="BP423" i="9" s="1"/>
  <c r="BD423" i="9"/>
  <c r="BO423" i="9" s="1"/>
  <c r="BC423" i="9"/>
  <c r="BN423" i="9"/>
  <c r="BB423" i="9"/>
  <c r="BM423" i="9"/>
  <c r="BA423" i="9"/>
  <c r="BL423" i="9" s="1"/>
  <c r="AZ423" i="9"/>
  <c r="BK423" i="9" s="1"/>
  <c r="AY423" i="9"/>
  <c r="BJ423" i="9" s="1"/>
  <c r="AX423" i="9"/>
  <c r="BI423" i="9" s="1"/>
  <c r="AW423" i="9"/>
  <c r="BH423" i="9" s="1"/>
  <c r="AV423" i="9"/>
  <c r="BG423" i="9" s="1"/>
  <c r="BE422" i="9"/>
  <c r="BP422" i="9" s="1"/>
  <c r="BD422" i="9"/>
  <c r="BO422" i="9"/>
  <c r="BC422" i="9"/>
  <c r="BN422" i="9" s="1"/>
  <c r="BB422" i="9"/>
  <c r="BM422" i="9" s="1"/>
  <c r="BA422" i="9"/>
  <c r="BL422" i="9" s="1"/>
  <c r="AZ422" i="9"/>
  <c r="BK422" i="9" s="1"/>
  <c r="AY422" i="9"/>
  <c r="BJ422" i="9" s="1"/>
  <c r="AX422" i="9"/>
  <c r="BI422" i="9" s="1"/>
  <c r="AW422" i="9"/>
  <c r="BH422" i="9"/>
  <c r="AV422" i="9"/>
  <c r="BG422" i="9" s="1"/>
  <c r="BE421" i="9"/>
  <c r="BP421" i="9" s="1"/>
  <c r="BD421" i="9"/>
  <c r="BO421" i="9" s="1"/>
  <c r="BC421" i="9"/>
  <c r="BN421" i="9" s="1"/>
  <c r="BB421" i="9"/>
  <c r="BM421" i="9" s="1"/>
  <c r="BA421" i="9"/>
  <c r="BL421" i="9" s="1"/>
  <c r="AZ421" i="9"/>
  <c r="BK421" i="9" s="1"/>
  <c r="AY421" i="9"/>
  <c r="BJ421" i="9" s="1"/>
  <c r="AX421" i="9"/>
  <c r="BI421" i="9" s="1"/>
  <c r="AW421" i="9"/>
  <c r="BH421" i="9" s="1"/>
  <c r="AV421" i="9"/>
  <c r="BG421" i="9" s="1"/>
  <c r="BE420" i="9"/>
  <c r="BP420" i="9" s="1"/>
  <c r="BD420" i="9"/>
  <c r="BO420" i="9" s="1"/>
  <c r="BC420" i="9"/>
  <c r="BN420" i="9" s="1"/>
  <c r="BB420" i="9"/>
  <c r="BM420" i="9" s="1"/>
  <c r="BA420" i="9"/>
  <c r="BL420" i="9"/>
  <c r="AZ420" i="9"/>
  <c r="BK420" i="9" s="1"/>
  <c r="AY420" i="9"/>
  <c r="BJ420" i="9" s="1"/>
  <c r="AX420" i="9"/>
  <c r="BI420" i="9" s="1"/>
  <c r="AW420" i="9"/>
  <c r="BH420" i="9" s="1"/>
  <c r="AV420" i="9"/>
  <c r="BG420" i="9" s="1"/>
  <c r="BE419" i="9"/>
  <c r="BP419" i="9" s="1"/>
  <c r="BD419" i="9"/>
  <c r="BO419" i="9" s="1"/>
  <c r="BC419" i="9"/>
  <c r="BN419" i="9" s="1"/>
  <c r="BB419" i="9"/>
  <c r="BM419" i="9" s="1"/>
  <c r="BA419" i="9"/>
  <c r="BL419" i="9" s="1"/>
  <c r="AZ419" i="9"/>
  <c r="BK419" i="9" s="1"/>
  <c r="AY419" i="9"/>
  <c r="BJ419" i="9" s="1"/>
  <c r="AX419" i="9"/>
  <c r="BI419" i="9" s="1"/>
  <c r="BQ419" i="9" s="1"/>
  <c r="AW419" i="9"/>
  <c r="BH419" i="9" s="1"/>
  <c r="AV419" i="9"/>
  <c r="BG419" i="9" s="1"/>
  <c r="BE418" i="9"/>
  <c r="BP418" i="9"/>
  <c r="BD418" i="9"/>
  <c r="BO418" i="9" s="1"/>
  <c r="BC418" i="9"/>
  <c r="BN418" i="9" s="1"/>
  <c r="BB418" i="9"/>
  <c r="BM418" i="9" s="1"/>
  <c r="BA418" i="9"/>
  <c r="AZ418" i="9"/>
  <c r="BK418" i="9" s="1"/>
  <c r="AY418" i="9"/>
  <c r="BJ418" i="9" s="1"/>
  <c r="AX418" i="9"/>
  <c r="BI418" i="9" s="1"/>
  <c r="AW418" i="9"/>
  <c r="BH418" i="9"/>
  <c r="AV418" i="9"/>
  <c r="BG418" i="9" s="1"/>
  <c r="BE416" i="9"/>
  <c r="BP416" i="9" s="1"/>
  <c r="BD416" i="9"/>
  <c r="BO416" i="9" s="1"/>
  <c r="BC416" i="9"/>
  <c r="BN416" i="9" s="1"/>
  <c r="BB416" i="9"/>
  <c r="BM416" i="9" s="1"/>
  <c r="BA416" i="9"/>
  <c r="BL416" i="9" s="1"/>
  <c r="AZ416" i="9"/>
  <c r="BK416" i="9" s="1"/>
  <c r="AY416" i="9"/>
  <c r="BJ416" i="9" s="1"/>
  <c r="AX416" i="9"/>
  <c r="BI416" i="9" s="1"/>
  <c r="AW416" i="9"/>
  <c r="BH416" i="9"/>
  <c r="AV416" i="9"/>
  <c r="BG416" i="9"/>
  <c r="BE407" i="9"/>
  <c r="BD407" i="9"/>
  <c r="BC407" i="9"/>
  <c r="BB407" i="9"/>
  <c r="BA407" i="9"/>
  <c r="AZ407" i="9"/>
  <c r="AY407" i="9"/>
  <c r="AX407" i="9"/>
  <c r="AW407" i="9"/>
  <c r="AV407" i="9"/>
  <c r="BG407" i="9" s="1"/>
  <c r="BE405" i="9"/>
  <c r="BD405" i="9"/>
  <c r="BC405" i="9"/>
  <c r="BB405" i="9"/>
  <c r="BA405" i="9"/>
  <c r="AZ405" i="9"/>
  <c r="BK405" i="9" s="1"/>
  <c r="AY405" i="9"/>
  <c r="AX405" i="9"/>
  <c r="AW405" i="9"/>
  <c r="AV405" i="9"/>
  <c r="BG405" i="9" s="1"/>
  <c r="BE404" i="9"/>
  <c r="BD404" i="9"/>
  <c r="BC404" i="9"/>
  <c r="BB404" i="9"/>
  <c r="BA404" i="9"/>
  <c r="AZ404" i="9"/>
  <c r="AY404" i="9"/>
  <c r="AX404" i="9"/>
  <c r="AW404" i="9"/>
  <c r="AV404" i="9"/>
  <c r="BG404" i="9" s="1"/>
  <c r="BE402" i="9"/>
  <c r="BD402" i="9"/>
  <c r="BC402" i="9"/>
  <c r="BB402" i="9"/>
  <c r="BA402" i="9"/>
  <c r="AZ402" i="9"/>
  <c r="AY402" i="9"/>
  <c r="AX402" i="9"/>
  <c r="AW402" i="9"/>
  <c r="AV402" i="9"/>
  <c r="BG402" i="9" s="1"/>
  <c r="BE401" i="9"/>
  <c r="BD401" i="9"/>
  <c r="BC401" i="9"/>
  <c r="BB401" i="9"/>
  <c r="BA401" i="9"/>
  <c r="BL401" i="9" s="1"/>
  <c r="AZ401" i="9"/>
  <c r="AY401" i="9"/>
  <c r="AX401" i="9"/>
  <c r="AW401" i="9"/>
  <c r="AV401" i="9"/>
  <c r="BG401" i="9" s="1"/>
  <c r="BE400" i="9"/>
  <c r="BD400" i="9"/>
  <c r="BC400" i="9"/>
  <c r="BB400" i="9"/>
  <c r="BA400" i="9"/>
  <c r="AZ400" i="9"/>
  <c r="AY400" i="9"/>
  <c r="AX400" i="9"/>
  <c r="AW400" i="9"/>
  <c r="AV400" i="9"/>
  <c r="BG400" i="9" s="1"/>
  <c r="BE399" i="9"/>
  <c r="BD399" i="9"/>
  <c r="BC399" i="9"/>
  <c r="BB399" i="9"/>
  <c r="BA399" i="9"/>
  <c r="AZ399" i="9"/>
  <c r="AY399" i="9"/>
  <c r="AX399" i="9"/>
  <c r="AW399" i="9"/>
  <c r="AV399" i="9"/>
  <c r="BG399" i="9"/>
  <c r="BE398" i="9"/>
  <c r="BD398" i="9"/>
  <c r="BC398" i="9"/>
  <c r="BB398" i="9"/>
  <c r="BA398" i="9"/>
  <c r="AZ398" i="9"/>
  <c r="AY398" i="9"/>
  <c r="AX398" i="9"/>
  <c r="AW398" i="9"/>
  <c r="AV398" i="9"/>
  <c r="BG398" i="9"/>
  <c r="BE397" i="9"/>
  <c r="BD397" i="9"/>
  <c r="BC397" i="9"/>
  <c r="BB397" i="9"/>
  <c r="BA397" i="9"/>
  <c r="AZ397" i="9"/>
  <c r="AY397" i="9"/>
  <c r="AX397" i="9"/>
  <c r="AW397" i="9"/>
  <c r="AV397" i="9"/>
  <c r="BG397" i="9" s="1"/>
  <c r="BE396" i="9"/>
  <c r="BD396" i="9"/>
  <c r="BC396" i="9"/>
  <c r="BB396" i="9"/>
  <c r="BA396" i="9"/>
  <c r="AZ396" i="9"/>
  <c r="BK396" i="9" s="1"/>
  <c r="AY396" i="9"/>
  <c r="AX396" i="9"/>
  <c r="AW396" i="9"/>
  <c r="AV396" i="9"/>
  <c r="BG396" i="9" s="1"/>
  <c r="BE395" i="9"/>
  <c r="BD395" i="9"/>
  <c r="BC395" i="9"/>
  <c r="BB395" i="9"/>
  <c r="BA395" i="9"/>
  <c r="AZ395" i="9"/>
  <c r="AY395" i="9"/>
  <c r="AX395" i="9"/>
  <c r="AW395" i="9"/>
  <c r="AV395" i="9"/>
  <c r="BG395" i="9" s="1"/>
  <c r="BE394" i="9"/>
  <c r="BD394" i="9"/>
  <c r="BC394" i="9"/>
  <c r="BB394" i="9"/>
  <c r="BA394" i="9"/>
  <c r="AZ394" i="9"/>
  <c r="AY394" i="9"/>
  <c r="AX394" i="9"/>
  <c r="AW394" i="9"/>
  <c r="AV394" i="9"/>
  <c r="BG394" i="9" s="1"/>
  <c r="BE392" i="9"/>
  <c r="BD392" i="9"/>
  <c r="BC392" i="9"/>
  <c r="BB392" i="9"/>
  <c r="BA392" i="9"/>
  <c r="AZ392" i="9"/>
  <c r="AY392" i="9"/>
  <c r="AX392" i="9"/>
  <c r="AW392" i="9"/>
  <c r="AV392" i="9"/>
  <c r="BG392" i="9"/>
  <c r="BE383" i="9"/>
  <c r="BD383" i="9"/>
  <c r="BC383" i="9"/>
  <c r="BB383" i="9"/>
  <c r="BA383" i="9"/>
  <c r="AZ383" i="9"/>
  <c r="BK383" i="9" s="1"/>
  <c r="AY383" i="9"/>
  <c r="BJ383" i="9" s="1"/>
  <c r="AX383" i="9"/>
  <c r="AW383" i="9"/>
  <c r="AV383" i="9"/>
  <c r="BG383" i="9"/>
  <c r="BE381" i="9"/>
  <c r="BD381" i="9"/>
  <c r="BC381" i="9"/>
  <c r="BB381" i="9"/>
  <c r="BA381" i="9"/>
  <c r="AZ381" i="9"/>
  <c r="AY381" i="9"/>
  <c r="BJ381" i="9" s="1"/>
  <c r="AX381" i="9"/>
  <c r="AW381" i="9"/>
  <c r="AV381" i="9"/>
  <c r="BG381" i="9"/>
  <c r="BE380" i="9"/>
  <c r="BD380" i="9"/>
  <c r="BC380" i="9"/>
  <c r="BB380" i="9"/>
  <c r="BA380" i="9"/>
  <c r="AZ380" i="9"/>
  <c r="AY380" i="9"/>
  <c r="AX380" i="9"/>
  <c r="AW380" i="9"/>
  <c r="AV380" i="9"/>
  <c r="BG380" i="9" s="1"/>
  <c r="BE378" i="9"/>
  <c r="BD378" i="9"/>
  <c r="BC378" i="9"/>
  <c r="BB378" i="9"/>
  <c r="BA378" i="9"/>
  <c r="AZ378" i="9"/>
  <c r="AY378" i="9"/>
  <c r="AX378" i="9"/>
  <c r="AW378" i="9"/>
  <c r="AV378" i="9"/>
  <c r="BG378" i="9" s="1"/>
  <c r="BE377" i="9"/>
  <c r="BD377" i="9"/>
  <c r="BC377" i="9"/>
  <c r="BB377" i="9"/>
  <c r="BA377" i="9"/>
  <c r="AZ377" i="9"/>
  <c r="BK377" i="9" s="1"/>
  <c r="AY377" i="9"/>
  <c r="AX377" i="9"/>
  <c r="AW377" i="9"/>
  <c r="AV377" i="9"/>
  <c r="BG377" i="9" s="1"/>
  <c r="BE376" i="9"/>
  <c r="BD376" i="9"/>
  <c r="BC376" i="9"/>
  <c r="BB376" i="9"/>
  <c r="BA376" i="9"/>
  <c r="AZ376" i="9"/>
  <c r="AY376" i="9"/>
  <c r="AX376" i="9"/>
  <c r="AW376" i="9"/>
  <c r="AV376" i="9"/>
  <c r="BG376" i="9" s="1"/>
  <c r="BE375" i="9"/>
  <c r="BD375" i="9"/>
  <c r="BC375" i="9"/>
  <c r="BB375" i="9"/>
  <c r="BA375" i="9"/>
  <c r="AZ375" i="9"/>
  <c r="AY375" i="9"/>
  <c r="AX375" i="9"/>
  <c r="AW375" i="9"/>
  <c r="AV375" i="9"/>
  <c r="BG375" i="9" s="1"/>
  <c r="BE374" i="9"/>
  <c r="BD374" i="9"/>
  <c r="BC374" i="9"/>
  <c r="BB374" i="9"/>
  <c r="BA374" i="9"/>
  <c r="BL374" i="9" s="1"/>
  <c r="AZ374" i="9"/>
  <c r="BK374" i="9" s="1"/>
  <c r="AY374" i="9"/>
  <c r="AX374" i="9"/>
  <c r="AW374" i="9"/>
  <c r="AV374" i="9"/>
  <c r="BG374" i="9" s="1"/>
  <c r="BE373" i="9"/>
  <c r="BD373" i="9"/>
  <c r="BC373" i="9"/>
  <c r="BB373" i="9"/>
  <c r="BA373" i="9"/>
  <c r="AZ373" i="9"/>
  <c r="AY373" i="9"/>
  <c r="AX373" i="9"/>
  <c r="AW373" i="9"/>
  <c r="AV373" i="9"/>
  <c r="BG373" i="9" s="1"/>
  <c r="BE372" i="9"/>
  <c r="BD372" i="9"/>
  <c r="BC372" i="9"/>
  <c r="BB372" i="9"/>
  <c r="BA372" i="9"/>
  <c r="AZ372" i="9"/>
  <c r="AY372" i="9"/>
  <c r="BJ372" i="9" s="1"/>
  <c r="AX372" i="9"/>
  <c r="AW372" i="9"/>
  <c r="AV372" i="9"/>
  <c r="BG372" i="9" s="1"/>
  <c r="BE371" i="9"/>
  <c r="BD371" i="9"/>
  <c r="BC371" i="9"/>
  <c r="BB371" i="9"/>
  <c r="BA371" i="9"/>
  <c r="AZ371" i="9"/>
  <c r="BK371" i="9" s="1"/>
  <c r="AY371" i="9"/>
  <c r="AX371" i="9"/>
  <c r="AW371" i="9"/>
  <c r="AV371" i="9"/>
  <c r="BG371" i="9" s="1"/>
  <c r="BE370" i="9"/>
  <c r="BD370" i="9"/>
  <c r="BC370" i="9"/>
  <c r="BB370" i="9"/>
  <c r="BA370" i="9"/>
  <c r="AZ370" i="9"/>
  <c r="AY370" i="9"/>
  <c r="AX370" i="9"/>
  <c r="AW370" i="9"/>
  <c r="AV370" i="9"/>
  <c r="BG370" i="9" s="1"/>
  <c r="BE368" i="9"/>
  <c r="BD368" i="9"/>
  <c r="BC368" i="9"/>
  <c r="BB368" i="9"/>
  <c r="BA368" i="9"/>
  <c r="AZ368" i="9"/>
  <c r="BK368" i="9" s="1"/>
  <c r="AY368" i="9"/>
  <c r="AX368" i="9"/>
  <c r="AW368" i="9"/>
  <c r="AV368" i="9"/>
  <c r="BG368" i="9" s="1"/>
  <c r="BE359" i="9"/>
  <c r="BD359" i="9"/>
  <c r="BC359" i="9"/>
  <c r="BB359" i="9"/>
  <c r="BA359" i="9"/>
  <c r="AZ359" i="9"/>
  <c r="AY359" i="9"/>
  <c r="AX359" i="9"/>
  <c r="AW359" i="9"/>
  <c r="AV359" i="9"/>
  <c r="BG359" i="9" s="1"/>
  <c r="BE357" i="9"/>
  <c r="BD357" i="9"/>
  <c r="BC357" i="9"/>
  <c r="BB357" i="9"/>
  <c r="BA357" i="9"/>
  <c r="AZ357" i="9"/>
  <c r="AY357" i="9"/>
  <c r="AX357" i="9"/>
  <c r="AW357" i="9"/>
  <c r="AV357" i="9"/>
  <c r="BG357" i="9" s="1"/>
  <c r="BE356" i="9"/>
  <c r="BD356" i="9"/>
  <c r="BC356" i="9"/>
  <c r="BB356" i="9"/>
  <c r="BA356" i="9"/>
  <c r="AZ356" i="9"/>
  <c r="AY356" i="9"/>
  <c r="AX356" i="9"/>
  <c r="AW356" i="9"/>
  <c r="AV356" i="9"/>
  <c r="BG356" i="9" s="1"/>
  <c r="BE354" i="9"/>
  <c r="BD354" i="9"/>
  <c r="BC354" i="9"/>
  <c r="BB354" i="9"/>
  <c r="BA354" i="9"/>
  <c r="AZ354" i="9"/>
  <c r="AY354" i="9"/>
  <c r="AX354" i="9"/>
  <c r="AW354" i="9"/>
  <c r="AV354" i="9"/>
  <c r="BG354" i="9" s="1"/>
  <c r="BE353" i="9"/>
  <c r="BD353" i="9"/>
  <c r="BC353" i="9"/>
  <c r="BB353" i="9"/>
  <c r="BA353" i="9"/>
  <c r="AZ353" i="9"/>
  <c r="AY353" i="9"/>
  <c r="AX353" i="9"/>
  <c r="AW353" i="9"/>
  <c r="AV353" i="9"/>
  <c r="BG353" i="9" s="1"/>
  <c r="BE352" i="9"/>
  <c r="BD352" i="9"/>
  <c r="BC352" i="9"/>
  <c r="BB352" i="9"/>
  <c r="BA352" i="9"/>
  <c r="AZ352" i="9"/>
  <c r="AY352" i="9"/>
  <c r="AX352" i="9"/>
  <c r="AW352" i="9"/>
  <c r="AV352" i="9"/>
  <c r="BG352" i="9"/>
  <c r="BE351" i="9"/>
  <c r="BD351" i="9"/>
  <c r="BC351" i="9"/>
  <c r="BB351" i="9"/>
  <c r="BA351" i="9"/>
  <c r="AZ351" i="9"/>
  <c r="AY351" i="9"/>
  <c r="AX351" i="9"/>
  <c r="AW351" i="9"/>
  <c r="AV351" i="9"/>
  <c r="BG351" i="9" s="1"/>
  <c r="BE350" i="9"/>
  <c r="BD350" i="9"/>
  <c r="BC350" i="9"/>
  <c r="BB350" i="9"/>
  <c r="BA350" i="9"/>
  <c r="AZ350" i="9"/>
  <c r="AY350" i="9"/>
  <c r="AX350" i="9"/>
  <c r="AW350" i="9"/>
  <c r="AV350" i="9"/>
  <c r="BG350" i="9" s="1"/>
  <c r="BE349" i="9"/>
  <c r="BD349" i="9"/>
  <c r="BC349" i="9"/>
  <c r="BB349" i="9"/>
  <c r="BA349" i="9"/>
  <c r="AZ349" i="9"/>
  <c r="AY349" i="9"/>
  <c r="AX349" i="9"/>
  <c r="AW349" i="9"/>
  <c r="AV349" i="9"/>
  <c r="BG349" i="9" s="1"/>
  <c r="BE348" i="9"/>
  <c r="BD348" i="9"/>
  <c r="BC348" i="9"/>
  <c r="BB348" i="9"/>
  <c r="BA348" i="9"/>
  <c r="AZ348" i="9"/>
  <c r="AY348" i="9"/>
  <c r="AX348" i="9"/>
  <c r="AW348" i="9"/>
  <c r="AV348" i="9"/>
  <c r="BG348" i="9" s="1"/>
  <c r="BE347" i="9"/>
  <c r="BD347" i="9"/>
  <c r="BC347" i="9"/>
  <c r="BB347" i="9"/>
  <c r="BA347" i="9"/>
  <c r="AZ347" i="9"/>
  <c r="AY347" i="9"/>
  <c r="AX347" i="9"/>
  <c r="AW347" i="9"/>
  <c r="AV347" i="9"/>
  <c r="BG347" i="9"/>
  <c r="BE346" i="9"/>
  <c r="BD346" i="9"/>
  <c r="BC346" i="9"/>
  <c r="BB346" i="9"/>
  <c r="BA346" i="9"/>
  <c r="AZ346" i="9"/>
  <c r="AY346" i="9"/>
  <c r="AX346" i="9"/>
  <c r="AW346" i="9"/>
  <c r="AV346" i="9"/>
  <c r="BG346" i="9"/>
  <c r="BE344" i="9"/>
  <c r="BD344" i="9"/>
  <c r="BC344" i="9"/>
  <c r="BB344" i="9"/>
  <c r="BA344" i="9"/>
  <c r="AZ344" i="9"/>
  <c r="AY344" i="9"/>
  <c r="AX344" i="9"/>
  <c r="AW344" i="9"/>
  <c r="AV344" i="9"/>
  <c r="BG344" i="9" s="1"/>
  <c r="BE335" i="9"/>
  <c r="BD335" i="9"/>
  <c r="BC335" i="9"/>
  <c r="BB335" i="9"/>
  <c r="BA335" i="9"/>
  <c r="AZ335" i="9"/>
  <c r="AY335" i="9"/>
  <c r="BJ335" i="9" s="1"/>
  <c r="AX335" i="9"/>
  <c r="AW335" i="9"/>
  <c r="AV335" i="9"/>
  <c r="BG335" i="9"/>
  <c r="BE333" i="9"/>
  <c r="BD333" i="9"/>
  <c r="BC333" i="9"/>
  <c r="BB333" i="9"/>
  <c r="BA333" i="9"/>
  <c r="AZ333" i="9"/>
  <c r="AY333" i="9"/>
  <c r="AX333" i="9"/>
  <c r="AW333" i="9"/>
  <c r="AV333" i="9"/>
  <c r="BG333" i="9"/>
  <c r="BE332" i="9"/>
  <c r="BD332" i="9"/>
  <c r="BC332" i="9"/>
  <c r="BB332" i="9"/>
  <c r="BA332" i="9"/>
  <c r="AZ332" i="9"/>
  <c r="BK332" i="9" s="1"/>
  <c r="AY332" i="9"/>
  <c r="AX332" i="9"/>
  <c r="AW332" i="9"/>
  <c r="AV332" i="9"/>
  <c r="BG332" i="9" s="1"/>
  <c r="BE330" i="9"/>
  <c r="BD330" i="9"/>
  <c r="BC330" i="9"/>
  <c r="BB330" i="9"/>
  <c r="BA330" i="9"/>
  <c r="AZ330" i="9"/>
  <c r="AY330" i="9"/>
  <c r="AX330" i="9"/>
  <c r="AW330" i="9"/>
  <c r="AV330" i="9"/>
  <c r="BG330" i="9" s="1"/>
  <c r="BE329" i="9"/>
  <c r="BD329" i="9"/>
  <c r="BC329" i="9"/>
  <c r="BB329" i="9"/>
  <c r="BA329" i="9"/>
  <c r="AZ329" i="9"/>
  <c r="AY329" i="9"/>
  <c r="AX329" i="9"/>
  <c r="AW329" i="9"/>
  <c r="AV329" i="9"/>
  <c r="BG329" i="9" s="1"/>
  <c r="BE328" i="9"/>
  <c r="BD328" i="9"/>
  <c r="BC328" i="9"/>
  <c r="BB328" i="9"/>
  <c r="BA328" i="9"/>
  <c r="AZ328" i="9"/>
  <c r="AY328" i="9"/>
  <c r="AX328" i="9"/>
  <c r="AW328" i="9"/>
  <c r="AV328" i="9"/>
  <c r="BG328" i="9"/>
  <c r="BE327" i="9"/>
  <c r="BD327" i="9"/>
  <c r="BC327" i="9"/>
  <c r="BB327" i="9"/>
  <c r="BA327" i="9"/>
  <c r="AZ327" i="9"/>
  <c r="AY327" i="9"/>
  <c r="BJ327" i="9" s="1"/>
  <c r="AX327" i="9"/>
  <c r="AW327" i="9"/>
  <c r="AV327" i="9"/>
  <c r="BG327" i="9" s="1"/>
  <c r="BE326" i="9"/>
  <c r="BD326" i="9"/>
  <c r="BC326" i="9"/>
  <c r="BB326" i="9"/>
  <c r="BA326" i="9"/>
  <c r="AZ326" i="9"/>
  <c r="BK326" i="9" s="1"/>
  <c r="AY326" i="9"/>
  <c r="BJ326" i="9" s="1"/>
  <c r="AX326" i="9"/>
  <c r="AW326" i="9"/>
  <c r="AV326" i="9"/>
  <c r="BG326" i="9" s="1"/>
  <c r="BE325" i="9"/>
  <c r="BD325" i="9"/>
  <c r="BC325" i="9"/>
  <c r="BB325" i="9"/>
  <c r="BA325" i="9"/>
  <c r="AZ325" i="9"/>
  <c r="AY325" i="9"/>
  <c r="AX325" i="9"/>
  <c r="AW325" i="9"/>
  <c r="AV325" i="9"/>
  <c r="BG325" i="9" s="1"/>
  <c r="BE324" i="9"/>
  <c r="BD324" i="9"/>
  <c r="BC324" i="9"/>
  <c r="BB324" i="9"/>
  <c r="BA324" i="9"/>
  <c r="AZ324" i="9"/>
  <c r="AY324" i="9"/>
  <c r="AX324" i="9"/>
  <c r="AW324" i="9"/>
  <c r="AV324" i="9"/>
  <c r="BG324" i="9" s="1"/>
  <c r="BE323" i="9"/>
  <c r="BD323" i="9"/>
  <c r="BC323" i="9"/>
  <c r="BB323" i="9"/>
  <c r="BA323" i="9"/>
  <c r="AZ323" i="9"/>
  <c r="BK323" i="9" s="1"/>
  <c r="AY323" i="9"/>
  <c r="BJ323" i="9" s="1"/>
  <c r="AX323" i="9"/>
  <c r="AW323" i="9"/>
  <c r="AV323" i="9"/>
  <c r="BG323" i="9" s="1"/>
  <c r="BE322" i="9"/>
  <c r="BD322" i="9"/>
  <c r="BC322" i="9"/>
  <c r="BB322" i="9"/>
  <c r="BA322" i="9"/>
  <c r="BL322" i="9" s="1"/>
  <c r="AZ322" i="9"/>
  <c r="AY322" i="9"/>
  <c r="BJ322" i="9" s="1"/>
  <c r="AX322" i="9"/>
  <c r="AW322" i="9"/>
  <c r="AV322" i="9"/>
  <c r="BG322" i="9" s="1"/>
  <c r="BE320" i="9"/>
  <c r="BD320" i="9"/>
  <c r="BC320" i="9"/>
  <c r="BB320" i="9"/>
  <c r="BA320" i="9"/>
  <c r="AZ320" i="9"/>
  <c r="AY320" i="9"/>
  <c r="AX320" i="9"/>
  <c r="AW320" i="9"/>
  <c r="AV320" i="9"/>
  <c r="BG320" i="9" s="1"/>
  <c r="BE311" i="9"/>
  <c r="BP311" i="9" s="1"/>
  <c r="BD311" i="9"/>
  <c r="BC311" i="9"/>
  <c r="BB311" i="9"/>
  <c r="BA311" i="9"/>
  <c r="AZ311" i="9"/>
  <c r="BK311" i="9" s="1"/>
  <c r="AY311" i="9"/>
  <c r="BJ311" i="9" s="1"/>
  <c r="AX311" i="9"/>
  <c r="AW311" i="9"/>
  <c r="BH311" i="9" s="1"/>
  <c r="AV311" i="9"/>
  <c r="BG311" i="9"/>
  <c r="BE309" i="9"/>
  <c r="BD309" i="9"/>
  <c r="BC309" i="9"/>
  <c r="BB309" i="9"/>
  <c r="BA309" i="9"/>
  <c r="AZ309" i="9"/>
  <c r="BK309" i="9" s="1"/>
  <c r="AY309" i="9"/>
  <c r="AX309" i="9"/>
  <c r="AW309" i="9"/>
  <c r="AV309" i="9"/>
  <c r="BG309" i="9" s="1"/>
  <c r="BE308" i="9"/>
  <c r="BD308" i="9"/>
  <c r="BC308" i="9"/>
  <c r="BB308" i="9"/>
  <c r="BA308" i="9"/>
  <c r="AZ308" i="9"/>
  <c r="AY308" i="9"/>
  <c r="BJ308" i="9" s="1"/>
  <c r="AX308" i="9"/>
  <c r="AW308" i="9"/>
  <c r="AV308" i="9"/>
  <c r="BG308" i="9" s="1"/>
  <c r="BE306" i="9"/>
  <c r="BD306" i="9"/>
  <c r="BC306" i="9"/>
  <c r="BB306" i="9"/>
  <c r="BA306" i="9"/>
  <c r="AZ306" i="9"/>
  <c r="AY306" i="9"/>
  <c r="BJ306" i="9" s="1"/>
  <c r="AX306" i="9"/>
  <c r="AW306" i="9"/>
  <c r="AV306" i="9"/>
  <c r="BG306" i="9" s="1"/>
  <c r="BE305" i="9"/>
  <c r="BD305" i="9"/>
  <c r="BC305" i="9"/>
  <c r="BB305" i="9"/>
  <c r="BA305" i="9"/>
  <c r="AZ305" i="9"/>
  <c r="AY305" i="9"/>
  <c r="BJ305" i="9" s="1"/>
  <c r="AX305" i="9"/>
  <c r="AW305" i="9"/>
  <c r="AV305" i="9"/>
  <c r="BG305" i="9" s="1"/>
  <c r="BE304" i="9"/>
  <c r="BD304" i="9"/>
  <c r="BC304" i="9"/>
  <c r="BB304" i="9"/>
  <c r="BA304" i="9"/>
  <c r="AZ304" i="9"/>
  <c r="BK304" i="9" s="1"/>
  <c r="AY304" i="9"/>
  <c r="AX304" i="9"/>
  <c r="AW304" i="9"/>
  <c r="AV304" i="9"/>
  <c r="BG304" i="9" s="1"/>
  <c r="BE303" i="9"/>
  <c r="BD303" i="9"/>
  <c r="BC303" i="9"/>
  <c r="BB303" i="9"/>
  <c r="BA303" i="9"/>
  <c r="AZ303" i="9"/>
  <c r="AY303" i="9"/>
  <c r="AX303" i="9"/>
  <c r="AW303" i="9"/>
  <c r="AV303" i="9"/>
  <c r="BG303" i="9" s="1"/>
  <c r="BE302" i="9"/>
  <c r="BD302" i="9"/>
  <c r="BC302" i="9"/>
  <c r="BB302" i="9"/>
  <c r="BA302" i="9"/>
  <c r="AZ302" i="9"/>
  <c r="AY302" i="9"/>
  <c r="AX302" i="9"/>
  <c r="AW302" i="9"/>
  <c r="AV302" i="9"/>
  <c r="BG302" i="9" s="1"/>
  <c r="BE301" i="9"/>
  <c r="BD301" i="9"/>
  <c r="BC301" i="9"/>
  <c r="BB301" i="9"/>
  <c r="BA301" i="9"/>
  <c r="AZ301" i="9"/>
  <c r="AY301" i="9"/>
  <c r="BJ301" i="9" s="1"/>
  <c r="AX301" i="9"/>
  <c r="AW301" i="9"/>
  <c r="AV301" i="9"/>
  <c r="BG301" i="9" s="1"/>
  <c r="BE300" i="9"/>
  <c r="BD300" i="9"/>
  <c r="BC300" i="9"/>
  <c r="BB300" i="9"/>
  <c r="BA300" i="9"/>
  <c r="AZ300" i="9"/>
  <c r="AY300" i="9"/>
  <c r="AX300" i="9"/>
  <c r="AW300" i="9"/>
  <c r="AV300" i="9"/>
  <c r="BG300" i="9" s="1"/>
  <c r="BE299" i="9"/>
  <c r="BD299" i="9"/>
  <c r="BC299" i="9"/>
  <c r="BB299" i="9"/>
  <c r="BA299" i="9"/>
  <c r="BL299" i="9" s="1"/>
  <c r="AZ299" i="9"/>
  <c r="AY299" i="9"/>
  <c r="BJ299" i="9" s="1"/>
  <c r="AX299" i="9"/>
  <c r="AW299" i="9"/>
  <c r="AV299" i="9"/>
  <c r="BG299" i="9" s="1"/>
  <c r="BE298" i="9"/>
  <c r="BD298" i="9"/>
  <c r="BC298" i="9"/>
  <c r="BB298" i="9"/>
  <c r="BA298" i="9"/>
  <c r="AZ298" i="9"/>
  <c r="AY298" i="9"/>
  <c r="BJ298" i="9" s="1"/>
  <c r="AX298" i="9"/>
  <c r="AW298" i="9"/>
  <c r="AV298" i="9"/>
  <c r="BG298" i="9" s="1"/>
  <c r="BE296" i="9"/>
  <c r="BD296" i="9"/>
  <c r="BC296" i="9"/>
  <c r="BB296" i="9"/>
  <c r="BA296" i="9"/>
  <c r="AZ296" i="9"/>
  <c r="AY296" i="9"/>
  <c r="AX296" i="9"/>
  <c r="AW296" i="9"/>
  <c r="AV296" i="9"/>
  <c r="BG296" i="9" s="1"/>
  <c r="BE287" i="9"/>
  <c r="BD287" i="9"/>
  <c r="BC287" i="9"/>
  <c r="BB287" i="9"/>
  <c r="BA287" i="9"/>
  <c r="AZ287" i="9"/>
  <c r="BK287" i="9" s="1"/>
  <c r="AY287" i="9"/>
  <c r="AX287" i="9"/>
  <c r="AW287" i="9"/>
  <c r="AV287" i="9"/>
  <c r="BG287" i="9" s="1"/>
  <c r="BE285" i="9"/>
  <c r="BD285" i="9"/>
  <c r="BC285" i="9"/>
  <c r="BN285" i="9" s="1"/>
  <c r="BB285" i="9"/>
  <c r="BA285" i="9"/>
  <c r="AZ285" i="9"/>
  <c r="AY285" i="9"/>
  <c r="AX285" i="9"/>
  <c r="AW285" i="9"/>
  <c r="AV285" i="9"/>
  <c r="BG285" i="9"/>
  <c r="BE284" i="9"/>
  <c r="BD284" i="9"/>
  <c r="BC284" i="9"/>
  <c r="BB284" i="9"/>
  <c r="BA284" i="9"/>
  <c r="AZ284" i="9"/>
  <c r="AY284" i="9"/>
  <c r="AX284" i="9"/>
  <c r="AW284" i="9"/>
  <c r="AV284" i="9"/>
  <c r="BG284" i="9" s="1"/>
  <c r="BE282" i="9"/>
  <c r="BD282" i="9"/>
  <c r="BC282" i="9"/>
  <c r="BB282" i="9"/>
  <c r="BA282" i="9"/>
  <c r="BL282" i="9" s="1"/>
  <c r="AZ282" i="9"/>
  <c r="AY282" i="9"/>
  <c r="AX282" i="9"/>
  <c r="AW282" i="9"/>
  <c r="AV282" i="9"/>
  <c r="BG282" i="9" s="1"/>
  <c r="BE281" i="9"/>
  <c r="BD281" i="9"/>
  <c r="BC281" i="9"/>
  <c r="BB281" i="9"/>
  <c r="BA281" i="9"/>
  <c r="AZ281" i="9"/>
  <c r="AY281" i="9"/>
  <c r="AX281" i="9"/>
  <c r="AW281" i="9"/>
  <c r="AV281" i="9"/>
  <c r="BG281" i="9" s="1"/>
  <c r="BE280" i="9"/>
  <c r="BD280" i="9"/>
  <c r="BC280" i="9"/>
  <c r="BB280" i="9"/>
  <c r="BA280" i="9"/>
  <c r="AZ280" i="9"/>
  <c r="BK280" i="9" s="1"/>
  <c r="AY280" i="9"/>
  <c r="BJ280" i="9" s="1"/>
  <c r="AX280" i="9"/>
  <c r="AW280" i="9"/>
  <c r="AV280" i="9"/>
  <c r="BG280" i="9" s="1"/>
  <c r="BE279" i="9"/>
  <c r="BD279" i="9"/>
  <c r="BC279" i="9"/>
  <c r="BB279" i="9"/>
  <c r="BA279" i="9"/>
  <c r="AZ279" i="9"/>
  <c r="AY279" i="9"/>
  <c r="BJ279" i="9" s="1"/>
  <c r="AX279" i="9"/>
  <c r="AW279" i="9"/>
  <c r="AV279" i="9"/>
  <c r="BG279" i="9" s="1"/>
  <c r="BE278" i="9"/>
  <c r="BD278" i="9"/>
  <c r="BC278" i="9"/>
  <c r="BB278" i="9"/>
  <c r="BA278" i="9"/>
  <c r="BL278" i="9" s="1"/>
  <c r="AZ278" i="9"/>
  <c r="AY278" i="9"/>
  <c r="AX278" i="9"/>
  <c r="AW278" i="9"/>
  <c r="AV278" i="9"/>
  <c r="BG278" i="9"/>
  <c r="BE277" i="9"/>
  <c r="BD277" i="9"/>
  <c r="BC277" i="9"/>
  <c r="BB277" i="9"/>
  <c r="BA277" i="9"/>
  <c r="AZ277" i="9"/>
  <c r="BK277" i="9" s="1"/>
  <c r="AY277" i="9"/>
  <c r="AX277" i="9"/>
  <c r="AW277" i="9"/>
  <c r="AV277" i="9"/>
  <c r="BE276" i="9"/>
  <c r="BD276" i="9"/>
  <c r="BC276" i="9"/>
  <c r="BN276" i="9" s="1"/>
  <c r="BB276" i="9"/>
  <c r="BA276" i="9"/>
  <c r="AZ276" i="9"/>
  <c r="AY276" i="9"/>
  <c r="AX276" i="9"/>
  <c r="AW276" i="9"/>
  <c r="AV276" i="9"/>
  <c r="BG276" i="9"/>
  <c r="BE275" i="9"/>
  <c r="BD275" i="9"/>
  <c r="BC275" i="9"/>
  <c r="BB275" i="9"/>
  <c r="BA275" i="9"/>
  <c r="AZ275" i="9"/>
  <c r="AY275" i="9"/>
  <c r="AX275" i="9"/>
  <c r="AW275" i="9"/>
  <c r="AV275" i="9"/>
  <c r="BG275" i="9"/>
  <c r="BE274" i="9"/>
  <c r="BD274" i="9"/>
  <c r="BC274" i="9"/>
  <c r="BB274" i="9"/>
  <c r="BA274" i="9"/>
  <c r="BL274" i="9" s="1"/>
  <c r="AZ274" i="9"/>
  <c r="AY274" i="9"/>
  <c r="AX274" i="9"/>
  <c r="AW274" i="9"/>
  <c r="AV274" i="9"/>
  <c r="BG274" i="9" s="1"/>
  <c r="BE272" i="9"/>
  <c r="BD272" i="9"/>
  <c r="BC272" i="9"/>
  <c r="BB272" i="9"/>
  <c r="BA272" i="9"/>
  <c r="AZ272" i="9"/>
  <c r="AY272" i="9"/>
  <c r="AX272" i="9"/>
  <c r="AW272" i="9"/>
  <c r="AV272" i="9"/>
  <c r="BG272" i="9" s="1"/>
  <c r="BE263" i="9"/>
  <c r="BD263" i="9"/>
  <c r="BC263" i="9"/>
  <c r="BB263" i="9"/>
  <c r="BA263" i="9"/>
  <c r="BL263" i="9" s="1"/>
  <c r="AZ263" i="9"/>
  <c r="BK263" i="9" s="1"/>
  <c r="AY263" i="9"/>
  <c r="BJ263" i="9" s="1"/>
  <c r="AX263" i="9"/>
  <c r="BI263" i="9" s="1"/>
  <c r="AW263" i="9"/>
  <c r="AV263" i="9"/>
  <c r="BG263" i="9"/>
  <c r="BE261" i="9"/>
  <c r="BD261" i="9"/>
  <c r="BC261" i="9"/>
  <c r="BB261" i="9"/>
  <c r="BA261" i="9"/>
  <c r="AZ261" i="9"/>
  <c r="AY261" i="9"/>
  <c r="AX261" i="9"/>
  <c r="AW261" i="9"/>
  <c r="AV261" i="9"/>
  <c r="BE260" i="9"/>
  <c r="BD260" i="9"/>
  <c r="BC260" i="9"/>
  <c r="BB260" i="9"/>
  <c r="BA260" i="9"/>
  <c r="AZ260" i="9"/>
  <c r="AY260" i="9"/>
  <c r="AX260" i="9"/>
  <c r="AW260" i="9"/>
  <c r="BH260" i="9" s="1"/>
  <c r="AV260" i="9"/>
  <c r="BG260" i="9" s="1"/>
  <c r="BE258" i="9"/>
  <c r="BD258" i="9"/>
  <c r="BC258" i="9"/>
  <c r="BB258" i="9"/>
  <c r="BA258" i="9"/>
  <c r="AZ258" i="9"/>
  <c r="BK258" i="9" s="1"/>
  <c r="AY258" i="9"/>
  <c r="AX258" i="9"/>
  <c r="AW258" i="9"/>
  <c r="AV258" i="9"/>
  <c r="BG258" i="9" s="1"/>
  <c r="BE257" i="9"/>
  <c r="BP257" i="9" s="1"/>
  <c r="BD257" i="9"/>
  <c r="BC257" i="9"/>
  <c r="BB257" i="9"/>
  <c r="BA257" i="9"/>
  <c r="AZ257" i="9"/>
  <c r="AY257" i="9"/>
  <c r="AX257" i="9"/>
  <c r="AW257" i="9"/>
  <c r="AV257" i="9"/>
  <c r="BG257" i="9"/>
  <c r="BE256" i="9"/>
  <c r="BD256" i="9"/>
  <c r="BC256" i="9"/>
  <c r="BB256" i="9"/>
  <c r="BA256" i="9"/>
  <c r="AZ256" i="9"/>
  <c r="AY256" i="9"/>
  <c r="AX256" i="9"/>
  <c r="BI256" i="9" s="1"/>
  <c r="AW256" i="9"/>
  <c r="AV256" i="9"/>
  <c r="BG256" i="9" s="1"/>
  <c r="BE255" i="9"/>
  <c r="BD255" i="9"/>
  <c r="BC255" i="9"/>
  <c r="BB255" i="9"/>
  <c r="BA255" i="9"/>
  <c r="AZ255" i="9"/>
  <c r="BK255" i="9" s="1"/>
  <c r="AY255" i="9"/>
  <c r="AX255" i="9"/>
  <c r="BI255" i="9" s="1"/>
  <c r="AW255" i="9"/>
  <c r="AV255" i="9"/>
  <c r="BG255" i="9"/>
  <c r="BE254" i="9"/>
  <c r="BD254" i="9"/>
  <c r="BC254" i="9"/>
  <c r="BB254" i="9"/>
  <c r="BA254" i="9"/>
  <c r="AZ254" i="9"/>
  <c r="AY254" i="9"/>
  <c r="AX254" i="9"/>
  <c r="AW254" i="9"/>
  <c r="AV254" i="9"/>
  <c r="BG254" i="9" s="1"/>
  <c r="BE253" i="9"/>
  <c r="BD253" i="9"/>
  <c r="BC253" i="9"/>
  <c r="BB253" i="9"/>
  <c r="BA253" i="9"/>
  <c r="AZ253" i="9"/>
  <c r="AY253" i="9"/>
  <c r="BJ253" i="9" s="1"/>
  <c r="AX253" i="9"/>
  <c r="AW253" i="9"/>
  <c r="AV253" i="9"/>
  <c r="BG253" i="9" s="1"/>
  <c r="BE252" i="9"/>
  <c r="BD252" i="9"/>
  <c r="BC252" i="9"/>
  <c r="BB252" i="9"/>
  <c r="BA252" i="9"/>
  <c r="AZ252" i="9"/>
  <c r="AY252" i="9"/>
  <c r="AX252" i="9"/>
  <c r="AW252" i="9"/>
  <c r="AV252" i="9"/>
  <c r="BG252" i="9" s="1"/>
  <c r="BE251" i="9"/>
  <c r="BD251" i="9"/>
  <c r="BC251" i="9"/>
  <c r="BB251" i="9"/>
  <c r="BA251" i="9"/>
  <c r="AZ251" i="9"/>
  <c r="AY251" i="9"/>
  <c r="BJ251" i="9" s="1"/>
  <c r="AX251" i="9"/>
  <c r="AW251" i="9"/>
  <c r="BH251" i="9" s="1"/>
  <c r="AV251" i="9"/>
  <c r="BG251" i="9"/>
  <c r="BE250" i="9"/>
  <c r="BD250" i="9"/>
  <c r="BC250" i="9"/>
  <c r="BB250" i="9"/>
  <c r="BA250" i="9"/>
  <c r="AZ250" i="9"/>
  <c r="AY250" i="9"/>
  <c r="BJ250" i="9" s="1"/>
  <c r="AX250" i="9"/>
  <c r="AW250" i="9"/>
  <c r="AV250" i="9"/>
  <c r="BG250" i="9" s="1"/>
  <c r="BE248" i="9"/>
  <c r="BD248" i="9"/>
  <c r="BC248" i="9"/>
  <c r="BB248" i="9"/>
  <c r="BA248" i="9"/>
  <c r="AZ248" i="9"/>
  <c r="AY248" i="9"/>
  <c r="AX248" i="9"/>
  <c r="AW248" i="9"/>
  <c r="AV248" i="9"/>
  <c r="BG248" i="9"/>
  <c r="BE239" i="9"/>
  <c r="BP239" i="9" s="1"/>
  <c r="BD239" i="9"/>
  <c r="BO239" i="9" s="1"/>
  <c r="BC239" i="9"/>
  <c r="BB239" i="9"/>
  <c r="BA239" i="9"/>
  <c r="AZ239" i="9"/>
  <c r="BK239" i="9" s="1"/>
  <c r="AY239" i="9"/>
  <c r="BJ239" i="9" s="1"/>
  <c r="AX239" i="9"/>
  <c r="BI239" i="9" s="1"/>
  <c r="AW239" i="9"/>
  <c r="BH239" i="9" s="1"/>
  <c r="AV239" i="9"/>
  <c r="BG239" i="9"/>
  <c r="BE237" i="9"/>
  <c r="BD237" i="9"/>
  <c r="BC237" i="9"/>
  <c r="BB237" i="9"/>
  <c r="BA237" i="9"/>
  <c r="AZ237" i="9"/>
  <c r="BK237" i="9" s="1"/>
  <c r="AY237" i="9"/>
  <c r="AX237" i="9"/>
  <c r="AW237" i="9"/>
  <c r="AV237" i="9"/>
  <c r="BG237" i="9" s="1"/>
  <c r="BE236" i="9"/>
  <c r="BD236" i="9"/>
  <c r="BC236" i="9"/>
  <c r="BN236" i="9" s="1"/>
  <c r="BB236" i="9"/>
  <c r="BA236" i="9"/>
  <c r="BL236" i="9" s="1"/>
  <c r="AZ236" i="9"/>
  <c r="AY236" i="9"/>
  <c r="AX236" i="9"/>
  <c r="AW236" i="9"/>
  <c r="AV236" i="9"/>
  <c r="BG236" i="9" s="1"/>
  <c r="BE234" i="9"/>
  <c r="BD234" i="9"/>
  <c r="BO234" i="9" s="1"/>
  <c r="BC234" i="9"/>
  <c r="BN234" i="9" s="1"/>
  <c r="BB234" i="9"/>
  <c r="BA234" i="9"/>
  <c r="AZ234" i="9"/>
  <c r="AY234" i="9"/>
  <c r="AX234" i="9"/>
  <c r="BI234" i="9" s="1"/>
  <c r="AW234" i="9"/>
  <c r="AV234" i="9"/>
  <c r="BG234" i="9" s="1"/>
  <c r="BE233" i="9"/>
  <c r="BP233" i="9" s="1"/>
  <c r="BD233" i="9"/>
  <c r="BC233" i="9"/>
  <c r="BB233" i="9"/>
  <c r="BA233" i="9"/>
  <c r="BL233" i="9" s="1"/>
  <c r="AZ233" i="9"/>
  <c r="BK233" i="9" s="1"/>
  <c r="AY233" i="9"/>
  <c r="BJ233" i="9" s="1"/>
  <c r="AX233" i="9"/>
  <c r="BI233" i="9" s="1"/>
  <c r="AW233" i="9"/>
  <c r="BH233" i="9" s="1"/>
  <c r="AV233" i="9"/>
  <c r="BG233" i="9" s="1"/>
  <c r="BE232" i="9"/>
  <c r="BD232" i="9"/>
  <c r="BO232" i="9" s="1"/>
  <c r="BC232" i="9"/>
  <c r="BB232" i="9"/>
  <c r="BM232" i="9" s="1"/>
  <c r="BA232" i="9"/>
  <c r="BL232" i="9" s="1"/>
  <c r="AZ232" i="9"/>
  <c r="BK232" i="9" s="1"/>
  <c r="AY232" i="9"/>
  <c r="BJ232" i="9" s="1"/>
  <c r="AX232" i="9"/>
  <c r="BI232" i="9" s="1"/>
  <c r="AW232" i="9"/>
  <c r="AV232" i="9"/>
  <c r="BG232" i="9" s="1"/>
  <c r="BE231" i="9"/>
  <c r="BP231" i="9" s="1"/>
  <c r="BD231" i="9"/>
  <c r="BC231" i="9"/>
  <c r="BB231" i="9"/>
  <c r="BA231" i="9"/>
  <c r="BL231" i="9" s="1"/>
  <c r="AZ231" i="9"/>
  <c r="AY231" i="9"/>
  <c r="BJ231" i="9" s="1"/>
  <c r="AX231" i="9"/>
  <c r="AW231" i="9"/>
  <c r="BH231" i="9" s="1"/>
  <c r="AV231" i="9"/>
  <c r="BG231" i="9" s="1"/>
  <c r="BE230" i="9"/>
  <c r="BD230" i="9"/>
  <c r="BC230" i="9"/>
  <c r="BN230" i="9" s="1"/>
  <c r="BB230" i="9"/>
  <c r="BM230" i="9" s="1"/>
  <c r="BA230" i="9"/>
  <c r="AZ230" i="9"/>
  <c r="BK230" i="9" s="1"/>
  <c r="AY230" i="9"/>
  <c r="AX230" i="9"/>
  <c r="AW230" i="9"/>
  <c r="AV230" i="9"/>
  <c r="BG230" i="9" s="1"/>
  <c r="BE229" i="9"/>
  <c r="BP229" i="9" s="1"/>
  <c r="BD229" i="9"/>
  <c r="BC229" i="9"/>
  <c r="BN229" i="9" s="1"/>
  <c r="BB229" i="9"/>
  <c r="BM229" i="9" s="1"/>
  <c r="BA229" i="9"/>
  <c r="AZ229" i="9"/>
  <c r="BK229" i="9" s="1"/>
  <c r="AY229" i="9"/>
  <c r="AX229" i="9"/>
  <c r="BI229" i="9" s="1"/>
  <c r="AW229" i="9"/>
  <c r="BH229" i="9" s="1"/>
  <c r="AV229" i="9"/>
  <c r="BG229" i="9"/>
  <c r="BE228" i="9"/>
  <c r="BD228" i="9"/>
  <c r="BC228" i="9"/>
  <c r="BB228" i="9"/>
  <c r="BA228" i="9"/>
  <c r="AZ228" i="9"/>
  <c r="BK228" i="9" s="1"/>
  <c r="AY228" i="9"/>
  <c r="AX228" i="9"/>
  <c r="BI228" i="9" s="1"/>
  <c r="AW228" i="9"/>
  <c r="AV228" i="9"/>
  <c r="BG228" i="9" s="1"/>
  <c r="BE227" i="9"/>
  <c r="BD227" i="9"/>
  <c r="BO227" i="9" s="1"/>
  <c r="BC227" i="9"/>
  <c r="BN227" i="9" s="1"/>
  <c r="BB227" i="9"/>
  <c r="BA227" i="9"/>
  <c r="BL227" i="9" s="1"/>
  <c r="AZ227" i="9"/>
  <c r="AY227" i="9"/>
  <c r="AX227" i="9"/>
  <c r="BI227" i="9" s="1"/>
  <c r="AW227" i="9"/>
  <c r="AV227" i="9"/>
  <c r="BG227" i="9" s="1"/>
  <c r="BE226" i="9"/>
  <c r="BD226" i="9"/>
  <c r="BC226" i="9"/>
  <c r="BB226" i="9"/>
  <c r="BA226" i="9"/>
  <c r="AZ226" i="9"/>
  <c r="AY226" i="9"/>
  <c r="BJ226" i="9" s="1"/>
  <c r="AX226" i="9"/>
  <c r="BI226" i="9" s="1"/>
  <c r="AW226" i="9"/>
  <c r="AV226" i="9"/>
  <c r="BG226" i="9" s="1"/>
  <c r="BE224" i="9"/>
  <c r="BD224" i="9"/>
  <c r="BC224" i="9"/>
  <c r="BB224" i="9"/>
  <c r="BA224" i="9"/>
  <c r="BL224" i="9" s="1"/>
  <c r="AZ224" i="9"/>
  <c r="AY224" i="9"/>
  <c r="BJ224" i="9" s="1"/>
  <c r="AX224" i="9"/>
  <c r="BI224" i="9" s="1"/>
  <c r="AW224" i="9"/>
  <c r="AV224" i="9"/>
  <c r="BG224" i="9" s="1"/>
  <c r="BE215" i="9"/>
  <c r="BD215" i="9"/>
  <c r="BO215" i="9" s="1"/>
  <c r="BC215" i="9"/>
  <c r="BN215" i="9" s="1"/>
  <c r="BB215" i="9"/>
  <c r="BM215" i="9" s="1"/>
  <c r="BA215" i="9"/>
  <c r="AZ215" i="9"/>
  <c r="AY215" i="9"/>
  <c r="BJ215" i="9" s="1"/>
  <c r="AX215" i="9"/>
  <c r="AW215" i="9"/>
  <c r="AV215" i="9"/>
  <c r="BG215" i="9" s="1"/>
  <c r="BE213" i="9"/>
  <c r="BD213" i="9"/>
  <c r="BC213" i="9"/>
  <c r="BB213" i="9"/>
  <c r="BM213" i="9" s="1"/>
  <c r="BA213" i="9"/>
  <c r="BL213" i="9" s="1"/>
  <c r="AZ213" i="9"/>
  <c r="AY213" i="9"/>
  <c r="AX213" i="9"/>
  <c r="AW213" i="9"/>
  <c r="AV213" i="9"/>
  <c r="BG213" i="9" s="1"/>
  <c r="BE212" i="9"/>
  <c r="BD212" i="9"/>
  <c r="BO212" i="9" s="1"/>
  <c r="BC212" i="9"/>
  <c r="BB212" i="9"/>
  <c r="BA212" i="9"/>
  <c r="AZ212" i="9"/>
  <c r="AY212" i="9"/>
  <c r="AX212" i="9"/>
  <c r="AW212" i="9"/>
  <c r="BH212" i="9" s="1"/>
  <c r="AV212" i="9"/>
  <c r="BG212" i="9" s="1"/>
  <c r="BE210" i="9"/>
  <c r="BD210" i="9"/>
  <c r="BC210" i="9"/>
  <c r="BB210" i="9"/>
  <c r="BA210" i="9"/>
  <c r="AZ210" i="9"/>
  <c r="BK210" i="9" s="1"/>
  <c r="AY210" i="9"/>
  <c r="BJ210" i="9" s="1"/>
  <c r="AX210" i="9"/>
  <c r="BI210" i="9" s="1"/>
  <c r="AW210" i="9"/>
  <c r="AV210" i="9"/>
  <c r="BG210" i="9" s="1"/>
  <c r="BE209" i="9"/>
  <c r="BD209" i="9"/>
  <c r="BC209" i="9"/>
  <c r="BN209" i="9" s="1"/>
  <c r="BB209" i="9"/>
  <c r="BM209" i="9" s="1"/>
  <c r="BA209" i="9"/>
  <c r="BL209" i="9" s="1"/>
  <c r="AZ209" i="9"/>
  <c r="AY209" i="9"/>
  <c r="AX209" i="9"/>
  <c r="AW209" i="9"/>
  <c r="AV209" i="9"/>
  <c r="BG209" i="9" s="1"/>
  <c r="BE208" i="9"/>
  <c r="BD208" i="9"/>
  <c r="BC208" i="9"/>
  <c r="BB208" i="9"/>
  <c r="BA208" i="9"/>
  <c r="AZ208" i="9"/>
  <c r="AY208" i="9"/>
  <c r="AX208" i="9"/>
  <c r="BI208" i="9" s="1"/>
  <c r="AW208" i="9"/>
  <c r="BH208" i="9" s="1"/>
  <c r="AV208" i="9"/>
  <c r="BG208" i="9" s="1"/>
  <c r="BE207" i="9"/>
  <c r="BD207" i="9"/>
  <c r="BC207" i="9"/>
  <c r="BB207" i="9"/>
  <c r="BA207" i="9"/>
  <c r="BL207" i="9" s="1"/>
  <c r="AZ207" i="9"/>
  <c r="BK207" i="9" s="1"/>
  <c r="AY207" i="9"/>
  <c r="AX207" i="9"/>
  <c r="AW207" i="9"/>
  <c r="AV207" i="9"/>
  <c r="BG207" i="9" s="1"/>
  <c r="BE206" i="9"/>
  <c r="BD206" i="9"/>
  <c r="BO206" i="9" s="1"/>
  <c r="BC206" i="9"/>
  <c r="BN206" i="9" s="1"/>
  <c r="BB206" i="9"/>
  <c r="BA206" i="9"/>
  <c r="AZ206" i="9"/>
  <c r="AY206" i="9"/>
  <c r="AX206" i="9"/>
  <c r="AW206" i="9"/>
  <c r="AV206" i="9"/>
  <c r="BG206" i="9" s="1"/>
  <c r="BE205" i="9"/>
  <c r="BD205" i="9"/>
  <c r="BC205" i="9"/>
  <c r="BN205" i="9" s="1"/>
  <c r="BB205" i="9"/>
  <c r="BA205" i="9"/>
  <c r="BL205" i="9" s="1"/>
  <c r="AZ205" i="9"/>
  <c r="BK205" i="9" s="1"/>
  <c r="AY205" i="9"/>
  <c r="BJ205" i="9" s="1"/>
  <c r="AX205" i="9"/>
  <c r="BI205" i="9" s="1"/>
  <c r="AW205" i="9"/>
  <c r="AV205" i="9"/>
  <c r="BG205" i="9"/>
  <c r="BE204" i="9"/>
  <c r="BD204" i="9"/>
  <c r="BO204" i="9" s="1"/>
  <c r="BC204" i="9"/>
  <c r="BB204" i="9"/>
  <c r="BM204" i="9" s="1"/>
  <c r="BA204" i="9"/>
  <c r="AZ204" i="9"/>
  <c r="AY204" i="9"/>
  <c r="AX204" i="9"/>
  <c r="AW204" i="9"/>
  <c r="AV204" i="9"/>
  <c r="BG204" i="9" s="1"/>
  <c r="BE203" i="9"/>
  <c r="BD203" i="9"/>
  <c r="BO203" i="9" s="1"/>
  <c r="BC203" i="9"/>
  <c r="BB203" i="9"/>
  <c r="BA203" i="9"/>
  <c r="AZ203" i="9"/>
  <c r="AY203" i="9"/>
  <c r="BJ203" i="9" s="1"/>
  <c r="AX203" i="9"/>
  <c r="AW203" i="9"/>
  <c r="AV203" i="9"/>
  <c r="BG203" i="9" s="1"/>
  <c r="BE202" i="9"/>
  <c r="BD202" i="9"/>
  <c r="BC202" i="9"/>
  <c r="BB202" i="9"/>
  <c r="BA202" i="9"/>
  <c r="AZ202" i="9"/>
  <c r="AY202" i="9"/>
  <c r="BJ202" i="9" s="1"/>
  <c r="AX202" i="9"/>
  <c r="BI202" i="9" s="1"/>
  <c r="AW202" i="9"/>
  <c r="AV202" i="9"/>
  <c r="BG202" i="9" s="1"/>
  <c r="BE200" i="9"/>
  <c r="BD200" i="9"/>
  <c r="BC200" i="9"/>
  <c r="BN200" i="9" s="1"/>
  <c r="BB200" i="9"/>
  <c r="BM200" i="9" s="1"/>
  <c r="BA200" i="9"/>
  <c r="AZ200" i="9"/>
  <c r="BK200" i="9" s="1"/>
  <c r="AY200" i="9"/>
  <c r="BJ200" i="9" s="1"/>
  <c r="AX200" i="9"/>
  <c r="BI200" i="9" s="1"/>
  <c r="AW200" i="9"/>
  <c r="AV200" i="9"/>
  <c r="BG200" i="9" s="1"/>
  <c r="BE191" i="9"/>
  <c r="BD191" i="9"/>
  <c r="BC191" i="9"/>
  <c r="BB191" i="9"/>
  <c r="BA191" i="9"/>
  <c r="AZ191" i="9"/>
  <c r="AY191" i="9"/>
  <c r="BJ191" i="9" s="1"/>
  <c r="AX191" i="9"/>
  <c r="AW191" i="9"/>
  <c r="AV191" i="9"/>
  <c r="BG191" i="9" s="1"/>
  <c r="BE189" i="9"/>
  <c r="BD189" i="9"/>
  <c r="BC189" i="9"/>
  <c r="BB189" i="9"/>
  <c r="BA189" i="9"/>
  <c r="AZ189" i="9"/>
  <c r="BK189" i="9" s="1"/>
  <c r="AY189" i="9"/>
  <c r="AX189" i="9"/>
  <c r="AW189" i="9"/>
  <c r="AV189" i="9"/>
  <c r="BG189" i="9" s="1"/>
  <c r="BE188" i="9"/>
  <c r="BD188" i="9"/>
  <c r="BC188" i="9"/>
  <c r="BB188" i="9"/>
  <c r="BA188" i="9"/>
  <c r="AZ188" i="9"/>
  <c r="AY188" i="9"/>
  <c r="AX188" i="9"/>
  <c r="AW188" i="9"/>
  <c r="AV188" i="9"/>
  <c r="BG188" i="9" s="1"/>
  <c r="BE186" i="9"/>
  <c r="BD186" i="9"/>
  <c r="BC186" i="9"/>
  <c r="BB186" i="9"/>
  <c r="BA186" i="9"/>
  <c r="AZ186" i="9"/>
  <c r="AY186" i="9"/>
  <c r="BJ186" i="9" s="1"/>
  <c r="AX186" i="9"/>
  <c r="BI186" i="9" s="1"/>
  <c r="AW186" i="9"/>
  <c r="AV186" i="9"/>
  <c r="BG186" i="9" s="1"/>
  <c r="BE185" i="9"/>
  <c r="BD185" i="9"/>
  <c r="BC185" i="9"/>
  <c r="BB185" i="9"/>
  <c r="BA185" i="9"/>
  <c r="AZ185" i="9"/>
  <c r="BK185" i="9" s="1"/>
  <c r="AY185" i="9"/>
  <c r="AX185" i="9"/>
  <c r="AW185" i="9"/>
  <c r="AV185" i="9"/>
  <c r="BG185" i="9" s="1"/>
  <c r="BE184" i="9"/>
  <c r="BD184" i="9"/>
  <c r="BO184" i="9" s="1"/>
  <c r="BC184" i="9"/>
  <c r="BB184" i="9"/>
  <c r="BA184" i="9"/>
  <c r="AZ184" i="9"/>
  <c r="AY184" i="9"/>
  <c r="AX184" i="9"/>
  <c r="AW184" i="9"/>
  <c r="AV184" i="9"/>
  <c r="BG184" i="9" s="1"/>
  <c r="BE183" i="9"/>
  <c r="BD183" i="9"/>
  <c r="BC183" i="9"/>
  <c r="BB183" i="9"/>
  <c r="BA183" i="9"/>
  <c r="AZ183" i="9"/>
  <c r="AY183" i="9"/>
  <c r="BJ183" i="9" s="1"/>
  <c r="AX183" i="9"/>
  <c r="AW183" i="9"/>
  <c r="AV183" i="9"/>
  <c r="BG183" i="9" s="1"/>
  <c r="BE182" i="9"/>
  <c r="BD182" i="9"/>
  <c r="BC182" i="9"/>
  <c r="BB182" i="9"/>
  <c r="BA182" i="9"/>
  <c r="AZ182" i="9"/>
  <c r="AY182" i="9"/>
  <c r="AX182" i="9"/>
  <c r="AW182" i="9"/>
  <c r="AV182" i="9"/>
  <c r="BG182" i="9" s="1"/>
  <c r="BE181" i="9"/>
  <c r="BD181" i="9"/>
  <c r="BC181" i="9"/>
  <c r="BB181" i="9"/>
  <c r="BA181" i="9"/>
  <c r="AZ181" i="9"/>
  <c r="AY181" i="9"/>
  <c r="AX181" i="9"/>
  <c r="AW181" i="9"/>
  <c r="AV181" i="9"/>
  <c r="BG181" i="9"/>
  <c r="BE180" i="9"/>
  <c r="BD180" i="9"/>
  <c r="BC180" i="9"/>
  <c r="BB180" i="9"/>
  <c r="BA180" i="9"/>
  <c r="AZ180" i="9"/>
  <c r="AY180" i="9"/>
  <c r="AX180" i="9"/>
  <c r="AW180" i="9"/>
  <c r="AV180" i="9"/>
  <c r="BG180" i="9" s="1"/>
  <c r="BE179" i="9"/>
  <c r="BD179" i="9"/>
  <c r="BC179" i="9"/>
  <c r="BB179" i="9"/>
  <c r="BA179" i="9"/>
  <c r="AZ179" i="9"/>
  <c r="AY179" i="9"/>
  <c r="AX179" i="9"/>
  <c r="AW179" i="9"/>
  <c r="AV179" i="9"/>
  <c r="BG179" i="9"/>
  <c r="BE178" i="9"/>
  <c r="BD178" i="9"/>
  <c r="BC178" i="9"/>
  <c r="BB178" i="9"/>
  <c r="BA178" i="9"/>
  <c r="AZ178" i="9"/>
  <c r="AY178" i="9"/>
  <c r="BJ178" i="9" s="1"/>
  <c r="AX178" i="9"/>
  <c r="BI178" i="9" s="1"/>
  <c r="AW178" i="9"/>
  <c r="AV178" i="9"/>
  <c r="BG178" i="9" s="1"/>
  <c r="BE176" i="9"/>
  <c r="BD176" i="9"/>
  <c r="BC176" i="9"/>
  <c r="BB176" i="9"/>
  <c r="BA176" i="9"/>
  <c r="BL176" i="9" s="1"/>
  <c r="AZ176" i="9"/>
  <c r="AY176" i="9"/>
  <c r="BJ176" i="9" s="1"/>
  <c r="AX176" i="9"/>
  <c r="AW176" i="9"/>
  <c r="AV176" i="9"/>
  <c r="BG176" i="9" s="1"/>
  <c r="BE167" i="9"/>
  <c r="BD167" i="9"/>
  <c r="BC167" i="9"/>
  <c r="BB167" i="9"/>
  <c r="BA167" i="9"/>
  <c r="AZ167" i="9"/>
  <c r="AY167" i="9"/>
  <c r="BJ167" i="9" s="1"/>
  <c r="AX167" i="9"/>
  <c r="BI167" i="9" s="1"/>
  <c r="AW167" i="9"/>
  <c r="AV167" i="9"/>
  <c r="BG167" i="9" s="1"/>
  <c r="BE165" i="9"/>
  <c r="BD165" i="9"/>
  <c r="BC165" i="9"/>
  <c r="BB165" i="9"/>
  <c r="BA165" i="9"/>
  <c r="BL165" i="9" s="1"/>
  <c r="AZ165" i="9"/>
  <c r="AY165" i="9"/>
  <c r="AX165" i="9"/>
  <c r="AW165" i="9"/>
  <c r="AV165" i="9"/>
  <c r="BG165" i="9"/>
  <c r="BE164" i="9"/>
  <c r="BD164" i="9"/>
  <c r="BO164" i="9" s="1"/>
  <c r="BC164" i="9"/>
  <c r="BB164" i="9"/>
  <c r="BA164" i="9"/>
  <c r="AZ164" i="9"/>
  <c r="AY164" i="9"/>
  <c r="AX164" i="9"/>
  <c r="AW164" i="9"/>
  <c r="AV164" i="9"/>
  <c r="BG164" i="9" s="1"/>
  <c r="BE162" i="9"/>
  <c r="BD162" i="9"/>
  <c r="BC162" i="9"/>
  <c r="BB162" i="9"/>
  <c r="BA162" i="9"/>
  <c r="AZ162" i="9"/>
  <c r="AY162" i="9"/>
  <c r="BJ162" i="9" s="1"/>
  <c r="AX162" i="9"/>
  <c r="AW162" i="9"/>
  <c r="AV162" i="9"/>
  <c r="BG162" i="9" s="1"/>
  <c r="BE161" i="9"/>
  <c r="BD161" i="9"/>
  <c r="BC161" i="9"/>
  <c r="BB161" i="9"/>
  <c r="BA161" i="9"/>
  <c r="AZ161" i="9"/>
  <c r="BK161" i="9" s="1"/>
  <c r="AY161" i="9"/>
  <c r="BJ161" i="9" s="1"/>
  <c r="AX161" i="9"/>
  <c r="AW161" i="9"/>
  <c r="AV161" i="9"/>
  <c r="BG161" i="9"/>
  <c r="BE160" i="9"/>
  <c r="BD160" i="9"/>
  <c r="BC160" i="9"/>
  <c r="BB160" i="9"/>
  <c r="BA160" i="9"/>
  <c r="AZ160" i="9"/>
  <c r="BK160" i="9" s="1"/>
  <c r="AY160" i="9"/>
  <c r="BJ160" i="9" s="1"/>
  <c r="AX160" i="9"/>
  <c r="BI160" i="9" s="1"/>
  <c r="AW160" i="9"/>
  <c r="AV160" i="9"/>
  <c r="BG160" i="9" s="1"/>
  <c r="BE159" i="9"/>
  <c r="BD159" i="9"/>
  <c r="BC159" i="9"/>
  <c r="BB159" i="9"/>
  <c r="BA159" i="9"/>
  <c r="AZ159" i="9"/>
  <c r="AY159" i="9"/>
  <c r="BJ159" i="9" s="1"/>
  <c r="AX159" i="9"/>
  <c r="BI159" i="9" s="1"/>
  <c r="AW159" i="9"/>
  <c r="AV159" i="9"/>
  <c r="BG159" i="9" s="1"/>
  <c r="BE158" i="9"/>
  <c r="BD158" i="9"/>
  <c r="BC158" i="9"/>
  <c r="BN158" i="9" s="1"/>
  <c r="BB158" i="9"/>
  <c r="BA158" i="9"/>
  <c r="AZ158" i="9"/>
  <c r="AY158" i="9"/>
  <c r="AX158" i="9"/>
  <c r="AW158" i="9"/>
  <c r="AV158" i="9"/>
  <c r="BG158" i="9"/>
  <c r="BE157" i="9"/>
  <c r="BD157" i="9"/>
  <c r="BC157" i="9"/>
  <c r="BB157" i="9"/>
  <c r="BA157" i="9"/>
  <c r="AZ157" i="9"/>
  <c r="AY157" i="9"/>
  <c r="AX157" i="9"/>
  <c r="BI157" i="9" s="1"/>
  <c r="AW157" i="9"/>
  <c r="AV157" i="9"/>
  <c r="BG157" i="9" s="1"/>
  <c r="BE156" i="9"/>
  <c r="BD156" i="9"/>
  <c r="BC156" i="9"/>
  <c r="BB156" i="9"/>
  <c r="BA156" i="9"/>
  <c r="AZ156" i="9"/>
  <c r="AY156" i="9"/>
  <c r="BJ156" i="9" s="1"/>
  <c r="AX156" i="9"/>
  <c r="AW156" i="9"/>
  <c r="AV156" i="9"/>
  <c r="BG156" i="9" s="1"/>
  <c r="BE155" i="9"/>
  <c r="BD155" i="9"/>
  <c r="BC155" i="9"/>
  <c r="BB155" i="9"/>
  <c r="BA155" i="9"/>
  <c r="AZ155" i="9"/>
  <c r="AY155" i="9"/>
  <c r="AX155" i="9"/>
  <c r="AW155" i="9"/>
  <c r="AV155" i="9"/>
  <c r="BG155" i="9" s="1"/>
  <c r="BE154" i="9"/>
  <c r="BD154" i="9"/>
  <c r="BC154" i="9"/>
  <c r="BB154" i="9"/>
  <c r="BA154" i="9"/>
  <c r="AZ154" i="9"/>
  <c r="AY154" i="9"/>
  <c r="AX154" i="9"/>
  <c r="AW154" i="9"/>
  <c r="AV154" i="9"/>
  <c r="BG154" i="9"/>
  <c r="BE152" i="9"/>
  <c r="BD152" i="9"/>
  <c r="BC152" i="9"/>
  <c r="BB152" i="9"/>
  <c r="BA152" i="9"/>
  <c r="AZ152" i="9"/>
  <c r="BK152" i="9" s="1"/>
  <c r="AY152" i="9"/>
  <c r="AX152" i="9"/>
  <c r="AW152" i="9"/>
  <c r="AV152" i="9"/>
  <c r="BG152" i="9" s="1"/>
  <c r="BE119" i="9"/>
  <c r="BD119" i="9"/>
  <c r="BC119" i="9"/>
  <c r="BN119" i="9" s="1"/>
  <c r="BB119" i="9"/>
  <c r="BA119" i="9"/>
  <c r="AZ119" i="9"/>
  <c r="BK119" i="9" s="1"/>
  <c r="AY119" i="9"/>
  <c r="BJ119" i="9" s="1"/>
  <c r="AX119" i="9"/>
  <c r="BI119" i="9" s="1"/>
  <c r="AW119" i="9"/>
  <c r="BH119" i="9" s="1"/>
  <c r="AV119" i="9"/>
  <c r="BG119" i="9"/>
  <c r="BE117" i="9"/>
  <c r="BD117" i="9"/>
  <c r="BC117" i="9"/>
  <c r="BB117" i="9"/>
  <c r="BA117" i="9"/>
  <c r="AZ117" i="9"/>
  <c r="BK117" i="9" s="1"/>
  <c r="AY117" i="9"/>
  <c r="AX117" i="9"/>
  <c r="BI117" i="9" s="1"/>
  <c r="AW117" i="9"/>
  <c r="AV117" i="9"/>
  <c r="BG117" i="9" s="1"/>
  <c r="BE116" i="9"/>
  <c r="BD116" i="9"/>
  <c r="BC116" i="9"/>
  <c r="BN116" i="9" s="1"/>
  <c r="BB116" i="9"/>
  <c r="BA116" i="9"/>
  <c r="BL116" i="9" s="1"/>
  <c r="AZ116" i="9"/>
  <c r="AY116" i="9"/>
  <c r="AX116" i="9"/>
  <c r="AW116" i="9"/>
  <c r="AV116" i="9"/>
  <c r="BG116" i="9" s="1"/>
  <c r="BE114" i="9"/>
  <c r="BD114" i="9"/>
  <c r="BC114" i="9"/>
  <c r="BB114" i="9"/>
  <c r="BA114" i="9"/>
  <c r="BL114" i="9" s="1"/>
  <c r="AZ114" i="9"/>
  <c r="BK114" i="9" s="1"/>
  <c r="AY114" i="9"/>
  <c r="BJ114" i="9" s="1"/>
  <c r="AX114" i="9"/>
  <c r="BI114" i="9" s="1"/>
  <c r="AW114" i="9"/>
  <c r="AV114" i="9"/>
  <c r="BG114" i="9" s="1"/>
  <c r="BE113" i="9"/>
  <c r="BD113" i="9"/>
  <c r="BC113" i="9"/>
  <c r="BB113" i="9"/>
  <c r="BA113" i="9"/>
  <c r="BL113" i="9" s="1"/>
  <c r="AZ113" i="9"/>
  <c r="AY113" i="9"/>
  <c r="BJ113" i="9" s="1"/>
  <c r="AX113" i="9"/>
  <c r="AW113" i="9"/>
  <c r="AV113" i="9"/>
  <c r="BG113" i="9"/>
  <c r="BE112" i="9"/>
  <c r="BD112" i="9"/>
  <c r="BC112" i="9"/>
  <c r="BB112" i="9"/>
  <c r="BM112" i="9" s="1"/>
  <c r="BA112" i="9"/>
  <c r="AZ112" i="9"/>
  <c r="BK112" i="9" s="1"/>
  <c r="AY112" i="9"/>
  <c r="AX112" i="9"/>
  <c r="AW112" i="9"/>
  <c r="AV112" i="9"/>
  <c r="BG112" i="9" s="1"/>
  <c r="BE111" i="9"/>
  <c r="BD111" i="9"/>
  <c r="BC111" i="9"/>
  <c r="BB111" i="9"/>
  <c r="BA111" i="9"/>
  <c r="AZ111" i="9"/>
  <c r="AY111" i="9"/>
  <c r="BJ111" i="9" s="1"/>
  <c r="AX111" i="9"/>
  <c r="BI111" i="9" s="1"/>
  <c r="AW111" i="9"/>
  <c r="AV111" i="9"/>
  <c r="BG111" i="9"/>
  <c r="BE110" i="9"/>
  <c r="BD110" i="9"/>
  <c r="BC110" i="9"/>
  <c r="BB110" i="9"/>
  <c r="BA110" i="9"/>
  <c r="AZ110" i="9"/>
  <c r="BK110" i="9" s="1"/>
  <c r="AY110" i="9"/>
  <c r="AX110" i="9"/>
  <c r="AW110" i="9"/>
  <c r="AV110" i="9"/>
  <c r="BG110" i="9"/>
  <c r="BE109" i="9"/>
  <c r="BD109" i="9"/>
  <c r="BC109" i="9"/>
  <c r="BB109" i="9"/>
  <c r="BA109" i="9"/>
  <c r="AZ109" i="9"/>
  <c r="BK109" i="9" s="1"/>
  <c r="AY109" i="9"/>
  <c r="BJ109" i="9" s="1"/>
  <c r="AX109" i="9"/>
  <c r="BI109" i="9" s="1"/>
  <c r="AW109" i="9"/>
  <c r="BH109" i="9" s="1"/>
  <c r="AV109" i="9"/>
  <c r="BG109" i="9"/>
  <c r="BE108" i="9"/>
  <c r="BD108" i="9"/>
  <c r="BC108" i="9"/>
  <c r="BB108" i="9"/>
  <c r="BA108" i="9"/>
  <c r="AZ108" i="9"/>
  <c r="BK108" i="9" s="1"/>
  <c r="AY108" i="9"/>
  <c r="AX108" i="9"/>
  <c r="BI108" i="9" s="1"/>
  <c r="AW108" i="9"/>
  <c r="AV108" i="9"/>
  <c r="BG108" i="9" s="1"/>
  <c r="BE107" i="9"/>
  <c r="BD107" i="9"/>
  <c r="BC107" i="9"/>
  <c r="BN107" i="9" s="1"/>
  <c r="BB107" i="9"/>
  <c r="BA107" i="9"/>
  <c r="BL107" i="9" s="1"/>
  <c r="AZ107" i="9"/>
  <c r="AY107" i="9"/>
  <c r="BJ107" i="9" s="1"/>
  <c r="AX107" i="9"/>
  <c r="BI107" i="9" s="1"/>
  <c r="AW107" i="9"/>
  <c r="AV107" i="9"/>
  <c r="BG107" i="9"/>
  <c r="BE106" i="9"/>
  <c r="BD106" i="9"/>
  <c r="BC106" i="9"/>
  <c r="BB106" i="9"/>
  <c r="BA106" i="9"/>
  <c r="AZ106" i="9"/>
  <c r="BK106" i="9" s="1"/>
  <c r="AY106" i="9"/>
  <c r="BJ106" i="9" s="1"/>
  <c r="AX106" i="9"/>
  <c r="BI106" i="9" s="1"/>
  <c r="AW106" i="9"/>
  <c r="AV106" i="9"/>
  <c r="BG106" i="9" s="1"/>
  <c r="BE104" i="9"/>
  <c r="BD104" i="9"/>
  <c r="BC104" i="9"/>
  <c r="BB104" i="9"/>
  <c r="BA104" i="9"/>
  <c r="BL104" i="9" s="1"/>
  <c r="AZ104" i="9"/>
  <c r="AY104" i="9"/>
  <c r="BJ104" i="9" s="1"/>
  <c r="AX104" i="9"/>
  <c r="AW104" i="9"/>
  <c r="AV104" i="9"/>
  <c r="BG104" i="9"/>
  <c r="BE68" i="9"/>
  <c r="BD68" i="9"/>
  <c r="BC68" i="9"/>
  <c r="BB68" i="9"/>
  <c r="BA68" i="9"/>
  <c r="AZ68" i="9"/>
  <c r="AY68" i="9"/>
  <c r="BJ68" i="9" s="1"/>
  <c r="AX68" i="9"/>
  <c r="BI68" i="9" s="1"/>
  <c r="AW68" i="9"/>
  <c r="BH68" i="9" s="1"/>
  <c r="AV68" i="9"/>
  <c r="BE66" i="9"/>
  <c r="BD66" i="9"/>
  <c r="BC66" i="9"/>
  <c r="BB66" i="9"/>
  <c r="BA66" i="9"/>
  <c r="AZ66" i="9"/>
  <c r="AY66" i="9"/>
  <c r="AX66" i="9"/>
  <c r="AW66" i="9"/>
  <c r="AV66" i="9"/>
  <c r="BG66" i="9" s="1"/>
  <c r="BE65" i="9"/>
  <c r="BD65" i="9"/>
  <c r="BC65" i="9"/>
  <c r="BB65" i="9"/>
  <c r="BA65" i="9"/>
  <c r="AZ65" i="9"/>
  <c r="AY65" i="9"/>
  <c r="AX65" i="9"/>
  <c r="AW65" i="9"/>
  <c r="AV65" i="9"/>
  <c r="BG65" i="9"/>
  <c r="BE63" i="9"/>
  <c r="BD63" i="9"/>
  <c r="BC63" i="9"/>
  <c r="BB63" i="9"/>
  <c r="BA63" i="9"/>
  <c r="AZ63" i="9"/>
  <c r="AY63" i="9"/>
  <c r="BJ63" i="9" s="1"/>
  <c r="AX63" i="9"/>
  <c r="AW63" i="9"/>
  <c r="BH63" i="9" s="1"/>
  <c r="AV63" i="9"/>
  <c r="BG63" i="9"/>
  <c r="BE62" i="9"/>
  <c r="BD62" i="9"/>
  <c r="BC62" i="9"/>
  <c r="BB62" i="9"/>
  <c r="BA62" i="9"/>
  <c r="BL62" i="9" s="1"/>
  <c r="AZ62" i="9"/>
  <c r="AY62" i="9"/>
  <c r="BJ62" i="9" s="1"/>
  <c r="AX62" i="9"/>
  <c r="BI62" i="9" s="1"/>
  <c r="AW62" i="9"/>
  <c r="AV62" i="9"/>
  <c r="BG62" i="9" s="1"/>
  <c r="BE61" i="9"/>
  <c r="BD61" i="9"/>
  <c r="BC61" i="9"/>
  <c r="BB61" i="9"/>
  <c r="BA61" i="9"/>
  <c r="AZ61" i="9"/>
  <c r="AY61" i="9"/>
  <c r="AX61" i="9"/>
  <c r="AW61" i="9"/>
  <c r="AV61" i="9"/>
  <c r="BG61" i="9"/>
  <c r="BE60" i="9"/>
  <c r="BD60" i="9"/>
  <c r="BC60" i="9"/>
  <c r="BB60" i="9"/>
  <c r="BA60" i="9"/>
  <c r="AZ60" i="9"/>
  <c r="AY60" i="9"/>
  <c r="BJ60" i="9" s="1"/>
  <c r="AX60" i="9"/>
  <c r="AW60" i="9"/>
  <c r="AV60" i="9"/>
  <c r="BE59" i="9"/>
  <c r="BD59" i="9"/>
  <c r="BC59" i="9"/>
  <c r="BB59" i="9"/>
  <c r="BA59" i="9"/>
  <c r="AZ59" i="9"/>
  <c r="AY59" i="9"/>
  <c r="AX59" i="9"/>
  <c r="AW59" i="9"/>
  <c r="AV59" i="9"/>
  <c r="BG59" i="9" s="1"/>
  <c r="BQ59" i="9" s="1"/>
  <c r="BE58" i="9"/>
  <c r="BD58" i="9"/>
  <c r="BC58" i="9"/>
  <c r="BB58" i="9"/>
  <c r="BA58" i="9"/>
  <c r="AZ58" i="9"/>
  <c r="BK58" i="9" s="1"/>
  <c r="AY58" i="9"/>
  <c r="AX58" i="9"/>
  <c r="AW58" i="9"/>
  <c r="BH58" i="9" s="1"/>
  <c r="AV58" i="9"/>
  <c r="BG58" i="9" s="1"/>
  <c r="BE57" i="9"/>
  <c r="BD57" i="9"/>
  <c r="BC57" i="9"/>
  <c r="BB57" i="9"/>
  <c r="BA57" i="9"/>
  <c r="AZ57" i="9"/>
  <c r="AY57" i="9"/>
  <c r="AX57" i="9"/>
  <c r="AW57" i="9"/>
  <c r="AV57" i="9"/>
  <c r="BG57" i="9" s="1"/>
  <c r="BE56" i="9"/>
  <c r="BD56" i="9"/>
  <c r="BC56" i="9"/>
  <c r="BB56" i="9"/>
  <c r="BA56" i="9"/>
  <c r="AZ56" i="9"/>
  <c r="AY56" i="9"/>
  <c r="BJ56" i="9" s="1"/>
  <c r="AX56" i="9"/>
  <c r="BI56" i="9" s="1"/>
  <c r="AW56" i="9"/>
  <c r="AV56" i="9"/>
  <c r="BG56" i="9" s="1"/>
  <c r="BE55" i="9"/>
  <c r="BD55" i="9"/>
  <c r="BC55" i="9"/>
  <c r="BB55" i="9"/>
  <c r="BA55" i="9"/>
  <c r="AZ55" i="9"/>
  <c r="AY55" i="9"/>
  <c r="AX55" i="9"/>
  <c r="BI55" i="9" s="1"/>
  <c r="AW55" i="9"/>
  <c r="AV55" i="9"/>
  <c r="BG55" i="9"/>
  <c r="BE53" i="9"/>
  <c r="BD53" i="9"/>
  <c r="BC53" i="9"/>
  <c r="BB53" i="9"/>
  <c r="BA53" i="9"/>
  <c r="BL53" i="9" s="1"/>
  <c r="AZ53" i="9"/>
  <c r="AY53" i="9"/>
  <c r="AX53" i="9"/>
  <c r="AW53" i="9"/>
  <c r="AV53" i="9"/>
  <c r="BG53" i="9" s="1"/>
  <c r="BE45" i="9"/>
  <c r="BD45" i="9"/>
  <c r="BC45" i="9"/>
  <c r="BB45" i="9"/>
  <c r="BA45" i="9"/>
  <c r="AZ45" i="9"/>
  <c r="AY45" i="9"/>
  <c r="BJ45" i="9" s="1"/>
  <c r="AX45" i="9"/>
  <c r="BI45" i="9" s="1"/>
  <c r="AW45" i="9"/>
  <c r="BH45" i="9" s="1"/>
  <c r="AV45" i="9"/>
  <c r="BG45" i="9" s="1"/>
  <c r="BE43" i="9"/>
  <c r="BD43" i="9"/>
  <c r="BC43" i="9"/>
  <c r="BB43" i="9"/>
  <c r="BA43" i="9"/>
  <c r="AZ43" i="9"/>
  <c r="BK43" i="9" s="1"/>
  <c r="AY43" i="9"/>
  <c r="AX43" i="9"/>
  <c r="AW43" i="9"/>
  <c r="AV43" i="9"/>
  <c r="BG43" i="9" s="1"/>
  <c r="BE42" i="9"/>
  <c r="BD42" i="9"/>
  <c r="BC42" i="9"/>
  <c r="BB42" i="9"/>
  <c r="BA42" i="9"/>
  <c r="AZ42" i="9"/>
  <c r="AY42" i="9"/>
  <c r="AX42" i="9"/>
  <c r="AW42" i="9"/>
  <c r="AV42" i="9"/>
  <c r="BG42" i="9" s="1"/>
  <c r="BE40" i="9"/>
  <c r="BD40" i="9"/>
  <c r="BC40" i="9"/>
  <c r="BB40" i="9"/>
  <c r="BA40" i="9"/>
  <c r="BL40" i="9" s="1"/>
  <c r="AZ40" i="9"/>
  <c r="AY40" i="9"/>
  <c r="BJ40" i="9" s="1"/>
  <c r="AX40" i="9"/>
  <c r="BI40" i="9" s="1"/>
  <c r="AW40" i="9"/>
  <c r="AV40" i="9"/>
  <c r="BE39" i="9"/>
  <c r="BD39" i="9"/>
  <c r="BC39" i="9"/>
  <c r="BB39" i="9"/>
  <c r="BA39" i="9"/>
  <c r="AZ39" i="9"/>
  <c r="AY39" i="9"/>
  <c r="BJ39" i="9" s="1"/>
  <c r="AX39" i="9"/>
  <c r="AW39" i="9"/>
  <c r="AV39" i="9"/>
  <c r="BG39" i="9" s="1"/>
  <c r="BE38" i="9"/>
  <c r="BD38" i="9"/>
  <c r="BC38" i="9"/>
  <c r="BB38" i="9"/>
  <c r="BA38" i="9"/>
  <c r="AZ38" i="9"/>
  <c r="AY38" i="9"/>
  <c r="AX38" i="9"/>
  <c r="AW38" i="9"/>
  <c r="AV38" i="9"/>
  <c r="BG38" i="9"/>
  <c r="BE37" i="9"/>
  <c r="BP37" i="9" s="1"/>
  <c r="BD37" i="9"/>
  <c r="BC37" i="9"/>
  <c r="BB37" i="9"/>
  <c r="BA37" i="9"/>
  <c r="AZ37" i="9"/>
  <c r="BK37" i="9" s="1"/>
  <c r="AY37" i="9"/>
  <c r="BJ37" i="9" s="1"/>
  <c r="AX37" i="9"/>
  <c r="BI37" i="9" s="1"/>
  <c r="AW37" i="9"/>
  <c r="AV37" i="9"/>
  <c r="BG37" i="9"/>
  <c r="BE36" i="9"/>
  <c r="BD36" i="9"/>
  <c r="BC36" i="9"/>
  <c r="BB36" i="9"/>
  <c r="BA36" i="9"/>
  <c r="AZ36" i="9"/>
  <c r="AY36" i="9"/>
  <c r="BJ36" i="9" s="1"/>
  <c r="AX36" i="9"/>
  <c r="BI36" i="9" s="1"/>
  <c r="AW36" i="9"/>
  <c r="AV36" i="9"/>
  <c r="BG36" i="9" s="1"/>
  <c r="BE35" i="9"/>
  <c r="BD35" i="9"/>
  <c r="BC35" i="9"/>
  <c r="BB35" i="9"/>
  <c r="BA35" i="9"/>
  <c r="AZ35" i="9"/>
  <c r="BK35" i="9" s="1"/>
  <c r="AY35" i="9"/>
  <c r="AX35" i="9"/>
  <c r="BI35" i="9" s="1"/>
  <c r="AW35" i="9"/>
  <c r="BH35" i="9" s="1"/>
  <c r="AV35" i="9"/>
  <c r="BG35" i="9"/>
  <c r="BE34" i="9"/>
  <c r="BD34" i="9"/>
  <c r="BC34" i="9"/>
  <c r="BB34" i="9"/>
  <c r="BA34" i="9"/>
  <c r="AZ34" i="9"/>
  <c r="BK34" i="9" s="1"/>
  <c r="AY34" i="9"/>
  <c r="AX34" i="9"/>
  <c r="AW34" i="9"/>
  <c r="AV34" i="9"/>
  <c r="BE33" i="9"/>
  <c r="BD33" i="9"/>
  <c r="BC33" i="9"/>
  <c r="BB33" i="9"/>
  <c r="BA33" i="9"/>
  <c r="AZ33" i="9"/>
  <c r="AY33" i="9"/>
  <c r="BJ33" i="9" s="1"/>
  <c r="AX33" i="9"/>
  <c r="AW33" i="9"/>
  <c r="AV33" i="9"/>
  <c r="BG33" i="9" s="1"/>
  <c r="BE32" i="9"/>
  <c r="BD32" i="9"/>
  <c r="BC32" i="9"/>
  <c r="BB32" i="9"/>
  <c r="BA32" i="9"/>
  <c r="AZ32" i="9"/>
  <c r="AY32" i="9"/>
  <c r="AX32" i="9"/>
  <c r="AW32" i="9"/>
  <c r="AV32" i="9"/>
  <c r="BE30" i="9"/>
  <c r="BD30" i="9"/>
  <c r="BC30" i="9"/>
  <c r="BB30" i="9"/>
  <c r="BA30" i="9"/>
  <c r="AZ30" i="9"/>
  <c r="AY30" i="9"/>
  <c r="AX30" i="9"/>
  <c r="BI30" i="9" s="1"/>
  <c r="AW30" i="9"/>
  <c r="AV30" i="9"/>
  <c r="BG30" i="9" s="1"/>
  <c r="AV7" i="9"/>
  <c r="BG7" i="9"/>
  <c r="AW7" i="9"/>
  <c r="AX7" i="9"/>
  <c r="AY7" i="9"/>
  <c r="BJ7" i="9" s="1"/>
  <c r="AZ7" i="9"/>
  <c r="BK7" i="9" s="1"/>
  <c r="BA7" i="9"/>
  <c r="BB7" i="9"/>
  <c r="H9" i="13" s="1"/>
  <c r="S9" i="13" s="1"/>
  <c r="BC7" i="9"/>
  <c r="BD7" i="9"/>
  <c r="BE7" i="9"/>
  <c r="AV9" i="9"/>
  <c r="BG9" i="9" s="1"/>
  <c r="AW9" i="9"/>
  <c r="AW78" i="9" s="1"/>
  <c r="AX9" i="9"/>
  <c r="BI9" i="9" s="1"/>
  <c r="AY9" i="9"/>
  <c r="AZ9" i="9"/>
  <c r="BK9" i="9" s="1"/>
  <c r="BA9" i="9"/>
  <c r="BL9" i="9" s="1"/>
  <c r="BB9" i="9"/>
  <c r="BC9" i="9"/>
  <c r="BC78" i="9" s="1"/>
  <c r="BD9" i="9"/>
  <c r="BE9" i="9"/>
  <c r="AV10" i="9"/>
  <c r="BG10" i="9"/>
  <c r="AW10" i="9"/>
  <c r="AX10" i="9"/>
  <c r="AY10" i="9"/>
  <c r="BJ10" i="9" s="1"/>
  <c r="AZ10" i="9"/>
  <c r="BA10" i="9"/>
  <c r="BL10" i="9" s="1"/>
  <c r="BB10" i="9"/>
  <c r="BM10" i="9" s="1"/>
  <c r="BC10" i="9"/>
  <c r="BD10" i="9"/>
  <c r="BD79" i="9" s="1"/>
  <c r="BE10" i="9"/>
  <c r="AV11" i="9"/>
  <c r="BG11" i="9"/>
  <c r="AW11" i="9"/>
  <c r="AX11" i="9"/>
  <c r="AY11" i="9"/>
  <c r="AY80" i="9" s="1"/>
  <c r="AZ11" i="9"/>
  <c r="BA11" i="9"/>
  <c r="BL11" i="9" s="1"/>
  <c r="BB11" i="9"/>
  <c r="BC11" i="9"/>
  <c r="BD11" i="9"/>
  <c r="BE11" i="9"/>
  <c r="AV12" i="9"/>
  <c r="BG12" i="9"/>
  <c r="AW12" i="9"/>
  <c r="AX12" i="9"/>
  <c r="BI12" i="9" s="1"/>
  <c r="AY12" i="9"/>
  <c r="BJ12" i="9" s="1"/>
  <c r="AZ12" i="9"/>
  <c r="BA12" i="9"/>
  <c r="BA81" i="9" s="1"/>
  <c r="BB12" i="9"/>
  <c r="BC12" i="9"/>
  <c r="BD12" i="9"/>
  <c r="BO12" i="9" s="1"/>
  <c r="BE12" i="9"/>
  <c r="AV13" i="9"/>
  <c r="BG13" i="9" s="1"/>
  <c r="AW13" i="9"/>
  <c r="AX13" i="9"/>
  <c r="AY13" i="9"/>
  <c r="E8" i="13" s="1"/>
  <c r="P8" i="13" s="1"/>
  <c r="AZ13" i="9"/>
  <c r="BA13" i="9"/>
  <c r="BB13" i="9"/>
  <c r="BC13" i="9"/>
  <c r="I8" i="13" s="1"/>
  <c r="T8" i="13" s="1"/>
  <c r="BD13" i="9"/>
  <c r="BE13" i="9"/>
  <c r="AV14" i="9"/>
  <c r="BG14" i="9"/>
  <c r="AW14" i="9"/>
  <c r="AX14" i="9"/>
  <c r="AY14" i="9"/>
  <c r="AZ14" i="9"/>
  <c r="BK14" i="9" s="1"/>
  <c r="BA14" i="9"/>
  <c r="BB14" i="9"/>
  <c r="BM14" i="9" s="1"/>
  <c r="BC14" i="9"/>
  <c r="BD14" i="9"/>
  <c r="BE14" i="9"/>
  <c r="AV15" i="9"/>
  <c r="AW15" i="9"/>
  <c r="AW84" i="9" s="1"/>
  <c r="AX15" i="9"/>
  <c r="AX84" i="9" s="1"/>
  <c r="AY15" i="9"/>
  <c r="AZ15" i="9"/>
  <c r="BA15" i="9"/>
  <c r="BL15" i="9" s="1"/>
  <c r="BB15" i="9"/>
  <c r="BM15" i="9" s="1"/>
  <c r="BC15" i="9"/>
  <c r="BN15" i="9" s="1"/>
  <c r="BD15" i="9"/>
  <c r="BE15" i="9"/>
  <c r="AV16" i="9"/>
  <c r="BG16" i="9" s="1"/>
  <c r="AW16" i="9"/>
  <c r="AX16" i="9"/>
  <c r="BI16" i="9" s="1"/>
  <c r="AY16" i="9"/>
  <c r="AZ16" i="9"/>
  <c r="BK16" i="9" s="1"/>
  <c r="BA16" i="9"/>
  <c r="BL16" i="9" s="1"/>
  <c r="BB16" i="9"/>
  <c r="BB85" i="9" s="1"/>
  <c r="BC16" i="9"/>
  <c r="BD16" i="9"/>
  <c r="BE16" i="9"/>
  <c r="AV17" i="9"/>
  <c r="BG17" i="9" s="1"/>
  <c r="AW17" i="9"/>
  <c r="BH17" i="9" s="1"/>
  <c r="AX17" i="9"/>
  <c r="BI17" i="9" s="1"/>
  <c r="AY17" i="9"/>
  <c r="BJ17" i="9" s="1"/>
  <c r="AZ17" i="9"/>
  <c r="BK17" i="9" s="1"/>
  <c r="BA17" i="9"/>
  <c r="BB17" i="9"/>
  <c r="BC17" i="9"/>
  <c r="BD17" i="9"/>
  <c r="BE17" i="9"/>
  <c r="AV19" i="9"/>
  <c r="BG19" i="9" s="1"/>
  <c r="AW19" i="9"/>
  <c r="AX19" i="9"/>
  <c r="AY19" i="9"/>
  <c r="AZ19" i="9"/>
  <c r="BA19" i="9"/>
  <c r="BB19" i="9"/>
  <c r="BC19" i="9"/>
  <c r="BD19" i="9"/>
  <c r="BO19" i="9" s="1"/>
  <c r="BE19" i="9"/>
  <c r="AV20" i="9"/>
  <c r="BG20" i="9" s="1"/>
  <c r="AW20" i="9"/>
  <c r="AX20" i="9"/>
  <c r="AY20" i="9"/>
  <c r="BJ20" i="9" s="1"/>
  <c r="AZ20" i="9"/>
  <c r="BA20" i="9"/>
  <c r="BB20" i="9"/>
  <c r="BC20" i="9"/>
  <c r="BD20" i="9"/>
  <c r="BE20" i="9"/>
  <c r="AV22" i="9"/>
  <c r="BG22" i="9" s="1"/>
  <c r="AW22" i="9"/>
  <c r="BH22" i="9" s="1"/>
  <c r="AX22" i="9"/>
  <c r="BI22" i="9" s="1"/>
  <c r="AY22" i="9"/>
  <c r="BJ22" i="9" s="1"/>
  <c r="AZ22" i="9"/>
  <c r="BA22" i="9"/>
  <c r="BL22" i="9" s="1"/>
  <c r="BB22" i="9"/>
  <c r="BM22" i="9" s="1"/>
  <c r="BC22" i="9"/>
  <c r="BD22" i="9"/>
  <c r="BO22" i="9" s="1"/>
  <c r="BE22" i="9"/>
  <c r="BB293" i="9"/>
  <c r="BC293" i="9"/>
  <c r="BD293" i="9"/>
  <c r="BE293" i="9"/>
  <c r="BE317" i="9"/>
  <c r="BE341" i="9"/>
  <c r="BE365" i="9"/>
  <c r="BB389" i="9"/>
  <c r="BC389" i="9"/>
  <c r="BE389" i="9"/>
  <c r="BE413" i="9"/>
  <c r="BP413" i="9" s="1"/>
  <c r="BE437" i="9"/>
  <c r="BP437" i="9" s="1"/>
  <c r="BE461" i="9"/>
  <c r="BE485" i="9"/>
  <c r="BE509" i="9"/>
  <c r="E536" i="9"/>
  <c r="F536" i="9"/>
  <c r="G536" i="9"/>
  <c r="F39" i="35"/>
  <c r="F57" i="35" s="1"/>
  <c r="H536" i="9"/>
  <c r="G32" i="35" s="1"/>
  <c r="I536" i="9"/>
  <c r="H39" i="35"/>
  <c r="H57" i="35" s="1"/>
  <c r="J536" i="9"/>
  <c r="K536" i="9"/>
  <c r="L536" i="9"/>
  <c r="K32" i="35" s="1"/>
  <c r="M536" i="9"/>
  <c r="L32" i="35" s="1"/>
  <c r="N536" i="9"/>
  <c r="M32" i="35" s="1"/>
  <c r="O536" i="9"/>
  <c r="N32" i="35" s="1"/>
  <c r="P536" i="9"/>
  <c r="O32" i="35" s="1"/>
  <c r="Q536" i="9"/>
  <c r="P32" i="35" s="1"/>
  <c r="R536" i="9"/>
  <c r="Q32" i="35" s="1"/>
  <c r="S536" i="9"/>
  <c r="R32" i="35" s="1"/>
  <c r="T536" i="9"/>
  <c r="S32" i="35" s="1"/>
  <c r="U536" i="9"/>
  <c r="T32" i="35" s="1"/>
  <c r="V536" i="9"/>
  <c r="U32" i="35" s="1"/>
  <c r="W536" i="9"/>
  <c r="V32" i="35" s="1"/>
  <c r="X536" i="9"/>
  <c r="W32" i="35" s="1"/>
  <c r="Y536" i="9"/>
  <c r="X32" i="35" s="1"/>
  <c r="Z536" i="9"/>
  <c r="Y32" i="35" s="1"/>
  <c r="AA536" i="9"/>
  <c r="AB536" i="9"/>
  <c r="AC536" i="9"/>
  <c r="AD536" i="9"/>
  <c r="AE536" i="9"/>
  <c r="AF536" i="9"/>
  <c r="AG536" i="9"/>
  <c r="AH536" i="9"/>
  <c r="AI536" i="9"/>
  <c r="AJ536" i="9"/>
  <c r="AK536" i="9"/>
  <c r="AL536" i="9"/>
  <c r="AM536" i="9"/>
  <c r="AN536" i="9"/>
  <c r="AO536" i="9"/>
  <c r="AP536" i="9"/>
  <c r="AQ536" i="9"/>
  <c r="BE536" i="9" s="1"/>
  <c r="E538" i="9"/>
  <c r="F538" i="9"/>
  <c r="G538" i="9"/>
  <c r="H538" i="9"/>
  <c r="I538" i="9"/>
  <c r="J538" i="9"/>
  <c r="K538" i="9"/>
  <c r="L538" i="9"/>
  <c r="M538" i="9"/>
  <c r="N538" i="9"/>
  <c r="O538" i="9"/>
  <c r="P538" i="9"/>
  <c r="Q538" i="9"/>
  <c r="R538" i="9"/>
  <c r="S538" i="9"/>
  <c r="T538" i="9"/>
  <c r="U538" i="9"/>
  <c r="V538" i="9"/>
  <c r="W538" i="9"/>
  <c r="X538" i="9"/>
  <c r="Y538" i="9"/>
  <c r="Z538" i="9"/>
  <c r="AA538" i="9"/>
  <c r="AB538" i="9"/>
  <c r="AC538" i="9"/>
  <c r="AD538" i="9"/>
  <c r="AE538" i="9"/>
  <c r="AF538" i="9"/>
  <c r="AG538" i="9"/>
  <c r="AH538" i="9"/>
  <c r="AI538" i="9"/>
  <c r="AJ538" i="9"/>
  <c r="AK538" i="9"/>
  <c r="AL538" i="9"/>
  <c r="AM538" i="9"/>
  <c r="AN538" i="9"/>
  <c r="AO538" i="9"/>
  <c r="AP538" i="9"/>
  <c r="AQ538" i="9"/>
  <c r="BE538" i="9" s="1"/>
  <c r="E539" i="9"/>
  <c r="F539" i="9"/>
  <c r="G539" i="9"/>
  <c r="H539" i="9"/>
  <c r="I539" i="9"/>
  <c r="J539" i="9"/>
  <c r="K539" i="9"/>
  <c r="L539" i="9"/>
  <c r="M539" i="9"/>
  <c r="N539" i="9"/>
  <c r="O539" i="9"/>
  <c r="P539" i="9"/>
  <c r="Q539" i="9"/>
  <c r="R539" i="9"/>
  <c r="S539" i="9"/>
  <c r="T539" i="9"/>
  <c r="U539" i="9"/>
  <c r="V539" i="9"/>
  <c r="W539" i="9"/>
  <c r="X539" i="9"/>
  <c r="Y539" i="9"/>
  <c r="Z539" i="9"/>
  <c r="AA539" i="9"/>
  <c r="AB539" i="9"/>
  <c r="AC539" i="9"/>
  <c r="AD539" i="9"/>
  <c r="AE539" i="9"/>
  <c r="AF539" i="9"/>
  <c r="AG539" i="9"/>
  <c r="AH539" i="9"/>
  <c r="AI539" i="9"/>
  <c r="AJ539" i="9"/>
  <c r="AK539" i="9"/>
  <c r="AL539" i="9"/>
  <c r="AM539" i="9"/>
  <c r="AN539" i="9"/>
  <c r="AO539" i="9"/>
  <c r="AP539" i="9"/>
  <c r="AQ539" i="9"/>
  <c r="BE539" i="9" s="1"/>
  <c r="E540" i="9"/>
  <c r="F540" i="9"/>
  <c r="G540" i="9"/>
  <c r="H540" i="9"/>
  <c r="I540" i="9"/>
  <c r="J540" i="9"/>
  <c r="K540" i="9"/>
  <c r="L540" i="9"/>
  <c r="M540" i="9"/>
  <c r="N540" i="9"/>
  <c r="O540" i="9"/>
  <c r="P540" i="9"/>
  <c r="Q540" i="9"/>
  <c r="R540" i="9"/>
  <c r="S540" i="9"/>
  <c r="T540" i="9"/>
  <c r="U540" i="9"/>
  <c r="V540" i="9"/>
  <c r="W540" i="9"/>
  <c r="X540" i="9"/>
  <c r="Y540" i="9"/>
  <c r="Z540" i="9"/>
  <c r="AA540" i="9"/>
  <c r="AB540" i="9"/>
  <c r="AC540" i="9"/>
  <c r="AD540" i="9"/>
  <c r="AE540" i="9"/>
  <c r="AF540" i="9"/>
  <c r="AG540" i="9"/>
  <c r="AH540" i="9"/>
  <c r="AI540" i="9"/>
  <c r="AJ540" i="9"/>
  <c r="AK540" i="9"/>
  <c r="AL540" i="9"/>
  <c r="AM540" i="9"/>
  <c r="AN540" i="9"/>
  <c r="AO540" i="9"/>
  <c r="AP540" i="9"/>
  <c r="AQ540" i="9"/>
  <c r="BE540" i="9" s="1"/>
  <c r="E541" i="9"/>
  <c r="F541" i="9"/>
  <c r="G541" i="9"/>
  <c r="H541" i="9"/>
  <c r="I541" i="9"/>
  <c r="J541" i="9"/>
  <c r="K541" i="9"/>
  <c r="L541" i="9"/>
  <c r="M541" i="9"/>
  <c r="N541" i="9"/>
  <c r="O541" i="9"/>
  <c r="P541" i="9"/>
  <c r="Q541" i="9"/>
  <c r="R541" i="9"/>
  <c r="S541" i="9"/>
  <c r="T541" i="9"/>
  <c r="U541" i="9"/>
  <c r="V541" i="9"/>
  <c r="W541" i="9"/>
  <c r="X541" i="9"/>
  <c r="Y541" i="9"/>
  <c r="Z541" i="9"/>
  <c r="AA541" i="9"/>
  <c r="AB541" i="9"/>
  <c r="AC541" i="9"/>
  <c r="AD541" i="9"/>
  <c r="AE541" i="9"/>
  <c r="AF541" i="9"/>
  <c r="AG541" i="9"/>
  <c r="AH541" i="9"/>
  <c r="AI541" i="9"/>
  <c r="AJ541" i="9"/>
  <c r="AK541" i="9"/>
  <c r="AL541" i="9"/>
  <c r="AM541" i="9"/>
  <c r="AN541" i="9"/>
  <c r="AO541" i="9"/>
  <c r="AP541" i="9"/>
  <c r="AQ541" i="9"/>
  <c r="BE541" i="9" s="1"/>
  <c r="E542" i="9"/>
  <c r="F542" i="9"/>
  <c r="G542" i="9"/>
  <c r="H542" i="9"/>
  <c r="I542" i="9"/>
  <c r="J542" i="9"/>
  <c r="K542" i="9"/>
  <c r="L542" i="9"/>
  <c r="M542" i="9"/>
  <c r="N542" i="9"/>
  <c r="O542" i="9"/>
  <c r="P542" i="9"/>
  <c r="Q542" i="9"/>
  <c r="R542" i="9"/>
  <c r="S542" i="9"/>
  <c r="T542" i="9"/>
  <c r="U542" i="9"/>
  <c r="V542" i="9"/>
  <c r="W542" i="9"/>
  <c r="X542" i="9"/>
  <c r="Y542" i="9"/>
  <c r="Z542" i="9"/>
  <c r="AA542" i="9"/>
  <c r="AB542" i="9"/>
  <c r="AC542" i="9"/>
  <c r="AD542" i="9"/>
  <c r="AE542" i="9"/>
  <c r="AF542" i="9"/>
  <c r="AG542" i="9"/>
  <c r="AH542" i="9"/>
  <c r="AI542" i="9"/>
  <c r="AJ542" i="9"/>
  <c r="AK542" i="9"/>
  <c r="AL542" i="9"/>
  <c r="AM542" i="9"/>
  <c r="AN542" i="9"/>
  <c r="AO542" i="9"/>
  <c r="AP542" i="9"/>
  <c r="AQ542" i="9"/>
  <c r="BE542" i="9" s="1"/>
  <c r="E543" i="9"/>
  <c r="F543" i="9"/>
  <c r="G543" i="9"/>
  <c r="H543" i="9"/>
  <c r="I543" i="9"/>
  <c r="J543" i="9"/>
  <c r="K543" i="9"/>
  <c r="L543" i="9"/>
  <c r="M543" i="9"/>
  <c r="N543" i="9"/>
  <c r="O543" i="9"/>
  <c r="P543" i="9"/>
  <c r="Q543" i="9"/>
  <c r="R543" i="9"/>
  <c r="S543" i="9"/>
  <c r="T543" i="9"/>
  <c r="U543" i="9"/>
  <c r="V543" i="9"/>
  <c r="W543" i="9"/>
  <c r="X543" i="9"/>
  <c r="Y543" i="9"/>
  <c r="Z543" i="9"/>
  <c r="AA543" i="9"/>
  <c r="AB543" i="9"/>
  <c r="AC543" i="9"/>
  <c r="AD543" i="9"/>
  <c r="AE543" i="9"/>
  <c r="AF543" i="9"/>
  <c r="AG543" i="9"/>
  <c r="AH543" i="9"/>
  <c r="AI543" i="9"/>
  <c r="AJ543" i="9"/>
  <c r="AK543" i="9"/>
  <c r="AL543" i="9"/>
  <c r="AM543" i="9"/>
  <c r="AN543" i="9"/>
  <c r="AO543" i="9"/>
  <c r="AP543" i="9"/>
  <c r="AQ543" i="9"/>
  <c r="BE543" i="9" s="1"/>
  <c r="E544" i="9"/>
  <c r="F544" i="9"/>
  <c r="G544" i="9"/>
  <c r="H544" i="9"/>
  <c r="I544" i="9"/>
  <c r="J544" i="9"/>
  <c r="K544" i="9"/>
  <c r="L544" i="9"/>
  <c r="M544" i="9"/>
  <c r="N544" i="9"/>
  <c r="O544" i="9"/>
  <c r="P544" i="9"/>
  <c r="Q544" i="9"/>
  <c r="R544" i="9"/>
  <c r="S544" i="9"/>
  <c r="T544" i="9"/>
  <c r="U544" i="9"/>
  <c r="V544" i="9"/>
  <c r="W544" i="9"/>
  <c r="X544" i="9"/>
  <c r="Y544" i="9"/>
  <c r="Z544" i="9"/>
  <c r="AA544" i="9"/>
  <c r="AB544" i="9"/>
  <c r="AC544" i="9"/>
  <c r="AD544" i="9"/>
  <c r="AE544" i="9"/>
  <c r="AF544" i="9"/>
  <c r="AG544" i="9"/>
  <c r="AH544" i="9"/>
  <c r="AI544" i="9"/>
  <c r="AJ544" i="9"/>
  <c r="AK544" i="9"/>
  <c r="AL544" i="9"/>
  <c r="AM544" i="9"/>
  <c r="AN544" i="9"/>
  <c r="AO544" i="9"/>
  <c r="AP544" i="9"/>
  <c r="AQ544" i="9"/>
  <c r="BE544" i="9" s="1"/>
  <c r="E545" i="9"/>
  <c r="F545" i="9"/>
  <c r="G545" i="9"/>
  <c r="H545" i="9"/>
  <c r="I545" i="9"/>
  <c r="J545" i="9"/>
  <c r="K545" i="9"/>
  <c r="L545" i="9"/>
  <c r="M545" i="9"/>
  <c r="N545" i="9"/>
  <c r="O545" i="9"/>
  <c r="P545" i="9"/>
  <c r="Q545" i="9"/>
  <c r="R545" i="9"/>
  <c r="S545" i="9"/>
  <c r="T545" i="9"/>
  <c r="U545" i="9"/>
  <c r="V545" i="9"/>
  <c r="W545" i="9"/>
  <c r="X545" i="9"/>
  <c r="Y545" i="9"/>
  <c r="Z545" i="9"/>
  <c r="AA545" i="9"/>
  <c r="AB545" i="9"/>
  <c r="AC545" i="9"/>
  <c r="AD545" i="9"/>
  <c r="AE545" i="9"/>
  <c r="AF545" i="9"/>
  <c r="AG545" i="9"/>
  <c r="AH545" i="9"/>
  <c r="AI545" i="9"/>
  <c r="AJ545" i="9"/>
  <c r="AK545" i="9"/>
  <c r="AL545" i="9"/>
  <c r="AM545" i="9"/>
  <c r="AN545" i="9"/>
  <c r="AO545" i="9"/>
  <c r="AP545" i="9"/>
  <c r="AQ545" i="9"/>
  <c r="BE545" i="9" s="1"/>
  <c r="E546" i="9"/>
  <c r="F546" i="9"/>
  <c r="G546" i="9"/>
  <c r="H546" i="9"/>
  <c r="I546" i="9"/>
  <c r="J546" i="9"/>
  <c r="K546" i="9"/>
  <c r="L546" i="9"/>
  <c r="M546" i="9"/>
  <c r="N546" i="9"/>
  <c r="O546" i="9"/>
  <c r="P546" i="9"/>
  <c r="Q546" i="9"/>
  <c r="R546" i="9"/>
  <c r="S546" i="9"/>
  <c r="T546" i="9"/>
  <c r="U546" i="9"/>
  <c r="V546" i="9"/>
  <c r="W546" i="9"/>
  <c r="X546" i="9"/>
  <c r="Y546" i="9"/>
  <c r="Z546" i="9"/>
  <c r="AA546" i="9"/>
  <c r="AB546" i="9"/>
  <c r="AC546" i="9"/>
  <c r="AD546" i="9"/>
  <c r="AE546" i="9"/>
  <c r="AF546" i="9"/>
  <c r="AG546" i="9"/>
  <c r="AH546" i="9"/>
  <c r="AI546" i="9"/>
  <c r="AJ546" i="9"/>
  <c r="AK546" i="9"/>
  <c r="AL546" i="9"/>
  <c r="AM546" i="9"/>
  <c r="AN546" i="9"/>
  <c r="AO546" i="9"/>
  <c r="AP546" i="9"/>
  <c r="AQ546" i="9"/>
  <c r="BE546" i="9" s="1"/>
  <c r="E548" i="9"/>
  <c r="F548" i="9"/>
  <c r="G548" i="9"/>
  <c r="H548" i="9"/>
  <c r="I548" i="9"/>
  <c r="J548" i="9"/>
  <c r="K548" i="9"/>
  <c r="L548" i="9"/>
  <c r="M548" i="9"/>
  <c r="N548" i="9"/>
  <c r="O548" i="9"/>
  <c r="P548" i="9"/>
  <c r="Q548" i="9"/>
  <c r="R548" i="9"/>
  <c r="S548" i="9"/>
  <c r="T548" i="9"/>
  <c r="U548" i="9"/>
  <c r="V548" i="9"/>
  <c r="W548" i="9"/>
  <c r="X548" i="9"/>
  <c r="Y548" i="9"/>
  <c r="Z548" i="9"/>
  <c r="AA548" i="9"/>
  <c r="AB548" i="9"/>
  <c r="AC548" i="9"/>
  <c r="AD548" i="9"/>
  <c r="AE548" i="9"/>
  <c r="AF548" i="9"/>
  <c r="AG548" i="9"/>
  <c r="AH548" i="9"/>
  <c r="AI548" i="9"/>
  <c r="AJ548" i="9"/>
  <c r="AK548" i="9"/>
  <c r="AL548" i="9"/>
  <c r="AM548" i="9"/>
  <c r="AN548" i="9"/>
  <c r="AO548" i="9"/>
  <c r="AP548" i="9"/>
  <c r="AQ548" i="9"/>
  <c r="BE548" i="9" s="1"/>
  <c r="E549" i="9"/>
  <c r="F549" i="9"/>
  <c r="G549" i="9"/>
  <c r="H549" i="9"/>
  <c r="I549" i="9"/>
  <c r="J549" i="9"/>
  <c r="K549" i="9"/>
  <c r="L549" i="9"/>
  <c r="M549" i="9"/>
  <c r="N549" i="9"/>
  <c r="O549" i="9"/>
  <c r="P549" i="9"/>
  <c r="Q549" i="9"/>
  <c r="R549" i="9"/>
  <c r="S549" i="9"/>
  <c r="T549" i="9"/>
  <c r="U549" i="9"/>
  <c r="V549" i="9"/>
  <c r="W549" i="9"/>
  <c r="X549" i="9"/>
  <c r="Y549" i="9"/>
  <c r="Z549" i="9"/>
  <c r="AA549" i="9"/>
  <c r="AB549" i="9"/>
  <c r="AC549" i="9"/>
  <c r="AD549" i="9"/>
  <c r="AE549" i="9"/>
  <c r="AF549" i="9"/>
  <c r="AG549" i="9"/>
  <c r="AH549" i="9"/>
  <c r="AI549" i="9"/>
  <c r="AJ549" i="9"/>
  <c r="AK549" i="9"/>
  <c r="AL549" i="9"/>
  <c r="AM549" i="9"/>
  <c r="AN549" i="9"/>
  <c r="AO549" i="9"/>
  <c r="AP549" i="9"/>
  <c r="AQ549" i="9"/>
  <c r="BE549" i="9" s="1"/>
  <c r="E551" i="9"/>
  <c r="F551" i="9"/>
  <c r="G551" i="9"/>
  <c r="H551" i="9"/>
  <c r="I551" i="9"/>
  <c r="J551" i="9"/>
  <c r="K551" i="9"/>
  <c r="L551" i="9"/>
  <c r="M551" i="9"/>
  <c r="N551" i="9"/>
  <c r="O551" i="9"/>
  <c r="P551" i="9"/>
  <c r="Q551" i="9"/>
  <c r="R551" i="9"/>
  <c r="S551" i="9"/>
  <c r="T551" i="9"/>
  <c r="U551" i="9"/>
  <c r="V551" i="9"/>
  <c r="W551" i="9"/>
  <c r="X551" i="9"/>
  <c r="Y551" i="9"/>
  <c r="Z551" i="9"/>
  <c r="AA551" i="9"/>
  <c r="AB551" i="9"/>
  <c r="AC551" i="9"/>
  <c r="AD551" i="9"/>
  <c r="AE551" i="9"/>
  <c r="AF551" i="9"/>
  <c r="AG551" i="9"/>
  <c r="AH551" i="9"/>
  <c r="AI551" i="9"/>
  <c r="AJ551" i="9"/>
  <c r="AK551" i="9"/>
  <c r="AL551" i="9"/>
  <c r="AM551" i="9"/>
  <c r="AN551" i="9"/>
  <c r="AO551" i="9"/>
  <c r="AP551" i="9"/>
  <c r="AQ551" i="9"/>
  <c r="BE551" i="9" s="1"/>
  <c r="H52" i="12"/>
  <c r="I52" i="12"/>
  <c r="L52" i="12"/>
  <c r="N52" i="12"/>
  <c r="N557" i="9"/>
  <c r="O52" i="12" s="1"/>
  <c r="O557" i="9"/>
  <c r="P52" i="12" s="1"/>
  <c r="P557" i="9"/>
  <c r="Q52" i="12" s="1"/>
  <c r="Q557" i="9"/>
  <c r="R557" i="9"/>
  <c r="S52" i="12" s="1"/>
  <c r="S557" i="9"/>
  <c r="T52" i="12" s="1"/>
  <c r="T557" i="9"/>
  <c r="U52" i="12" s="1"/>
  <c r="U557" i="9"/>
  <c r="V557" i="9"/>
  <c r="W52" i="12" s="1"/>
  <c r="W557" i="9"/>
  <c r="X52" i="12" s="1"/>
  <c r="X557" i="9"/>
  <c r="Y557" i="9"/>
  <c r="Z52" i="12" s="1"/>
  <c r="Z557" i="9"/>
  <c r="AA557" i="9"/>
  <c r="AB557" i="9"/>
  <c r="AC52" i="12" s="1"/>
  <c r="AC557" i="9"/>
  <c r="AD52" i="12" s="1"/>
  <c r="AD557" i="9"/>
  <c r="AE557" i="9"/>
  <c r="AF52" i="12" s="1"/>
  <c r="AF557" i="9"/>
  <c r="AG52" i="12" s="1"/>
  <c r="AG557" i="9"/>
  <c r="AH52" i="12" s="1"/>
  <c r="AH557" i="9"/>
  <c r="AI52" i="12" s="1"/>
  <c r="AI557" i="9"/>
  <c r="AJ52" i="12" s="1"/>
  <c r="AJ557" i="9"/>
  <c r="AK52" i="12" s="1"/>
  <c r="AK557" i="9"/>
  <c r="AL557" i="9"/>
  <c r="AM557" i="9"/>
  <c r="AN557" i="9"/>
  <c r="AO52" i="12" s="1"/>
  <c r="AO557" i="9"/>
  <c r="AP557" i="9"/>
  <c r="AQ557" i="9"/>
  <c r="AR52" i="12" s="1"/>
  <c r="BE269" i="9"/>
  <c r="BE245" i="9"/>
  <c r="BE221" i="9"/>
  <c r="BE197" i="9"/>
  <c r="J533" i="9"/>
  <c r="BB173" i="9"/>
  <c r="BC173" i="9"/>
  <c r="BE173" i="9"/>
  <c r="BD149" i="9"/>
  <c r="BE149" i="9"/>
  <c r="BB101" i="9"/>
  <c r="BM101" i="9" s="1"/>
  <c r="BE101" i="9"/>
  <c r="E76" i="9"/>
  <c r="F76" i="9"/>
  <c r="G76" i="9"/>
  <c r="F16" i="35"/>
  <c r="F22" i="35" s="1"/>
  <c r="F55" i="35" s="1"/>
  <c r="H76" i="9"/>
  <c r="G16" i="35"/>
  <c r="G22" i="35" s="1"/>
  <c r="G55" i="35" s="1"/>
  <c r="I76" i="9"/>
  <c r="H16" i="35"/>
  <c r="H22" i="35" s="1"/>
  <c r="H55" i="35" s="1"/>
  <c r="J76" i="9"/>
  <c r="E78" i="9"/>
  <c r="F78" i="9"/>
  <c r="G78" i="9"/>
  <c r="H78" i="9"/>
  <c r="I78" i="9"/>
  <c r="J78" i="9"/>
  <c r="E79" i="9"/>
  <c r="F79" i="9"/>
  <c r="G79" i="9"/>
  <c r="H79" i="9"/>
  <c r="I79" i="9"/>
  <c r="J79" i="9"/>
  <c r="E80" i="9"/>
  <c r="F80" i="9"/>
  <c r="G80" i="9"/>
  <c r="H80" i="9"/>
  <c r="I80" i="9"/>
  <c r="J80" i="9"/>
  <c r="E81" i="9"/>
  <c r="F81" i="9"/>
  <c r="G81" i="9"/>
  <c r="H81" i="9"/>
  <c r="I81" i="9"/>
  <c r="J81" i="9"/>
  <c r="E82" i="9"/>
  <c r="F82" i="9"/>
  <c r="G82" i="9"/>
  <c r="H82" i="9"/>
  <c r="I82" i="9"/>
  <c r="J82" i="9"/>
  <c r="E83" i="9"/>
  <c r="F83" i="9"/>
  <c r="G83" i="9"/>
  <c r="H83" i="9"/>
  <c r="I83" i="9"/>
  <c r="J83" i="9"/>
  <c r="E84" i="9"/>
  <c r="F84" i="9"/>
  <c r="G84" i="9"/>
  <c r="H84" i="9"/>
  <c r="I84" i="9"/>
  <c r="J84" i="9"/>
  <c r="E85" i="9"/>
  <c r="F85" i="9"/>
  <c r="G85" i="9"/>
  <c r="H85" i="9"/>
  <c r="I85" i="9"/>
  <c r="J85" i="9"/>
  <c r="E86" i="9"/>
  <c r="F86" i="9"/>
  <c r="G86" i="9"/>
  <c r="H86" i="9"/>
  <c r="I86" i="9"/>
  <c r="J86" i="9"/>
  <c r="E88" i="9"/>
  <c r="F88" i="9"/>
  <c r="G88" i="9"/>
  <c r="H88" i="9"/>
  <c r="I88" i="9"/>
  <c r="J88" i="9"/>
  <c r="E89" i="9"/>
  <c r="F89" i="9"/>
  <c r="G89" i="9"/>
  <c r="H89" i="9"/>
  <c r="I89" i="9"/>
  <c r="J89" i="9"/>
  <c r="E91" i="9"/>
  <c r="F91" i="9"/>
  <c r="G91" i="9"/>
  <c r="H91" i="9"/>
  <c r="I91" i="9"/>
  <c r="J91" i="9"/>
  <c r="I83" i="14"/>
  <c r="I84" i="14"/>
  <c r="D31" i="14"/>
  <c r="E31" i="14"/>
  <c r="F31" i="14"/>
  <c r="G31" i="14"/>
  <c r="H31" i="14"/>
  <c r="I31" i="14"/>
  <c r="J31" i="14"/>
  <c r="E12" i="20"/>
  <c r="F12" i="20"/>
  <c r="G12" i="20"/>
  <c r="H12" i="20"/>
  <c r="I12" i="20"/>
  <c r="J12" i="20"/>
  <c r="E45" i="31"/>
  <c r="E97" i="16" s="1"/>
  <c r="E121" i="16" s="1"/>
  <c r="E5" i="10" s="1"/>
  <c r="F45" i="31"/>
  <c r="F97" i="16" s="1"/>
  <c r="F121" i="16" s="1"/>
  <c r="F5" i="10" s="1"/>
  <c r="G45" i="31"/>
  <c r="G97" i="16" s="1"/>
  <c r="G121" i="16" s="1"/>
  <c r="G5" i="10" s="1"/>
  <c r="H45" i="31"/>
  <c r="H97" i="16" s="1"/>
  <c r="H121" i="16" s="1"/>
  <c r="H5" i="10" s="1"/>
  <c r="I45" i="31"/>
  <c r="I97" i="16" s="1"/>
  <c r="I121" i="16" s="1"/>
  <c r="I5" i="10" s="1"/>
  <c r="J45" i="31"/>
  <c r="J97" i="16" s="1"/>
  <c r="J121" i="16" s="1"/>
  <c r="J5" i="10" s="1"/>
  <c r="E89" i="31"/>
  <c r="E396" i="21" s="1"/>
  <c r="F89" i="31"/>
  <c r="F396" i="21" s="1"/>
  <c r="G89" i="31"/>
  <c r="G396" i="21" s="1"/>
  <c r="H89" i="31"/>
  <c r="H396" i="21" s="1"/>
  <c r="I89" i="31"/>
  <c r="I396" i="21" s="1"/>
  <c r="J89" i="31"/>
  <c r="J396" i="21" s="1"/>
  <c r="G77" i="16"/>
  <c r="E17" i="30"/>
  <c r="E100" i="16"/>
  <c r="F17" i="30"/>
  <c r="F100" i="16"/>
  <c r="G17" i="30"/>
  <c r="G100" i="16"/>
  <c r="H17" i="30"/>
  <c r="H100" i="16"/>
  <c r="I17" i="30"/>
  <c r="I100" i="16"/>
  <c r="J17" i="30"/>
  <c r="J100" i="16"/>
  <c r="E33" i="30"/>
  <c r="E399" i="21"/>
  <c r="F33" i="30"/>
  <c r="F399" i="21"/>
  <c r="G33" i="30"/>
  <c r="G399" i="21"/>
  <c r="H33" i="30"/>
  <c r="H399" i="21" s="1"/>
  <c r="I33" i="30"/>
  <c r="I399" i="21" s="1"/>
  <c r="J33" i="30"/>
  <c r="J399" i="21" s="1"/>
  <c r="E90" i="16"/>
  <c r="H90" i="16"/>
  <c r="E17" i="27"/>
  <c r="E113" i="16"/>
  <c r="F17" i="27"/>
  <c r="F113" i="16"/>
  <c r="G17" i="27"/>
  <c r="G113" i="16"/>
  <c r="H17" i="27"/>
  <c r="H113" i="16"/>
  <c r="I17" i="27"/>
  <c r="I113" i="16"/>
  <c r="J17" i="27"/>
  <c r="J113" i="16"/>
  <c r="G67" i="33"/>
  <c r="G114" i="33" s="1"/>
  <c r="G21" i="34" s="1"/>
  <c r="E33" i="27"/>
  <c r="E412" i="21"/>
  <c r="F33" i="27"/>
  <c r="F412" i="21"/>
  <c r="G33" i="27"/>
  <c r="G412" i="21"/>
  <c r="H33" i="27"/>
  <c r="H412" i="21"/>
  <c r="I33" i="27"/>
  <c r="I412" i="21"/>
  <c r="J33" i="27"/>
  <c r="J412" i="21"/>
  <c r="G75" i="16"/>
  <c r="H75" i="16"/>
  <c r="E17" i="29"/>
  <c r="E98" i="16"/>
  <c r="F17" i="29"/>
  <c r="F98" i="16"/>
  <c r="G17" i="29"/>
  <c r="G98" i="16"/>
  <c r="H17" i="29"/>
  <c r="H98" i="16"/>
  <c r="I17" i="29"/>
  <c r="I98" i="16"/>
  <c r="J17" i="29"/>
  <c r="J98" i="16"/>
  <c r="E52" i="33"/>
  <c r="I52" i="33"/>
  <c r="E33" i="29"/>
  <c r="E397" i="21"/>
  <c r="F33" i="29"/>
  <c r="F397" i="21"/>
  <c r="G33" i="29"/>
  <c r="G397" i="21"/>
  <c r="H33" i="29"/>
  <c r="H397" i="21"/>
  <c r="I33" i="29"/>
  <c r="I397" i="21"/>
  <c r="J33" i="29"/>
  <c r="J397" i="21"/>
  <c r="F43" i="34"/>
  <c r="F66" i="34" s="1"/>
  <c r="BQ443" i="9"/>
  <c r="G124" i="16"/>
  <c r="G8" i="10"/>
  <c r="K75" i="11"/>
  <c r="H137" i="16"/>
  <c r="H21" i="10"/>
  <c r="J35" i="10"/>
  <c r="H40" i="10"/>
  <c r="F39" i="10"/>
  <c r="H36" i="10"/>
  <c r="F35" i="10"/>
  <c r="J33" i="10"/>
  <c r="H31" i="10"/>
  <c r="G31" i="10"/>
  <c r="G34" i="10"/>
  <c r="J43" i="10"/>
  <c r="J67" i="10" s="1"/>
  <c r="H41" i="10"/>
  <c r="F40" i="10"/>
  <c r="H37" i="10"/>
  <c r="F36" i="10"/>
  <c r="J34" i="10"/>
  <c r="F31" i="10"/>
  <c r="H46" i="10"/>
  <c r="I33" i="10"/>
  <c r="E46" i="10"/>
  <c r="I43" i="10"/>
  <c r="G41" i="10"/>
  <c r="G65" i="10" s="1"/>
  <c r="I38" i="10"/>
  <c r="G33" i="10"/>
  <c r="G36" i="10"/>
  <c r="G60" i="10"/>
  <c r="G32" i="10"/>
  <c r="E39" i="10"/>
  <c r="E33" i="10"/>
  <c r="J44" i="10"/>
  <c r="F41" i="10"/>
  <c r="H38" i="10"/>
  <c r="H62" i="10" s="1"/>
  <c r="H34" i="10"/>
  <c r="F33" i="10"/>
  <c r="G44" i="10"/>
  <c r="E31" i="10"/>
  <c r="I44" i="10"/>
  <c r="G43" i="10"/>
  <c r="I35" i="10"/>
  <c r="H45" i="10"/>
  <c r="F44" i="10"/>
  <c r="H44" i="10"/>
  <c r="F43" i="10"/>
  <c r="J36" i="10"/>
  <c r="J31" i="10"/>
  <c r="E35" i="10"/>
  <c r="J41" i="10"/>
  <c r="E43" i="10"/>
  <c r="I40" i="10"/>
  <c r="E38" i="10"/>
  <c r="G35" i="10"/>
  <c r="E34" i="10"/>
  <c r="I31" i="10"/>
  <c r="F49" i="10"/>
  <c r="F74" i="10"/>
  <c r="F55" i="10"/>
  <c r="J59" i="10"/>
  <c r="E67" i="10"/>
  <c r="J55" i="10"/>
  <c r="F59" i="10"/>
  <c r="J57" i="10"/>
  <c r="E63" i="10"/>
  <c r="H68" i="10"/>
  <c r="F67" i="10"/>
  <c r="I67" i="10"/>
  <c r="G67" i="10"/>
  <c r="H64" i="10"/>
  <c r="F68" i="10"/>
  <c r="AV558" i="9"/>
  <c r="AV570" i="9" s="1"/>
  <c r="F30" i="35"/>
  <c r="F37" i="35" s="1"/>
  <c r="AV82" i="9"/>
  <c r="H30" i="35"/>
  <c r="G30" i="35"/>
  <c r="G37" i="35" s="1"/>
  <c r="G50" i="35" s="1"/>
  <c r="AV79" i="9"/>
  <c r="AV89" i="9"/>
  <c r="AV76" i="9"/>
  <c r="AV85" i="9"/>
  <c r="H74" i="16"/>
  <c r="G74" i="16"/>
  <c r="H534" i="9"/>
  <c r="F74" i="9"/>
  <c r="F534" i="9"/>
  <c r="G534" i="9"/>
  <c r="I74" i="9"/>
  <c r="J535" i="9"/>
  <c r="J52" i="33"/>
  <c r="J99" i="33" s="1"/>
  <c r="J6" i="34" s="1"/>
  <c r="F52" i="33"/>
  <c r="I535" i="9"/>
  <c r="G122" i="16"/>
  <c r="G6" i="10"/>
  <c r="H122" i="16"/>
  <c r="H6" i="10"/>
  <c r="AZ197" i="9"/>
  <c r="BK197" i="9" s="1"/>
  <c r="G54" i="33"/>
  <c r="G101" i="33" s="1"/>
  <c r="G8" i="34" s="1"/>
  <c r="E54" i="33"/>
  <c r="E101" i="33"/>
  <c r="E8" i="34"/>
  <c r="G376" i="21"/>
  <c r="E77" i="16"/>
  <c r="E124" i="16"/>
  <c r="E8" i="10"/>
  <c r="I54" i="33"/>
  <c r="E376" i="21"/>
  <c r="J77" i="16"/>
  <c r="J124" i="16"/>
  <c r="J8" i="10"/>
  <c r="J32" i="10"/>
  <c r="I77" i="16"/>
  <c r="I124" i="16"/>
  <c r="I8" i="10"/>
  <c r="J54" i="33"/>
  <c r="F54" i="33"/>
  <c r="F101" i="33" s="1"/>
  <c r="F8" i="34" s="1"/>
  <c r="G389" i="21"/>
  <c r="G90" i="16"/>
  <c r="G137" i="16"/>
  <c r="G21" i="10"/>
  <c r="J389" i="21"/>
  <c r="F389" i="21"/>
  <c r="F436" i="21" s="1"/>
  <c r="F21" i="11" s="1"/>
  <c r="H67" i="33"/>
  <c r="J67" i="33"/>
  <c r="F67" i="33"/>
  <c r="F114" i="33" s="1"/>
  <c r="F21" i="34" s="1"/>
  <c r="E137" i="16"/>
  <c r="E21" i="10"/>
  <c r="F90" i="16"/>
  <c r="F137" i="16"/>
  <c r="F21" i="10"/>
  <c r="E389" i="21"/>
  <c r="I67" i="33"/>
  <c r="E67" i="33"/>
  <c r="E114" i="33"/>
  <c r="E21" i="34"/>
  <c r="I389" i="21"/>
  <c r="I90" i="16"/>
  <c r="I137" i="16"/>
  <c r="I21" i="10"/>
  <c r="E75" i="16"/>
  <c r="E122" i="16"/>
  <c r="E6" i="10"/>
  <c r="J75" i="16"/>
  <c r="J374" i="21"/>
  <c r="F374" i="21"/>
  <c r="G75" i="9"/>
  <c r="I75" i="16"/>
  <c r="I99" i="33"/>
  <c r="I6" i="34" s="1"/>
  <c r="E99" i="33"/>
  <c r="E6" i="34"/>
  <c r="G52" i="33"/>
  <c r="G99" i="33"/>
  <c r="G6" i="34" s="1"/>
  <c r="I374" i="21"/>
  <c r="E374" i="21"/>
  <c r="E421" i="21" s="1"/>
  <c r="E6" i="11" s="1"/>
  <c r="I75" i="9"/>
  <c r="E75" i="9"/>
  <c r="AZ101" i="9"/>
  <c r="BK101" i="9" s="1"/>
  <c r="BC269" i="9"/>
  <c r="BB269" i="9"/>
  <c r="BC485" i="9"/>
  <c r="BB485" i="9"/>
  <c r="AZ461" i="9"/>
  <c r="AY461" i="9"/>
  <c r="AW461" i="9"/>
  <c r="AW437" i="9"/>
  <c r="BH437" i="9" s="1"/>
  <c r="BD173" i="9"/>
  <c r="AX173" i="9"/>
  <c r="AW221" i="9"/>
  <c r="BH221" i="9" s="1"/>
  <c r="H372" i="21"/>
  <c r="H50" i="33"/>
  <c r="G73" i="9"/>
  <c r="BB197" i="9"/>
  <c r="BM197" i="9" s="1"/>
  <c r="AX269" i="9"/>
  <c r="AZ365" i="9"/>
  <c r="BK365" i="9" s="1"/>
  <c r="AY365" i="9"/>
  <c r="AX341" i="9"/>
  <c r="AW341" i="9"/>
  <c r="G90" i="9"/>
  <c r="BA101" i="9"/>
  <c r="BA197" i="9"/>
  <c r="BL197" i="9" s="1"/>
  <c r="AX437" i="9"/>
  <c r="BI437" i="9"/>
  <c r="H77" i="9"/>
  <c r="J90" i="9"/>
  <c r="F90" i="9"/>
  <c r="J77" i="9"/>
  <c r="F77" i="9"/>
  <c r="J73" i="9"/>
  <c r="F73" i="9"/>
  <c r="AW101" i="9"/>
  <c r="BC149" i="9"/>
  <c r="BB149" i="9"/>
  <c r="BA173" i="9"/>
  <c r="AZ173" i="9"/>
  <c r="AW197" i="9"/>
  <c r="BH197" i="9" s="1"/>
  <c r="BD245" i="9"/>
  <c r="BC245" i="9"/>
  <c r="BB245" i="9"/>
  <c r="BA269" i="9"/>
  <c r="AZ269" i="9"/>
  <c r="BK269" i="9" s="1"/>
  <c r="BD509" i="9"/>
  <c r="BC509" i="9"/>
  <c r="BB509" i="9"/>
  <c r="BB317" i="9"/>
  <c r="BD485" i="9"/>
  <c r="BA461" i="9"/>
  <c r="BD389" i="9"/>
  <c r="BA365" i="9"/>
  <c r="I90" i="9"/>
  <c r="E90" i="9"/>
  <c r="G77" i="9"/>
  <c r="I77" i="9"/>
  <c r="E77" i="9"/>
  <c r="I73" i="9"/>
  <c r="E73" i="9"/>
  <c r="BA149" i="9"/>
  <c r="AZ149" i="9"/>
  <c r="AY149" i="9"/>
  <c r="BJ149" i="9" s="1"/>
  <c r="AW173" i="9"/>
  <c r="BD221" i="9"/>
  <c r="BC221" i="9"/>
  <c r="BB221" i="9"/>
  <c r="BM221" i="9" s="1"/>
  <c r="BA245" i="9"/>
  <c r="AZ245" i="9"/>
  <c r="AY245" i="9"/>
  <c r="AW269" i="9"/>
  <c r="BA509" i="9"/>
  <c r="AZ509" i="9"/>
  <c r="AY509" i="9"/>
  <c r="AZ413" i="9"/>
  <c r="BK413" i="9" s="1"/>
  <c r="AX293" i="9"/>
  <c r="BD269" i="9"/>
  <c r="AW4" i="9"/>
  <c r="H90" i="9"/>
  <c r="J75" i="9"/>
  <c r="F75" i="9"/>
  <c r="H73" i="9"/>
  <c r="BD101" i="9"/>
  <c r="BC101" i="9"/>
  <c r="AW149" i="9"/>
  <c r="BD197" i="9"/>
  <c r="BC197" i="9"/>
  <c r="BN197" i="9" s="1"/>
  <c r="BA221" i="9"/>
  <c r="BL221" i="9" s="1"/>
  <c r="AZ221" i="9"/>
  <c r="BK221" i="9" s="1"/>
  <c r="AW245" i="9"/>
  <c r="AX509" i="9"/>
  <c r="AW509" i="9"/>
  <c r="BA485" i="9"/>
  <c r="AZ485" i="9"/>
  <c r="AY485" i="9"/>
  <c r="AX461" i="9"/>
  <c r="BD413" i="9"/>
  <c r="BO413" i="9" s="1"/>
  <c r="BC413" i="9"/>
  <c r="BN413" i="9" s="1"/>
  <c r="BB413" i="9"/>
  <c r="BM413" i="9" s="1"/>
  <c r="BA389" i="9"/>
  <c r="AZ389" i="9"/>
  <c r="BK389" i="9" s="1"/>
  <c r="AY389" i="9"/>
  <c r="AX365" i="9"/>
  <c r="AW365" i="9"/>
  <c r="BD317" i="9"/>
  <c r="BC317" i="9"/>
  <c r="BA293" i="9"/>
  <c r="AZ293" i="9"/>
  <c r="AX485" i="9"/>
  <c r="AW485" i="9"/>
  <c r="BD437" i="9"/>
  <c r="BO437" i="9" s="1"/>
  <c r="BC437" i="9"/>
  <c r="BN437" i="9" s="1"/>
  <c r="BB437" i="9"/>
  <c r="BM437" i="9" s="1"/>
  <c r="BA413" i="9"/>
  <c r="BL413" i="9" s="1"/>
  <c r="AY413" i="9"/>
  <c r="BJ413" i="9"/>
  <c r="AW389" i="9"/>
  <c r="BD341" i="9"/>
  <c r="BC341" i="9"/>
  <c r="BB341" i="9"/>
  <c r="BA317" i="9"/>
  <c r="AZ317" i="9"/>
  <c r="AW293" i="9"/>
  <c r="BD461" i="9"/>
  <c r="BC461" i="9"/>
  <c r="BB461" i="9"/>
  <c r="BA437" i="9"/>
  <c r="BL437" i="9"/>
  <c r="AZ437" i="9"/>
  <c r="BK437" i="9" s="1"/>
  <c r="AY437" i="9"/>
  <c r="BJ437" i="9" s="1"/>
  <c r="AX413" i="9"/>
  <c r="BI413" i="9"/>
  <c r="AW413" i="9"/>
  <c r="BH413" i="9"/>
  <c r="BD365" i="9"/>
  <c r="BC365" i="9"/>
  <c r="BB365" i="9"/>
  <c r="BA341" i="9"/>
  <c r="AZ341" i="9"/>
  <c r="AY341" i="9"/>
  <c r="AX317" i="9"/>
  <c r="AW317" i="9"/>
  <c r="E16" i="32"/>
  <c r="E15" i="32"/>
  <c r="E14" i="32"/>
  <c r="E11" i="32"/>
  <c r="H61" i="10"/>
  <c r="H55" i="10"/>
  <c r="F46" i="10"/>
  <c r="E62" i="10"/>
  <c r="I36" i="10"/>
  <c r="E12" i="32"/>
  <c r="E36" i="10"/>
  <c r="G59" i="10"/>
  <c r="I34" i="10"/>
  <c r="F63" i="10"/>
  <c r="F34" i="10"/>
  <c r="J65" i="10"/>
  <c r="G57" i="10"/>
  <c r="E55" i="10"/>
  <c r="H43" i="10"/>
  <c r="F38" i="10"/>
  <c r="G58" i="10"/>
  <c r="H33" i="10"/>
  <c r="E44" i="10"/>
  <c r="E40" i="10"/>
  <c r="E64" i="10" s="1"/>
  <c r="E57" i="10"/>
  <c r="F64" i="10"/>
  <c r="H65" i="10"/>
  <c r="G68" i="10"/>
  <c r="H35" i="10"/>
  <c r="I57" i="10"/>
  <c r="E70" i="10"/>
  <c r="J68" i="10"/>
  <c r="I55" i="10"/>
  <c r="G46" i="10"/>
  <c r="E41" i="10"/>
  <c r="J37" i="10"/>
  <c r="F37" i="10"/>
  <c r="I37" i="10"/>
  <c r="E37" i="10"/>
  <c r="E61" i="10" s="1"/>
  <c r="I373" i="21"/>
  <c r="G51" i="33"/>
  <c r="H373" i="21"/>
  <c r="H74" i="9"/>
  <c r="G373" i="21"/>
  <c r="G74" i="9"/>
  <c r="E74" i="9"/>
  <c r="H51" i="33"/>
  <c r="E66" i="34"/>
  <c r="F376" i="21"/>
  <c r="J376" i="21"/>
  <c r="G550" i="9"/>
  <c r="I537" i="9"/>
  <c r="AQ533" i="9"/>
  <c r="J550" i="9"/>
  <c r="F550" i="9"/>
  <c r="J74" i="9"/>
  <c r="E535" i="9"/>
  <c r="AI533" i="9"/>
  <c r="AA533" i="9"/>
  <c r="H550" i="9"/>
  <c r="J537" i="9"/>
  <c r="F537" i="9"/>
  <c r="AM533" i="9"/>
  <c r="AE533" i="9"/>
  <c r="W533" i="9"/>
  <c r="K533" i="9"/>
  <c r="G533" i="9"/>
  <c r="E537" i="9"/>
  <c r="H535" i="9"/>
  <c r="AL533" i="9"/>
  <c r="AD533" i="9"/>
  <c r="V533" i="9"/>
  <c r="AP533" i="9"/>
  <c r="AH533" i="9"/>
  <c r="Z533" i="9"/>
  <c r="F533" i="9"/>
  <c r="G535" i="9"/>
  <c r="G537" i="9"/>
  <c r="H537" i="9"/>
  <c r="J534" i="9"/>
  <c r="AO533" i="9"/>
  <c r="AK533" i="9"/>
  <c r="AG533" i="9"/>
  <c r="AC533" i="9"/>
  <c r="Y533" i="9"/>
  <c r="U533" i="9"/>
  <c r="I533" i="9"/>
  <c r="E533" i="9"/>
  <c r="I550" i="9"/>
  <c r="E550" i="9"/>
  <c r="F535" i="9"/>
  <c r="I534" i="9"/>
  <c r="E534" i="9"/>
  <c r="AN533" i="9"/>
  <c r="AJ533" i="9"/>
  <c r="AF533" i="9"/>
  <c r="AB533" i="9"/>
  <c r="X533" i="9"/>
  <c r="H533" i="9"/>
  <c r="F123" i="9"/>
  <c r="I123" i="9"/>
  <c r="BE115" i="9"/>
  <c r="E146" i="9"/>
  <c r="F147" i="9"/>
  <c r="I147" i="9"/>
  <c r="J147" i="9"/>
  <c r="H170" i="9"/>
  <c r="J171" i="9"/>
  <c r="BE163" i="9"/>
  <c r="F195" i="9"/>
  <c r="I194" i="9"/>
  <c r="BE187" i="9"/>
  <c r="BE211" i="9"/>
  <c r="I242" i="9"/>
  <c r="BE235" i="9"/>
  <c r="E266" i="9"/>
  <c r="I266" i="9"/>
  <c r="J267" i="9"/>
  <c r="BE259" i="9"/>
  <c r="BP259" i="9" s="1"/>
  <c r="E291" i="9"/>
  <c r="F291" i="9"/>
  <c r="G290" i="9"/>
  <c r="I291" i="9"/>
  <c r="J291" i="9"/>
  <c r="BE283" i="9"/>
  <c r="F315" i="9"/>
  <c r="BE307" i="9"/>
  <c r="E338" i="9"/>
  <c r="BE331" i="9"/>
  <c r="F362" i="9"/>
  <c r="BE355" i="9"/>
  <c r="E386" i="9"/>
  <c r="I387" i="9"/>
  <c r="BE379" i="9"/>
  <c r="BE403" i="9"/>
  <c r="BP403" i="9" s="1"/>
  <c r="BE427" i="9"/>
  <c r="BP427" i="9" s="1"/>
  <c r="F459" i="9"/>
  <c r="BE451" i="9"/>
  <c r="BP451" i="9"/>
  <c r="E483" i="9"/>
  <c r="H483" i="9"/>
  <c r="BE475" i="9"/>
  <c r="F506" i="9"/>
  <c r="BE499" i="9"/>
  <c r="BE523" i="9"/>
  <c r="E24" i="17"/>
  <c r="E110" i="16" s="1"/>
  <c r="E134" i="16" s="1"/>
  <c r="E18" i="10" s="1"/>
  <c r="F24" i="17"/>
  <c r="F110" i="16" s="1"/>
  <c r="F134" i="16" s="1"/>
  <c r="F18" i="10" s="1"/>
  <c r="G24" i="17"/>
  <c r="G110" i="16" s="1"/>
  <c r="G134" i="16" s="1"/>
  <c r="G18" i="10" s="1"/>
  <c r="H24" i="17"/>
  <c r="H110" i="16" s="1"/>
  <c r="H134" i="16" s="1"/>
  <c r="H18" i="10" s="1"/>
  <c r="I24" i="17"/>
  <c r="I110" i="16" s="1"/>
  <c r="I134" i="16" s="1"/>
  <c r="I18" i="10" s="1"/>
  <c r="J24" i="17"/>
  <c r="J110" i="16" s="1"/>
  <c r="J134" i="16" s="1"/>
  <c r="J18" i="10" s="1"/>
  <c r="K24" i="17"/>
  <c r="K110" i="16" s="1"/>
  <c r="L24" i="17"/>
  <c r="L110" i="16" s="1"/>
  <c r="M24" i="17"/>
  <c r="M110" i="16" s="1"/>
  <c r="N24" i="17"/>
  <c r="N110" i="16" s="1"/>
  <c r="O24" i="17"/>
  <c r="O110" i="16" s="1"/>
  <c r="P24" i="17"/>
  <c r="P110" i="16" s="1"/>
  <c r="Q24" i="17"/>
  <c r="Q110" i="16" s="1"/>
  <c r="R24" i="17"/>
  <c r="R110" i="16" s="1"/>
  <c r="S24" i="17"/>
  <c r="S110" i="16" s="1"/>
  <c r="T24" i="17"/>
  <c r="T110" i="16" s="1"/>
  <c r="U24" i="17"/>
  <c r="U110" i="16" s="1"/>
  <c r="V24" i="17"/>
  <c r="V110" i="16" s="1"/>
  <c r="W24" i="17"/>
  <c r="W110" i="16" s="1"/>
  <c r="X24" i="17"/>
  <c r="X110" i="16" s="1"/>
  <c r="Y24" i="17"/>
  <c r="Y110" i="16" s="1"/>
  <c r="Z24" i="17"/>
  <c r="Z110" i="16" s="1"/>
  <c r="AA24" i="17"/>
  <c r="AA110" i="16" s="1"/>
  <c r="AB24" i="17"/>
  <c r="AB110" i="16" s="1"/>
  <c r="AC24" i="17"/>
  <c r="AC110" i="16" s="1"/>
  <c r="AD24" i="17"/>
  <c r="AD110" i="16" s="1"/>
  <c r="AE24" i="17"/>
  <c r="AE110" i="16" s="1"/>
  <c r="AF24" i="17"/>
  <c r="AF110" i="16" s="1"/>
  <c r="AG24" i="17"/>
  <c r="AG110" i="16" s="1"/>
  <c r="AH24" i="17"/>
  <c r="AH110" i="16" s="1"/>
  <c r="AI24" i="17"/>
  <c r="AI110" i="16" s="1"/>
  <c r="AJ24" i="17"/>
  <c r="AJ110" i="16" s="1"/>
  <c r="AK24" i="17"/>
  <c r="AK110" i="16" s="1"/>
  <c r="AL24" i="17"/>
  <c r="AL110" i="16" s="1"/>
  <c r="AM24" i="17"/>
  <c r="AM110" i="16" s="1"/>
  <c r="AN24" i="17"/>
  <c r="AN110" i="16" s="1"/>
  <c r="AO24" i="17"/>
  <c r="AO110" i="16" s="1"/>
  <c r="AP24" i="17"/>
  <c r="AP110" i="16" s="1"/>
  <c r="AQ24" i="17"/>
  <c r="AQ110" i="16" s="1"/>
  <c r="G46" i="21"/>
  <c r="G92" i="21"/>
  <c r="H46" i="33"/>
  <c r="H138" i="21"/>
  <c r="G184" i="21"/>
  <c r="G207" i="21"/>
  <c r="H207" i="21"/>
  <c r="H253" i="21"/>
  <c r="E47" i="17"/>
  <c r="E409" i="21" s="1"/>
  <c r="F47" i="17"/>
  <c r="F409" i="21" s="1"/>
  <c r="G47" i="17"/>
  <c r="G409" i="21"/>
  <c r="H47" i="17"/>
  <c r="H409" i="21" s="1"/>
  <c r="I47" i="17"/>
  <c r="I409" i="21" s="1"/>
  <c r="J47" i="17"/>
  <c r="J409" i="21" s="1"/>
  <c r="K47" i="17"/>
  <c r="K409" i="21" s="1"/>
  <c r="L47" i="17"/>
  <c r="L409" i="21" s="1"/>
  <c r="M47" i="17"/>
  <c r="M409" i="21" s="1"/>
  <c r="N47" i="17"/>
  <c r="N409" i="21" s="1"/>
  <c r="O47" i="17"/>
  <c r="O409" i="21" s="1"/>
  <c r="P47" i="17"/>
  <c r="P409" i="21" s="1"/>
  <c r="Q47" i="17"/>
  <c r="Q409" i="21" s="1"/>
  <c r="R47" i="17"/>
  <c r="R409" i="21" s="1"/>
  <c r="S47" i="17"/>
  <c r="S409" i="21" s="1"/>
  <c r="T47" i="17"/>
  <c r="T409" i="21" s="1"/>
  <c r="U47" i="17"/>
  <c r="U409" i="21" s="1"/>
  <c r="V47" i="17"/>
  <c r="V409" i="21" s="1"/>
  <c r="W47" i="17"/>
  <c r="W409" i="21" s="1"/>
  <c r="X47" i="17"/>
  <c r="X409" i="21" s="1"/>
  <c r="Y47" i="17"/>
  <c r="Y409" i="21" s="1"/>
  <c r="Z47" i="17"/>
  <c r="Z409" i="21" s="1"/>
  <c r="AA47" i="17"/>
  <c r="AA409" i="21" s="1"/>
  <c r="AB47" i="17"/>
  <c r="AB409" i="21" s="1"/>
  <c r="AC47" i="17"/>
  <c r="AD47" i="17"/>
  <c r="AD409" i="21" s="1"/>
  <c r="AE47" i="17"/>
  <c r="AE409" i="21" s="1"/>
  <c r="AF47" i="17"/>
  <c r="AF409" i="21" s="1"/>
  <c r="AG47" i="17"/>
  <c r="AG409" i="21" s="1"/>
  <c r="AH47" i="17"/>
  <c r="AH409" i="21" s="1"/>
  <c r="AI47" i="17"/>
  <c r="AI409" i="21" s="1"/>
  <c r="AJ47" i="17"/>
  <c r="AJ409" i="21" s="1"/>
  <c r="AK47" i="17"/>
  <c r="AK409" i="21" s="1"/>
  <c r="AL47" i="17"/>
  <c r="AL409" i="21" s="1"/>
  <c r="AM47" i="17"/>
  <c r="AM409" i="21" s="1"/>
  <c r="AN47" i="17"/>
  <c r="AN409" i="21" s="1"/>
  <c r="AO47" i="17"/>
  <c r="AO409" i="21" s="1"/>
  <c r="AP47" i="17"/>
  <c r="AP409" i="21" s="1"/>
  <c r="AQ47" i="17"/>
  <c r="AQ409" i="21" s="1"/>
  <c r="E46" i="23"/>
  <c r="E96" i="16" s="1"/>
  <c r="F46" i="23"/>
  <c r="F96" i="16" s="1"/>
  <c r="G46" i="23"/>
  <c r="G96" i="16" s="1"/>
  <c r="H46" i="23"/>
  <c r="H96" i="16" s="1"/>
  <c r="I46" i="23"/>
  <c r="I96" i="16" s="1"/>
  <c r="J46" i="23"/>
  <c r="J96" i="16" s="1"/>
  <c r="E91" i="23"/>
  <c r="E395" i="21" s="1"/>
  <c r="F91" i="23"/>
  <c r="F395" i="21" s="1"/>
  <c r="G91" i="23"/>
  <c r="G395" i="21" s="1"/>
  <c r="H91" i="23"/>
  <c r="H395" i="21" s="1"/>
  <c r="I91" i="23"/>
  <c r="I395" i="21" s="1"/>
  <c r="J91" i="23"/>
  <c r="J395" i="21" s="1"/>
  <c r="F60" i="10"/>
  <c r="J60" i="10"/>
  <c r="E58" i="10"/>
  <c r="I64" i="10"/>
  <c r="H69" i="10"/>
  <c r="G56" i="10"/>
  <c r="F57" i="10"/>
  <c r="I68" i="10"/>
  <c r="G55" i="10"/>
  <c r="G45" i="10"/>
  <c r="J58" i="10"/>
  <c r="H30" i="10"/>
  <c r="H60" i="10"/>
  <c r="F65" i="10"/>
  <c r="E45" i="10"/>
  <c r="E69" i="10" s="1"/>
  <c r="G30" i="10"/>
  <c r="I62" i="10"/>
  <c r="E30" i="10"/>
  <c r="H70" i="10"/>
  <c r="E59" i="10"/>
  <c r="I45" i="10"/>
  <c r="H58" i="10"/>
  <c r="I59" i="10"/>
  <c r="I61" i="10"/>
  <c r="H67" i="10"/>
  <c r="J122" i="16"/>
  <c r="J6" i="10"/>
  <c r="I60" i="10"/>
  <c r="E60" i="10"/>
  <c r="I122" i="16"/>
  <c r="I6" i="10"/>
  <c r="H37" i="35"/>
  <c r="H50" i="35" s="1"/>
  <c r="H38" i="35"/>
  <c r="H51" i="35"/>
  <c r="I75" i="11"/>
  <c r="G38" i="35"/>
  <c r="G51" i="35"/>
  <c r="H75" i="11"/>
  <c r="G75" i="11"/>
  <c r="G23" i="16"/>
  <c r="G253" i="21"/>
  <c r="H374" i="21"/>
  <c r="H184" i="21"/>
  <c r="H75" i="9"/>
  <c r="E74" i="16"/>
  <c r="E32" i="10"/>
  <c r="I32" i="10"/>
  <c r="H345" i="21"/>
  <c r="H23" i="16"/>
  <c r="F77" i="16"/>
  <c r="F124" i="16"/>
  <c r="F8" i="10"/>
  <c r="H77" i="16"/>
  <c r="H124" i="16"/>
  <c r="H8" i="10"/>
  <c r="H54" i="33"/>
  <c r="H101" i="33" s="1"/>
  <c r="H8" i="34" s="1"/>
  <c r="I376" i="21"/>
  <c r="H299" i="21"/>
  <c r="H376" i="21"/>
  <c r="F45" i="10"/>
  <c r="J90" i="16"/>
  <c r="J137" i="16"/>
  <c r="J21" i="10"/>
  <c r="H389" i="21"/>
  <c r="G374" i="21"/>
  <c r="F75" i="16"/>
  <c r="F122" i="16"/>
  <c r="F6" i="10"/>
  <c r="G299" i="21"/>
  <c r="H92" i="21"/>
  <c r="H52" i="33"/>
  <c r="H99" i="33" s="1"/>
  <c r="H6" i="34" s="1"/>
  <c r="H29" i="34" s="1"/>
  <c r="G54" i="10"/>
  <c r="G138" i="21"/>
  <c r="E23" i="21"/>
  <c r="G69" i="21"/>
  <c r="G345" i="21"/>
  <c r="AO547" i="9"/>
  <c r="AK547" i="9"/>
  <c r="AG547" i="9"/>
  <c r="AC547" i="9"/>
  <c r="Y547" i="9"/>
  <c r="I547" i="9"/>
  <c r="AJ547" i="9"/>
  <c r="T547" i="9"/>
  <c r="AX499" i="9"/>
  <c r="BD475" i="9"/>
  <c r="AI547" i="9"/>
  <c r="AY475" i="9"/>
  <c r="AL547" i="9"/>
  <c r="BC451" i="9"/>
  <c r="BN451" i="9" s="1"/>
  <c r="BB451" i="9"/>
  <c r="BM451" i="9" s="1"/>
  <c r="Z547" i="9"/>
  <c r="AZ451" i="9"/>
  <c r="BK451" i="9" s="1"/>
  <c r="AZ427" i="9"/>
  <c r="BK427" i="9" s="1"/>
  <c r="AY427" i="9"/>
  <c r="BJ427" i="9" s="1"/>
  <c r="BC403" i="9"/>
  <c r="BB379" i="9"/>
  <c r="BD355" i="9"/>
  <c r="BC355" i="9"/>
  <c r="BB355" i="9"/>
  <c r="BA355" i="9"/>
  <c r="AW355" i="9"/>
  <c r="AZ331" i="9"/>
  <c r="AY331" i="9"/>
  <c r="BJ331" i="9" s="1"/>
  <c r="BC307" i="9"/>
  <c r="AW307" i="9"/>
  <c r="BD283" i="9"/>
  <c r="BA283" i="9"/>
  <c r="BD259" i="9"/>
  <c r="BC259" i="9"/>
  <c r="BB259" i="9"/>
  <c r="AZ259" i="9"/>
  <c r="AZ235" i="9"/>
  <c r="AY235" i="9"/>
  <c r="BJ235" i="9" s="1"/>
  <c r="AY211" i="9"/>
  <c r="BJ211" i="9" s="1"/>
  <c r="BD163" i="9"/>
  <c r="BC163" i="9"/>
  <c r="BB163" i="9"/>
  <c r="BA163" i="9"/>
  <c r="AY115" i="9"/>
  <c r="BA235" i="9"/>
  <c r="BL235" i="9" s="1"/>
  <c r="BA331" i="9"/>
  <c r="E46" i="16"/>
  <c r="F87" i="9"/>
  <c r="H87" i="9"/>
  <c r="I207" i="21"/>
  <c r="I23" i="16"/>
  <c r="J459" i="9"/>
  <c r="J458" i="9"/>
  <c r="G368" i="21"/>
  <c r="I345" i="21"/>
  <c r="E345" i="21"/>
  <c r="H322" i="21"/>
  <c r="J299" i="21"/>
  <c r="F299" i="21"/>
  <c r="I64" i="33"/>
  <c r="E64" i="33"/>
  <c r="G23" i="33"/>
  <c r="J23" i="21"/>
  <c r="AN547" i="9"/>
  <c r="AF547" i="9"/>
  <c r="AB547" i="9"/>
  <c r="X547" i="9"/>
  <c r="AX523" i="9"/>
  <c r="H547" i="9"/>
  <c r="BC475" i="9"/>
  <c r="BB475" i="9"/>
  <c r="BA451" i="9"/>
  <c r="BL451" i="9"/>
  <c r="AY451" i="9"/>
  <c r="BJ451" i="9" s="1"/>
  <c r="AX427" i="9"/>
  <c r="BI427" i="9" s="1"/>
  <c r="AW427" i="9"/>
  <c r="BH427" i="9" s="1"/>
  <c r="G410" i="9"/>
  <c r="G411" i="9"/>
  <c r="BD379" i="9"/>
  <c r="BC379" i="9"/>
  <c r="AZ355" i="9"/>
  <c r="AY355" i="9"/>
  <c r="AX331" i="9"/>
  <c r="AW331" i="9"/>
  <c r="BC283" i="9"/>
  <c r="BB283" i="9"/>
  <c r="BA259" i="9"/>
  <c r="AY259" i="9"/>
  <c r="BD187" i="9"/>
  <c r="BC187" i="9"/>
  <c r="BB187" i="9"/>
  <c r="J195" i="9"/>
  <c r="J194" i="9"/>
  <c r="AZ163" i="9"/>
  <c r="BK163" i="9" s="1"/>
  <c r="AY163" i="9"/>
  <c r="I170" i="9"/>
  <c r="I171" i="9"/>
  <c r="G87" i="9"/>
  <c r="E387" i="9"/>
  <c r="H482" i="9"/>
  <c r="H315" i="9"/>
  <c r="G547" i="9"/>
  <c r="E547" i="9"/>
  <c r="J92" i="21"/>
  <c r="F345" i="21"/>
  <c r="G230" i="21"/>
  <c r="E207" i="21"/>
  <c r="E23" i="16"/>
  <c r="U547" i="9"/>
  <c r="AZ523" i="9"/>
  <c r="BD451" i="9"/>
  <c r="BO451" i="9" s="1"/>
  <c r="BA427" i="9"/>
  <c r="BL427" i="9" s="1"/>
  <c r="F171" i="9"/>
  <c r="F170" i="9"/>
  <c r="H123" i="9"/>
  <c r="AW115" i="9"/>
  <c r="G322" i="21"/>
  <c r="E299" i="21"/>
  <c r="H276" i="21"/>
  <c r="J253" i="21"/>
  <c r="H161" i="21"/>
  <c r="H115" i="21"/>
  <c r="J64" i="33"/>
  <c r="F64" i="33"/>
  <c r="E92" i="21"/>
  <c r="AM547" i="9"/>
  <c r="AE547" i="9"/>
  <c r="AA547" i="9"/>
  <c r="W547" i="9"/>
  <c r="S547" i="9"/>
  <c r="BD499" i="9"/>
  <c r="BC499" i="9"/>
  <c r="BB499" i="9"/>
  <c r="BA475" i="9"/>
  <c r="AZ475" i="9"/>
  <c r="AX451" i="9"/>
  <c r="BI451" i="9" s="1"/>
  <c r="BD403" i="9"/>
  <c r="BB403" i="9"/>
  <c r="AZ403" i="9"/>
  <c r="BK403" i="9" s="1"/>
  <c r="BA379" i="9"/>
  <c r="AZ379" i="9"/>
  <c r="AY379" i="9"/>
  <c r="AX355" i="9"/>
  <c r="BC331" i="9"/>
  <c r="BD307" i="9"/>
  <c r="BB307" i="9"/>
  <c r="AZ283" i="9"/>
  <c r="AY283" i="9"/>
  <c r="BJ283" i="9" s="1"/>
  <c r="AW259" i="9"/>
  <c r="BD211" i="9"/>
  <c r="BO211" i="9" s="1"/>
  <c r="BC211" i="9"/>
  <c r="BN211" i="9" s="1"/>
  <c r="BB211" i="9"/>
  <c r="BM211" i="9" s="1"/>
  <c r="BA187" i="9"/>
  <c r="BD115" i="9"/>
  <c r="BC115" i="9"/>
  <c r="BB115" i="9"/>
  <c r="AW18" i="9"/>
  <c r="J362" i="9"/>
  <c r="H46" i="21"/>
  <c r="AW523" i="9"/>
  <c r="H368" i="21"/>
  <c r="J345" i="21"/>
  <c r="H69" i="21"/>
  <c r="BA523" i="9"/>
  <c r="Q547" i="9"/>
  <c r="AY523" i="9"/>
  <c r="AW499" i="9"/>
  <c r="H506" i="9"/>
  <c r="AW403" i="9"/>
  <c r="H411" i="9"/>
  <c r="F267" i="9"/>
  <c r="F266" i="9"/>
  <c r="G276" i="21"/>
  <c r="E253" i="21"/>
  <c r="H230" i="21"/>
  <c r="E184" i="21"/>
  <c r="G161" i="21"/>
  <c r="I138" i="21"/>
  <c r="G115" i="21"/>
  <c r="G46" i="33"/>
  <c r="J46" i="21"/>
  <c r="F46" i="21"/>
  <c r="H23" i="21"/>
  <c r="I69" i="16"/>
  <c r="H46" i="16"/>
  <c r="AP547" i="9"/>
  <c r="BD523" i="9"/>
  <c r="AH547" i="9"/>
  <c r="AD547" i="9"/>
  <c r="V547" i="9"/>
  <c r="R547" i="9"/>
  <c r="J547" i="9"/>
  <c r="F547" i="9"/>
  <c r="BA499" i="9"/>
  <c r="AZ499" i="9"/>
  <c r="AY499" i="9"/>
  <c r="AX475" i="9"/>
  <c r="BD427" i="9"/>
  <c r="BO427" i="9"/>
  <c r="BC427" i="9"/>
  <c r="BN427" i="9" s="1"/>
  <c r="BB427" i="9"/>
  <c r="BM427" i="9"/>
  <c r="BA403" i="9"/>
  <c r="AY403" i="9"/>
  <c r="AX379" i="9"/>
  <c r="AW379" i="9"/>
  <c r="BD331" i="9"/>
  <c r="BB331" i="9"/>
  <c r="BA307" i="9"/>
  <c r="AZ307" i="9"/>
  <c r="BK307" i="9" s="1"/>
  <c r="AY307" i="9"/>
  <c r="BJ307" i="9" s="1"/>
  <c r="AX283" i="9"/>
  <c r="BD235" i="9"/>
  <c r="BO235" i="9" s="1"/>
  <c r="BC235" i="9"/>
  <c r="BN235" i="9" s="1"/>
  <c r="BB235" i="9"/>
  <c r="BA211" i="9"/>
  <c r="AX187" i="9"/>
  <c r="AW187" i="9"/>
  <c r="BA115" i="9"/>
  <c r="AZ115" i="9"/>
  <c r="BK115" i="9" s="1"/>
  <c r="E123" i="9"/>
  <c r="E122" i="9"/>
  <c r="F46" i="33"/>
  <c r="F138" i="21"/>
  <c r="F161" i="21"/>
  <c r="F184" i="21"/>
  <c r="F207" i="21"/>
  <c r="F230" i="21"/>
  <c r="F253" i="21"/>
  <c r="F276" i="21"/>
  <c r="F322" i="21"/>
  <c r="F368" i="21"/>
  <c r="AW475" i="9"/>
  <c r="BB523" i="9"/>
  <c r="J69" i="21"/>
  <c r="F69" i="21"/>
  <c r="G46" i="16"/>
  <c r="AW211" i="9"/>
  <c r="H386" i="9"/>
  <c r="H266" i="9"/>
  <c r="H339" i="9"/>
  <c r="J23" i="16"/>
  <c r="J46" i="16"/>
  <c r="J69" i="16"/>
  <c r="H69" i="16"/>
  <c r="I46" i="21"/>
  <c r="I69" i="21"/>
  <c r="I92" i="21"/>
  <c r="I23" i="33"/>
  <c r="I115" i="21"/>
  <c r="I161" i="21"/>
  <c r="I230" i="21"/>
  <c r="I253" i="21"/>
  <c r="I276" i="21"/>
  <c r="I299" i="21"/>
  <c r="I322" i="21"/>
  <c r="I368" i="21"/>
  <c r="J87" i="9"/>
  <c r="BC523" i="9"/>
  <c r="E87" i="9"/>
  <c r="AX403" i="9"/>
  <c r="AW235" i="9"/>
  <c r="AZ187" i="9"/>
  <c r="BK187" i="9" s="1"/>
  <c r="AY187" i="9"/>
  <c r="BJ187" i="9" s="1"/>
  <c r="I46" i="16"/>
  <c r="F23" i="21"/>
  <c r="F92" i="21"/>
  <c r="F23" i="33"/>
  <c r="J23" i="33"/>
  <c r="J46" i="33"/>
  <c r="J115" i="21"/>
  <c r="J138" i="21"/>
  <c r="J161" i="21"/>
  <c r="J184" i="21"/>
  <c r="J207" i="21"/>
  <c r="J230" i="21"/>
  <c r="J276" i="21"/>
  <c r="J322" i="21"/>
  <c r="J368" i="21"/>
  <c r="AW451" i="9"/>
  <c r="BH451" i="9" s="1"/>
  <c r="AW163" i="9"/>
  <c r="AW283" i="9"/>
  <c r="I87" i="9"/>
  <c r="J87" i="16"/>
  <c r="F87" i="16"/>
  <c r="AZ211" i="9"/>
  <c r="BK211" i="9" s="1"/>
  <c r="F23" i="16"/>
  <c r="F46" i="16"/>
  <c r="F69" i="16"/>
  <c r="E46" i="21"/>
  <c r="E23" i="33"/>
  <c r="E115" i="21"/>
  <c r="E138" i="21"/>
  <c r="E161" i="21"/>
  <c r="E230" i="21"/>
  <c r="E276" i="21"/>
  <c r="E322" i="21"/>
  <c r="E368" i="21"/>
  <c r="AQ547" i="9"/>
  <c r="BE547" i="9" s="1"/>
  <c r="G69" i="16"/>
  <c r="E267" i="9"/>
  <c r="F507" i="9"/>
  <c r="P547" i="9"/>
  <c r="O547" i="9"/>
  <c r="AX259" i="9"/>
  <c r="BI259" i="9" s="1"/>
  <c r="AX211" i="9"/>
  <c r="BI211" i="9" s="1"/>
  <c r="AX235" i="9"/>
  <c r="BI235" i="9" s="1"/>
  <c r="N547" i="9"/>
  <c r="AX307" i="9"/>
  <c r="AX115" i="9"/>
  <c r="BI115" i="9" s="1"/>
  <c r="AX163" i="9"/>
  <c r="M547" i="9"/>
  <c r="L547" i="9"/>
  <c r="K547" i="9"/>
  <c r="F61" i="10"/>
  <c r="H59" i="10"/>
  <c r="H57" i="10"/>
  <c r="J61" i="10"/>
  <c r="E65" i="10"/>
  <c r="I69" i="10"/>
  <c r="J56" i="10"/>
  <c r="E68" i="10"/>
  <c r="F62" i="10"/>
  <c r="F58" i="10"/>
  <c r="I58" i="10"/>
  <c r="F70" i="10"/>
  <c r="G70" i="10"/>
  <c r="G69" i="10"/>
  <c r="E54" i="10"/>
  <c r="E56" i="10"/>
  <c r="I146" i="9"/>
  <c r="F290" i="9"/>
  <c r="F363" i="9"/>
  <c r="I195" i="9"/>
  <c r="F458" i="9"/>
  <c r="J51" i="33"/>
  <c r="F146" i="9"/>
  <c r="E51" i="33"/>
  <c r="F51" i="33"/>
  <c r="F373" i="21"/>
  <c r="J170" i="9"/>
  <c r="E242" i="9"/>
  <c r="J266" i="9"/>
  <c r="J290" i="9"/>
  <c r="E373" i="21"/>
  <c r="J373" i="21"/>
  <c r="I290" i="9"/>
  <c r="F74" i="16"/>
  <c r="F122" i="9"/>
  <c r="F115" i="21"/>
  <c r="I386" i="9"/>
  <c r="I51" i="33"/>
  <c r="G291" i="9"/>
  <c r="J74" i="16"/>
  <c r="I23" i="21"/>
  <c r="J146" i="9"/>
  <c r="F194" i="9"/>
  <c r="F314" i="9"/>
  <c r="I74" i="16"/>
  <c r="E482" i="9"/>
  <c r="H146" i="9"/>
  <c r="H147" i="9"/>
  <c r="G123" i="9"/>
  <c r="G122" i="9"/>
  <c r="I267" i="9"/>
  <c r="E170" i="9"/>
  <c r="J314" i="9"/>
  <c r="J315" i="9"/>
  <c r="E339" i="9"/>
  <c r="J123" i="9"/>
  <c r="J122" i="9"/>
  <c r="E290" i="9"/>
  <c r="F242" i="9"/>
  <c r="G195" i="9"/>
  <c r="G194" i="9"/>
  <c r="G147" i="9"/>
  <c r="G146" i="9"/>
  <c r="H290" i="9"/>
  <c r="H291" i="9"/>
  <c r="I122" i="9"/>
  <c r="G315" i="9"/>
  <c r="G314" i="9"/>
  <c r="I339" i="9"/>
  <c r="I338" i="9"/>
  <c r="I483" i="9"/>
  <c r="I482" i="9"/>
  <c r="G267" i="9"/>
  <c r="G266" i="9"/>
  <c r="G171" i="9"/>
  <c r="G170" i="9"/>
  <c r="G218" i="9"/>
  <c r="G363" i="9"/>
  <c r="G362" i="9"/>
  <c r="H171" i="9"/>
  <c r="F218" i="9"/>
  <c r="I458" i="9"/>
  <c r="I459" i="9"/>
  <c r="G506" i="9"/>
  <c r="G507" i="9"/>
  <c r="E314" i="9"/>
  <c r="E315" i="9"/>
  <c r="F339" i="9"/>
  <c r="F338" i="9"/>
  <c r="G386" i="9"/>
  <c r="G387" i="9"/>
  <c r="E411" i="9"/>
  <c r="E410" i="9"/>
  <c r="F483" i="9"/>
  <c r="F482" i="9"/>
  <c r="I435" i="9"/>
  <c r="I434" i="9"/>
  <c r="J435" i="9"/>
  <c r="J434" i="9"/>
  <c r="E531" i="9"/>
  <c r="I314" i="9"/>
  <c r="I315" i="9"/>
  <c r="J387" i="9"/>
  <c r="J386" i="9"/>
  <c r="J410" i="9"/>
  <c r="J411" i="9"/>
  <c r="E435" i="9"/>
  <c r="E434" i="9"/>
  <c r="E506" i="9"/>
  <c r="E507" i="9"/>
  <c r="E362" i="9"/>
  <c r="E363" i="9"/>
  <c r="J339" i="9"/>
  <c r="J338" i="9"/>
  <c r="I411" i="9"/>
  <c r="I410" i="9"/>
  <c r="H459" i="9"/>
  <c r="H458" i="9"/>
  <c r="G434" i="9"/>
  <c r="G435" i="9"/>
  <c r="F435" i="9"/>
  <c r="F434" i="9"/>
  <c r="F531" i="9"/>
  <c r="H362" i="9"/>
  <c r="H363" i="9"/>
  <c r="I363" i="9"/>
  <c r="I362" i="9"/>
  <c r="G338" i="9"/>
  <c r="G339" i="9"/>
  <c r="F387" i="9"/>
  <c r="F386" i="9"/>
  <c r="F410" i="9"/>
  <c r="F411" i="9"/>
  <c r="G459" i="9"/>
  <c r="G458" i="9"/>
  <c r="G482" i="9"/>
  <c r="G483" i="9"/>
  <c r="E458" i="9"/>
  <c r="E459" i="9"/>
  <c r="G531" i="9"/>
  <c r="I506" i="9"/>
  <c r="I507" i="9"/>
  <c r="AR80" i="34"/>
  <c r="AR79" i="34"/>
  <c r="AR78" i="34"/>
  <c r="D69" i="34"/>
  <c r="B45" i="34"/>
  <c r="B44" i="34"/>
  <c r="B42" i="34"/>
  <c r="B41" i="34"/>
  <c r="B40" i="34"/>
  <c r="B39" i="34"/>
  <c r="B38" i="34"/>
  <c r="B37" i="34"/>
  <c r="B36" i="34"/>
  <c r="B35" i="34"/>
  <c r="B34" i="34"/>
  <c r="B33" i="34"/>
  <c r="B32" i="34"/>
  <c r="B31" i="34"/>
  <c r="B30" i="34"/>
  <c r="B29" i="34"/>
  <c r="B28" i="34"/>
  <c r="B27" i="34"/>
  <c r="AR23" i="34"/>
  <c r="AR69" i="34"/>
  <c r="K375" i="21"/>
  <c r="L375" i="21"/>
  <c r="M375" i="21"/>
  <c r="N375" i="21"/>
  <c r="O375" i="21"/>
  <c r="P375" i="21"/>
  <c r="Q375" i="21"/>
  <c r="Q30" i="11" s="1"/>
  <c r="R375" i="21"/>
  <c r="S375" i="21"/>
  <c r="T375" i="21"/>
  <c r="U375" i="21"/>
  <c r="V375" i="21"/>
  <c r="W375" i="21"/>
  <c r="X375" i="21"/>
  <c r="Y375" i="21"/>
  <c r="Z375" i="21"/>
  <c r="AA375" i="21"/>
  <c r="AB375" i="21"/>
  <c r="AC375" i="21"/>
  <c r="AD375" i="21"/>
  <c r="AD30" i="11" s="1"/>
  <c r="AD53" i="11" s="1"/>
  <c r="AE375" i="21"/>
  <c r="AF375" i="21"/>
  <c r="AG375" i="21"/>
  <c r="AH375" i="21"/>
  <c r="AH30" i="11" s="1"/>
  <c r="AH53" i="11" s="1"/>
  <c r="AI375" i="21"/>
  <c r="AJ375" i="21"/>
  <c r="AK375" i="21"/>
  <c r="AL375" i="21"/>
  <c r="AL30" i="11" s="1"/>
  <c r="AL53" i="11" s="1"/>
  <c r="AM375" i="21"/>
  <c r="AN375" i="21"/>
  <c r="AO375" i="21"/>
  <c r="AP375" i="21"/>
  <c r="AP30" i="11" s="1"/>
  <c r="AP53" i="11" s="1"/>
  <c r="AQ375" i="21"/>
  <c r="K377" i="21"/>
  <c r="L377" i="21"/>
  <c r="M377" i="21"/>
  <c r="M32" i="11" s="1"/>
  <c r="M55" i="11" s="1"/>
  <c r="N377" i="21"/>
  <c r="O377" i="21"/>
  <c r="O32" i="11" s="1"/>
  <c r="O55" i="11" s="1"/>
  <c r="P377" i="21"/>
  <c r="Q377" i="21"/>
  <c r="R377" i="21"/>
  <c r="S377" i="21"/>
  <c r="T377" i="21"/>
  <c r="U377" i="21"/>
  <c r="V377" i="21"/>
  <c r="W377" i="21"/>
  <c r="X377" i="21"/>
  <c r="Y377" i="21"/>
  <c r="Z377" i="21"/>
  <c r="AA377" i="21"/>
  <c r="AB377" i="21"/>
  <c r="AC377" i="21"/>
  <c r="AD377" i="21"/>
  <c r="AE377" i="21"/>
  <c r="AF377" i="21"/>
  <c r="AG377" i="21"/>
  <c r="AH377" i="21"/>
  <c r="AI377" i="21"/>
  <c r="AJ377" i="21"/>
  <c r="AK377" i="21"/>
  <c r="AK32" i="11" s="1"/>
  <c r="AK55" i="11" s="1"/>
  <c r="AL377" i="21"/>
  <c r="AL32" i="11" s="1"/>
  <c r="AL55" i="11" s="1"/>
  <c r="AM377" i="21"/>
  <c r="AN377" i="21"/>
  <c r="AO377" i="21"/>
  <c r="AO32" i="11" s="1"/>
  <c r="AO55" i="11" s="1"/>
  <c r="AP377" i="21"/>
  <c r="AQ377" i="21"/>
  <c r="K378" i="21"/>
  <c r="L378" i="21"/>
  <c r="M378" i="21"/>
  <c r="N378" i="21"/>
  <c r="O378" i="21"/>
  <c r="P378" i="21"/>
  <c r="Q378" i="21"/>
  <c r="R378" i="21"/>
  <c r="S378" i="21"/>
  <c r="T378" i="21"/>
  <c r="U378" i="21"/>
  <c r="V378" i="21"/>
  <c r="W378" i="21"/>
  <c r="X378" i="21"/>
  <c r="Y378" i="21"/>
  <c r="Z378" i="21"/>
  <c r="AA378" i="21"/>
  <c r="AB378" i="21"/>
  <c r="AC378" i="21"/>
  <c r="AD378" i="21"/>
  <c r="AE378" i="21"/>
  <c r="AF378" i="21"/>
  <c r="AG378" i="21"/>
  <c r="AH378" i="21"/>
  <c r="AI378" i="21"/>
  <c r="AJ378" i="21"/>
  <c r="AJ33" i="11" s="1"/>
  <c r="AJ56" i="11" s="1"/>
  <c r="AK378" i="21"/>
  <c r="AL378" i="21"/>
  <c r="AM378" i="21"/>
  <c r="AN378" i="21"/>
  <c r="AO378" i="21"/>
  <c r="AP378" i="21"/>
  <c r="AQ378" i="21"/>
  <c r="K379" i="21"/>
  <c r="K11" i="11" s="1"/>
  <c r="L379" i="21"/>
  <c r="M379" i="21"/>
  <c r="N379" i="21"/>
  <c r="O379" i="21"/>
  <c r="O34" i="11" s="1"/>
  <c r="P379" i="21"/>
  <c r="Q379" i="21"/>
  <c r="R379" i="21"/>
  <c r="S379" i="21"/>
  <c r="T379" i="21"/>
  <c r="U379" i="21"/>
  <c r="V379" i="21"/>
  <c r="W379" i="21"/>
  <c r="W34" i="11" s="1"/>
  <c r="X379" i="21"/>
  <c r="Y379" i="21"/>
  <c r="Z379" i="21"/>
  <c r="AA379" i="21"/>
  <c r="AA34" i="11" s="1"/>
  <c r="AB379" i="21"/>
  <c r="AC379" i="21"/>
  <c r="AD379" i="21"/>
  <c r="AE379" i="21"/>
  <c r="AF379" i="21"/>
  <c r="AG379" i="21"/>
  <c r="AH379" i="21"/>
  <c r="AI379" i="21"/>
  <c r="AJ379" i="21"/>
  <c r="AK379" i="21"/>
  <c r="AL379" i="21"/>
  <c r="AM379" i="21"/>
  <c r="AN379" i="21"/>
  <c r="AO379" i="21"/>
  <c r="AP379" i="21"/>
  <c r="AQ379" i="21"/>
  <c r="AQ34" i="11" s="1"/>
  <c r="AQ57" i="11" s="1"/>
  <c r="K380" i="21"/>
  <c r="L380" i="21"/>
  <c r="M380" i="21"/>
  <c r="N380" i="21"/>
  <c r="O380" i="21"/>
  <c r="P380" i="21"/>
  <c r="Q380" i="21"/>
  <c r="R380" i="21"/>
  <c r="S380" i="21"/>
  <c r="T380" i="21"/>
  <c r="U380" i="21"/>
  <c r="V380" i="21"/>
  <c r="W380" i="21"/>
  <c r="X380" i="21"/>
  <c r="Y380" i="21"/>
  <c r="Z380" i="21"/>
  <c r="AA380" i="21"/>
  <c r="AB380" i="21"/>
  <c r="AC380" i="21"/>
  <c r="AD380" i="21"/>
  <c r="AE380" i="21"/>
  <c r="AF380" i="21"/>
  <c r="AG380" i="21"/>
  <c r="AH380" i="21"/>
  <c r="AI380" i="21"/>
  <c r="AJ380" i="21"/>
  <c r="AK380" i="21"/>
  <c r="AL380" i="21"/>
  <c r="AM380" i="21"/>
  <c r="AN380" i="21"/>
  <c r="AO380" i="21"/>
  <c r="AP380" i="21"/>
  <c r="AQ380" i="21"/>
  <c r="K381" i="21"/>
  <c r="L381" i="21"/>
  <c r="M381" i="21"/>
  <c r="N381" i="21"/>
  <c r="O381" i="21"/>
  <c r="P381" i="21"/>
  <c r="Q381" i="21"/>
  <c r="R381" i="21"/>
  <c r="S381" i="21"/>
  <c r="T381" i="21"/>
  <c r="U381" i="21"/>
  <c r="V381" i="21"/>
  <c r="W381" i="21"/>
  <c r="X381" i="21"/>
  <c r="Y381" i="21"/>
  <c r="Z381" i="21"/>
  <c r="AA381" i="21"/>
  <c r="AB381" i="21"/>
  <c r="AC381" i="21"/>
  <c r="AC36" i="11" s="1"/>
  <c r="AC59" i="11" s="1"/>
  <c r="AD381" i="21"/>
  <c r="AE381" i="21"/>
  <c r="AF381" i="21"/>
  <c r="AG381" i="21"/>
  <c r="AG36" i="11" s="1"/>
  <c r="AG59" i="11" s="1"/>
  <c r="AH381" i="21"/>
  <c r="AI381" i="21"/>
  <c r="AJ381" i="21"/>
  <c r="AK381" i="21"/>
  <c r="AL381" i="21"/>
  <c r="AM381" i="21"/>
  <c r="AN381" i="21"/>
  <c r="AO381" i="21"/>
  <c r="AO36" i="11" s="1"/>
  <c r="AO59" i="11" s="1"/>
  <c r="AP381" i="21"/>
  <c r="AQ381" i="21"/>
  <c r="K382" i="21"/>
  <c r="L382" i="21"/>
  <c r="M382" i="21"/>
  <c r="N382" i="21"/>
  <c r="O382" i="21"/>
  <c r="P382" i="21"/>
  <c r="Q382" i="21"/>
  <c r="R382" i="21"/>
  <c r="S382" i="21"/>
  <c r="T382" i="21"/>
  <c r="U382" i="21"/>
  <c r="V382" i="21"/>
  <c r="W382" i="21"/>
  <c r="X382" i="21"/>
  <c r="Y382" i="21"/>
  <c r="Z382" i="21"/>
  <c r="AA382" i="21"/>
  <c r="AB382" i="21"/>
  <c r="AC382" i="21"/>
  <c r="AD382" i="21"/>
  <c r="AE382" i="21"/>
  <c r="AF382" i="21"/>
  <c r="AG382" i="21"/>
  <c r="AG37" i="11" s="1"/>
  <c r="AH382" i="21"/>
  <c r="AI382" i="21"/>
  <c r="AJ382" i="21"/>
  <c r="AK382" i="21"/>
  <c r="AL382" i="21"/>
  <c r="AM382" i="21"/>
  <c r="AN382" i="21"/>
  <c r="AO382" i="21"/>
  <c r="AP382" i="21"/>
  <c r="AQ382" i="21"/>
  <c r="K383" i="21"/>
  <c r="K15" i="11" s="1"/>
  <c r="L383" i="21"/>
  <c r="M383" i="21"/>
  <c r="N383" i="21"/>
  <c r="O383" i="21"/>
  <c r="P383" i="21"/>
  <c r="Q383" i="21"/>
  <c r="R383" i="21"/>
  <c r="S383" i="21"/>
  <c r="T383" i="21"/>
  <c r="U383" i="21"/>
  <c r="V383" i="21"/>
  <c r="W383" i="21"/>
  <c r="X383" i="21"/>
  <c r="Y383" i="21"/>
  <c r="Z383" i="21"/>
  <c r="AA383" i="21"/>
  <c r="AB383" i="21"/>
  <c r="AC383" i="21"/>
  <c r="AD383" i="21"/>
  <c r="AE383" i="21"/>
  <c r="AF383" i="21"/>
  <c r="AG383" i="21"/>
  <c r="AH383" i="21"/>
  <c r="AI383" i="21"/>
  <c r="AJ383" i="21"/>
  <c r="AK383" i="21"/>
  <c r="AL383" i="21"/>
  <c r="AM383" i="21"/>
  <c r="AN383" i="21"/>
  <c r="AO383" i="21"/>
  <c r="AP383" i="21"/>
  <c r="AQ383" i="21"/>
  <c r="AQ38" i="11" s="1"/>
  <c r="AQ61" i="11" s="1"/>
  <c r="K384" i="21"/>
  <c r="L384" i="21"/>
  <c r="M384" i="21"/>
  <c r="N384" i="21"/>
  <c r="O384" i="21"/>
  <c r="P384" i="21"/>
  <c r="Q384" i="21"/>
  <c r="R384" i="21"/>
  <c r="S384" i="21"/>
  <c r="T384" i="21"/>
  <c r="U384" i="21"/>
  <c r="V384" i="21"/>
  <c r="W384" i="21"/>
  <c r="X384" i="21"/>
  <c r="Y384" i="21"/>
  <c r="Z384" i="21"/>
  <c r="AA384" i="21"/>
  <c r="AB384" i="21"/>
  <c r="AC384" i="21"/>
  <c r="AD384" i="21"/>
  <c r="AE384" i="21"/>
  <c r="AF384" i="21"/>
  <c r="AG384" i="21"/>
  <c r="AH384" i="21"/>
  <c r="AH39" i="11" s="1"/>
  <c r="AH62" i="11" s="1"/>
  <c r="AI384" i="21"/>
  <c r="AJ384" i="21"/>
  <c r="AK384" i="21"/>
  <c r="AL384" i="21"/>
  <c r="AL39" i="11" s="1"/>
  <c r="AL62" i="11" s="1"/>
  <c r="AM384" i="21"/>
  <c r="AN384" i="21"/>
  <c r="AO384" i="21"/>
  <c r="AP384" i="21"/>
  <c r="AP39" i="11" s="1"/>
  <c r="AP62" i="11" s="1"/>
  <c r="AQ384" i="21"/>
  <c r="K385" i="21"/>
  <c r="L385" i="21"/>
  <c r="M385" i="21"/>
  <c r="M40" i="11" s="1"/>
  <c r="N385" i="21"/>
  <c r="N40" i="11" s="1"/>
  <c r="O385" i="21"/>
  <c r="P385" i="21"/>
  <c r="P40" i="11" s="1"/>
  <c r="Q385" i="21"/>
  <c r="R385" i="21"/>
  <c r="S385" i="21"/>
  <c r="T385" i="21"/>
  <c r="U385" i="21"/>
  <c r="V385" i="21"/>
  <c r="W385" i="21"/>
  <c r="X385" i="21"/>
  <c r="Y385" i="21"/>
  <c r="Z385" i="21"/>
  <c r="AA385" i="21"/>
  <c r="AB385" i="21"/>
  <c r="AC385" i="21"/>
  <c r="AD385" i="21"/>
  <c r="AE385" i="21"/>
  <c r="AF385" i="21"/>
  <c r="AG385" i="21"/>
  <c r="AH385" i="21"/>
  <c r="AI385" i="21"/>
  <c r="AJ385" i="21"/>
  <c r="AK385" i="21"/>
  <c r="AL385" i="21"/>
  <c r="AM385" i="21"/>
  <c r="AN385" i="21"/>
  <c r="AN40" i="11" s="1"/>
  <c r="AO385" i="21"/>
  <c r="AP385" i="21"/>
  <c r="AQ385" i="21"/>
  <c r="K387" i="21"/>
  <c r="L387" i="21"/>
  <c r="M387" i="21"/>
  <c r="M42" i="11" s="1"/>
  <c r="M65" i="11" s="1"/>
  <c r="N387" i="21"/>
  <c r="O387" i="21"/>
  <c r="P387" i="21"/>
  <c r="Q387" i="21"/>
  <c r="R387" i="21"/>
  <c r="S387" i="21"/>
  <c r="T387" i="21"/>
  <c r="U387" i="21"/>
  <c r="V387" i="21"/>
  <c r="W387" i="21"/>
  <c r="X387" i="21"/>
  <c r="Y387" i="21"/>
  <c r="Z387" i="21"/>
  <c r="AA387" i="21"/>
  <c r="AB387" i="21"/>
  <c r="AC387" i="21"/>
  <c r="AD387" i="21"/>
  <c r="AE387" i="21"/>
  <c r="AF387" i="21"/>
  <c r="AG387" i="21"/>
  <c r="AH387" i="21"/>
  <c r="AI387" i="21"/>
  <c r="AJ387" i="21"/>
  <c r="AJ42" i="11" s="1"/>
  <c r="AJ65" i="11" s="1"/>
  <c r="AK387" i="21"/>
  <c r="AK42" i="11" s="1"/>
  <c r="AK65" i="11" s="1"/>
  <c r="AL387" i="21"/>
  <c r="AM387" i="21"/>
  <c r="AN387" i="21"/>
  <c r="AO387" i="21"/>
  <c r="AP387" i="21"/>
  <c r="AQ387" i="21"/>
  <c r="K388" i="21"/>
  <c r="L388" i="21"/>
  <c r="M388" i="21"/>
  <c r="N388" i="21"/>
  <c r="O388" i="21"/>
  <c r="P388" i="21"/>
  <c r="Q388" i="21"/>
  <c r="R388" i="21"/>
  <c r="S388" i="21"/>
  <c r="T388" i="21"/>
  <c r="U388" i="21"/>
  <c r="V388" i="21"/>
  <c r="W388" i="21"/>
  <c r="X388" i="21"/>
  <c r="Y388" i="21"/>
  <c r="Z388" i="21"/>
  <c r="AA388" i="21"/>
  <c r="AB388" i="21"/>
  <c r="AC388" i="21"/>
  <c r="AD388" i="21"/>
  <c r="AE388" i="21"/>
  <c r="AF388" i="21"/>
  <c r="AG388" i="21"/>
  <c r="AH388" i="21"/>
  <c r="AI388" i="21"/>
  <c r="AJ388" i="21"/>
  <c r="AK388" i="21"/>
  <c r="AL388" i="21"/>
  <c r="AM388" i="21"/>
  <c r="AN388" i="21"/>
  <c r="AO388" i="21"/>
  <c r="AP388" i="21"/>
  <c r="AQ388" i="21"/>
  <c r="K390" i="21"/>
  <c r="K22" i="11" s="1"/>
  <c r="K45" i="11" s="1"/>
  <c r="L390" i="21"/>
  <c r="M390" i="21"/>
  <c r="N390" i="21"/>
  <c r="O390" i="21"/>
  <c r="P390" i="21"/>
  <c r="Q390" i="21"/>
  <c r="R390" i="21"/>
  <c r="S390" i="21"/>
  <c r="T390" i="21"/>
  <c r="U390" i="21"/>
  <c r="V390" i="21"/>
  <c r="W390" i="21"/>
  <c r="X390" i="21"/>
  <c r="Y390" i="21"/>
  <c r="Z390" i="21"/>
  <c r="AA390" i="21"/>
  <c r="AB390" i="21"/>
  <c r="AC390" i="21"/>
  <c r="AD390" i="21"/>
  <c r="AE390" i="21"/>
  <c r="AF390" i="21"/>
  <c r="AG390" i="21"/>
  <c r="AG45" i="11" s="1"/>
  <c r="AG68" i="11" s="1"/>
  <c r="AH390" i="21"/>
  <c r="AI390" i="21"/>
  <c r="AI45" i="11" s="1"/>
  <c r="AI68" i="11" s="1"/>
  <c r="AJ390" i="21"/>
  <c r="AK390" i="21"/>
  <c r="AL390" i="21"/>
  <c r="AL45" i="11" s="1"/>
  <c r="AM390" i="21"/>
  <c r="AN390" i="21"/>
  <c r="AO390" i="21"/>
  <c r="AP390" i="21"/>
  <c r="AQ390" i="21"/>
  <c r="D375" i="21"/>
  <c r="D422" i="21" s="1"/>
  <c r="D7" i="11" s="1"/>
  <c r="D377" i="21"/>
  <c r="D378" i="21"/>
  <c r="D425" i="21" s="1"/>
  <c r="D10" i="11" s="1"/>
  <c r="D33" i="11" s="1"/>
  <c r="D379" i="21"/>
  <c r="D380" i="21"/>
  <c r="D381" i="21"/>
  <c r="D428" i="21" s="1"/>
  <c r="D13" i="11" s="1"/>
  <c r="D382" i="21"/>
  <c r="D429" i="21" s="1"/>
  <c r="D14" i="11" s="1"/>
  <c r="D383" i="21"/>
  <c r="D430" i="21" s="1"/>
  <c r="D15" i="11" s="1"/>
  <c r="D384" i="21"/>
  <c r="D385" i="21"/>
  <c r="D387" i="21"/>
  <c r="D434" i="21" s="1"/>
  <c r="D19" i="11" s="1"/>
  <c r="D42" i="11" s="1"/>
  <c r="D65" i="11" s="1"/>
  <c r="D388" i="21"/>
  <c r="D390" i="21"/>
  <c r="D437" i="21" s="1"/>
  <c r="K53" i="33"/>
  <c r="K100" i="33" s="1"/>
  <c r="K7" i="34" s="1"/>
  <c r="L53" i="33"/>
  <c r="L100" i="33" s="1"/>
  <c r="L7" i="34" s="1"/>
  <c r="M53" i="33"/>
  <c r="M100" i="33" s="1"/>
  <c r="M7" i="34" s="1"/>
  <c r="N53" i="33"/>
  <c r="N100" i="33" s="1"/>
  <c r="N7" i="34" s="1"/>
  <c r="O53" i="33"/>
  <c r="O100" i="33" s="1"/>
  <c r="O7" i="34" s="1"/>
  <c r="P53" i="33"/>
  <c r="P100" i="33" s="1"/>
  <c r="Q53" i="33"/>
  <c r="Q100" i="33" s="1"/>
  <c r="Q7" i="34" s="1"/>
  <c r="R53" i="33"/>
  <c r="R100" i="33" s="1"/>
  <c r="R7" i="34" s="1"/>
  <c r="S53" i="33"/>
  <c r="S100" i="33" s="1"/>
  <c r="S7" i="34" s="1"/>
  <c r="T53" i="33"/>
  <c r="U53" i="33"/>
  <c r="U100" i="33" s="1"/>
  <c r="U7" i="34" s="1"/>
  <c r="V53" i="33"/>
  <c r="W53" i="33"/>
  <c r="W100" i="33" s="1"/>
  <c r="X53" i="33"/>
  <c r="Y53" i="33"/>
  <c r="Y100" i="33" s="1"/>
  <c r="Y7" i="34" s="1"/>
  <c r="Z53" i="33"/>
  <c r="Z100" i="33" s="1"/>
  <c r="Z7" i="34" s="1"/>
  <c r="Z30" i="34" s="1"/>
  <c r="AA53" i="33"/>
  <c r="AA100" i="33" s="1"/>
  <c r="AA7" i="34" s="1"/>
  <c r="AB100" i="33"/>
  <c r="AB7" i="34" s="1"/>
  <c r="AC53" i="33"/>
  <c r="AC100" i="33" s="1"/>
  <c r="AC7" i="34" s="1"/>
  <c r="AD53" i="33"/>
  <c r="AD100" i="33" s="1"/>
  <c r="AD7" i="34" s="1"/>
  <c r="AE53" i="33"/>
  <c r="AE100" i="33" s="1"/>
  <c r="AE7" i="34" s="1"/>
  <c r="AF53" i="33"/>
  <c r="AF100" i="33" s="1"/>
  <c r="AF7" i="34" s="1"/>
  <c r="AG53" i="33"/>
  <c r="AG100" i="33" s="1"/>
  <c r="AG7" i="34" s="1"/>
  <c r="AH53" i="33"/>
  <c r="AH100" i="33" s="1"/>
  <c r="AH7" i="34" s="1"/>
  <c r="AI53" i="33"/>
  <c r="AI100" i="33" s="1"/>
  <c r="AI7" i="34" s="1"/>
  <c r="AJ53" i="33"/>
  <c r="AJ100" i="33" s="1"/>
  <c r="AJ7" i="34" s="1"/>
  <c r="AK53" i="33"/>
  <c r="AL53" i="33"/>
  <c r="AL100" i="33" s="1"/>
  <c r="AL7" i="34" s="1"/>
  <c r="AM53" i="33"/>
  <c r="AM100" i="33" s="1"/>
  <c r="AM7" i="34" s="1"/>
  <c r="AN53" i="33"/>
  <c r="AN100" i="33" s="1"/>
  <c r="AN7" i="34" s="1"/>
  <c r="AO53" i="33"/>
  <c r="AP53" i="33"/>
  <c r="AQ53" i="33"/>
  <c r="AQ100" i="33" s="1"/>
  <c r="AQ7" i="34" s="1"/>
  <c r="K55" i="33"/>
  <c r="K102" i="33" s="1"/>
  <c r="K9" i="34" s="1"/>
  <c r="K32" i="34" s="1"/>
  <c r="K55" i="34" s="1"/>
  <c r="L55" i="33"/>
  <c r="L102" i="33" s="1"/>
  <c r="L9" i="34" s="1"/>
  <c r="M55" i="33"/>
  <c r="M102" i="33" s="1"/>
  <c r="M9" i="34" s="1"/>
  <c r="N55" i="33"/>
  <c r="N102" i="33" s="1"/>
  <c r="N9" i="34" s="1"/>
  <c r="O55" i="33"/>
  <c r="O102" i="33" s="1"/>
  <c r="O9" i="34" s="1"/>
  <c r="P55" i="33"/>
  <c r="P102" i="33" s="1"/>
  <c r="P9" i="34" s="1"/>
  <c r="Q55" i="33"/>
  <c r="Q102" i="33" s="1"/>
  <c r="Q9" i="34" s="1"/>
  <c r="R55" i="33"/>
  <c r="R102" i="33" s="1"/>
  <c r="R9" i="34" s="1"/>
  <c r="R32" i="34" s="1"/>
  <c r="S55" i="33"/>
  <c r="S102" i="33" s="1"/>
  <c r="S9" i="34" s="1"/>
  <c r="T55" i="33"/>
  <c r="T102" i="33" s="1"/>
  <c r="T9" i="34" s="1"/>
  <c r="U55" i="33"/>
  <c r="U102" i="33" s="1"/>
  <c r="U9" i="34" s="1"/>
  <c r="V55" i="33"/>
  <c r="W55" i="33"/>
  <c r="W102" i="33" s="1"/>
  <c r="W9" i="34" s="1"/>
  <c r="X55" i="33"/>
  <c r="X102" i="33" s="1"/>
  <c r="X9" i="34" s="1"/>
  <c r="Y55" i="33"/>
  <c r="Y102" i="33" s="1"/>
  <c r="Y9" i="34" s="1"/>
  <c r="Z55" i="33"/>
  <c r="AA55" i="33"/>
  <c r="AA102" i="33" s="1"/>
  <c r="AA9" i="34" s="1"/>
  <c r="AB102" i="33"/>
  <c r="AB9" i="34" s="1"/>
  <c r="AC55" i="33"/>
  <c r="AC102" i="33" s="1"/>
  <c r="AC9" i="34" s="1"/>
  <c r="AC32" i="34" s="1"/>
  <c r="AD55" i="33"/>
  <c r="AD102" i="33" s="1"/>
  <c r="AD9" i="34" s="1"/>
  <c r="AE55" i="33"/>
  <c r="AE102" i="33" s="1"/>
  <c r="AF55" i="33"/>
  <c r="AG55" i="33"/>
  <c r="AG102" i="33" s="1"/>
  <c r="AG9" i="34" s="1"/>
  <c r="AG32" i="34" s="1"/>
  <c r="AG55" i="34" s="1"/>
  <c r="AH55" i="33"/>
  <c r="AH102" i="33" s="1"/>
  <c r="AH9" i="34" s="1"/>
  <c r="AI55" i="33"/>
  <c r="AJ55" i="33"/>
  <c r="AJ102" i="33" s="1"/>
  <c r="AJ9" i="34" s="1"/>
  <c r="AK55" i="33"/>
  <c r="AK102" i="33" s="1"/>
  <c r="AK9" i="34" s="1"/>
  <c r="AL55" i="33"/>
  <c r="AL102" i="33" s="1"/>
  <c r="AL9" i="34" s="1"/>
  <c r="AM55" i="33"/>
  <c r="AM102" i="33" s="1"/>
  <c r="AM9" i="34" s="1"/>
  <c r="AN55" i="33"/>
  <c r="AN102" i="33" s="1"/>
  <c r="AN9" i="34" s="1"/>
  <c r="AN32" i="34" s="1"/>
  <c r="AN55" i="34" s="1"/>
  <c r="AO55" i="33"/>
  <c r="AO102" i="33" s="1"/>
  <c r="AO9" i="34" s="1"/>
  <c r="AP55" i="33"/>
  <c r="AQ55" i="33"/>
  <c r="K56" i="33"/>
  <c r="K103" i="33" s="1"/>
  <c r="K10" i="34" s="1"/>
  <c r="K33" i="34" s="1"/>
  <c r="K56" i="34" s="1"/>
  <c r="L56" i="33"/>
  <c r="L103" i="33" s="1"/>
  <c r="L10" i="34" s="1"/>
  <c r="M56" i="33"/>
  <c r="M103" i="33" s="1"/>
  <c r="M10" i="34" s="1"/>
  <c r="N56" i="33"/>
  <c r="N103" i="33" s="1"/>
  <c r="N10" i="34" s="1"/>
  <c r="O56" i="33"/>
  <c r="O103" i="33" s="1"/>
  <c r="O10" i="34" s="1"/>
  <c r="P56" i="33"/>
  <c r="P103" i="33" s="1"/>
  <c r="P10" i="34" s="1"/>
  <c r="Q56" i="33"/>
  <c r="Q103" i="33" s="1"/>
  <c r="Q10" i="34" s="1"/>
  <c r="R56" i="33"/>
  <c r="R103" i="33" s="1"/>
  <c r="R10" i="34" s="1"/>
  <c r="S56" i="33"/>
  <c r="S103" i="33" s="1"/>
  <c r="S10" i="34" s="1"/>
  <c r="T56" i="33"/>
  <c r="T103" i="33" s="1"/>
  <c r="T10" i="34" s="1"/>
  <c r="U56" i="33"/>
  <c r="U103" i="33" s="1"/>
  <c r="U10" i="34" s="1"/>
  <c r="V56" i="33"/>
  <c r="V103" i="33" s="1"/>
  <c r="V10" i="34" s="1"/>
  <c r="W56" i="33"/>
  <c r="W103" i="33" s="1"/>
  <c r="W10" i="34" s="1"/>
  <c r="X56" i="33"/>
  <c r="X103" i="33" s="1"/>
  <c r="X10" i="34" s="1"/>
  <c r="Y56" i="33"/>
  <c r="Z56" i="33"/>
  <c r="Z103" i="33" s="1"/>
  <c r="Z10" i="34" s="1"/>
  <c r="AA56" i="33"/>
  <c r="AA103" i="33" s="1"/>
  <c r="AA10" i="34" s="1"/>
  <c r="AB103" i="33"/>
  <c r="AB10" i="34" s="1"/>
  <c r="AC56" i="33"/>
  <c r="AC103" i="33" s="1"/>
  <c r="AC10" i="34" s="1"/>
  <c r="AD56" i="33"/>
  <c r="AD103" i="33" s="1"/>
  <c r="AD10" i="34" s="1"/>
  <c r="AE56" i="33"/>
  <c r="AE103" i="33" s="1"/>
  <c r="AE10" i="34" s="1"/>
  <c r="AF56" i="33"/>
  <c r="AF103" i="33" s="1"/>
  <c r="AF10" i="34" s="1"/>
  <c r="AF33" i="34" s="1"/>
  <c r="AF56" i="34" s="1"/>
  <c r="AG56" i="33"/>
  <c r="AH56" i="33"/>
  <c r="AH103" i="33" s="1"/>
  <c r="AH10" i="34" s="1"/>
  <c r="AH33" i="34" s="1"/>
  <c r="AH56" i="34" s="1"/>
  <c r="AI56" i="33"/>
  <c r="AI103" i="33" s="1"/>
  <c r="AI10" i="34" s="1"/>
  <c r="AJ56" i="33"/>
  <c r="AJ103" i="33" s="1"/>
  <c r="AJ10" i="34" s="1"/>
  <c r="AK56" i="33"/>
  <c r="AK103" i="33" s="1"/>
  <c r="AK10" i="34" s="1"/>
  <c r="AL56" i="33"/>
  <c r="AL103" i="33" s="1"/>
  <c r="AL10" i="34" s="1"/>
  <c r="AM56" i="33"/>
  <c r="AM103" i="33" s="1"/>
  <c r="AM10" i="34" s="1"/>
  <c r="AN56" i="33"/>
  <c r="AN103" i="33" s="1"/>
  <c r="AN10" i="34" s="1"/>
  <c r="AO56" i="33"/>
  <c r="AO103" i="33" s="1"/>
  <c r="AO10" i="34" s="1"/>
  <c r="AO33" i="34" s="1"/>
  <c r="AO56" i="34" s="1"/>
  <c r="AP56" i="33"/>
  <c r="AQ56" i="33"/>
  <c r="K57" i="33"/>
  <c r="K104" i="33" s="1"/>
  <c r="K11" i="34" s="1"/>
  <c r="L57" i="33"/>
  <c r="L104" i="33" s="1"/>
  <c r="L11" i="34" s="1"/>
  <c r="L34" i="34" s="1"/>
  <c r="M57" i="33"/>
  <c r="M104" i="33" s="1"/>
  <c r="N57" i="33"/>
  <c r="N104" i="33" s="1"/>
  <c r="N11" i="34" s="1"/>
  <c r="N34" i="34" s="1"/>
  <c r="O57" i="33"/>
  <c r="O104" i="33" s="1"/>
  <c r="O11" i="34" s="1"/>
  <c r="O34" i="34" s="1"/>
  <c r="P57" i="33"/>
  <c r="P104" i="33" s="1"/>
  <c r="P11" i="34" s="1"/>
  <c r="Q57" i="33"/>
  <c r="Q104" i="33" s="1"/>
  <c r="R57" i="33"/>
  <c r="S57" i="33"/>
  <c r="S104" i="33" s="1"/>
  <c r="S11" i="34" s="1"/>
  <c r="T57" i="33"/>
  <c r="U57" i="33"/>
  <c r="V57" i="33"/>
  <c r="V104" i="33" s="1"/>
  <c r="V11" i="34" s="1"/>
  <c r="W57" i="33"/>
  <c r="W104" i="33" s="1"/>
  <c r="W11" i="34" s="1"/>
  <c r="X57" i="33"/>
  <c r="X104" i="33" s="1"/>
  <c r="X11" i="34" s="1"/>
  <c r="Y57" i="33"/>
  <c r="Z57" i="33"/>
  <c r="AA57" i="33"/>
  <c r="AA104" i="33" s="1"/>
  <c r="AA11" i="34" s="1"/>
  <c r="AA34" i="34" s="1"/>
  <c r="AB104" i="33"/>
  <c r="AB11" i="34" s="1"/>
  <c r="AC57" i="33"/>
  <c r="AC104" i="33" s="1"/>
  <c r="AD57" i="33"/>
  <c r="AD104" i="33" s="1"/>
  <c r="AD11" i="34" s="1"/>
  <c r="AD34" i="34" s="1"/>
  <c r="AE57" i="33"/>
  <c r="AE104" i="33" s="1"/>
  <c r="AE11" i="34" s="1"/>
  <c r="AE34" i="34" s="1"/>
  <c r="AF57" i="33"/>
  <c r="AG57" i="33"/>
  <c r="AG104" i="33" s="1"/>
  <c r="AG11" i="34" s="1"/>
  <c r="AG34" i="34" s="1"/>
  <c r="AH57" i="33"/>
  <c r="AI57" i="33"/>
  <c r="AI104" i="33" s="1"/>
  <c r="AI11" i="34" s="1"/>
  <c r="AJ57" i="33"/>
  <c r="AK57" i="33"/>
  <c r="AK104" i="33" s="1"/>
  <c r="AL57" i="33"/>
  <c r="AL104" i="33" s="1"/>
  <c r="AL11" i="34" s="1"/>
  <c r="AM57" i="33"/>
  <c r="AM104" i="33" s="1"/>
  <c r="AM11" i="34" s="1"/>
  <c r="AN57" i="33"/>
  <c r="AN104" i="33" s="1"/>
  <c r="AN11" i="34" s="1"/>
  <c r="AO57" i="33"/>
  <c r="AO104" i="33" s="1"/>
  <c r="AO11" i="34" s="1"/>
  <c r="AP57" i="33"/>
  <c r="AQ57" i="33"/>
  <c r="AQ104" i="33" s="1"/>
  <c r="AQ11" i="34" s="1"/>
  <c r="AQ34" i="34" s="1"/>
  <c r="AQ57" i="34" s="1"/>
  <c r="K58" i="33"/>
  <c r="K105" i="33" s="1"/>
  <c r="K12" i="34" s="1"/>
  <c r="K35" i="34" s="1"/>
  <c r="L58" i="33"/>
  <c r="M58" i="33"/>
  <c r="M105" i="33" s="1"/>
  <c r="M12" i="34" s="1"/>
  <c r="N58" i="33"/>
  <c r="O58" i="33"/>
  <c r="O105" i="33" s="1"/>
  <c r="O12" i="34" s="1"/>
  <c r="P58" i="33"/>
  <c r="Q58" i="33"/>
  <c r="R58" i="33"/>
  <c r="S58" i="33"/>
  <c r="T58" i="33"/>
  <c r="U58" i="33"/>
  <c r="V58" i="33"/>
  <c r="W58" i="33"/>
  <c r="X58" i="33"/>
  <c r="Y58" i="33"/>
  <c r="Z58" i="33"/>
  <c r="AA58" i="33"/>
  <c r="AC58" i="33"/>
  <c r="AD58" i="33"/>
  <c r="AE58" i="33"/>
  <c r="AF58" i="33"/>
  <c r="AG58" i="33"/>
  <c r="AH58" i="33"/>
  <c r="AI58" i="33"/>
  <c r="AJ58" i="33"/>
  <c r="AK58" i="33"/>
  <c r="AL58" i="33"/>
  <c r="AL105" i="33" s="1"/>
  <c r="AL12" i="34" s="1"/>
  <c r="AL35" i="34" s="1"/>
  <c r="AL58" i="34" s="1"/>
  <c r="AM58" i="33"/>
  <c r="AN58" i="33"/>
  <c r="AO58" i="33"/>
  <c r="AP58" i="33"/>
  <c r="AQ58" i="33"/>
  <c r="K59" i="33"/>
  <c r="K106" i="33" s="1"/>
  <c r="K13" i="34" s="1"/>
  <c r="K36" i="34" s="1"/>
  <c r="K59" i="34" s="1"/>
  <c r="L59" i="33"/>
  <c r="L106" i="33" s="1"/>
  <c r="L13" i="34" s="1"/>
  <c r="L36" i="34" s="1"/>
  <c r="M59" i="33"/>
  <c r="M106" i="33" s="1"/>
  <c r="M13" i="34" s="1"/>
  <c r="N59" i="33"/>
  <c r="O59" i="33"/>
  <c r="O106" i="33" s="1"/>
  <c r="O13" i="34" s="1"/>
  <c r="O36" i="34" s="1"/>
  <c r="P59" i="33"/>
  <c r="P106" i="33" s="1"/>
  <c r="P13" i="34" s="1"/>
  <c r="Q59" i="33"/>
  <c r="Q106" i="33" s="1"/>
  <c r="Q13" i="34" s="1"/>
  <c r="R59" i="33"/>
  <c r="R106" i="33" s="1"/>
  <c r="R13" i="34" s="1"/>
  <c r="R36" i="34" s="1"/>
  <c r="S59" i="33"/>
  <c r="T59" i="33"/>
  <c r="T106" i="33" s="1"/>
  <c r="T13" i="34" s="1"/>
  <c r="U59" i="33"/>
  <c r="U106" i="33" s="1"/>
  <c r="U13" i="34" s="1"/>
  <c r="V59" i="33"/>
  <c r="V106" i="33" s="1"/>
  <c r="V13" i="34" s="1"/>
  <c r="W59" i="33"/>
  <c r="W106" i="33" s="1"/>
  <c r="W13" i="34" s="1"/>
  <c r="W36" i="34" s="1"/>
  <c r="X59" i="33"/>
  <c r="Y59" i="33"/>
  <c r="Y106" i="33" s="1"/>
  <c r="Y13" i="34" s="1"/>
  <c r="Y36" i="34" s="1"/>
  <c r="Y59" i="34" s="1"/>
  <c r="Z59" i="33"/>
  <c r="Z106" i="33" s="1"/>
  <c r="Z13" i="34" s="1"/>
  <c r="Z36" i="34" s="1"/>
  <c r="AA59" i="33"/>
  <c r="AA106" i="33" s="1"/>
  <c r="AA13" i="34" s="1"/>
  <c r="AB106" i="33"/>
  <c r="AB13" i="34" s="1"/>
  <c r="AB36" i="34" s="1"/>
  <c r="AB59" i="34" s="1"/>
  <c r="AC59" i="33"/>
  <c r="AC106" i="33" s="1"/>
  <c r="AC13" i="34" s="1"/>
  <c r="AD59" i="33"/>
  <c r="AE59" i="33"/>
  <c r="AE106" i="33" s="1"/>
  <c r="AE13" i="34" s="1"/>
  <c r="AF59" i="33"/>
  <c r="AG59" i="33"/>
  <c r="AG106" i="33" s="1"/>
  <c r="AG13" i="34" s="1"/>
  <c r="AH59" i="33"/>
  <c r="AH106" i="33" s="1"/>
  <c r="AH13" i="34" s="1"/>
  <c r="AI59" i="33"/>
  <c r="AJ59" i="33"/>
  <c r="AK59" i="33"/>
  <c r="AK106" i="33" s="1"/>
  <c r="AK13" i="34" s="1"/>
  <c r="AL59" i="33"/>
  <c r="AL106" i="33" s="1"/>
  <c r="AM59" i="33"/>
  <c r="AM106" i="33" s="1"/>
  <c r="AM13" i="34" s="1"/>
  <c r="AN59" i="33"/>
  <c r="AN106" i="33" s="1"/>
  <c r="AN13" i="34" s="1"/>
  <c r="AN36" i="34" s="1"/>
  <c r="AO59" i="33"/>
  <c r="AP59" i="33"/>
  <c r="AQ59" i="33"/>
  <c r="K60" i="33"/>
  <c r="K107" i="33" s="1"/>
  <c r="K14" i="34" s="1"/>
  <c r="K37" i="34" s="1"/>
  <c r="L60" i="33"/>
  <c r="L107" i="33" s="1"/>
  <c r="L14" i="34" s="1"/>
  <c r="M60" i="33"/>
  <c r="M107" i="33" s="1"/>
  <c r="M14" i="34" s="1"/>
  <c r="N60" i="33"/>
  <c r="N107" i="33"/>
  <c r="N14" i="34" s="1"/>
  <c r="N37" i="34" s="1"/>
  <c r="O60" i="33"/>
  <c r="P60" i="33"/>
  <c r="P107" i="33"/>
  <c r="P14" i="34" s="1"/>
  <c r="P37" i="34" s="1"/>
  <c r="Q60" i="33"/>
  <c r="Q107" i="33" s="1"/>
  <c r="Q14" i="34" s="1"/>
  <c r="Q37" i="34" s="1"/>
  <c r="R60" i="33"/>
  <c r="S60" i="33"/>
  <c r="S107" i="33" s="1"/>
  <c r="S14" i="34" s="1"/>
  <c r="S37" i="34" s="1"/>
  <c r="T60" i="33"/>
  <c r="U60" i="33"/>
  <c r="U107" i="33" s="1"/>
  <c r="U14" i="34" s="1"/>
  <c r="U37" i="34" s="1"/>
  <c r="V60" i="33"/>
  <c r="V107" i="33" s="1"/>
  <c r="V14" i="34" s="1"/>
  <c r="V37" i="34" s="1"/>
  <c r="V60" i="34" s="1"/>
  <c r="W60" i="33"/>
  <c r="X60" i="33"/>
  <c r="X107" i="33" s="1"/>
  <c r="X14" i="34" s="1"/>
  <c r="Y60" i="33"/>
  <c r="Z60" i="33"/>
  <c r="AA60" i="33"/>
  <c r="AB107" i="33"/>
  <c r="AB14" i="34" s="1"/>
  <c r="AB37" i="34" s="1"/>
  <c r="AC60" i="33"/>
  <c r="AC107" i="33" s="1"/>
  <c r="AC14" i="34" s="1"/>
  <c r="AC37" i="34" s="1"/>
  <c r="AC60" i="34" s="1"/>
  <c r="AD60" i="33"/>
  <c r="AD107" i="33"/>
  <c r="AD14" i="34" s="1"/>
  <c r="AD37" i="34" s="1"/>
  <c r="AD60" i="34" s="1"/>
  <c r="AE60" i="33"/>
  <c r="AF60" i="33"/>
  <c r="AF107" i="33" s="1"/>
  <c r="AF14" i="34" s="1"/>
  <c r="AG60" i="33"/>
  <c r="AG107" i="33" s="1"/>
  <c r="AG14" i="34" s="1"/>
  <c r="AH60" i="33"/>
  <c r="AI60" i="33"/>
  <c r="AI107" i="33" s="1"/>
  <c r="AI14" i="34" s="1"/>
  <c r="AI37" i="34" s="1"/>
  <c r="AI60" i="34" s="1"/>
  <c r="AJ60" i="33"/>
  <c r="AJ107" i="33" s="1"/>
  <c r="AJ14" i="34" s="1"/>
  <c r="AK60" i="33"/>
  <c r="AL60" i="33"/>
  <c r="AL107" i="33" s="1"/>
  <c r="AL14" i="34" s="1"/>
  <c r="AL37" i="34" s="1"/>
  <c r="AL60" i="34" s="1"/>
  <c r="AM60" i="33"/>
  <c r="AN60" i="33"/>
  <c r="AN107" i="33" s="1"/>
  <c r="AN14" i="34" s="1"/>
  <c r="AO60" i="33"/>
  <c r="AO107" i="33" s="1"/>
  <c r="AO14" i="34" s="1"/>
  <c r="AP60" i="33"/>
  <c r="AQ60" i="33"/>
  <c r="AQ107" i="33" s="1"/>
  <c r="AQ14" i="34" s="1"/>
  <c r="AQ37" i="34" s="1"/>
  <c r="K61" i="33"/>
  <c r="K108" i="33" s="1"/>
  <c r="K15" i="34" s="1"/>
  <c r="L61" i="33"/>
  <c r="L108" i="33" s="1"/>
  <c r="L15" i="34" s="1"/>
  <c r="L38" i="34" s="1"/>
  <c r="M61" i="33"/>
  <c r="M108" i="33" s="1"/>
  <c r="M15" i="34" s="1"/>
  <c r="N61" i="33"/>
  <c r="N108" i="33" s="1"/>
  <c r="N15" i="34" s="1"/>
  <c r="O61" i="33"/>
  <c r="O108" i="33" s="1"/>
  <c r="O15" i="34" s="1"/>
  <c r="P61" i="33"/>
  <c r="P108" i="33" s="1"/>
  <c r="P15" i="34" s="1"/>
  <c r="Q61" i="33"/>
  <c r="Q108" i="33" s="1"/>
  <c r="Q15" i="34" s="1"/>
  <c r="R61" i="33"/>
  <c r="R108" i="33" s="1"/>
  <c r="R15" i="34" s="1"/>
  <c r="S61" i="33"/>
  <c r="S108" i="33" s="1"/>
  <c r="S15" i="34" s="1"/>
  <c r="T61" i="33"/>
  <c r="T108" i="33" s="1"/>
  <c r="T15" i="34" s="1"/>
  <c r="U61" i="33"/>
  <c r="U108" i="33" s="1"/>
  <c r="U15" i="34" s="1"/>
  <c r="V61" i="33"/>
  <c r="V108" i="33" s="1"/>
  <c r="V15" i="34" s="1"/>
  <c r="W61" i="33"/>
  <c r="W108" i="33" s="1"/>
  <c r="W15" i="34" s="1"/>
  <c r="X61" i="33"/>
  <c r="X108" i="33" s="1"/>
  <c r="X15" i="34" s="1"/>
  <c r="Y61" i="33"/>
  <c r="Y108" i="33" s="1"/>
  <c r="Y15" i="34" s="1"/>
  <c r="Z61" i="33"/>
  <c r="Z108" i="33" s="1"/>
  <c r="Z15" i="34" s="1"/>
  <c r="AA61" i="33"/>
  <c r="AA108" i="33" s="1"/>
  <c r="AA15" i="34" s="1"/>
  <c r="AB108" i="33"/>
  <c r="AB15" i="34" s="1"/>
  <c r="AC61" i="33"/>
  <c r="AC108" i="33" s="1"/>
  <c r="AC15" i="34" s="1"/>
  <c r="AD61" i="33"/>
  <c r="AD108" i="33" s="1"/>
  <c r="AD15" i="34" s="1"/>
  <c r="AE61" i="33"/>
  <c r="AE108" i="33" s="1"/>
  <c r="AE15" i="34" s="1"/>
  <c r="AF61" i="33"/>
  <c r="AF108" i="33" s="1"/>
  <c r="AF15" i="34" s="1"/>
  <c r="AF38" i="34" s="1"/>
  <c r="AG61" i="33"/>
  <c r="AG108" i="33" s="1"/>
  <c r="AG15" i="34" s="1"/>
  <c r="AH61" i="33"/>
  <c r="AH108" i="33" s="1"/>
  <c r="AH15" i="34" s="1"/>
  <c r="AH38" i="34" s="1"/>
  <c r="AH61" i="34" s="1"/>
  <c r="AI61" i="33"/>
  <c r="AI108" i="33" s="1"/>
  <c r="AI15" i="34" s="1"/>
  <c r="AI38" i="34" s="1"/>
  <c r="AI61" i="34" s="1"/>
  <c r="AJ61" i="33"/>
  <c r="AJ108" i="33" s="1"/>
  <c r="AJ15" i="34" s="1"/>
  <c r="AK61" i="33"/>
  <c r="AK108" i="33" s="1"/>
  <c r="AK15" i="34" s="1"/>
  <c r="AL61" i="33"/>
  <c r="AL108" i="33" s="1"/>
  <c r="AL15" i="34" s="1"/>
  <c r="AM61" i="33"/>
  <c r="AM108" i="33" s="1"/>
  <c r="AM15" i="34" s="1"/>
  <c r="AN61" i="33"/>
  <c r="AN108" i="33" s="1"/>
  <c r="AN15" i="34" s="1"/>
  <c r="AO61" i="33"/>
  <c r="AP61" i="33"/>
  <c r="AQ61" i="33"/>
  <c r="AQ108" i="33" s="1"/>
  <c r="AQ15" i="34" s="1"/>
  <c r="AQ38" i="34" s="1"/>
  <c r="K62" i="33"/>
  <c r="K109" i="33" s="1"/>
  <c r="K16" i="34" s="1"/>
  <c r="K39" i="34" s="1"/>
  <c r="L62" i="33"/>
  <c r="L109" i="33" s="1"/>
  <c r="L16" i="34" s="1"/>
  <c r="M62" i="33"/>
  <c r="M109" i="33"/>
  <c r="M16" i="34" s="1"/>
  <c r="N62" i="33"/>
  <c r="N109" i="33" s="1"/>
  <c r="N16" i="34" s="1"/>
  <c r="O62" i="33"/>
  <c r="O109" i="33" s="1"/>
  <c r="O16" i="34" s="1"/>
  <c r="O39" i="34" s="1"/>
  <c r="O62" i="34" s="1"/>
  <c r="P62" i="33"/>
  <c r="P109" i="33" s="1"/>
  <c r="P16" i="34" s="1"/>
  <c r="Q62" i="33"/>
  <c r="Q109" i="33" s="1"/>
  <c r="Q16" i="34" s="1"/>
  <c r="R62" i="33"/>
  <c r="R109" i="33" s="1"/>
  <c r="R16" i="34" s="1"/>
  <c r="S62" i="33"/>
  <c r="S109" i="33" s="1"/>
  <c r="S16" i="34" s="1"/>
  <c r="T62" i="33"/>
  <c r="T109" i="33" s="1"/>
  <c r="T16" i="34" s="1"/>
  <c r="U62" i="33"/>
  <c r="U109" i="33" s="1"/>
  <c r="U16" i="34" s="1"/>
  <c r="V62" i="33"/>
  <c r="V109" i="33" s="1"/>
  <c r="V16" i="34" s="1"/>
  <c r="W62" i="33"/>
  <c r="W109" i="33" s="1"/>
  <c r="W16" i="34" s="1"/>
  <c r="X62" i="33"/>
  <c r="X109" i="33" s="1"/>
  <c r="X16" i="34" s="1"/>
  <c r="Y62" i="33"/>
  <c r="Y109" i="33" s="1"/>
  <c r="Y16" i="34" s="1"/>
  <c r="Z62" i="33"/>
  <c r="Z109" i="33" s="1"/>
  <c r="Z16" i="34" s="1"/>
  <c r="AA62" i="33"/>
  <c r="AA109" i="33" s="1"/>
  <c r="AA16" i="34" s="1"/>
  <c r="AB109" i="33"/>
  <c r="AB16" i="34" s="1"/>
  <c r="AC62" i="33"/>
  <c r="AC109" i="33" s="1"/>
  <c r="AC16" i="34" s="1"/>
  <c r="AD62" i="33"/>
  <c r="AD109" i="33" s="1"/>
  <c r="AD16" i="34" s="1"/>
  <c r="AE62" i="33"/>
  <c r="AE109" i="33" s="1"/>
  <c r="AE16" i="34" s="1"/>
  <c r="AF62" i="33"/>
  <c r="AG62" i="33"/>
  <c r="AG109" i="33" s="1"/>
  <c r="AG16" i="34" s="1"/>
  <c r="AG39" i="34" s="1"/>
  <c r="AG62" i="34" s="1"/>
  <c r="AH62" i="33"/>
  <c r="AH109" i="33" s="1"/>
  <c r="AH16" i="34" s="1"/>
  <c r="AH39" i="34" s="1"/>
  <c r="AI62" i="33"/>
  <c r="AI109" i="33" s="1"/>
  <c r="AI16" i="34" s="1"/>
  <c r="AJ62" i="33"/>
  <c r="AJ109" i="33" s="1"/>
  <c r="AJ16" i="34" s="1"/>
  <c r="AK62" i="33"/>
  <c r="AK109" i="33" s="1"/>
  <c r="AK16" i="34" s="1"/>
  <c r="AK39" i="34" s="1"/>
  <c r="AL62" i="33"/>
  <c r="AL109" i="33"/>
  <c r="AL16" i="34" s="1"/>
  <c r="AL39" i="34" s="1"/>
  <c r="AM62" i="33"/>
  <c r="AM109" i="33" s="1"/>
  <c r="AM16" i="34" s="1"/>
  <c r="AN62" i="33"/>
  <c r="AN109" i="33" s="1"/>
  <c r="AN16" i="34" s="1"/>
  <c r="AN39" i="34" s="1"/>
  <c r="AO62" i="33"/>
  <c r="AO109" i="33" s="1"/>
  <c r="AO16" i="34" s="1"/>
  <c r="AO39" i="34" s="1"/>
  <c r="AP62" i="33"/>
  <c r="AP109" i="33"/>
  <c r="AP16" i="34" s="1"/>
  <c r="AP39" i="34" s="1"/>
  <c r="AP62" i="34" s="1"/>
  <c r="AQ62" i="33"/>
  <c r="K63" i="33"/>
  <c r="K110" i="33" s="1"/>
  <c r="K17" i="34" s="1"/>
  <c r="K40" i="34" s="1"/>
  <c r="L63" i="33"/>
  <c r="L110" i="33" s="1"/>
  <c r="L17" i="34" s="1"/>
  <c r="M63" i="33"/>
  <c r="M110" i="33" s="1"/>
  <c r="M17" i="34" s="1"/>
  <c r="N63" i="33"/>
  <c r="N110" i="33" s="1"/>
  <c r="N17" i="34" s="1"/>
  <c r="N40" i="34" s="1"/>
  <c r="O63" i="33"/>
  <c r="P63" i="33"/>
  <c r="P110" i="33" s="1"/>
  <c r="P17" i="34" s="1"/>
  <c r="Q63" i="33"/>
  <c r="Q110" i="33" s="1"/>
  <c r="Q17" i="34" s="1"/>
  <c r="R63" i="33"/>
  <c r="R110" i="33" s="1"/>
  <c r="R17" i="34" s="1"/>
  <c r="S63" i="33"/>
  <c r="S110" i="33" s="1"/>
  <c r="S17" i="34" s="1"/>
  <c r="S40" i="34" s="1"/>
  <c r="T63" i="33"/>
  <c r="T110" i="33" s="1"/>
  <c r="T17" i="34" s="1"/>
  <c r="T40" i="34" s="1"/>
  <c r="U63" i="33"/>
  <c r="U110" i="33" s="1"/>
  <c r="U17" i="34" s="1"/>
  <c r="U40" i="34" s="1"/>
  <c r="U63" i="34" s="1"/>
  <c r="V63" i="33"/>
  <c r="V110" i="33" s="1"/>
  <c r="V17" i="34" s="1"/>
  <c r="V40" i="34" s="1"/>
  <c r="V63" i="34" s="1"/>
  <c r="W63" i="33"/>
  <c r="W110" i="33"/>
  <c r="W17" i="34" s="1"/>
  <c r="W40" i="34" s="1"/>
  <c r="W63" i="34" s="1"/>
  <c r="X63" i="33"/>
  <c r="X110" i="33" s="1"/>
  <c r="X17" i="34" s="1"/>
  <c r="Y63" i="33"/>
  <c r="Y110" i="33" s="1"/>
  <c r="Y17" i="34" s="1"/>
  <c r="Y40" i="34" s="1"/>
  <c r="Y63" i="34" s="1"/>
  <c r="Z63" i="33"/>
  <c r="Z110" i="33" s="1"/>
  <c r="Z17" i="34" s="1"/>
  <c r="AA63" i="33"/>
  <c r="AA110" i="33" s="1"/>
  <c r="AA17" i="34" s="1"/>
  <c r="AB110" i="33"/>
  <c r="AB17" i="34" s="1"/>
  <c r="AB40" i="34" s="1"/>
  <c r="AC63" i="33"/>
  <c r="AC110" i="33"/>
  <c r="AC17" i="34" s="1"/>
  <c r="AC40" i="34" s="1"/>
  <c r="AC63" i="34" s="1"/>
  <c r="AD63" i="33"/>
  <c r="AD110" i="33" s="1"/>
  <c r="AD17" i="34" s="1"/>
  <c r="AD40" i="34" s="1"/>
  <c r="AE63" i="33"/>
  <c r="AE110" i="33" s="1"/>
  <c r="AE17" i="34" s="1"/>
  <c r="AF63" i="33"/>
  <c r="AF110" i="33" s="1"/>
  <c r="AF17" i="34" s="1"/>
  <c r="AF40" i="34" s="1"/>
  <c r="AF63" i="34" s="1"/>
  <c r="AG63" i="33"/>
  <c r="AG110" i="33" s="1"/>
  <c r="AG17" i="34" s="1"/>
  <c r="AH63" i="33"/>
  <c r="AH110" i="33" s="1"/>
  <c r="AH17" i="34" s="1"/>
  <c r="AI63" i="33"/>
  <c r="AI110" i="33" s="1"/>
  <c r="AI17" i="34" s="1"/>
  <c r="AI40" i="34" s="1"/>
  <c r="AJ63" i="33"/>
  <c r="AK63" i="33"/>
  <c r="AK110" i="33"/>
  <c r="AK17" i="34" s="1"/>
  <c r="AK40" i="34" s="1"/>
  <c r="AL63" i="33"/>
  <c r="AL110" i="33" s="1"/>
  <c r="AL17" i="34" s="1"/>
  <c r="AM63" i="33"/>
  <c r="AM110" i="33" s="1"/>
  <c r="AM17" i="34" s="1"/>
  <c r="AN63" i="33"/>
  <c r="AN110" i="33" s="1"/>
  <c r="AN17" i="34" s="1"/>
  <c r="AN40" i="34" s="1"/>
  <c r="AO63" i="33"/>
  <c r="AO110" i="33" s="1"/>
  <c r="AO17" i="34" s="1"/>
  <c r="AP63" i="33"/>
  <c r="AP110" i="33" s="1"/>
  <c r="AP17" i="34" s="1"/>
  <c r="AP40" i="34" s="1"/>
  <c r="AP63" i="34" s="1"/>
  <c r="AQ63" i="33"/>
  <c r="AQ110" i="33" s="1"/>
  <c r="AQ17" i="34" s="1"/>
  <c r="K65" i="33"/>
  <c r="K112" i="33" s="1"/>
  <c r="K19" i="34" s="1"/>
  <c r="K42" i="34" s="1"/>
  <c r="L65" i="33"/>
  <c r="L112" i="33" s="1"/>
  <c r="L19" i="34" s="1"/>
  <c r="M65" i="33"/>
  <c r="M112" i="33" s="1"/>
  <c r="M19" i="34" s="1"/>
  <c r="N65" i="33"/>
  <c r="N112" i="33" s="1"/>
  <c r="N19" i="34" s="1"/>
  <c r="O65" i="33"/>
  <c r="O112" i="33" s="1"/>
  <c r="O19" i="34" s="1"/>
  <c r="O42" i="34" s="1"/>
  <c r="P65" i="33"/>
  <c r="P112" i="33" s="1"/>
  <c r="P19" i="34" s="1"/>
  <c r="P42" i="34" s="1"/>
  <c r="Q65" i="33"/>
  <c r="Q112" i="33" s="1"/>
  <c r="Q19" i="34" s="1"/>
  <c r="R65" i="33"/>
  <c r="R112" i="33" s="1"/>
  <c r="R19" i="34" s="1"/>
  <c r="R42" i="34" s="1"/>
  <c r="S65" i="33"/>
  <c r="S112" i="33" s="1"/>
  <c r="S19" i="34" s="1"/>
  <c r="S42" i="34" s="1"/>
  <c r="T65" i="33"/>
  <c r="T112" i="33" s="1"/>
  <c r="T19" i="34" s="1"/>
  <c r="T42" i="34" s="1"/>
  <c r="U65" i="33"/>
  <c r="U112" i="33" s="1"/>
  <c r="U19" i="34"/>
  <c r="U42" i="34" s="1"/>
  <c r="V65" i="33"/>
  <c r="W65" i="33"/>
  <c r="W112" i="33" s="1"/>
  <c r="W19" i="34" s="1"/>
  <c r="W42" i="34" s="1"/>
  <c r="X65" i="33"/>
  <c r="X112" i="33" s="1"/>
  <c r="X19" i="34" s="1"/>
  <c r="X42" i="34" s="1"/>
  <c r="Y65" i="33"/>
  <c r="Y112" i="33" s="1"/>
  <c r="Y19" i="34" s="1"/>
  <c r="Z65" i="33"/>
  <c r="Z112" i="33" s="1"/>
  <c r="Z19" i="34" s="1"/>
  <c r="Z42" i="34" s="1"/>
  <c r="AA65" i="33"/>
  <c r="AA112" i="33" s="1"/>
  <c r="AA19" i="34" s="1"/>
  <c r="AB65" i="33"/>
  <c r="AB112" i="33" s="1"/>
  <c r="AB19" i="34" s="1"/>
  <c r="AC65" i="33"/>
  <c r="AC112" i="33" s="1"/>
  <c r="AC19" i="34" s="1"/>
  <c r="AC42" i="34" s="1"/>
  <c r="AD65" i="33"/>
  <c r="AD112" i="33" s="1"/>
  <c r="AD19" i="34" s="1"/>
  <c r="AE65" i="33"/>
  <c r="AE112" i="33"/>
  <c r="AE19" i="34" s="1"/>
  <c r="AE42" i="34" s="1"/>
  <c r="AE65" i="34" s="1"/>
  <c r="AF65" i="33"/>
  <c r="AF112" i="33" s="1"/>
  <c r="AF19" i="34" s="1"/>
  <c r="AF42" i="34" s="1"/>
  <c r="AG65" i="33"/>
  <c r="AG112" i="33" s="1"/>
  <c r="AG19" i="34" s="1"/>
  <c r="AH65" i="33"/>
  <c r="AH112" i="33" s="1"/>
  <c r="AH19" i="34" s="1"/>
  <c r="AI65" i="33"/>
  <c r="AI112" i="33"/>
  <c r="AI19" i="34" s="1"/>
  <c r="AJ65" i="33"/>
  <c r="AK65" i="33"/>
  <c r="AK112" i="33" s="1"/>
  <c r="AK19" i="34" s="1"/>
  <c r="AL65" i="33"/>
  <c r="AL112" i="33" s="1"/>
  <c r="AM65" i="33"/>
  <c r="AM112" i="33"/>
  <c r="AM19" i="34" s="1"/>
  <c r="AN65" i="33"/>
  <c r="AN112" i="33"/>
  <c r="AN19" i="34" s="1"/>
  <c r="AO65" i="33"/>
  <c r="AO112" i="33" s="1"/>
  <c r="AO19" i="34" s="1"/>
  <c r="AP65" i="33"/>
  <c r="AQ65" i="33"/>
  <c r="K66" i="33"/>
  <c r="K113" i="33" s="1"/>
  <c r="K20" i="34" s="1"/>
  <c r="L66" i="33"/>
  <c r="L113" i="33" s="1"/>
  <c r="L20" i="34"/>
  <c r="L43" i="34" s="1"/>
  <c r="M66" i="33"/>
  <c r="M113" i="33" s="1"/>
  <c r="M20" i="34" s="1"/>
  <c r="N66" i="33"/>
  <c r="N113" i="33" s="1"/>
  <c r="N20" i="34" s="1"/>
  <c r="N43" i="34" s="1"/>
  <c r="O66" i="33"/>
  <c r="O113" i="33" s="1"/>
  <c r="O20" i="34" s="1"/>
  <c r="O43" i="34" s="1"/>
  <c r="P66" i="33"/>
  <c r="P113" i="33" s="1"/>
  <c r="P20" i="34" s="1"/>
  <c r="P43" i="34" s="1"/>
  <c r="P66" i="34" s="1"/>
  <c r="Q66" i="33"/>
  <c r="Q113" i="33"/>
  <c r="Q20" i="34" s="1"/>
  <c r="Q43" i="34" s="1"/>
  <c r="R66" i="33"/>
  <c r="R113" i="33" s="1"/>
  <c r="R20" i="34"/>
  <c r="S66" i="33"/>
  <c r="S113" i="33" s="1"/>
  <c r="S20" i="34" s="1"/>
  <c r="T66" i="33"/>
  <c r="T113" i="33" s="1"/>
  <c r="T20" i="34" s="1"/>
  <c r="U66" i="33"/>
  <c r="V66" i="33"/>
  <c r="V113" i="33" s="1"/>
  <c r="V20" i="34"/>
  <c r="W66" i="33"/>
  <c r="W113" i="33" s="1"/>
  <c r="W20" i="34" s="1"/>
  <c r="X66" i="33"/>
  <c r="X113" i="33" s="1"/>
  <c r="X20" i="34" s="1"/>
  <c r="Y66" i="33"/>
  <c r="Y113" i="33" s="1"/>
  <c r="Z66" i="33"/>
  <c r="Z113" i="33" s="1"/>
  <c r="Z20" i="34" s="1"/>
  <c r="AA66" i="33"/>
  <c r="AA113" i="33" s="1"/>
  <c r="AA20" i="34" s="1"/>
  <c r="AA43" i="34" s="1"/>
  <c r="AB66" i="33"/>
  <c r="AB113" i="33"/>
  <c r="AB20" i="34" s="1"/>
  <c r="AC66" i="33"/>
  <c r="AC113" i="33" s="1"/>
  <c r="AD66" i="33"/>
  <c r="AD113" i="33" s="1"/>
  <c r="AD20" i="34" s="1"/>
  <c r="AE66" i="33"/>
  <c r="AE113" i="33" s="1"/>
  <c r="AE20" i="34" s="1"/>
  <c r="AF66" i="33"/>
  <c r="AF113" i="33" s="1"/>
  <c r="AF20" i="34" s="1"/>
  <c r="AG66" i="33"/>
  <c r="AG113" i="33" s="1"/>
  <c r="AG20" i="34" s="1"/>
  <c r="AH66" i="33"/>
  <c r="AH113" i="33" s="1"/>
  <c r="AH20" i="34" s="1"/>
  <c r="AI66" i="33"/>
  <c r="AI113" i="33" s="1"/>
  <c r="AI20" i="34" s="1"/>
  <c r="AJ66" i="33"/>
  <c r="AJ113" i="33" s="1"/>
  <c r="AJ20" i="34" s="1"/>
  <c r="AK66" i="33"/>
  <c r="AK113" i="33" s="1"/>
  <c r="AK20" i="34" s="1"/>
  <c r="AL66" i="33"/>
  <c r="AL113" i="33" s="1"/>
  <c r="AL20" i="34"/>
  <c r="AL43" i="34" s="1"/>
  <c r="AM66" i="33"/>
  <c r="AM113" i="33" s="1"/>
  <c r="AM20" i="34" s="1"/>
  <c r="AN66" i="33"/>
  <c r="AN113" i="33" s="1"/>
  <c r="AN20" i="34" s="1"/>
  <c r="AO66" i="33"/>
  <c r="AO113" i="33"/>
  <c r="AO20" i="34" s="1"/>
  <c r="AO43" i="34" s="1"/>
  <c r="AP66" i="33"/>
  <c r="AP113" i="33" s="1"/>
  <c r="AP20" i="34" s="1"/>
  <c r="AQ66" i="33"/>
  <c r="AQ113" i="33" s="1"/>
  <c r="AQ20" i="34" s="1"/>
  <c r="AQ43" i="34" s="1"/>
  <c r="K68" i="33"/>
  <c r="K115" i="33" s="1"/>
  <c r="K22" i="34" s="1"/>
  <c r="L68" i="33"/>
  <c r="L115" i="33" s="1"/>
  <c r="L22" i="34" s="1"/>
  <c r="M68" i="33"/>
  <c r="M115" i="33" s="1"/>
  <c r="M22" i="34" s="1"/>
  <c r="N68" i="33"/>
  <c r="N115" i="33" s="1"/>
  <c r="N22" i="34" s="1"/>
  <c r="O68" i="33"/>
  <c r="O115" i="33" s="1"/>
  <c r="O22" i="34" s="1"/>
  <c r="P68" i="33"/>
  <c r="P115" i="33" s="1"/>
  <c r="P22" i="34" s="1"/>
  <c r="Q68" i="33"/>
  <c r="Q115" i="33" s="1"/>
  <c r="Q22" i="34" s="1"/>
  <c r="R68" i="33"/>
  <c r="R115" i="33" s="1"/>
  <c r="R22" i="34" s="1"/>
  <c r="S68" i="33"/>
  <c r="S115" i="33" s="1"/>
  <c r="S22" i="34" s="1"/>
  <c r="T68" i="33"/>
  <c r="T115" i="33" s="1"/>
  <c r="T22" i="34" s="1"/>
  <c r="U68" i="33"/>
  <c r="U115" i="33" s="1"/>
  <c r="U22" i="34" s="1"/>
  <c r="V68" i="33"/>
  <c r="V115" i="33" s="1"/>
  <c r="V22" i="34" s="1"/>
  <c r="W68" i="33"/>
  <c r="W115" i="33" s="1"/>
  <c r="W22" i="34" s="1"/>
  <c r="X68" i="33"/>
  <c r="X115" i="33" s="1"/>
  <c r="X22" i="34" s="1"/>
  <c r="Y68" i="33"/>
  <c r="Y115" i="33" s="1"/>
  <c r="Y22" i="34" s="1"/>
  <c r="Z68" i="33"/>
  <c r="Z115" i="33" s="1"/>
  <c r="Z22" i="34" s="1"/>
  <c r="AA68" i="33"/>
  <c r="AB68" i="33"/>
  <c r="AB115" i="33" s="1"/>
  <c r="AB22" i="34" s="1"/>
  <c r="AC68" i="33"/>
  <c r="AC115" i="33" s="1"/>
  <c r="AC22" i="34" s="1"/>
  <c r="AD68" i="33"/>
  <c r="AD115" i="33" s="1"/>
  <c r="AD22" i="34" s="1"/>
  <c r="AE68" i="33"/>
  <c r="AE115" i="33" s="1"/>
  <c r="AE22" i="34" s="1"/>
  <c r="AF68" i="33"/>
  <c r="AF115" i="33" s="1"/>
  <c r="AF22" i="34" s="1"/>
  <c r="AG68" i="33"/>
  <c r="AG115" i="33" s="1"/>
  <c r="AG22" i="34" s="1"/>
  <c r="AH68" i="33"/>
  <c r="AH115" i="33" s="1"/>
  <c r="AH22" i="34" s="1"/>
  <c r="AI68" i="33"/>
  <c r="AJ68" i="33"/>
  <c r="AK68" i="33"/>
  <c r="AL68" i="33"/>
  <c r="AM68" i="33"/>
  <c r="AN68" i="33"/>
  <c r="AO68" i="33"/>
  <c r="AP68" i="33"/>
  <c r="AQ68" i="33"/>
  <c r="D53" i="33"/>
  <c r="D55" i="33"/>
  <c r="D56" i="33"/>
  <c r="D57" i="33"/>
  <c r="D58" i="33"/>
  <c r="D59" i="33"/>
  <c r="D60" i="33"/>
  <c r="D107" i="33"/>
  <c r="D14" i="34"/>
  <c r="D61" i="33"/>
  <c r="D62" i="33"/>
  <c r="D109" i="33"/>
  <c r="D16" i="34"/>
  <c r="D63" i="33"/>
  <c r="D65" i="33"/>
  <c r="D112" i="33"/>
  <c r="D19" i="34"/>
  <c r="D66" i="33"/>
  <c r="D68" i="33"/>
  <c r="AE9" i="34"/>
  <c r="AI102" i="33"/>
  <c r="AI9" i="34" s="1"/>
  <c r="AQ102" i="33"/>
  <c r="AQ9" i="34"/>
  <c r="AQ32" i="34" s="1"/>
  <c r="AP103" i="33"/>
  <c r="AP10" i="34" s="1"/>
  <c r="M11" i="34"/>
  <c r="Q11" i="34"/>
  <c r="U104" i="33"/>
  <c r="U11" i="34" s="1"/>
  <c r="U34" i="34" s="1"/>
  <c r="Y104" i="33"/>
  <c r="Y11" i="34" s="1"/>
  <c r="AC11" i="34"/>
  <c r="AC34" i="34" s="1"/>
  <c r="AC57" i="34" s="1"/>
  <c r="AK11" i="34"/>
  <c r="AK34" i="34" s="1"/>
  <c r="L105" i="33"/>
  <c r="L12" i="34" s="1"/>
  <c r="N106" i="33"/>
  <c r="N13" i="34" s="1"/>
  <c r="N36" i="34" s="1"/>
  <c r="N59" i="34" s="1"/>
  <c r="S106" i="33"/>
  <c r="S13" i="34" s="1"/>
  <c r="S36" i="34" s="1"/>
  <c r="AD106" i="33"/>
  <c r="AD13" i="34" s="1"/>
  <c r="AI106" i="33"/>
  <c r="AI13" i="34" s="1"/>
  <c r="AI36" i="34" s="1"/>
  <c r="AI59" i="34" s="1"/>
  <c r="AL13" i="34"/>
  <c r="AL36" i="34" s="1"/>
  <c r="AL59" i="34" s="1"/>
  <c r="AP106" i="33"/>
  <c r="AP13" i="34" s="1"/>
  <c r="AP36" i="34" s="1"/>
  <c r="AQ106" i="33"/>
  <c r="AQ13" i="34" s="1"/>
  <c r="AQ36" i="34" s="1"/>
  <c r="O107" i="33"/>
  <c r="O14" i="34"/>
  <c r="O37" i="34" s="1"/>
  <c r="O60" i="34" s="1"/>
  <c r="T107" i="33"/>
  <c r="T14" i="34" s="1"/>
  <c r="W107" i="33"/>
  <c r="W14" i="34" s="1"/>
  <c r="AE107" i="33"/>
  <c r="AE14" i="34" s="1"/>
  <c r="AM107" i="33"/>
  <c r="AM14" i="34" s="1"/>
  <c r="AM37" i="34" s="1"/>
  <c r="O110" i="33"/>
  <c r="O17" i="34" s="1"/>
  <c r="Y20" i="34"/>
  <c r="AC20" i="34"/>
  <c r="AR95" i="33"/>
  <c r="AR92" i="33"/>
  <c r="AR89" i="33"/>
  <c r="AR88" i="33"/>
  <c r="AR86" i="33"/>
  <c r="AR85" i="33"/>
  <c r="AR83" i="33"/>
  <c r="AR82" i="33"/>
  <c r="AR80" i="33"/>
  <c r="AR79" i="33"/>
  <c r="AR76" i="33"/>
  <c r="AQ115" i="33"/>
  <c r="AQ22" i="34"/>
  <c r="AQ45" i="34" s="1"/>
  <c r="D113" i="33"/>
  <c r="D20" i="34"/>
  <c r="AQ112" i="33"/>
  <c r="AQ19" i="34"/>
  <c r="AP112" i="33"/>
  <c r="AP19" i="34" s="1"/>
  <c r="AP42" i="34" s="1"/>
  <c r="AL19" i="34"/>
  <c r="V112" i="33"/>
  <c r="V19" i="34" s="1"/>
  <c r="AQ109" i="33"/>
  <c r="AQ16" i="34" s="1"/>
  <c r="AQ39" i="34" s="1"/>
  <c r="AF109" i="33"/>
  <c r="AF16" i="34" s="1"/>
  <c r="AP108" i="33"/>
  <c r="AP15" i="34" s="1"/>
  <c r="AO108" i="33"/>
  <c r="AO15" i="34" s="1"/>
  <c r="D108" i="33"/>
  <c r="D15" i="34"/>
  <c r="AP107" i="33"/>
  <c r="AP14" i="34" s="1"/>
  <c r="AK107" i="33"/>
  <c r="AK14" i="34" s="1"/>
  <c r="AH107" i="33"/>
  <c r="AH14" i="34" s="1"/>
  <c r="AA107" i="33"/>
  <c r="AA14" i="34" s="1"/>
  <c r="AA37" i="34" s="1"/>
  <c r="Z107" i="33"/>
  <c r="Z14" i="34" s="1"/>
  <c r="Y107" i="33"/>
  <c r="Y14" i="34" s="1"/>
  <c r="Y37" i="34" s="1"/>
  <c r="R107" i="33"/>
  <c r="R14" i="34" s="1"/>
  <c r="R37" i="34" s="1"/>
  <c r="AO106" i="33"/>
  <c r="AO13" i="34" s="1"/>
  <c r="AO36" i="34" s="1"/>
  <c r="AF106" i="33"/>
  <c r="AF13" i="34" s="1"/>
  <c r="AF36" i="34" s="1"/>
  <c r="X106" i="33"/>
  <c r="X13" i="34" s="1"/>
  <c r="AP104" i="33"/>
  <c r="AP11" i="34" s="1"/>
  <c r="AP34" i="34" s="1"/>
  <c r="AJ104" i="33"/>
  <c r="AJ11" i="34" s="1"/>
  <c r="AH104" i="33"/>
  <c r="AH11" i="34" s="1"/>
  <c r="AF104" i="33"/>
  <c r="AF11" i="34" s="1"/>
  <c r="AF34" i="34" s="1"/>
  <c r="AF57" i="34" s="1"/>
  <c r="Z104" i="33"/>
  <c r="Z11" i="34" s="1"/>
  <c r="T104" i="33"/>
  <c r="T11" i="34" s="1"/>
  <c r="T34" i="34" s="1"/>
  <c r="T57" i="34" s="1"/>
  <c r="R104" i="33"/>
  <c r="R11" i="34" s="1"/>
  <c r="R34" i="34" s="1"/>
  <c r="AQ103" i="33"/>
  <c r="AQ10" i="34" s="1"/>
  <c r="AG103" i="33"/>
  <c r="AG10" i="34" s="1"/>
  <c r="Y103" i="33"/>
  <c r="Y10" i="34" s="1"/>
  <c r="AP102" i="33"/>
  <c r="AP9" i="34" s="1"/>
  <c r="AF102" i="33"/>
  <c r="AF9" i="34" s="1"/>
  <c r="AF32" i="34" s="1"/>
  <c r="Z102" i="33"/>
  <c r="Z9" i="34" s="1"/>
  <c r="AP100" i="33"/>
  <c r="AP7" i="34" s="1"/>
  <c r="AO100" i="33"/>
  <c r="AO7" i="34" s="1"/>
  <c r="AK100" i="33"/>
  <c r="AK7" i="34" s="1"/>
  <c r="V100" i="33"/>
  <c r="V7" i="34" s="1"/>
  <c r="D100" i="33"/>
  <c r="D7" i="34"/>
  <c r="AV46" i="33"/>
  <c r="AW46" i="33"/>
  <c r="AW45" i="33"/>
  <c r="AR45" i="33"/>
  <c r="AW44" i="33"/>
  <c r="AW43" i="33"/>
  <c r="AR43" i="33"/>
  <c r="AT43" i="33" s="1"/>
  <c r="AW42" i="33"/>
  <c r="AR42" i="33"/>
  <c r="AT42" i="33" s="1"/>
  <c r="AW41" i="33"/>
  <c r="AW40" i="33"/>
  <c r="AR40" i="33"/>
  <c r="AW39" i="33"/>
  <c r="AR39" i="33"/>
  <c r="AW38" i="33"/>
  <c r="AR38" i="33"/>
  <c r="AW37" i="33"/>
  <c r="AR37" i="33"/>
  <c r="AT37" i="33" s="1"/>
  <c r="AW36" i="33"/>
  <c r="AR36" i="33"/>
  <c r="AW35" i="33"/>
  <c r="AR35" i="33"/>
  <c r="AW34" i="33"/>
  <c r="AR34" i="33"/>
  <c r="AT34" i="33"/>
  <c r="AW33" i="33"/>
  <c r="AR33" i="33"/>
  <c r="AW32" i="33"/>
  <c r="AR32" i="33"/>
  <c r="AW30" i="33"/>
  <c r="AR30" i="33"/>
  <c r="AW29" i="33"/>
  <c r="AW27" i="33"/>
  <c r="X50" i="33"/>
  <c r="AV23" i="33"/>
  <c r="AW23" i="33"/>
  <c r="AW22" i="33"/>
  <c r="AR22" i="33"/>
  <c r="AW21" i="33"/>
  <c r="AW20" i="33"/>
  <c r="AR20" i="33"/>
  <c r="AT20" i="33" s="1"/>
  <c r="AW19" i="33"/>
  <c r="AR19" i="33"/>
  <c r="AT19" i="33" s="1"/>
  <c r="AW18" i="33"/>
  <c r="AW17" i="33"/>
  <c r="AR17" i="33"/>
  <c r="AW16" i="33"/>
  <c r="AR16" i="33"/>
  <c r="AW15" i="33"/>
  <c r="AR15" i="33"/>
  <c r="AW14" i="33"/>
  <c r="AR14" i="33"/>
  <c r="AT14" i="33"/>
  <c r="AW13" i="33"/>
  <c r="AR13" i="33"/>
  <c r="AT13" i="33" s="1"/>
  <c r="AW12" i="33"/>
  <c r="AR12" i="33"/>
  <c r="AW11" i="33"/>
  <c r="AR11" i="33"/>
  <c r="AT11" i="33" s="1"/>
  <c r="AW10" i="33"/>
  <c r="AR10" i="33"/>
  <c r="AW9" i="33"/>
  <c r="AR9" i="33"/>
  <c r="AW7" i="33"/>
  <c r="AR7" i="33"/>
  <c r="AW6" i="33"/>
  <c r="AW4" i="33"/>
  <c r="I56" i="10"/>
  <c r="F32" i="10"/>
  <c r="F56" i="10" s="1"/>
  <c r="H54" i="10"/>
  <c r="F69" i="10"/>
  <c r="I30" i="10"/>
  <c r="I54" i="10" s="1"/>
  <c r="J30" i="10"/>
  <c r="J54" i="10" s="1"/>
  <c r="H85" i="10"/>
  <c r="I13" i="12"/>
  <c r="G85" i="10"/>
  <c r="H13" i="12"/>
  <c r="I85" i="10"/>
  <c r="J13" i="12"/>
  <c r="F92" i="16"/>
  <c r="H32" i="10"/>
  <c r="H56" i="10" s="1"/>
  <c r="I531" i="9"/>
  <c r="H531" i="9"/>
  <c r="J45" i="10"/>
  <c r="H267" i="9"/>
  <c r="F30" i="10"/>
  <c r="H314" i="9"/>
  <c r="H387" i="9"/>
  <c r="H410" i="9"/>
  <c r="J92" i="16"/>
  <c r="I46" i="33"/>
  <c r="G64" i="33"/>
  <c r="I386" i="21"/>
  <c r="J363" i="9"/>
  <c r="J555" i="9"/>
  <c r="K5" i="12" s="1"/>
  <c r="K17" i="12" s="1"/>
  <c r="J73" i="11" s="1"/>
  <c r="E87" i="16"/>
  <c r="G87" i="16"/>
  <c r="I184" i="21"/>
  <c r="L64" i="33"/>
  <c r="T64" i="33"/>
  <c r="X64" i="33"/>
  <c r="AF64" i="33"/>
  <c r="AJ64" i="33"/>
  <c r="AN64" i="33"/>
  <c r="E386" i="21"/>
  <c r="H64" i="33"/>
  <c r="H23" i="33"/>
  <c r="E69" i="16"/>
  <c r="J386" i="21"/>
  <c r="H507" i="9"/>
  <c r="E69" i="33"/>
  <c r="E69" i="21"/>
  <c r="H435" i="9"/>
  <c r="H434" i="9"/>
  <c r="I87" i="16"/>
  <c r="H122" i="9"/>
  <c r="H338" i="9"/>
  <c r="E46" i="33"/>
  <c r="H195" i="9"/>
  <c r="H194" i="9"/>
  <c r="H87" i="16"/>
  <c r="F386" i="21"/>
  <c r="H386" i="21"/>
  <c r="G386" i="21"/>
  <c r="G23" i="21"/>
  <c r="L50" i="33"/>
  <c r="AF50" i="33"/>
  <c r="AJ50" i="33"/>
  <c r="AN50" i="33"/>
  <c r="P64" i="33"/>
  <c r="AI30" i="34"/>
  <c r="AI53" i="34" s="1"/>
  <c r="G32" i="34"/>
  <c r="E32" i="34"/>
  <c r="E55" i="34"/>
  <c r="E44" i="34"/>
  <c r="J33" i="34"/>
  <c r="J56" i="34"/>
  <c r="I33" i="34"/>
  <c r="E33" i="34"/>
  <c r="E56" i="34"/>
  <c r="E38" i="34"/>
  <c r="E61" i="34"/>
  <c r="I38" i="34"/>
  <c r="I61" i="34" s="1"/>
  <c r="F38" i="34"/>
  <c r="E42" i="34"/>
  <c r="E65" i="34" s="1"/>
  <c r="I42" i="34"/>
  <c r="I65" i="34" s="1"/>
  <c r="F42" i="34"/>
  <c r="H42" i="34"/>
  <c r="H65" i="34"/>
  <c r="E30" i="34"/>
  <c r="E53" i="34" s="1"/>
  <c r="G30" i="34"/>
  <c r="E36" i="34"/>
  <c r="E59" i="34" s="1"/>
  <c r="J36" i="34"/>
  <c r="J59" i="34" s="1"/>
  <c r="F39" i="34"/>
  <c r="H39" i="34"/>
  <c r="H62" i="34" s="1"/>
  <c r="I39" i="34"/>
  <c r="E39" i="34"/>
  <c r="E62" i="34"/>
  <c r="F35" i="34"/>
  <c r="F58" i="34"/>
  <c r="H35" i="34"/>
  <c r="E35" i="34"/>
  <c r="E58" i="34" s="1"/>
  <c r="G35" i="34"/>
  <c r="I35" i="34"/>
  <c r="I58" i="34" s="1"/>
  <c r="E29" i="34"/>
  <c r="E52" i="34" s="1"/>
  <c r="I29" i="34"/>
  <c r="I52" i="34" s="1"/>
  <c r="J29" i="34"/>
  <c r="G29" i="34"/>
  <c r="G52" i="34" s="1"/>
  <c r="H31" i="34"/>
  <c r="E31" i="34"/>
  <c r="E54" i="34" s="1"/>
  <c r="E34" i="34"/>
  <c r="E57" i="34" s="1"/>
  <c r="I34" i="34"/>
  <c r="I57" i="34"/>
  <c r="G34" i="34"/>
  <c r="K34" i="34"/>
  <c r="H60" i="34"/>
  <c r="F37" i="34"/>
  <c r="E37" i="34"/>
  <c r="E60" i="34" s="1"/>
  <c r="G40" i="34"/>
  <c r="E40" i="34"/>
  <c r="E63" i="34"/>
  <c r="I40" i="34"/>
  <c r="H40" i="34"/>
  <c r="H63" i="34" s="1"/>
  <c r="Q64" i="33"/>
  <c r="U64" i="33"/>
  <c r="AG64" i="33"/>
  <c r="AK64" i="33"/>
  <c r="Y64" i="33"/>
  <c r="AO64" i="33"/>
  <c r="W64" i="33"/>
  <c r="AM64" i="33"/>
  <c r="M64" i="33"/>
  <c r="AC64" i="33"/>
  <c r="U50" i="33"/>
  <c r="Y50" i="33"/>
  <c r="AC50" i="33"/>
  <c r="AG50" i="33"/>
  <c r="AK50" i="33"/>
  <c r="AO50" i="33"/>
  <c r="D50" i="33"/>
  <c r="S64" i="33"/>
  <c r="AE64" i="33"/>
  <c r="O64" i="33"/>
  <c r="AA64" i="33"/>
  <c r="AI64" i="33"/>
  <c r="AQ64" i="33"/>
  <c r="K64" i="33"/>
  <c r="K50" i="33"/>
  <c r="W50" i="33"/>
  <c r="AA50" i="33"/>
  <c r="AE50" i="33"/>
  <c r="AI50" i="33"/>
  <c r="AM50" i="33"/>
  <c r="AM69" i="33" s="1"/>
  <c r="AQ50" i="33"/>
  <c r="D110" i="33"/>
  <c r="D17" i="34"/>
  <c r="D63" i="34" s="1"/>
  <c r="N64" i="33"/>
  <c r="R64" i="33"/>
  <c r="V64" i="33"/>
  <c r="Z64" i="33"/>
  <c r="AD64" i="33"/>
  <c r="AH64" i="33"/>
  <c r="AL64" i="33"/>
  <c r="AP64" i="33"/>
  <c r="V50" i="33"/>
  <c r="Z50" i="33"/>
  <c r="AD50" i="33"/>
  <c r="AH50" i="33"/>
  <c r="AL50" i="33"/>
  <c r="AP50" i="33"/>
  <c r="AH40" i="34"/>
  <c r="AH36" i="34"/>
  <c r="AH59" i="34" s="1"/>
  <c r="AL32" i="34"/>
  <c r="AL55" i="34" s="1"/>
  <c r="W37" i="34"/>
  <c r="W60" i="34"/>
  <c r="X65" i="34"/>
  <c r="AM38" i="34"/>
  <c r="AM61" i="34" s="1"/>
  <c r="AF39" i="34"/>
  <c r="W59" i="34"/>
  <c r="AK38" i="34"/>
  <c r="AK61" i="34" s="1"/>
  <c r="U65" i="34"/>
  <c r="AK42" i="34"/>
  <c r="AK65" i="34" s="1"/>
  <c r="AN62" i="34"/>
  <c r="AQ30" i="34"/>
  <c r="AQ53" i="34"/>
  <c r="AE32" i="34"/>
  <c r="U57" i="34"/>
  <c r="AG57" i="34"/>
  <c r="D37" i="34"/>
  <c r="AH37" i="34"/>
  <c r="AH60" i="34" s="1"/>
  <c r="AL34" i="34"/>
  <c r="AL57" i="34" s="1"/>
  <c r="L59" i="34"/>
  <c r="T36" i="34"/>
  <c r="S60" i="34"/>
  <c r="D38" i="34"/>
  <c r="AP38" i="34"/>
  <c r="AO62" i="34"/>
  <c r="AN63" i="34"/>
  <c r="D42" i="34"/>
  <c r="AP65" i="34"/>
  <c r="Q66" i="34"/>
  <c r="AG43" i="34"/>
  <c r="AG66" i="34" s="1"/>
  <c r="N63" i="34"/>
  <c r="AA66" i="34"/>
  <c r="AQ66" i="34"/>
  <c r="AC55" i="34"/>
  <c r="L33" i="34"/>
  <c r="AN33" i="34"/>
  <c r="M36" i="34"/>
  <c r="M59" i="34" s="1"/>
  <c r="L37" i="34"/>
  <c r="AF37" i="34"/>
  <c r="AF60" i="34" s="1"/>
  <c r="D39" i="34"/>
  <c r="AL62" i="34"/>
  <c r="AG40" i="34"/>
  <c r="AG63" i="34" s="1"/>
  <c r="D43" i="34"/>
  <c r="R43" i="34"/>
  <c r="V43" i="34"/>
  <c r="AH43" i="34"/>
  <c r="AR76" i="34"/>
  <c r="D106" i="33"/>
  <c r="D13" i="34"/>
  <c r="D115" i="33"/>
  <c r="D22" i="34"/>
  <c r="D103" i="33"/>
  <c r="D10" i="34"/>
  <c r="D102" i="33"/>
  <c r="D9" i="34"/>
  <c r="D105" i="33"/>
  <c r="D12" i="34"/>
  <c r="D104" i="33"/>
  <c r="D11" i="34"/>
  <c r="F60" i="34"/>
  <c r="I92" i="16"/>
  <c r="J69" i="10"/>
  <c r="F54" i="10"/>
  <c r="AK62" i="34"/>
  <c r="E67" i="34"/>
  <c r="E92" i="16"/>
  <c r="G92" i="16"/>
  <c r="H92" i="16"/>
  <c r="D40" i="34"/>
  <c r="D60" i="34"/>
  <c r="D35" i="34"/>
  <c r="D36" i="34"/>
  <c r="D32" i="34"/>
  <c r="D65" i="34"/>
  <c r="D61" i="34"/>
  <c r="D55" i="34"/>
  <c r="AR39" i="17"/>
  <c r="AR38" i="17"/>
  <c r="AR37" i="17"/>
  <c r="AR36" i="17"/>
  <c r="AR35" i="17"/>
  <c r="AR34" i="17"/>
  <c r="AR33" i="17"/>
  <c r="AR11" i="17"/>
  <c r="AR12" i="17"/>
  <c r="AR13" i="17"/>
  <c r="AR14" i="17"/>
  <c r="AU60" i="17" s="1"/>
  <c r="AR15" i="17"/>
  <c r="AU61" i="17" s="1"/>
  <c r="AR16" i="17"/>
  <c r="AM47" i="12"/>
  <c r="AN47" i="12"/>
  <c r="AM74" i="11" s="1"/>
  <c r="N17" i="20"/>
  <c r="O17" i="20"/>
  <c r="P17" i="20"/>
  <c r="Q17" i="20"/>
  <c r="R17" i="20"/>
  <c r="S17" i="20"/>
  <c r="O18" i="20"/>
  <c r="P18" i="20"/>
  <c r="Q18" i="20"/>
  <c r="R18" i="20"/>
  <c r="S18" i="20"/>
  <c r="O19" i="20"/>
  <c r="P19" i="20"/>
  <c r="Q19" i="20"/>
  <c r="R19" i="20"/>
  <c r="S19" i="20"/>
  <c r="O20" i="20"/>
  <c r="P20" i="20"/>
  <c r="Q20" i="20"/>
  <c r="R20" i="20"/>
  <c r="S20" i="20"/>
  <c r="O21" i="20"/>
  <c r="P21" i="20"/>
  <c r="Q21" i="20"/>
  <c r="R21" i="20"/>
  <c r="S21" i="20"/>
  <c r="O22" i="20"/>
  <c r="P22" i="20"/>
  <c r="Q22" i="20"/>
  <c r="R22" i="20"/>
  <c r="S22" i="20"/>
  <c r="O24" i="20"/>
  <c r="Q24" i="20"/>
  <c r="R24" i="20"/>
  <c r="S24" i="20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2" i="11"/>
  <c r="B44" i="11"/>
  <c r="B45" i="11"/>
  <c r="B27" i="11"/>
  <c r="E39" i="11"/>
  <c r="E35" i="11"/>
  <c r="E37" i="11"/>
  <c r="E60" i="11" s="1"/>
  <c r="E38" i="32"/>
  <c r="E62" i="32" s="1"/>
  <c r="E33" i="11"/>
  <c r="E34" i="32" s="1"/>
  <c r="F45" i="11"/>
  <c r="I32" i="11"/>
  <c r="I55" i="11" s="1"/>
  <c r="H42" i="11"/>
  <c r="J42" i="11"/>
  <c r="E38" i="11"/>
  <c r="H34" i="11"/>
  <c r="H57" i="11" s="1"/>
  <c r="E34" i="11"/>
  <c r="E35" i="32" s="1"/>
  <c r="G30" i="11"/>
  <c r="G53" i="11" s="1"/>
  <c r="F30" i="11"/>
  <c r="F53" i="11" s="1"/>
  <c r="E58" i="11"/>
  <c r="F68" i="11"/>
  <c r="H65" i="11"/>
  <c r="J57" i="11"/>
  <c r="I71" i="32"/>
  <c r="G71" i="32"/>
  <c r="E71" i="32"/>
  <c r="F71" i="32"/>
  <c r="J71" i="32"/>
  <c r="H71" i="32"/>
  <c r="K114" i="14"/>
  <c r="L114" i="14"/>
  <c r="M114" i="14"/>
  <c r="N114" i="14"/>
  <c r="O114" i="14"/>
  <c r="P114" i="14"/>
  <c r="Q114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E114" i="14"/>
  <c r="AF114" i="14"/>
  <c r="AG114" i="14"/>
  <c r="AH114" i="14"/>
  <c r="AI114" i="14"/>
  <c r="AJ114" i="14"/>
  <c r="AK114" i="14"/>
  <c r="AL114" i="14"/>
  <c r="AM114" i="14"/>
  <c r="AN114" i="14"/>
  <c r="AO114" i="14"/>
  <c r="AP114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J114" i="14"/>
  <c r="J100" i="14"/>
  <c r="D536" i="9"/>
  <c r="D538" i="9"/>
  <c r="D539" i="9"/>
  <c r="D540" i="9"/>
  <c r="D541" i="9"/>
  <c r="D542" i="9"/>
  <c r="D543" i="9"/>
  <c r="D544" i="9"/>
  <c r="D545" i="9"/>
  <c r="D546" i="9"/>
  <c r="AV546" i="9" s="1"/>
  <c r="D548" i="9"/>
  <c r="D549" i="9"/>
  <c r="D551" i="9"/>
  <c r="Y69" i="11"/>
  <c r="D49" i="32"/>
  <c r="AR49" i="32"/>
  <c r="AR26" i="32"/>
  <c r="C100" i="14"/>
  <c r="C114" i="14"/>
  <c r="C115" i="14"/>
  <c r="C101" i="14" s="1"/>
  <c r="AO103" i="14"/>
  <c r="AN103" i="14"/>
  <c r="AM103" i="14"/>
  <c r="AL103" i="14"/>
  <c r="AK103" i="14"/>
  <c r="AJ103" i="14"/>
  <c r="AI103" i="14"/>
  <c r="AH103" i="14"/>
  <c r="AG103" i="14"/>
  <c r="AF103" i="14"/>
  <c r="AE103" i="14"/>
  <c r="AD103" i="14"/>
  <c r="AC103" i="14"/>
  <c r="AB103" i="14"/>
  <c r="AA103" i="14"/>
  <c r="Z103" i="14"/>
  <c r="Y103" i="14"/>
  <c r="X103" i="14"/>
  <c r="W103" i="14"/>
  <c r="V103" i="14"/>
  <c r="U103" i="14"/>
  <c r="T103" i="14"/>
  <c r="S103" i="14"/>
  <c r="R103" i="14"/>
  <c r="Q103" i="14"/>
  <c r="P103" i="14"/>
  <c r="O103" i="14"/>
  <c r="N103" i="14"/>
  <c r="M103" i="14"/>
  <c r="L103" i="14"/>
  <c r="K103" i="14"/>
  <c r="J103" i="14"/>
  <c r="C103" i="14"/>
  <c r="J83" i="14"/>
  <c r="J67" i="14" s="1"/>
  <c r="K83" i="14"/>
  <c r="K67" i="14" s="1"/>
  <c r="L83" i="14"/>
  <c r="L67" i="14" s="1"/>
  <c r="M83" i="14"/>
  <c r="M67" i="14" s="1"/>
  <c r="N83" i="14"/>
  <c r="N67" i="14" s="1"/>
  <c r="O83" i="14"/>
  <c r="O67" i="14" s="1"/>
  <c r="P83" i="14"/>
  <c r="P67" i="14" s="1"/>
  <c r="Q83" i="14"/>
  <c r="Q67" i="14" s="1"/>
  <c r="R83" i="14"/>
  <c r="R67" i="14" s="1"/>
  <c r="S83" i="14"/>
  <c r="S67" i="14" s="1"/>
  <c r="T83" i="14"/>
  <c r="T67" i="14" s="1"/>
  <c r="U83" i="14"/>
  <c r="U67" i="14" s="1"/>
  <c r="V83" i="14"/>
  <c r="V67" i="14" s="1"/>
  <c r="W83" i="14"/>
  <c r="W67" i="14" s="1"/>
  <c r="X83" i="14"/>
  <c r="X67" i="14" s="1"/>
  <c r="Y83" i="14"/>
  <c r="Y67" i="14" s="1"/>
  <c r="Z83" i="14"/>
  <c r="Z67" i="14" s="1"/>
  <c r="AA83" i="14"/>
  <c r="AA67" i="14" s="1"/>
  <c r="AB83" i="14"/>
  <c r="AB67" i="14" s="1"/>
  <c r="AC83" i="14"/>
  <c r="AC67" i="14" s="1"/>
  <c r="AD83" i="14"/>
  <c r="AD67" i="14" s="1"/>
  <c r="AE83" i="14"/>
  <c r="AE67" i="14" s="1"/>
  <c r="AF83" i="14"/>
  <c r="AF67" i="14" s="1"/>
  <c r="AG83" i="14"/>
  <c r="AG67" i="14" s="1"/>
  <c r="AH83" i="14"/>
  <c r="AH67" i="14" s="1"/>
  <c r="AI83" i="14"/>
  <c r="AI67" i="14" s="1"/>
  <c r="AJ83" i="14"/>
  <c r="AJ67" i="14" s="1"/>
  <c r="AK83" i="14"/>
  <c r="AK67" i="14" s="1"/>
  <c r="AL83" i="14"/>
  <c r="AL67" i="14" s="1"/>
  <c r="AM83" i="14"/>
  <c r="AM67" i="14" s="1"/>
  <c r="AN83" i="14"/>
  <c r="AN67" i="14" s="1"/>
  <c r="AO83" i="14"/>
  <c r="AO67" i="14" s="1"/>
  <c r="AP83" i="14"/>
  <c r="AP67" i="14" s="1"/>
  <c r="BE441" i="9"/>
  <c r="BP441" i="9" s="1"/>
  <c r="BA441" i="9"/>
  <c r="AZ441" i="9"/>
  <c r="BK441" i="9" s="1"/>
  <c r="AY441" i="9"/>
  <c r="BJ441" i="9"/>
  <c r="AW441" i="9"/>
  <c r="BH441" i="9" s="1"/>
  <c r="AV441" i="9"/>
  <c r="BG441" i="9" s="1"/>
  <c r="BE417" i="9"/>
  <c r="BD417" i="9"/>
  <c r="BO417" i="9" s="1"/>
  <c r="BC417" i="9"/>
  <c r="BN417" i="9" s="1"/>
  <c r="BB417" i="9"/>
  <c r="AW417" i="9"/>
  <c r="BH417" i="9" s="1"/>
  <c r="AV417" i="9"/>
  <c r="BG417" i="9" s="1"/>
  <c r="AW393" i="9"/>
  <c r="AY393" i="9"/>
  <c r="BE393" i="9"/>
  <c r="AV393" i="9"/>
  <c r="BG393" i="9" s="1"/>
  <c r="BE454" i="9"/>
  <c r="BP454" i="9"/>
  <c r="AX454" i="9"/>
  <c r="BI454" i="9" s="1"/>
  <c r="AW454" i="9"/>
  <c r="BH454" i="9" s="1"/>
  <c r="AV454" i="9"/>
  <c r="BG454" i="9" s="1"/>
  <c r="BE430" i="9"/>
  <c r="BP430" i="9" s="1"/>
  <c r="AW430" i="9"/>
  <c r="BH430" i="9" s="1"/>
  <c r="AV430" i="9"/>
  <c r="BG430" i="9" s="1"/>
  <c r="BE406" i="9"/>
  <c r="BP406" i="9" s="1"/>
  <c r="BD406" i="9"/>
  <c r="BC406" i="9"/>
  <c r="BN406" i="9" s="1"/>
  <c r="BB406" i="9"/>
  <c r="AW406" i="9"/>
  <c r="BE439" i="9"/>
  <c r="BP439" i="9" s="1"/>
  <c r="AW439" i="9"/>
  <c r="BH439" i="9" s="1"/>
  <c r="BE415" i="9"/>
  <c r="BP415" i="9"/>
  <c r="AW415" i="9"/>
  <c r="BH415" i="9" s="1"/>
  <c r="AW391" i="9"/>
  <c r="BH391" i="9" s="1"/>
  <c r="AV451" i="9"/>
  <c r="BG451" i="9"/>
  <c r="AV427" i="9"/>
  <c r="BG427" i="9" s="1"/>
  <c r="AV403" i="9"/>
  <c r="BG403" i="9" s="1"/>
  <c r="AV437" i="9"/>
  <c r="AV413" i="9"/>
  <c r="AX389" i="9"/>
  <c r="AV389" i="9"/>
  <c r="BG389" i="9" s="1"/>
  <c r="AR455" i="9"/>
  <c r="AR453" i="9"/>
  <c r="AR452" i="9"/>
  <c r="AR450" i="9"/>
  <c r="AR449" i="9"/>
  <c r="AR448" i="9"/>
  <c r="AR447" i="9"/>
  <c r="AR446" i="9"/>
  <c r="AR445" i="9"/>
  <c r="AR444" i="9"/>
  <c r="AR443" i="9"/>
  <c r="AR442" i="9"/>
  <c r="AR440" i="9"/>
  <c r="AR431" i="9"/>
  <c r="AR429" i="9"/>
  <c r="AR428" i="9"/>
  <c r="AR426" i="9"/>
  <c r="AR425" i="9"/>
  <c r="AR424" i="9"/>
  <c r="AR423" i="9"/>
  <c r="AR422" i="9"/>
  <c r="AR421" i="9"/>
  <c r="AR420" i="9"/>
  <c r="AR419" i="9"/>
  <c r="AR418" i="9"/>
  <c r="AR416" i="9"/>
  <c r="AR407" i="9"/>
  <c r="AR405" i="9"/>
  <c r="AR404" i="9"/>
  <c r="AR402" i="9"/>
  <c r="AR401" i="9"/>
  <c r="AR400" i="9"/>
  <c r="AR399" i="9"/>
  <c r="AR398" i="9"/>
  <c r="AR397" i="9"/>
  <c r="AR396" i="9"/>
  <c r="AR395" i="9"/>
  <c r="AR394" i="9"/>
  <c r="AR392" i="9"/>
  <c r="AR298" i="21"/>
  <c r="AT298" i="21" s="1"/>
  <c r="AR296" i="21"/>
  <c r="AT296" i="21" s="1"/>
  <c r="AR295" i="21"/>
  <c r="AT295" i="21" s="1"/>
  <c r="AR293" i="21"/>
  <c r="AT293" i="21" s="1"/>
  <c r="AR292" i="21"/>
  <c r="AT292" i="21" s="1"/>
  <c r="AR291" i="21"/>
  <c r="AT291" i="21" s="1"/>
  <c r="AR290" i="21"/>
  <c r="AT290" i="21" s="1"/>
  <c r="AR289" i="21"/>
  <c r="AT289" i="21" s="1"/>
  <c r="AR288" i="21"/>
  <c r="AT288" i="21" s="1"/>
  <c r="AR287" i="21"/>
  <c r="AT287" i="21" s="1"/>
  <c r="AR286" i="21"/>
  <c r="AT286" i="21" s="1"/>
  <c r="AR285" i="21"/>
  <c r="AT285" i="21" s="1"/>
  <c r="AR283" i="21"/>
  <c r="AT283" i="21" s="1"/>
  <c r="AR275" i="21"/>
  <c r="AR273" i="21"/>
  <c r="AR272" i="21"/>
  <c r="AR270" i="21"/>
  <c r="AR269" i="21"/>
  <c r="AR268" i="21"/>
  <c r="AR267" i="21"/>
  <c r="AR266" i="21"/>
  <c r="AR265" i="21"/>
  <c r="AR264" i="21"/>
  <c r="AR263" i="21"/>
  <c r="AR262" i="21"/>
  <c r="AR260" i="21"/>
  <c r="AR252" i="21"/>
  <c r="AT252" i="21" s="1"/>
  <c r="AR250" i="21"/>
  <c r="AT250" i="21" s="1"/>
  <c r="AR249" i="21"/>
  <c r="AT249" i="21" s="1"/>
  <c r="AR247" i="21"/>
  <c r="AR246" i="21"/>
  <c r="AR245" i="21"/>
  <c r="AT245" i="21" s="1"/>
  <c r="AR244" i="21"/>
  <c r="AR243" i="21"/>
  <c r="AT243" i="21" s="1"/>
  <c r="AR242" i="21"/>
  <c r="AT242" i="21" s="1"/>
  <c r="AR241" i="21"/>
  <c r="AT241" i="21" s="1"/>
  <c r="AR240" i="21"/>
  <c r="AT240" i="21" s="1"/>
  <c r="AR239" i="21"/>
  <c r="AT239" i="21" s="1"/>
  <c r="AR237" i="21"/>
  <c r="AT237" i="21" s="1"/>
  <c r="BM394" i="9"/>
  <c r="BJ395" i="9"/>
  <c r="BK399" i="9"/>
  <c r="BK400" i="9"/>
  <c r="BJ404" i="9"/>
  <c r="BK404" i="9"/>
  <c r="BJ405" i="9"/>
  <c r="BJ407" i="9"/>
  <c r="BP407" i="9"/>
  <c r="BO407" i="9"/>
  <c r="BN407" i="9"/>
  <c r="BM407" i="9"/>
  <c r="BL407" i="9"/>
  <c r="BK407" i="9"/>
  <c r="BI407" i="9"/>
  <c r="BH407" i="9"/>
  <c r="BP405" i="9"/>
  <c r="BO405" i="9"/>
  <c r="BN405" i="9"/>
  <c r="BM405" i="9"/>
  <c r="BL405" i="9"/>
  <c r="BI405" i="9"/>
  <c r="BH405" i="9"/>
  <c r="BP404" i="9"/>
  <c r="BO404" i="9"/>
  <c r="BN404" i="9"/>
  <c r="BM404" i="9"/>
  <c r="BL404" i="9"/>
  <c r="BI404" i="9"/>
  <c r="BH404" i="9"/>
  <c r="BP402" i="9"/>
  <c r="BO402" i="9"/>
  <c r="BN402" i="9"/>
  <c r="BM402" i="9"/>
  <c r="BL402" i="9"/>
  <c r="BK402" i="9"/>
  <c r="BJ402" i="9"/>
  <c r="BI402" i="9"/>
  <c r="BH402" i="9"/>
  <c r="BP401" i="9"/>
  <c r="BO401" i="9"/>
  <c r="BN401" i="9"/>
  <c r="BM401" i="9"/>
  <c r="BK401" i="9"/>
  <c r="BJ401" i="9"/>
  <c r="BI401" i="9"/>
  <c r="BH401" i="9"/>
  <c r="BP400" i="9"/>
  <c r="BO400" i="9"/>
  <c r="BN400" i="9"/>
  <c r="BM400" i="9"/>
  <c r="BL400" i="9"/>
  <c r="BJ400" i="9"/>
  <c r="BI400" i="9"/>
  <c r="BH400" i="9"/>
  <c r="BP399" i="9"/>
  <c r="BO399" i="9"/>
  <c r="BN399" i="9"/>
  <c r="BM399" i="9"/>
  <c r="BL399" i="9"/>
  <c r="BJ399" i="9"/>
  <c r="BI399" i="9"/>
  <c r="BH399" i="9"/>
  <c r="BP398" i="9"/>
  <c r="BO398" i="9"/>
  <c r="BN398" i="9"/>
  <c r="BM398" i="9"/>
  <c r="BL398" i="9"/>
  <c r="BK398" i="9"/>
  <c r="BJ398" i="9"/>
  <c r="BI398" i="9"/>
  <c r="BH398" i="9"/>
  <c r="BP397" i="9"/>
  <c r="BO397" i="9"/>
  <c r="BN397" i="9"/>
  <c r="BM397" i="9"/>
  <c r="BL397" i="9"/>
  <c r="BK397" i="9"/>
  <c r="BJ397" i="9"/>
  <c r="BI397" i="9"/>
  <c r="BH397" i="9"/>
  <c r="BP396" i="9"/>
  <c r="BO396" i="9"/>
  <c r="BN396" i="9"/>
  <c r="BM396" i="9"/>
  <c r="BL396" i="9"/>
  <c r="BJ396" i="9"/>
  <c r="BI396" i="9"/>
  <c r="BH396" i="9"/>
  <c r="BP395" i="9"/>
  <c r="BO395" i="9"/>
  <c r="BN395" i="9"/>
  <c r="BM395" i="9"/>
  <c r="BL395" i="9"/>
  <c r="BK395" i="9"/>
  <c r="BI395" i="9"/>
  <c r="BH395" i="9"/>
  <c r="BP394" i="9"/>
  <c r="BO394" i="9"/>
  <c r="BN394" i="9"/>
  <c r="BL394" i="9"/>
  <c r="BK394" i="9"/>
  <c r="BJ394" i="9"/>
  <c r="BI394" i="9"/>
  <c r="BH394" i="9"/>
  <c r="BP392" i="9"/>
  <c r="BO392" i="9"/>
  <c r="BN392" i="9"/>
  <c r="BL392" i="9"/>
  <c r="BK392" i="9"/>
  <c r="BJ392" i="9"/>
  <c r="BI392" i="9"/>
  <c r="BH392" i="9"/>
  <c r="AV390" i="9"/>
  <c r="AV438" i="9"/>
  <c r="BG438" i="9" s="1"/>
  <c r="AV414" i="9"/>
  <c r="BG414" i="9"/>
  <c r="AV391" i="9"/>
  <c r="BG391" i="9" s="1"/>
  <c r="AV415" i="9"/>
  <c r="BG415" i="9" s="1"/>
  <c r="AX415" i="9"/>
  <c r="BI415" i="9" s="1"/>
  <c r="AY439" i="9"/>
  <c r="BJ439" i="9" s="1"/>
  <c r="AZ439" i="9"/>
  <c r="BK439" i="9" s="1"/>
  <c r="BA439" i="9"/>
  <c r="BL439" i="9" s="1"/>
  <c r="AV439" i="9"/>
  <c r="BG439" i="9" s="1"/>
  <c r="AZ393" i="9"/>
  <c r="BK393" i="9" s="1"/>
  <c r="BD393" i="9"/>
  <c r="BO393" i="9" s="1"/>
  <c r="BC393" i="9"/>
  <c r="BN393" i="9" s="1"/>
  <c r="BB393" i="9"/>
  <c r="BM393" i="9"/>
  <c r="AY417" i="9"/>
  <c r="BJ417" i="9"/>
  <c r="AZ417" i="9"/>
  <c r="BK417" i="9" s="1"/>
  <c r="BA417" i="9"/>
  <c r="BL417" i="9" s="1"/>
  <c r="BB441" i="9"/>
  <c r="BM441" i="9" s="1"/>
  <c r="BC441" i="9"/>
  <c r="BN441" i="9"/>
  <c r="BD441" i="9"/>
  <c r="BO441" i="9" s="1"/>
  <c r="M435" i="9"/>
  <c r="AC434" i="9"/>
  <c r="AG434" i="9"/>
  <c r="AO434" i="9"/>
  <c r="BA393" i="9"/>
  <c r="BL393" i="9" s="1"/>
  <c r="AX393" i="9"/>
  <c r="BI393" i="9" s="1"/>
  <c r="AX441" i="9"/>
  <c r="BI441" i="9" s="1"/>
  <c r="AX417" i="9"/>
  <c r="BI417" i="9" s="1"/>
  <c r="AX430" i="9"/>
  <c r="BI430" i="9"/>
  <c r="BA454" i="9"/>
  <c r="BL454" i="9" s="1"/>
  <c r="O459" i="9"/>
  <c r="S459" i="9"/>
  <c r="W458" i="9"/>
  <c r="AA459" i="9"/>
  <c r="AE458" i="9"/>
  <c r="AI459" i="9"/>
  <c r="AM458" i="9"/>
  <c r="AX406" i="9"/>
  <c r="BI406" i="9" s="1"/>
  <c r="AY430" i="9"/>
  <c r="BJ430" i="9" s="1"/>
  <c r="AZ430" i="9"/>
  <c r="BK430" i="9"/>
  <c r="BA430" i="9"/>
  <c r="BL430" i="9" s="1"/>
  <c r="BB454" i="9"/>
  <c r="BM454" i="9" s="1"/>
  <c r="BC454" i="9"/>
  <c r="BN454" i="9" s="1"/>
  <c r="BD454" i="9"/>
  <c r="BD456" i="9" s="1"/>
  <c r="AY454" i="9"/>
  <c r="BJ454" i="9"/>
  <c r="AZ454" i="9"/>
  <c r="BK454" i="9" s="1"/>
  <c r="AY406" i="9"/>
  <c r="BJ406" i="9" s="1"/>
  <c r="AZ406" i="9"/>
  <c r="BK406" i="9" s="1"/>
  <c r="BA406" i="9"/>
  <c r="BL406" i="9" s="1"/>
  <c r="BB430" i="9"/>
  <c r="BM430" i="9" s="1"/>
  <c r="BC430" i="9"/>
  <c r="BN430" i="9" s="1"/>
  <c r="BD430" i="9"/>
  <c r="BO430" i="9" s="1"/>
  <c r="S410" i="9"/>
  <c r="AI411" i="9"/>
  <c r="AX391" i="9"/>
  <c r="BI391" i="9" s="1"/>
  <c r="AY415" i="9"/>
  <c r="AZ415" i="9"/>
  <c r="BK415" i="9" s="1"/>
  <c r="BA415" i="9"/>
  <c r="BL415" i="9" s="1"/>
  <c r="BB439" i="9"/>
  <c r="BC439" i="9"/>
  <c r="BD439" i="9"/>
  <c r="BO439" i="9"/>
  <c r="P410" i="9"/>
  <c r="T410" i="9"/>
  <c r="AB410" i="9"/>
  <c r="AF411" i="9"/>
  <c r="AJ410" i="9"/>
  <c r="AN411" i="9"/>
  <c r="N435" i="9"/>
  <c r="R434" i="9"/>
  <c r="V435" i="9"/>
  <c r="Z435" i="9"/>
  <c r="AP435" i="9"/>
  <c r="P459" i="9"/>
  <c r="X459" i="9"/>
  <c r="AF459" i="9"/>
  <c r="AJ458" i="9"/>
  <c r="AN459" i="9"/>
  <c r="BE391" i="9"/>
  <c r="BP391" i="9" s="1"/>
  <c r="W410" i="9"/>
  <c r="AE411" i="9"/>
  <c r="AM411" i="9"/>
  <c r="AY391" i="9"/>
  <c r="BJ391" i="9" s="1"/>
  <c r="AZ391" i="9"/>
  <c r="BK391" i="9" s="1"/>
  <c r="BA391" i="9"/>
  <c r="BL391" i="9" s="1"/>
  <c r="BB415" i="9"/>
  <c r="BM415" i="9" s="1"/>
  <c r="BC415" i="9"/>
  <c r="BN415" i="9" s="1"/>
  <c r="BD415" i="9"/>
  <c r="BO415" i="9" s="1"/>
  <c r="M410" i="9"/>
  <c r="AC411" i="9"/>
  <c r="AG411" i="9"/>
  <c r="AK411" i="9"/>
  <c r="AO410" i="9"/>
  <c r="O434" i="9"/>
  <c r="S434" i="9"/>
  <c r="W434" i="9"/>
  <c r="AA435" i="9"/>
  <c r="AE435" i="9"/>
  <c r="AI435" i="9"/>
  <c r="AM434" i="9"/>
  <c r="M458" i="9"/>
  <c r="AC459" i="9"/>
  <c r="AG459" i="9"/>
  <c r="AK458" i="9"/>
  <c r="AO459" i="9"/>
  <c r="AA410" i="9"/>
  <c r="BB391" i="9"/>
  <c r="BM391" i="9" s="1"/>
  <c r="BC391" i="9"/>
  <c r="BD391" i="9"/>
  <c r="BO391" i="9" s="1"/>
  <c r="AX439" i="9"/>
  <c r="BI439" i="9"/>
  <c r="R410" i="9"/>
  <c r="V411" i="9"/>
  <c r="Z411" i="9"/>
  <c r="P435" i="9"/>
  <c r="X434" i="9"/>
  <c r="AF435" i="9"/>
  <c r="AJ435" i="9"/>
  <c r="AN435" i="9"/>
  <c r="R459" i="9"/>
  <c r="V459" i="9"/>
  <c r="Z458" i="9"/>
  <c r="O410" i="9"/>
  <c r="BH406" i="9"/>
  <c r="AV406" i="9"/>
  <c r="BG406" i="9" s="1"/>
  <c r="M434" i="9"/>
  <c r="AZ414" i="9"/>
  <c r="AZ432" i="9" s="1"/>
  <c r="AC435" i="9"/>
  <c r="AK435" i="9"/>
  <c r="AK434" i="9"/>
  <c r="W459" i="9"/>
  <c r="AX390" i="9"/>
  <c r="BI390" i="9" s="1"/>
  <c r="AB411" i="9"/>
  <c r="N434" i="9"/>
  <c r="R435" i="9"/>
  <c r="BB414" i="9"/>
  <c r="BC414" i="9"/>
  <c r="BD414" i="9"/>
  <c r="AX438" i="9"/>
  <c r="BI438" i="9" s="1"/>
  <c r="AB459" i="9"/>
  <c r="AB458" i="9"/>
  <c r="M411" i="9"/>
  <c r="AZ390" i="9"/>
  <c r="AW414" i="9"/>
  <c r="BE414" i="9"/>
  <c r="BP414" i="9" s="1"/>
  <c r="AZ438" i="9"/>
  <c r="AY390" i="9"/>
  <c r="BJ390" i="9" s="1"/>
  <c r="BA390" i="9"/>
  <c r="AO411" i="9"/>
  <c r="AY438" i="9"/>
  <c r="BJ438" i="9" s="1"/>
  <c r="BA438" i="9"/>
  <c r="N410" i="9"/>
  <c r="N411" i="9"/>
  <c r="BB390" i="9"/>
  <c r="BC390" i="9"/>
  <c r="BN390" i="9" s="1"/>
  <c r="BD390" i="9"/>
  <c r="BD408" i="9" s="1"/>
  <c r="AP411" i="9"/>
  <c r="AP410" i="9"/>
  <c r="AX414" i="9"/>
  <c r="AB435" i="9"/>
  <c r="AB434" i="9"/>
  <c r="N458" i="9"/>
  <c r="N459" i="9"/>
  <c r="V458" i="9"/>
  <c r="BB438" i="9"/>
  <c r="BM438" i="9" s="1"/>
  <c r="BC438" i="9"/>
  <c r="BN438" i="9" s="1"/>
  <c r="BD438" i="9"/>
  <c r="AP458" i="9"/>
  <c r="AP459" i="9"/>
  <c r="AW390" i="9"/>
  <c r="AY414" i="9"/>
  <c r="BJ414" i="9"/>
  <c r="BA414" i="9"/>
  <c r="BL414" i="9" s="1"/>
  <c r="AO435" i="9"/>
  <c r="AW438" i="9"/>
  <c r="BE438" i="9"/>
  <c r="Q299" i="21"/>
  <c r="AR441" i="9"/>
  <c r="AR417" i="9"/>
  <c r="AR437" i="9"/>
  <c r="BJ393" i="9"/>
  <c r="AR430" i="9"/>
  <c r="BO406" i="9"/>
  <c r="Q253" i="21"/>
  <c r="AR415" i="9"/>
  <c r="BH403" i="9"/>
  <c r="BI403" i="9"/>
  <c r="BM403" i="9"/>
  <c r="BO403" i="9"/>
  <c r="AR451" i="9"/>
  <c r="BJ403" i="9"/>
  <c r="AR427" i="9"/>
  <c r="AG299" i="21"/>
  <c r="AG253" i="21"/>
  <c r="BH389" i="9"/>
  <c r="BM406" i="9"/>
  <c r="BL403" i="9"/>
  <c r="AR403" i="9"/>
  <c r="AR414" i="9"/>
  <c r="AR438" i="9"/>
  <c r="AR454" i="9"/>
  <c r="AR439" i="9"/>
  <c r="AR413" i="9"/>
  <c r="AR406" i="9"/>
  <c r="BN403" i="9"/>
  <c r="AR393" i="9"/>
  <c r="BH393" i="9"/>
  <c r="AR390" i="9"/>
  <c r="BN389" i="9"/>
  <c r="BM389" i="9"/>
  <c r="AR389" i="9"/>
  <c r="BI389" i="9"/>
  <c r="BJ389" i="9"/>
  <c r="AR391" i="9"/>
  <c r="BM392" i="9"/>
  <c r="BP389" i="9"/>
  <c r="AR50" i="23"/>
  <c r="AR52" i="23"/>
  <c r="AR53" i="23"/>
  <c r="AR54" i="23"/>
  <c r="AR55" i="23"/>
  <c r="AR56" i="23"/>
  <c r="AR57" i="23"/>
  <c r="AR6" i="23"/>
  <c r="AR8" i="23"/>
  <c r="AR9" i="23"/>
  <c r="AR10" i="23"/>
  <c r="AR11" i="23"/>
  <c r="AR12" i="23"/>
  <c r="AR13" i="23"/>
  <c r="AN410" i="9"/>
  <c r="AO458" i="9"/>
  <c r="M459" i="9"/>
  <c r="AA434" i="9"/>
  <c r="M299" i="21"/>
  <c r="AC299" i="21"/>
  <c r="S435" i="9"/>
  <c r="S411" i="9"/>
  <c r="Z459" i="9"/>
  <c r="AI434" i="9"/>
  <c r="Z434" i="9"/>
  <c r="AG435" i="9"/>
  <c r="AM459" i="9"/>
  <c r="AE410" i="9"/>
  <c r="O435" i="9"/>
  <c r="AJ434" i="9"/>
  <c r="AC410" i="9"/>
  <c r="AE434" i="9"/>
  <c r="AC458" i="9"/>
  <c r="AN458" i="9"/>
  <c r="X458" i="9"/>
  <c r="BO438" i="9"/>
  <c r="AA411" i="9"/>
  <c r="BL438" i="9"/>
  <c r="BH414" i="9"/>
  <c r="BM414" i="9"/>
  <c r="AM410" i="9"/>
  <c r="BN414" i="9"/>
  <c r="S458" i="9"/>
  <c r="P411" i="9"/>
  <c r="AI458" i="9"/>
  <c r="X435" i="9"/>
  <c r="AI410" i="9"/>
  <c r="V410" i="9"/>
  <c r="AK459" i="9"/>
  <c r="AG410" i="9"/>
  <c r="AP434" i="9"/>
  <c r="AO253" i="21"/>
  <c r="AG458" i="9"/>
  <c r="AF458" i="9"/>
  <c r="R253" i="21"/>
  <c r="AN434" i="9"/>
  <c r="Z410" i="9"/>
  <c r="AK410" i="9"/>
  <c r="P458" i="9"/>
  <c r="AF410" i="9"/>
  <c r="AX408" i="9"/>
  <c r="AE459" i="9"/>
  <c r="O458" i="9"/>
  <c r="AM435" i="9"/>
  <c r="W435" i="9"/>
  <c r="W411" i="9"/>
  <c r="R458" i="9"/>
  <c r="AF434" i="9"/>
  <c r="P434" i="9"/>
  <c r="R411" i="9"/>
  <c r="AJ459" i="9"/>
  <c r="V434" i="9"/>
  <c r="AJ411" i="9"/>
  <c r="T411" i="9"/>
  <c r="O411" i="9"/>
  <c r="AK299" i="21"/>
  <c r="U299" i="21"/>
  <c r="BM390" i="9"/>
  <c r="BK390" i="9"/>
  <c r="Y299" i="21"/>
  <c r="Y435" i="9"/>
  <c r="Y434" i="9"/>
  <c r="BE390" i="9"/>
  <c r="K410" i="9"/>
  <c r="K411" i="9"/>
  <c r="Y458" i="9"/>
  <c r="Y459" i="9"/>
  <c r="Y411" i="9"/>
  <c r="Y410" i="9"/>
  <c r="U434" i="9"/>
  <c r="U435" i="9"/>
  <c r="AL459" i="9"/>
  <c r="AL458" i="9"/>
  <c r="AD458" i="9"/>
  <c r="AD459" i="9"/>
  <c r="L435" i="9"/>
  <c r="L434" i="9"/>
  <c r="AL410" i="9"/>
  <c r="AL411" i="9"/>
  <c r="AD411" i="9"/>
  <c r="AD410" i="9"/>
  <c r="U411" i="9"/>
  <c r="U410" i="9"/>
  <c r="L458" i="9"/>
  <c r="L459" i="9"/>
  <c r="AL435" i="9"/>
  <c r="AL434" i="9"/>
  <c r="AD435" i="9"/>
  <c r="AD434" i="9"/>
  <c r="AQ459" i="9"/>
  <c r="AQ458" i="9"/>
  <c r="K458" i="9"/>
  <c r="K459" i="9"/>
  <c r="Q434" i="9"/>
  <c r="Q435" i="9"/>
  <c r="Q458" i="9"/>
  <c r="Q459" i="9"/>
  <c r="Q410" i="9"/>
  <c r="Q411" i="9"/>
  <c r="AH459" i="9"/>
  <c r="AH458" i="9"/>
  <c r="AH410" i="9"/>
  <c r="AH411" i="9"/>
  <c r="U458" i="9"/>
  <c r="U459" i="9"/>
  <c r="AQ434" i="9"/>
  <c r="AQ435" i="9"/>
  <c r="K434" i="9"/>
  <c r="K435" i="9"/>
  <c r="AH434" i="9"/>
  <c r="AH435" i="9"/>
  <c r="L410" i="9"/>
  <c r="L411" i="9"/>
  <c r="W299" i="21"/>
  <c r="Y253" i="21"/>
  <c r="Y276" i="21"/>
  <c r="AO299" i="21"/>
  <c r="V253" i="21"/>
  <c r="D410" i="9"/>
  <c r="D409" i="9"/>
  <c r="E409" i="9" s="1"/>
  <c r="F409" i="9" s="1"/>
  <c r="G409" i="9" s="1"/>
  <c r="H409" i="9" s="1"/>
  <c r="I409" i="9" s="1"/>
  <c r="J409" i="9" s="1"/>
  <c r="K409" i="9" s="1"/>
  <c r="L409" i="9" s="1"/>
  <c r="M409" i="9" s="1"/>
  <c r="N409" i="9" s="1"/>
  <c r="O409" i="9" s="1"/>
  <c r="P409" i="9" s="1"/>
  <c r="Q409" i="9" s="1"/>
  <c r="R409" i="9" s="1"/>
  <c r="S409" i="9" s="1"/>
  <c r="T409" i="9" s="1"/>
  <c r="U409" i="9" s="1"/>
  <c r="V409" i="9" s="1"/>
  <c r="W409" i="9" s="1"/>
  <c r="X409" i="9" s="1"/>
  <c r="Y409" i="9" s="1"/>
  <c r="Z409" i="9" s="1"/>
  <c r="AA409" i="9" s="1"/>
  <c r="AB409" i="9" s="1"/>
  <c r="AC409" i="9" s="1"/>
  <c r="AD409" i="9" s="1"/>
  <c r="AE409" i="9" s="1"/>
  <c r="AF409" i="9" s="1"/>
  <c r="AG409" i="9" s="1"/>
  <c r="AH409" i="9" s="1"/>
  <c r="AI409" i="9" s="1"/>
  <c r="AJ409" i="9" s="1"/>
  <c r="AK409" i="9" s="1"/>
  <c r="AL409" i="9" s="1"/>
  <c r="AM409" i="9" s="1"/>
  <c r="AN409" i="9" s="1"/>
  <c r="AO409" i="9" s="1"/>
  <c r="AP409" i="9" s="1"/>
  <c r="AQ409" i="9" s="1"/>
  <c r="D434" i="9"/>
  <c r="D433" i="9"/>
  <c r="E433" i="9"/>
  <c r="F433" i="9" s="1"/>
  <c r="G433" i="9" s="1"/>
  <c r="H433" i="9" s="1"/>
  <c r="I433" i="9" s="1"/>
  <c r="J433" i="9" s="1"/>
  <c r="K433" i="9" s="1"/>
  <c r="L433" i="9" s="1"/>
  <c r="M433" i="9" s="1"/>
  <c r="N433" i="9" s="1"/>
  <c r="O433" i="9" s="1"/>
  <c r="P433" i="9" s="1"/>
  <c r="Q433" i="9" s="1"/>
  <c r="R433" i="9" s="1"/>
  <c r="S433" i="9" s="1"/>
  <c r="T433" i="9" s="1"/>
  <c r="D458" i="9"/>
  <c r="D457" i="9"/>
  <c r="E457" i="9" s="1"/>
  <c r="F457" i="9" s="1"/>
  <c r="G457" i="9" s="1"/>
  <c r="H457" i="9" s="1"/>
  <c r="I457" i="9" s="1"/>
  <c r="J457" i="9" s="1"/>
  <c r="K457" i="9" s="1"/>
  <c r="L457" i="9" s="1"/>
  <c r="M457" i="9" s="1"/>
  <c r="N457" i="9" s="1"/>
  <c r="O457" i="9" s="1"/>
  <c r="P457" i="9" s="1"/>
  <c r="Q457" i="9" s="1"/>
  <c r="R457" i="9" s="1"/>
  <c r="S457" i="9" s="1"/>
  <c r="T457" i="9" s="1"/>
  <c r="AD253" i="21"/>
  <c r="D459" i="9"/>
  <c r="D435" i="9"/>
  <c r="AD276" i="21"/>
  <c r="V276" i="21"/>
  <c r="N276" i="21"/>
  <c r="AM276" i="21"/>
  <c r="AD299" i="21"/>
  <c r="V299" i="21"/>
  <c r="AP253" i="21"/>
  <c r="AC253" i="21"/>
  <c r="AH299" i="21"/>
  <c r="AR257" i="21"/>
  <c r="AE299" i="21"/>
  <c r="O299" i="21"/>
  <c r="AR297" i="21"/>
  <c r="AT297" i="21" s="1"/>
  <c r="AB299" i="21"/>
  <c r="L299" i="21"/>
  <c r="AC276" i="21"/>
  <c r="AR261" i="21"/>
  <c r="M253" i="21"/>
  <c r="N253" i="21"/>
  <c r="AM299" i="21"/>
  <c r="AR258" i="21"/>
  <c r="N299" i="21"/>
  <c r="AR284" i="21"/>
  <c r="AT284" i="21" s="1"/>
  <c r="AR235" i="21"/>
  <c r="U276" i="21"/>
  <c r="AR236" i="21"/>
  <c r="AR282" i="21"/>
  <c r="AK276" i="21"/>
  <c r="AK253" i="21"/>
  <c r="W276" i="21"/>
  <c r="AL253" i="21"/>
  <c r="AL276" i="21"/>
  <c r="AB253" i="21"/>
  <c r="L253" i="21"/>
  <c r="AN299" i="21"/>
  <c r="X299" i="21"/>
  <c r="AJ276" i="21"/>
  <c r="T276" i="21"/>
  <c r="D253" i="21"/>
  <c r="D254" i="21" s="1"/>
  <c r="E254" i="21" s="1"/>
  <c r="F254" i="21" s="1"/>
  <c r="G254" i="21" s="1"/>
  <c r="H254" i="21" s="1"/>
  <c r="I254" i="21" s="1"/>
  <c r="J254" i="21" s="1"/>
  <c r="O276" i="21"/>
  <c r="AE276" i="21"/>
  <c r="AR281" i="21"/>
  <c r="U253" i="21"/>
  <c r="AR280" i="21"/>
  <c r="AT280" i="21" s="1"/>
  <c r="K276" i="21"/>
  <c r="AA276" i="21"/>
  <c r="AQ276" i="21"/>
  <c r="AL299" i="21"/>
  <c r="R299" i="21"/>
  <c r="AM253" i="21"/>
  <c r="S253" i="21"/>
  <c r="AJ299" i="21"/>
  <c r="T299" i="21"/>
  <c r="AO276" i="21"/>
  <c r="AF276" i="21"/>
  <c r="P276" i="21"/>
  <c r="AI299" i="21"/>
  <c r="S299" i="21"/>
  <c r="AH253" i="21"/>
  <c r="AH276" i="21"/>
  <c r="R276" i="21"/>
  <c r="X253" i="21"/>
  <c r="AN276" i="21"/>
  <c r="X276" i="21"/>
  <c r="AP299" i="21"/>
  <c r="Z299" i="21"/>
  <c r="M276" i="21"/>
  <c r="D299" i="21"/>
  <c r="D300" i="21" s="1"/>
  <c r="O253" i="21"/>
  <c r="S276" i="21"/>
  <c r="AI276" i="21"/>
  <c r="AR238" i="21"/>
  <c r="AA253" i="21"/>
  <c r="AI253" i="21"/>
  <c r="AF299" i="21"/>
  <c r="P299" i="21"/>
  <c r="AB276" i="21"/>
  <c r="L276" i="21"/>
  <c r="AR251" i="21"/>
  <c r="AT251" i="21" s="1"/>
  <c r="AG276" i="21"/>
  <c r="Q276" i="21"/>
  <c r="AP276" i="21"/>
  <c r="Z276" i="21"/>
  <c r="D276" i="21"/>
  <c r="D277" i="21" s="1"/>
  <c r="E277" i="21" s="1"/>
  <c r="F277" i="21" s="1"/>
  <c r="G277" i="21" s="1"/>
  <c r="H277" i="21" s="1"/>
  <c r="I277" i="21" s="1"/>
  <c r="J277" i="21" s="1"/>
  <c r="K277" i="21" s="1"/>
  <c r="AE253" i="21"/>
  <c r="AR274" i="21"/>
  <c r="P253" i="21"/>
  <c r="AR259" i="21"/>
  <c r="AQ299" i="21"/>
  <c r="AA299" i="21"/>
  <c r="K253" i="21"/>
  <c r="AJ253" i="21"/>
  <c r="AN253" i="21"/>
  <c r="AF253" i="21"/>
  <c r="AR294" i="21"/>
  <c r="AQ253" i="21"/>
  <c r="D411" i="9"/>
  <c r="AR248" i="21"/>
  <c r="AT248" i="21" s="1"/>
  <c r="T253" i="21"/>
  <c r="W253" i="21"/>
  <c r="K299" i="21"/>
  <c r="AR271" i="21"/>
  <c r="Z253" i="21"/>
  <c r="AR234" i="21"/>
  <c r="AT234" i="21" s="1"/>
  <c r="BL389" i="9"/>
  <c r="BO389" i="9"/>
  <c r="AQ411" i="9"/>
  <c r="AQ410" i="9"/>
  <c r="BP390" i="9"/>
  <c r="AR30" i="20"/>
  <c r="AR31" i="20"/>
  <c r="AR32" i="20"/>
  <c r="AR34" i="20"/>
  <c r="AR35" i="20"/>
  <c r="AR36" i="20"/>
  <c r="AR37" i="20"/>
  <c r="AV345" i="21"/>
  <c r="AJ95" i="10"/>
  <c r="AH87" i="10"/>
  <c r="AC69" i="11"/>
  <c r="AD69" i="11"/>
  <c r="AE69" i="11"/>
  <c r="AR23" i="32"/>
  <c r="AS47" i="32"/>
  <c r="AR118" i="16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K76" i="11"/>
  <c r="Q87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D71" i="10"/>
  <c r="Z91" i="23"/>
  <c r="Z395" i="21" s="1"/>
  <c r="Z89" i="31"/>
  <c r="Z396" i="21" s="1"/>
  <c r="Z33" i="30"/>
  <c r="Z399" i="21" s="1"/>
  <c r="K7" i="11"/>
  <c r="K30" i="11" s="1"/>
  <c r="K53" i="11" s="1"/>
  <c r="K9" i="11"/>
  <c r="AP9" i="32"/>
  <c r="AQ32" i="11"/>
  <c r="K10" i="11"/>
  <c r="AI33" i="11"/>
  <c r="AL33" i="11"/>
  <c r="AM33" i="11"/>
  <c r="AM56" i="11" s="1"/>
  <c r="AH34" i="11"/>
  <c r="AL34" i="11"/>
  <c r="K13" i="11"/>
  <c r="AQ36" i="11"/>
  <c r="AQ59" i="11" s="1"/>
  <c r="K14" i="11"/>
  <c r="AK37" i="11"/>
  <c r="K16" i="11"/>
  <c r="AJ40" i="11"/>
  <c r="AJ63" i="11" s="1"/>
  <c r="K19" i="11"/>
  <c r="V42" i="11"/>
  <c r="V65" i="11" s="1"/>
  <c r="AG42" i="11"/>
  <c r="AG65" i="11" s="1"/>
  <c r="AH42" i="11"/>
  <c r="AH65" i="11" s="1"/>
  <c r="AI42" i="11"/>
  <c r="AI65" i="11" s="1"/>
  <c r="AO42" i="11"/>
  <c r="AO65" i="11" s="1"/>
  <c r="K20" i="11"/>
  <c r="AK43" i="11"/>
  <c r="AK66" i="11" s="1"/>
  <c r="D426" i="21"/>
  <c r="D11" i="11" s="1"/>
  <c r="D427" i="21"/>
  <c r="D12" i="11" s="1"/>
  <c r="D431" i="21"/>
  <c r="D16" i="11" s="1"/>
  <c r="D435" i="21"/>
  <c r="D20" i="11" s="1"/>
  <c r="D22" i="11"/>
  <c r="X30" i="11"/>
  <c r="AF30" i="11"/>
  <c r="AF53" i="11" s="1"/>
  <c r="AG30" i="11"/>
  <c r="AG53" i="11" s="1"/>
  <c r="AK30" i="11"/>
  <c r="AM30" i="11"/>
  <c r="AM53" i="11" s="1"/>
  <c r="AO30" i="11"/>
  <c r="AO53" i="11" s="1"/>
  <c r="AQ30" i="11"/>
  <c r="W32" i="11"/>
  <c r="W55" i="11" s="1"/>
  <c r="AB32" i="11"/>
  <c r="AB55" i="11" s="1"/>
  <c r="P36" i="11"/>
  <c r="P59" i="11" s="1"/>
  <c r="X36" i="11"/>
  <c r="X59" i="11" s="1"/>
  <c r="AL36" i="11"/>
  <c r="W37" i="11"/>
  <c r="W60" i="11" s="1"/>
  <c r="AB38" i="11"/>
  <c r="AD38" i="11"/>
  <c r="K17" i="11"/>
  <c r="S42" i="11"/>
  <c r="S65" i="11" s="1"/>
  <c r="AC42" i="11"/>
  <c r="AC65" i="11" s="1"/>
  <c r="AK45" i="11"/>
  <c r="AM45" i="11"/>
  <c r="AM68" i="11" s="1"/>
  <c r="D424" i="21"/>
  <c r="D9" i="11" s="1"/>
  <c r="D432" i="21"/>
  <c r="D17" i="11" s="1"/>
  <c r="AR23" i="10"/>
  <c r="J115" i="14"/>
  <c r="J101" i="14" s="1"/>
  <c r="K115" i="14"/>
  <c r="K101" i="14" s="1"/>
  <c r="L115" i="14"/>
  <c r="L101" i="14" s="1"/>
  <c r="M115" i="14"/>
  <c r="M101" i="14" s="1"/>
  <c r="N115" i="14"/>
  <c r="N101" i="14" s="1"/>
  <c r="O115" i="14"/>
  <c r="O101" i="14" s="1"/>
  <c r="P115" i="14"/>
  <c r="P101" i="14" s="1"/>
  <c r="Q115" i="14"/>
  <c r="Q101" i="14" s="1"/>
  <c r="R115" i="14"/>
  <c r="R101" i="14" s="1"/>
  <c r="S115" i="14"/>
  <c r="S101" i="14" s="1"/>
  <c r="T115" i="14"/>
  <c r="T101" i="14" s="1"/>
  <c r="U115" i="14"/>
  <c r="V115" i="14"/>
  <c r="V101" i="14" s="1"/>
  <c r="W115" i="14"/>
  <c r="W101" i="14" s="1"/>
  <c r="X115" i="14"/>
  <c r="X101" i="14" s="1"/>
  <c r="Y115" i="14"/>
  <c r="Y101" i="14" s="1"/>
  <c r="Z115" i="14"/>
  <c r="Z101" i="14" s="1"/>
  <c r="AA115" i="14"/>
  <c r="AA101" i="14" s="1"/>
  <c r="AB115" i="14"/>
  <c r="AB101" i="14" s="1"/>
  <c r="AC115" i="14"/>
  <c r="AC101" i="14" s="1"/>
  <c r="AD115" i="14"/>
  <c r="AD101" i="14" s="1"/>
  <c r="AE115" i="14"/>
  <c r="AE101" i="14" s="1"/>
  <c r="AF115" i="14"/>
  <c r="AF101" i="14" s="1"/>
  <c r="AG115" i="14"/>
  <c r="AG101" i="14" s="1"/>
  <c r="AH115" i="14"/>
  <c r="AH101" i="14" s="1"/>
  <c r="AI115" i="14"/>
  <c r="AI101" i="14" s="1"/>
  <c r="AJ115" i="14"/>
  <c r="AJ101" i="14" s="1"/>
  <c r="AK115" i="14"/>
  <c r="AK101" i="14" s="1"/>
  <c r="AL115" i="14"/>
  <c r="AL101" i="14" s="1"/>
  <c r="AM115" i="14"/>
  <c r="AM101" i="14" s="1"/>
  <c r="AN115" i="14"/>
  <c r="AN101" i="14" s="1"/>
  <c r="AO115" i="14"/>
  <c r="AO101" i="14" s="1"/>
  <c r="AP115" i="14"/>
  <c r="AP101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C84" i="14"/>
  <c r="C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C68" i="14"/>
  <c r="L47" i="12"/>
  <c r="AO47" i="12"/>
  <c r="AN74" i="11" s="1"/>
  <c r="AP47" i="12"/>
  <c r="AO74" i="11" s="1"/>
  <c r="AQ47" i="12"/>
  <c r="AP74" i="11" s="1"/>
  <c r="E47" i="12"/>
  <c r="K87" i="10"/>
  <c r="L87" i="10"/>
  <c r="M87" i="10"/>
  <c r="N87" i="10"/>
  <c r="O87" i="10"/>
  <c r="P87" i="10"/>
  <c r="R87" i="10"/>
  <c r="S87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AF87" i="10"/>
  <c r="AG87" i="10"/>
  <c r="AI87" i="10"/>
  <c r="AJ87" i="10"/>
  <c r="AK87" i="10"/>
  <c r="AL87" i="10"/>
  <c r="AM87" i="10"/>
  <c r="AN87" i="10"/>
  <c r="AO87" i="10"/>
  <c r="AP87" i="10"/>
  <c r="AQ87" i="10"/>
  <c r="AR67" i="31"/>
  <c r="AR66" i="31"/>
  <c r="AR65" i="31"/>
  <c r="AR64" i="31"/>
  <c r="AR63" i="31"/>
  <c r="AR62" i="31"/>
  <c r="AR61" i="31"/>
  <c r="AR23" i="31"/>
  <c r="AT23" i="31" s="1"/>
  <c r="AR21" i="31"/>
  <c r="AR20" i="31"/>
  <c r="AR19" i="31"/>
  <c r="AT19" i="31" s="1"/>
  <c r="AR18" i="31"/>
  <c r="AT18" i="31" s="1"/>
  <c r="AR17" i="31"/>
  <c r="AT17" i="31" s="1"/>
  <c r="AW229" i="21"/>
  <c r="AR229" i="21"/>
  <c r="AW227" i="21"/>
  <c r="AR227" i="21"/>
  <c r="AT227" i="21" s="1"/>
  <c r="AW226" i="21"/>
  <c r="AR226" i="21"/>
  <c r="AT226" i="21" s="1"/>
  <c r="AW225" i="21"/>
  <c r="AW224" i="21"/>
  <c r="AR224" i="21"/>
  <c r="AW223" i="21"/>
  <c r="AR223" i="21"/>
  <c r="AW222" i="21"/>
  <c r="AR222" i="21"/>
  <c r="AW221" i="21"/>
  <c r="AR221" i="21"/>
  <c r="AT221" i="21" s="1"/>
  <c r="AW220" i="21"/>
  <c r="AR220" i="21"/>
  <c r="AW219" i="21"/>
  <c r="AR219" i="21"/>
  <c r="AT219" i="21" s="1"/>
  <c r="AW218" i="21"/>
  <c r="AR218" i="21"/>
  <c r="AT218" i="21" s="1"/>
  <c r="AW217" i="21"/>
  <c r="AR217" i="21"/>
  <c r="AW216" i="21"/>
  <c r="AR216" i="21"/>
  <c r="AW214" i="21"/>
  <c r="AR214" i="21"/>
  <c r="AT214" i="21" s="1"/>
  <c r="AW213" i="21"/>
  <c r="AW211" i="21"/>
  <c r="AR206" i="21"/>
  <c r="AT206" i="21" s="1"/>
  <c r="AW204" i="21"/>
  <c r="AR204" i="21"/>
  <c r="AT204" i="21" s="1"/>
  <c r="AW203" i="21"/>
  <c r="AR203" i="21"/>
  <c r="AT203" i="21" s="1"/>
  <c r="AW202" i="21"/>
  <c r="AW201" i="21"/>
  <c r="AR201" i="21"/>
  <c r="AT201" i="21" s="1"/>
  <c r="AW200" i="21"/>
  <c r="AR200" i="21"/>
  <c r="AT200" i="21" s="1"/>
  <c r="AW199" i="21"/>
  <c r="AR199" i="21"/>
  <c r="AT199" i="21" s="1"/>
  <c r="AW198" i="21"/>
  <c r="AR198" i="21"/>
  <c r="AT198" i="21"/>
  <c r="AW197" i="21"/>
  <c r="AR197" i="21"/>
  <c r="AT197" i="21" s="1"/>
  <c r="AW196" i="21"/>
  <c r="AR196" i="21"/>
  <c r="AT196" i="21" s="1"/>
  <c r="AW195" i="21"/>
  <c r="AR195" i="21"/>
  <c r="AT195" i="21" s="1"/>
  <c r="AW194" i="21"/>
  <c r="AR194" i="21"/>
  <c r="AT194" i="21" s="1"/>
  <c r="AW193" i="21"/>
  <c r="AR193" i="21"/>
  <c r="AT193" i="21" s="1"/>
  <c r="AW191" i="21"/>
  <c r="AR191" i="21"/>
  <c r="AT191" i="21" s="1"/>
  <c r="AW190" i="21"/>
  <c r="AW188" i="21"/>
  <c r="AR68" i="21"/>
  <c r="AR66" i="21"/>
  <c r="AT66" i="21" s="1"/>
  <c r="AR65" i="21"/>
  <c r="AT65" i="21" s="1"/>
  <c r="AR63" i="21"/>
  <c r="AW63" i="21" s="1"/>
  <c r="AR62" i="21"/>
  <c r="AW62" i="21" s="1"/>
  <c r="AR61" i="21"/>
  <c r="AR60" i="21"/>
  <c r="AW60" i="21" s="1"/>
  <c r="AR59" i="21"/>
  <c r="AW59" i="21" s="1"/>
  <c r="AR58" i="21"/>
  <c r="AW58" i="21" s="1"/>
  <c r="AR57" i="21"/>
  <c r="AW57" i="21" s="1"/>
  <c r="AR56" i="21"/>
  <c r="AW56" i="21" s="1"/>
  <c r="AR55" i="21"/>
  <c r="AW55" i="21" s="1"/>
  <c r="AR53" i="21"/>
  <c r="BP383" i="9"/>
  <c r="BO383" i="9"/>
  <c r="BN383" i="9"/>
  <c r="BM383" i="9"/>
  <c r="BL383" i="9"/>
  <c r="BI383" i="9"/>
  <c r="BH383" i="9"/>
  <c r="BP381" i="9"/>
  <c r="BO381" i="9"/>
  <c r="BN381" i="9"/>
  <c r="BM381" i="9"/>
  <c r="BL381" i="9"/>
  <c r="BK381" i="9"/>
  <c r="BI381" i="9"/>
  <c r="BH381" i="9"/>
  <c r="BP380" i="9"/>
  <c r="BO380" i="9"/>
  <c r="BN380" i="9"/>
  <c r="BM380" i="9"/>
  <c r="BL380" i="9"/>
  <c r="BK380" i="9"/>
  <c r="BJ380" i="9"/>
  <c r="BI380" i="9"/>
  <c r="BH380" i="9"/>
  <c r="BP378" i="9"/>
  <c r="BO378" i="9"/>
  <c r="BN378" i="9"/>
  <c r="BM378" i="9"/>
  <c r="BL378" i="9"/>
  <c r="BK378" i="9"/>
  <c r="BJ378" i="9"/>
  <c r="BI378" i="9"/>
  <c r="BH378" i="9"/>
  <c r="BP377" i="9"/>
  <c r="BO377" i="9"/>
  <c r="BN377" i="9"/>
  <c r="BM377" i="9"/>
  <c r="BL377" i="9"/>
  <c r="BJ377" i="9"/>
  <c r="BI377" i="9"/>
  <c r="BH377" i="9"/>
  <c r="BP376" i="9"/>
  <c r="BO376" i="9"/>
  <c r="BN376" i="9"/>
  <c r="BM376" i="9"/>
  <c r="BL376" i="9"/>
  <c r="BK376" i="9"/>
  <c r="BJ376" i="9"/>
  <c r="BI376" i="9"/>
  <c r="BH376" i="9"/>
  <c r="BP375" i="9"/>
  <c r="BO375" i="9"/>
  <c r="BN375" i="9"/>
  <c r="BM375" i="9"/>
  <c r="BL375" i="9"/>
  <c r="BK375" i="9"/>
  <c r="BJ375" i="9"/>
  <c r="BI375" i="9"/>
  <c r="BH375" i="9"/>
  <c r="BP374" i="9"/>
  <c r="BO374" i="9"/>
  <c r="BN374" i="9"/>
  <c r="BM374" i="9"/>
  <c r="BJ374" i="9"/>
  <c r="BI374" i="9"/>
  <c r="BH374" i="9"/>
  <c r="BP373" i="9"/>
  <c r="BO373" i="9"/>
  <c r="BN373" i="9"/>
  <c r="BM373" i="9"/>
  <c r="BL373" i="9"/>
  <c r="BQ373" i="9" s="1"/>
  <c r="BK373" i="9"/>
  <c r="BJ373" i="9"/>
  <c r="BI373" i="9"/>
  <c r="BH373" i="9"/>
  <c r="BP372" i="9"/>
  <c r="BO372" i="9"/>
  <c r="BN372" i="9"/>
  <c r="BM372" i="9"/>
  <c r="BL372" i="9"/>
  <c r="BK372" i="9"/>
  <c r="BI372" i="9"/>
  <c r="BH372" i="9"/>
  <c r="BP371" i="9"/>
  <c r="BO371" i="9"/>
  <c r="BN371" i="9"/>
  <c r="BM371" i="9"/>
  <c r="BL371" i="9"/>
  <c r="BJ371" i="9"/>
  <c r="BI371" i="9"/>
  <c r="BH371" i="9"/>
  <c r="BP370" i="9"/>
  <c r="BO370" i="9"/>
  <c r="BN370" i="9"/>
  <c r="BM370" i="9"/>
  <c r="BL370" i="9"/>
  <c r="BK370" i="9"/>
  <c r="BJ370" i="9"/>
  <c r="BI370" i="9"/>
  <c r="BH370" i="9"/>
  <c r="BP368" i="9"/>
  <c r="BO368" i="9"/>
  <c r="BN368" i="9"/>
  <c r="BM368" i="9"/>
  <c r="BL368" i="9"/>
  <c r="BJ368" i="9"/>
  <c r="BI368" i="9"/>
  <c r="BH368" i="9"/>
  <c r="BP359" i="9"/>
  <c r="BO359" i="9"/>
  <c r="BN359" i="9"/>
  <c r="BM359" i="9"/>
  <c r="BL359" i="9"/>
  <c r="BK359" i="9"/>
  <c r="BJ359" i="9"/>
  <c r="BI359" i="9"/>
  <c r="BH359" i="9"/>
  <c r="BP357" i="9"/>
  <c r="BO357" i="9"/>
  <c r="BN357" i="9"/>
  <c r="BM357" i="9"/>
  <c r="BL357" i="9"/>
  <c r="BK357" i="9"/>
  <c r="BJ357" i="9"/>
  <c r="BI357" i="9"/>
  <c r="BH357" i="9"/>
  <c r="BP356" i="9"/>
  <c r="BO356" i="9"/>
  <c r="BN356" i="9"/>
  <c r="BM356" i="9"/>
  <c r="BL356" i="9"/>
  <c r="BK356" i="9"/>
  <c r="BJ356" i="9"/>
  <c r="BI356" i="9"/>
  <c r="BH356" i="9"/>
  <c r="BP354" i="9"/>
  <c r="BO354" i="9"/>
  <c r="BN354" i="9"/>
  <c r="BM354" i="9"/>
  <c r="BL354" i="9"/>
  <c r="BK354" i="9"/>
  <c r="BJ354" i="9"/>
  <c r="BI354" i="9"/>
  <c r="BH354" i="9"/>
  <c r="BP353" i="9"/>
  <c r="BO353" i="9"/>
  <c r="BN353" i="9"/>
  <c r="BM353" i="9"/>
  <c r="BL353" i="9"/>
  <c r="BK353" i="9"/>
  <c r="BJ353" i="9"/>
  <c r="BI353" i="9"/>
  <c r="BH353" i="9"/>
  <c r="BP352" i="9"/>
  <c r="BO352" i="9"/>
  <c r="BN352" i="9"/>
  <c r="BM352" i="9"/>
  <c r="BL352" i="9"/>
  <c r="BK352" i="9"/>
  <c r="BJ352" i="9"/>
  <c r="BI352" i="9"/>
  <c r="BH352" i="9"/>
  <c r="BP351" i="9"/>
  <c r="BO351" i="9"/>
  <c r="BN351" i="9"/>
  <c r="BM351" i="9"/>
  <c r="BL351" i="9"/>
  <c r="BK351" i="9"/>
  <c r="BJ351" i="9"/>
  <c r="BI351" i="9"/>
  <c r="BH351" i="9"/>
  <c r="BP350" i="9"/>
  <c r="BO350" i="9"/>
  <c r="BN350" i="9"/>
  <c r="BM350" i="9"/>
  <c r="BL350" i="9"/>
  <c r="BK350" i="9"/>
  <c r="BJ350" i="9"/>
  <c r="BI350" i="9"/>
  <c r="BH350" i="9"/>
  <c r="BP349" i="9"/>
  <c r="BO349" i="9"/>
  <c r="BN349" i="9"/>
  <c r="BM349" i="9"/>
  <c r="BL349" i="9"/>
  <c r="BK349" i="9"/>
  <c r="BJ349" i="9"/>
  <c r="BI349" i="9"/>
  <c r="BH349" i="9"/>
  <c r="BP348" i="9"/>
  <c r="BO348" i="9"/>
  <c r="BN348" i="9"/>
  <c r="BM348" i="9"/>
  <c r="BL348" i="9"/>
  <c r="BK348" i="9"/>
  <c r="BJ348" i="9"/>
  <c r="BI348" i="9"/>
  <c r="BH348" i="9"/>
  <c r="BP347" i="9"/>
  <c r="BO347" i="9"/>
  <c r="BN347" i="9"/>
  <c r="BM347" i="9"/>
  <c r="BL347" i="9"/>
  <c r="BK347" i="9"/>
  <c r="BJ347" i="9"/>
  <c r="BI347" i="9"/>
  <c r="BH347" i="9"/>
  <c r="BP346" i="9"/>
  <c r="BO346" i="9"/>
  <c r="BN346" i="9"/>
  <c r="BM346" i="9"/>
  <c r="BL346" i="9"/>
  <c r="BK346" i="9"/>
  <c r="BJ346" i="9"/>
  <c r="BI346" i="9"/>
  <c r="BH346" i="9"/>
  <c r="BP344" i="9"/>
  <c r="BO344" i="9"/>
  <c r="BN344" i="9"/>
  <c r="BM344" i="9"/>
  <c r="BL344" i="9"/>
  <c r="BK344" i="9"/>
  <c r="BJ344" i="9"/>
  <c r="BI344" i="9"/>
  <c r="BH344" i="9"/>
  <c r="AR383" i="9"/>
  <c r="AT383" i="9" s="1"/>
  <c r="AR381" i="9"/>
  <c r="AT381" i="9" s="1"/>
  <c r="AR380" i="9"/>
  <c r="AT380" i="9" s="1"/>
  <c r="AR378" i="9"/>
  <c r="AT378" i="9" s="1"/>
  <c r="AR377" i="9"/>
  <c r="AT377" i="9" s="1"/>
  <c r="AR376" i="9"/>
  <c r="AT376" i="9" s="1"/>
  <c r="AR375" i="9"/>
  <c r="AT375" i="9" s="1"/>
  <c r="AR374" i="9"/>
  <c r="AT374" i="9" s="1"/>
  <c r="AR373" i="9"/>
  <c r="AT373" i="9" s="1"/>
  <c r="AR372" i="9"/>
  <c r="AT372" i="9" s="1"/>
  <c r="AR371" i="9"/>
  <c r="AT371" i="9" s="1"/>
  <c r="AR370" i="9"/>
  <c r="AT370" i="9" s="1"/>
  <c r="AR368" i="9"/>
  <c r="AT368" i="9" s="1"/>
  <c r="AR359" i="9"/>
  <c r="AT359" i="9"/>
  <c r="AR357" i="9"/>
  <c r="AT357" i="9" s="1"/>
  <c r="AR356" i="9"/>
  <c r="AT356" i="9" s="1"/>
  <c r="AR354" i="9"/>
  <c r="AT354" i="9" s="1"/>
  <c r="AR353" i="9"/>
  <c r="AT353" i="9"/>
  <c r="AR352" i="9"/>
  <c r="AT352" i="9"/>
  <c r="AR351" i="9"/>
  <c r="AT351" i="9" s="1"/>
  <c r="AR350" i="9"/>
  <c r="AT350" i="9" s="1"/>
  <c r="AR349" i="9"/>
  <c r="AT349" i="9"/>
  <c r="AR348" i="9"/>
  <c r="AT348" i="9"/>
  <c r="AR347" i="9"/>
  <c r="AT347" i="9" s="1"/>
  <c r="AR346" i="9"/>
  <c r="AT346" i="9" s="1"/>
  <c r="AR344" i="9"/>
  <c r="AT344" i="9" s="1"/>
  <c r="BP167" i="9"/>
  <c r="BO167" i="9"/>
  <c r="BN167" i="9"/>
  <c r="BM167" i="9"/>
  <c r="BK167" i="9"/>
  <c r="BH167" i="9"/>
  <c r="AR167" i="9"/>
  <c r="BP165" i="9"/>
  <c r="BO165" i="9"/>
  <c r="BN165" i="9"/>
  <c r="BM165" i="9"/>
  <c r="BK165" i="9"/>
  <c r="BJ165" i="9"/>
  <c r="BI165" i="9"/>
  <c r="BH165" i="9"/>
  <c r="AR165" i="9"/>
  <c r="BP164" i="9"/>
  <c r="BN164" i="9"/>
  <c r="BM164" i="9"/>
  <c r="BL164" i="9"/>
  <c r="BK164" i="9"/>
  <c r="BJ164" i="9"/>
  <c r="BI164" i="9"/>
  <c r="BH164" i="9"/>
  <c r="AR164" i="9"/>
  <c r="BP162" i="9"/>
  <c r="BO162" i="9"/>
  <c r="BN162" i="9"/>
  <c r="BM162" i="9"/>
  <c r="BL162" i="9"/>
  <c r="BK162" i="9"/>
  <c r="BI162" i="9"/>
  <c r="BH162" i="9"/>
  <c r="AR162" i="9"/>
  <c r="BP161" i="9"/>
  <c r="BO161" i="9"/>
  <c r="BN161" i="9"/>
  <c r="BM161" i="9"/>
  <c r="BL161" i="9"/>
  <c r="BI161" i="9"/>
  <c r="BH161" i="9"/>
  <c r="AR161" i="9"/>
  <c r="BP160" i="9"/>
  <c r="BO160" i="9"/>
  <c r="BN160" i="9"/>
  <c r="BM160" i="9"/>
  <c r="BL160" i="9"/>
  <c r="BH160" i="9"/>
  <c r="AR160" i="9"/>
  <c r="BP159" i="9"/>
  <c r="BO159" i="9"/>
  <c r="BN159" i="9"/>
  <c r="BM159" i="9"/>
  <c r="BL159" i="9"/>
  <c r="BK159" i="9"/>
  <c r="BH159" i="9"/>
  <c r="AR159" i="9"/>
  <c r="BP158" i="9"/>
  <c r="BO158" i="9"/>
  <c r="BM158" i="9"/>
  <c r="BL158" i="9"/>
  <c r="BK158" i="9"/>
  <c r="BJ158" i="9"/>
  <c r="BI158" i="9"/>
  <c r="BH158" i="9"/>
  <c r="AR158" i="9"/>
  <c r="BP157" i="9"/>
  <c r="BN157" i="9"/>
  <c r="BM157" i="9"/>
  <c r="BL157" i="9"/>
  <c r="BJ157" i="9"/>
  <c r="BH157" i="9"/>
  <c r="AR157" i="9"/>
  <c r="BP156" i="9"/>
  <c r="BO156" i="9"/>
  <c r="BN156" i="9"/>
  <c r="BM156" i="9"/>
  <c r="BL156" i="9"/>
  <c r="BK156" i="9"/>
  <c r="BI156" i="9"/>
  <c r="BH156" i="9"/>
  <c r="AR156" i="9"/>
  <c r="BP155" i="9"/>
  <c r="BO155" i="9"/>
  <c r="BN155" i="9"/>
  <c r="BM155" i="9"/>
  <c r="BL155" i="9"/>
  <c r="BK155" i="9"/>
  <c r="BI155" i="9"/>
  <c r="BH155" i="9"/>
  <c r="AR155" i="9"/>
  <c r="BP154" i="9"/>
  <c r="BO154" i="9"/>
  <c r="BN154" i="9"/>
  <c r="BM154" i="9"/>
  <c r="BL154" i="9"/>
  <c r="BK154" i="9"/>
  <c r="BJ154" i="9"/>
  <c r="BI154" i="9"/>
  <c r="BH154" i="9"/>
  <c r="AR154" i="9"/>
  <c r="BP152" i="9"/>
  <c r="BO152" i="9"/>
  <c r="BN152" i="9"/>
  <c r="BM152" i="9"/>
  <c r="BL152" i="9"/>
  <c r="BJ152" i="9"/>
  <c r="BI152" i="9"/>
  <c r="BH152" i="9"/>
  <c r="AR152" i="9"/>
  <c r="AW51" i="9"/>
  <c r="AR88" i="31"/>
  <c r="AR87" i="31"/>
  <c r="AR86" i="31"/>
  <c r="AR85" i="31"/>
  <c r="AR84" i="31"/>
  <c r="AR83" i="31"/>
  <c r="AR82" i="31"/>
  <c r="AR81" i="31"/>
  <c r="AR80" i="31"/>
  <c r="AR79" i="31"/>
  <c r="AR78" i="31"/>
  <c r="AR77" i="31"/>
  <c r="AR76" i="31"/>
  <c r="AR75" i="31"/>
  <c r="AR74" i="31"/>
  <c r="AR73" i="31"/>
  <c r="AR72" i="31"/>
  <c r="AR71" i="31"/>
  <c r="AR70" i="31"/>
  <c r="AR69" i="31"/>
  <c r="AR59" i="31"/>
  <c r="AR57" i="31"/>
  <c r="AR56" i="31"/>
  <c r="AR54" i="31"/>
  <c r="AR53" i="31"/>
  <c r="AR52" i="31"/>
  <c r="AR51" i="31"/>
  <c r="AR49" i="31"/>
  <c r="AR48" i="31"/>
  <c r="AR44" i="31"/>
  <c r="AR43" i="31"/>
  <c r="AR42" i="31"/>
  <c r="AT42" i="31" s="1"/>
  <c r="AR41" i="31"/>
  <c r="AT41" i="31" s="1"/>
  <c r="AR40" i="31"/>
  <c r="AT40" i="31" s="1"/>
  <c r="AR39" i="31"/>
  <c r="AT39" i="31" s="1"/>
  <c r="AR38" i="31"/>
  <c r="AT38" i="31" s="1"/>
  <c r="AR37" i="31"/>
  <c r="AT37" i="31" s="1"/>
  <c r="AR36" i="31"/>
  <c r="AR35" i="31"/>
  <c r="AR33" i="31"/>
  <c r="AT33" i="31" s="1"/>
  <c r="AR32" i="31"/>
  <c r="AT32" i="31" s="1"/>
  <c r="AR31" i="31"/>
  <c r="AT31" i="31" s="1"/>
  <c r="AR30" i="31"/>
  <c r="AT30" i="31" s="1"/>
  <c r="AR29" i="31"/>
  <c r="AT29" i="31" s="1"/>
  <c r="AR28" i="31"/>
  <c r="AT28" i="31" s="1"/>
  <c r="AR27" i="31"/>
  <c r="AR26" i="31"/>
  <c r="AR25" i="31"/>
  <c r="AT25" i="31" s="1"/>
  <c r="AR15" i="31"/>
  <c r="AT15" i="31" s="1"/>
  <c r="AR13" i="31"/>
  <c r="AT13" i="31" s="1"/>
  <c r="AR12" i="31"/>
  <c r="AT12" i="31" s="1"/>
  <c r="AR10" i="31"/>
  <c r="AT10" i="31" s="1"/>
  <c r="AR9" i="31"/>
  <c r="AT9" i="31" s="1"/>
  <c r="AR8" i="31"/>
  <c r="AR7" i="31"/>
  <c r="AR5" i="31"/>
  <c r="AR4" i="31"/>
  <c r="AT4" i="31" s="1"/>
  <c r="AQ89" i="31"/>
  <c r="AQ396" i="21" s="1"/>
  <c r="AP89" i="31"/>
  <c r="AP396" i="21" s="1"/>
  <c r="AO89" i="31"/>
  <c r="AO396" i="21" s="1"/>
  <c r="AN89" i="31"/>
  <c r="AN396" i="21" s="1"/>
  <c r="AM89" i="31"/>
  <c r="AM396" i="21" s="1"/>
  <c r="AL89" i="31"/>
  <c r="AL396" i="21" s="1"/>
  <c r="AK89" i="31"/>
  <c r="AK396" i="21" s="1"/>
  <c r="AJ89" i="31"/>
  <c r="AJ396" i="21" s="1"/>
  <c r="AI89" i="31"/>
  <c r="AI396" i="21" s="1"/>
  <c r="AH89" i="31"/>
  <c r="AH396" i="21" s="1"/>
  <c r="AG89" i="31"/>
  <c r="AG396" i="21" s="1"/>
  <c r="AF89" i="31"/>
  <c r="AF396" i="21" s="1"/>
  <c r="AE89" i="31"/>
  <c r="AE396" i="21" s="1"/>
  <c r="AD89" i="31"/>
  <c r="AD396" i="21" s="1"/>
  <c r="AC89" i="31"/>
  <c r="AC396" i="21" s="1"/>
  <c r="AB89" i="31"/>
  <c r="AB396" i="21" s="1"/>
  <c r="AA89" i="31"/>
  <c r="AA396" i="21" s="1"/>
  <c r="Y89" i="31"/>
  <c r="Y396" i="21" s="1"/>
  <c r="X89" i="31"/>
  <c r="X396" i="21" s="1"/>
  <c r="W89" i="31"/>
  <c r="W396" i="21" s="1"/>
  <c r="V89" i="31"/>
  <c r="V396" i="21" s="1"/>
  <c r="U89" i="31"/>
  <c r="U396" i="21" s="1"/>
  <c r="T89" i="31"/>
  <c r="T396" i="21" s="1"/>
  <c r="S89" i="31"/>
  <c r="S396" i="21" s="1"/>
  <c r="R89" i="31"/>
  <c r="R396" i="21" s="1"/>
  <c r="Q89" i="31"/>
  <c r="Q396" i="21" s="1"/>
  <c r="P89" i="31"/>
  <c r="P396" i="21" s="1"/>
  <c r="O89" i="31"/>
  <c r="O396" i="21" s="1"/>
  <c r="N89" i="31"/>
  <c r="N396" i="21" s="1"/>
  <c r="M89" i="31"/>
  <c r="M396" i="21" s="1"/>
  <c r="L89" i="31"/>
  <c r="L396" i="21" s="1"/>
  <c r="K89" i="31"/>
  <c r="K396" i="21" s="1"/>
  <c r="D89" i="31"/>
  <c r="D396" i="21" s="1"/>
  <c r="AQ45" i="31"/>
  <c r="AQ97" i="16" s="1"/>
  <c r="AP45" i="31"/>
  <c r="AP97" i="16" s="1"/>
  <c r="AO45" i="31"/>
  <c r="AO97" i="16" s="1"/>
  <c r="AN45" i="31"/>
  <c r="AN97" i="16" s="1"/>
  <c r="AM45" i="31"/>
  <c r="AM97" i="16" s="1"/>
  <c r="AL45" i="31"/>
  <c r="AL97" i="16" s="1"/>
  <c r="AK45" i="31"/>
  <c r="AK97" i="16" s="1"/>
  <c r="AJ45" i="31"/>
  <c r="AJ97" i="16" s="1"/>
  <c r="AI45" i="31"/>
  <c r="AI97" i="16" s="1"/>
  <c r="AH45" i="31"/>
  <c r="AH97" i="16" s="1"/>
  <c r="AG45" i="31"/>
  <c r="AG97" i="16" s="1"/>
  <c r="AF45" i="31"/>
  <c r="AF97" i="16" s="1"/>
  <c r="AE45" i="31"/>
  <c r="AE97" i="16" s="1"/>
  <c r="AD45" i="31"/>
  <c r="AD97" i="16" s="1"/>
  <c r="AC45" i="31"/>
  <c r="AC97" i="16" s="1"/>
  <c r="AB45" i="31"/>
  <c r="AB97" i="16" s="1"/>
  <c r="AA45" i="31"/>
  <c r="AA97" i="16" s="1"/>
  <c r="Z45" i="31"/>
  <c r="Z97" i="16" s="1"/>
  <c r="Y45" i="31"/>
  <c r="Y97" i="16" s="1"/>
  <c r="X45" i="31"/>
  <c r="X97" i="16" s="1"/>
  <c r="W45" i="31"/>
  <c r="W97" i="16" s="1"/>
  <c r="V45" i="31"/>
  <c r="V97" i="16" s="1"/>
  <c r="U45" i="31"/>
  <c r="U97" i="16" s="1"/>
  <c r="T45" i="31"/>
  <c r="T97" i="16" s="1"/>
  <c r="S45" i="31"/>
  <c r="S97" i="16" s="1"/>
  <c r="R45" i="31"/>
  <c r="R97" i="16" s="1"/>
  <c r="Q45" i="31"/>
  <c r="Q97" i="16" s="1"/>
  <c r="P45" i="31"/>
  <c r="P97" i="16" s="1"/>
  <c r="O45" i="31"/>
  <c r="O97" i="16" s="1"/>
  <c r="N45" i="31"/>
  <c r="N97" i="16" s="1"/>
  <c r="M45" i="31"/>
  <c r="M97" i="16" s="1"/>
  <c r="L45" i="31"/>
  <c r="L97" i="16" s="1"/>
  <c r="K45" i="31"/>
  <c r="K97" i="16" s="1"/>
  <c r="D45" i="31"/>
  <c r="D97" i="16" s="1"/>
  <c r="BE5" i="9"/>
  <c r="BP5" i="9" s="1"/>
  <c r="AW5" i="9"/>
  <c r="AV5" i="9"/>
  <c r="BG5" i="9" s="1"/>
  <c r="BD369" i="9"/>
  <c r="BC369" i="9"/>
  <c r="BB369" i="9"/>
  <c r="AY369" i="9"/>
  <c r="AW369" i="9"/>
  <c r="AV369" i="9"/>
  <c r="BG369" i="9"/>
  <c r="BD345" i="9"/>
  <c r="BC345" i="9"/>
  <c r="BB345" i="9"/>
  <c r="AW345" i="9"/>
  <c r="AV345" i="9"/>
  <c r="BG345" i="9"/>
  <c r="BA153" i="9"/>
  <c r="AW153" i="9"/>
  <c r="AV153" i="9"/>
  <c r="BG153" i="9" s="1"/>
  <c r="AW367" i="9"/>
  <c r="AW343" i="9"/>
  <c r="AW151" i="9"/>
  <c r="BD382" i="9"/>
  <c r="BO382" i="9" s="1"/>
  <c r="BC382" i="9"/>
  <c r="BB382" i="9"/>
  <c r="AW382" i="9"/>
  <c r="AV382" i="9"/>
  <c r="BG382" i="9" s="1"/>
  <c r="BA358" i="9"/>
  <c r="AZ358" i="9"/>
  <c r="AY358" i="9"/>
  <c r="AW358" i="9"/>
  <c r="AV358" i="9"/>
  <c r="BG358" i="9" s="1"/>
  <c r="AW166" i="9"/>
  <c r="AV166" i="9"/>
  <c r="BG166" i="9" s="1"/>
  <c r="AV379" i="9"/>
  <c r="BG379" i="9" s="1"/>
  <c r="AV355" i="9"/>
  <c r="BG355" i="9"/>
  <c r="AV163" i="9"/>
  <c r="BG163" i="9"/>
  <c r="AR90" i="23"/>
  <c r="AR89" i="23"/>
  <c r="AR88" i="23"/>
  <c r="AR87" i="23"/>
  <c r="AR86" i="23"/>
  <c r="AR84" i="23"/>
  <c r="AR83" i="23"/>
  <c r="AR82" i="23"/>
  <c r="AR81" i="23"/>
  <c r="AR80" i="23"/>
  <c r="AR79" i="23"/>
  <c r="AR78" i="23"/>
  <c r="AR77" i="23"/>
  <c r="AR76" i="23"/>
  <c r="AR75" i="23"/>
  <c r="AR74" i="23"/>
  <c r="AR72" i="23"/>
  <c r="AR71" i="23"/>
  <c r="AR70" i="23"/>
  <c r="AR69" i="23"/>
  <c r="AR68" i="23"/>
  <c r="AR67" i="23"/>
  <c r="AR66" i="23"/>
  <c r="AR65" i="23"/>
  <c r="AR64" i="23"/>
  <c r="AR63" i="23"/>
  <c r="AR62" i="23"/>
  <c r="AR61" i="23"/>
  <c r="AR60" i="23"/>
  <c r="AR59" i="23"/>
  <c r="AR58" i="23"/>
  <c r="AR49" i="23"/>
  <c r="AR45" i="23"/>
  <c r="AR44" i="23"/>
  <c r="AR43" i="23"/>
  <c r="AR42" i="23"/>
  <c r="AR40" i="23"/>
  <c r="AR39" i="23"/>
  <c r="AR38" i="23"/>
  <c r="AR37" i="23"/>
  <c r="AR36" i="23"/>
  <c r="AR35" i="23"/>
  <c r="AR34" i="23"/>
  <c r="AR33" i="23"/>
  <c r="AR32" i="23"/>
  <c r="AR31" i="23"/>
  <c r="AR30" i="23"/>
  <c r="AR28" i="23"/>
  <c r="AR27" i="23"/>
  <c r="AR26" i="23"/>
  <c r="AR25" i="23"/>
  <c r="AR24" i="23"/>
  <c r="AR23" i="23"/>
  <c r="AR22" i="23"/>
  <c r="AR21" i="23"/>
  <c r="AR20" i="23"/>
  <c r="AR19" i="23"/>
  <c r="AR18" i="23"/>
  <c r="AR17" i="23"/>
  <c r="AR16" i="23"/>
  <c r="AR15" i="23"/>
  <c r="AR14" i="23"/>
  <c r="AR4" i="23"/>
  <c r="BP149" i="9"/>
  <c r="AB69" i="11"/>
  <c r="AD54" i="33"/>
  <c r="U54" i="33"/>
  <c r="AL67" i="33"/>
  <c r="AL114" i="33" s="1"/>
  <c r="AL21" i="34" s="1"/>
  <c r="AD67" i="33"/>
  <c r="AG67" i="33"/>
  <c r="T50" i="33"/>
  <c r="R50" i="33"/>
  <c r="BD489" i="9"/>
  <c r="BC489" i="9"/>
  <c r="BB489" i="9"/>
  <c r="AY489" i="9"/>
  <c r="AW489" i="9"/>
  <c r="BD465" i="9"/>
  <c r="BC465" i="9"/>
  <c r="BB465" i="9"/>
  <c r="AY465" i="9"/>
  <c r="AW465" i="9"/>
  <c r="BE321" i="9"/>
  <c r="BD321" i="9"/>
  <c r="BC321" i="9"/>
  <c r="BB321" i="9"/>
  <c r="AW321" i="9"/>
  <c r="BE297" i="9"/>
  <c r="BP297" i="9" s="1"/>
  <c r="BD297" i="9"/>
  <c r="BC297" i="9"/>
  <c r="BB297" i="9"/>
  <c r="AZ297" i="9"/>
  <c r="AW297" i="9"/>
  <c r="BE273" i="9"/>
  <c r="BP273" i="9" s="1"/>
  <c r="BP288" i="9" s="1"/>
  <c r="BD273" i="9"/>
  <c r="BC273" i="9"/>
  <c r="BN273" i="9" s="1"/>
  <c r="BB273" i="9"/>
  <c r="AW273" i="9"/>
  <c r="BE249" i="9"/>
  <c r="BP249" i="9" s="1"/>
  <c r="BB249" i="9"/>
  <c r="AZ249" i="9"/>
  <c r="BK249" i="9" s="1"/>
  <c r="AW249" i="9"/>
  <c r="BD225" i="9"/>
  <c r="BC225" i="9"/>
  <c r="BB225" i="9"/>
  <c r="AW225" i="9"/>
  <c r="AW201" i="9"/>
  <c r="BE177" i="9"/>
  <c r="BD177" i="9"/>
  <c r="BC177" i="9"/>
  <c r="BB177" i="9"/>
  <c r="AW177" i="9"/>
  <c r="BE105" i="9"/>
  <c r="BP105" i="9" s="1"/>
  <c r="BD105" i="9"/>
  <c r="BC105" i="9"/>
  <c r="BB105" i="9"/>
  <c r="BM105" i="9" s="1"/>
  <c r="AW105" i="9"/>
  <c r="BH105" i="9" s="1"/>
  <c r="BE487" i="9"/>
  <c r="BP487" i="9"/>
  <c r="BD487" i="9"/>
  <c r="BC487" i="9"/>
  <c r="BB487" i="9"/>
  <c r="AW487" i="9"/>
  <c r="BE463" i="9"/>
  <c r="BP463" i="9"/>
  <c r="AW463" i="9"/>
  <c r="BE319" i="9"/>
  <c r="BP319" i="9" s="1"/>
  <c r="AW319" i="9"/>
  <c r="BE295" i="9"/>
  <c r="AW295" i="9"/>
  <c r="BE271" i="9"/>
  <c r="BP271" i="9"/>
  <c r="AW271" i="9"/>
  <c r="BE247" i="9"/>
  <c r="BP247" i="9" s="1"/>
  <c r="AW247" i="9"/>
  <c r="BE223" i="9"/>
  <c r="AW223" i="9"/>
  <c r="AW199" i="9"/>
  <c r="BE175" i="9"/>
  <c r="BP175" i="9"/>
  <c r="AW175" i="9"/>
  <c r="BH175" i="9" s="1"/>
  <c r="BP127" i="9"/>
  <c r="BE103" i="9"/>
  <c r="AW103" i="9"/>
  <c r="BH103" i="9" s="1"/>
  <c r="BE502" i="9"/>
  <c r="BA502" i="9"/>
  <c r="AZ502" i="9"/>
  <c r="AY502" i="9"/>
  <c r="BJ502" i="9" s="1"/>
  <c r="AW502" i="9"/>
  <c r="BH502" i="9" s="1"/>
  <c r="BE478" i="9"/>
  <c r="BD478" i="9"/>
  <c r="BC478" i="9"/>
  <c r="BB478" i="9"/>
  <c r="AW478" i="9"/>
  <c r="BE334" i="9"/>
  <c r="AW334" i="9"/>
  <c r="AW310" i="9"/>
  <c r="BH310" i="9" s="1"/>
  <c r="BA286" i="9"/>
  <c r="AZ286" i="9"/>
  <c r="BK286" i="9" s="1"/>
  <c r="AW286" i="9"/>
  <c r="BD262" i="9"/>
  <c r="BC262" i="9"/>
  <c r="BB262" i="9"/>
  <c r="AW262" i="9"/>
  <c r="BH262" i="9" s="1"/>
  <c r="AW238" i="9"/>
  <c r="BH238" i="9" s="1"/>
  <c r="AW214" i="9"/>
  <c r="BA190" i="9"/>
  <c r="AY190" i="9"/>
  <c r="BJ190" i="9" s="1"/>
  <c r="AW190" i="9"/>
  <c r="BE118" i="9"/>
  <c r="AW118" i="9"/>
  <c r="BP307" i="9"/>
  <c r="BP283" i="9"/>
  <c r="BP211" i="9"/>
  <c r="BP173" i="9"/>
  <c r="AY173" i="9"/>
  <c r="BJ173" i="9" s="1"/>
  <c r="AQ24" i="20"/>
  <c r="AP24" i="20"/>
  <c r="AO24" i="20"/>
  <c r="AN24" i="20"/>
  <c r="AM24" i="20"/>
  <c r="AL24" i="20"/>
  <c r="AK24" i="20"/>
  <c r="AJ24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AQ22" i="20"/>
  <c r="AP22" i="20"/>
  <c r="AO22" i="20"/>
  <c r="AN22" i="20"/>
  <c r="AM22" i="20"/>
  <c r="AL22" i="20"/>
  <c r="AK22" i="20"/>
  <c r="AJ22" i="20"/>
  <c r="AI22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AQ21" i="20"/>
  <c r="AP21" i="20"/>
  <c r="AO21" i="20"/>
  <c r="AN21" i="20"/>
  <c r="AM21" i="20"/>
  <c r="AL21" i="20"/>
  <c r="AK21" i="20"/>
  <c r="AJ21" i="20"/>
  <c r="AI21" i="20"/>
  <c r="AH21" i="20"/>
  <c r="AG21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AQ19" i="20"/>
  <c r="AP19" i="20"/>
  <c r="AO19" i="20"/>
  <c r="AN19" i="20"/>
  <c r="AM19" i="20"/>
  <c r="AL19" i="20"/>
  <c r="AK19" i="20"/>
  <c r="AJ19" i="20"/>
  <c r="AI19" i="20"/>
  <c r="AH19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AQ18" i="20"/>
  <c r="AP18" i="20"/>
  <c r="AO18" i="20"/>
  <c r="AN18" i="20"/>
  <c r="AM18" i="20"/>
  <c r="AL18" i="20"/>
  <c r="AK18" i="20"/>
  <c r="AJ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AQ17" i="20"/>
  <c r="AP17" i="20"/>
  <c r="AO17" i="20"/>
  <c r="AN17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AV149" i="9"/>
  <c r="BG149" i="9" s="1"/>
  <c r="AV150" i="9"/>
  <c r="BG150" i="9" s="1"/>
  <c r="AM218" i="9"/>
  <c r="AI218" i="9"/>
  <c r="AE218" i="9"/>
  <c r="AV222" i="9"/>
  <c r="BG222" i="9" s="1"/>
  <c r="BF568" i="9"/>
  <c r="AY558" i="9"/>
  <c r="AY570" i="9" s="1"/>
  <c r="BN527" i="9"/>
  <c r="BM527" i="9"/>
  <c r="BP525" i="9"/>
  <c r="BM525" i="9"/>
  <c r="BL525" i="9"/>
  <c r="BO524" i="9"/>
  <c r="BL524" i="9"/>
  <c r="BI524" i="9"/>
  <c r="BO522" i="9"/>
  <c r="BN522" i="9"/>
  <c r="BI522" i="9"/>
  <c r="BH522" i="9"/>
  <c r="BP520" i="9"/>
  <c r="BL520" i="9"/>
  <c r="BP519" i="9"/>
  <c r="BL519" i="9"/>
  <c r="BI519" i="9"/>
  <c r="BO518" i="9"/>
  <c r="BN518" i="9"/>
  <c r="BJ518" i="9"/>
  <c r="BI518" i="9"/>
  <c r="BO517" i="9"/>
  <c r="BN517" i="9"/>
  <c r="BI517" i="9"/>
  <c r="BH517" i="9"/>
  <c r="BN516" i="9"/>
  <c r="BM516" i="9"/>
  <c r="BH516" i="9"/>
  <c r="BP515" i="9"/>
  <c r="BL515" i="9"/>
  <c r="BP514" i="9"/>
  <c r="BO512" i="9"/>
  <c r="BN512" i="9"/>
  <c r="BI512" i="9"/>
  <c r="BH512" i="9"/>
  <c r="BN503" i="9"/>
  <c r="BH503" i="9"/>
  <c r="BM501" i="9"/>
  <c r="BL501" i="9"/>
  <c r="BP500" i="9"/>
  <c r="BL500" i="9"/>
  <c r="BO498" i="9"/>
  <c r="BI498" i="9"/>
  <c r="BN497" i="9"/>
  <c r="BH497" i="9"/>
  <c r="BM496" i="9"/>
  <c r="BL496" i="9"/>
  <c r="BP495" i="9"/>
  <c r="BL495" i="9"/>
  <c r="BE558" i="9"/>
  <c r="BE570" i="9" s="1"/>
  <c r="BD558" i="9"/>
  <c r="BD570" i="9" s="1"/>
  <c r="BC558" i="9"/>
  <c r="BC570" i="9" s="1"/>
  <c r="BB558" i="9"/>
  <c r="BB570" i="9"/>
  <c r="BA558" i="9"/>
  <c r="BA570" i="9" s="1"/>
  <c r="AZ558" i="9"/>
  <c r="BK494" i="9"/>
  <c r="AX558" i="9"/>
  <c r="AX570" i="9" s="1"/>
  <c r="AW558" i="9"/>
  <c r="AW570" i="9" s="1"/>
  <c r="BO493" i="9"/>
  <c r="BI493" i="9"/>
  <c r="BP492" i="9"/>
  <c r="BN492" i="9"/>
  <c r="BL492" i="9"/>
  <c r="BH492" i="9"/>
  <c r="BM491" i="9"/>
  <c r="BL491" i="9"/>
  <c r="BI491" i="9"/>
  <c r="BN490" i="9"/>
  <c r="BL490" i="9"/>
  <c r="BH490" i="9"/>
  <c r="BM488" i="9"/>
  <c r="BL488" i="9"/>
  <c r="BP479" i="9"/>
  <c r="BL479" i="9"/>
  <c r="BO477" i="9"/>
  <c r="BI477" i="9"/>
  <c r="BN476" i="9"/>
  <c r="BH476" i="9"/>
  <c r="BN474" i="9"/>
  <c r="BM474" i="9"/>
  <c r="BL474" i="9"/>
  <c r="BK474" i="9"/>
  <c r="BH474" i="9"/>
  <c r="BM473" i="9"/>
  <c r="BP472" i="9"/>
  <c r="BL472" i="9"/>
  <c r="BO471" i="9"/>
  <c r="BL471" i="9"/>
  <c r="BI471" i="9"/>
  <c r="BN470" i="9"/>
  <c r="BK470" i="9"/>
  <c r="BJ470" i="9"/>
  <c r="BP469" i="9"/>
  <c r="BO469" i="9"/>
  <c r="BI469" i="9"/>
  <c r="BO468" i="9"/>
  <c r="BN468" i="9"/>
  <c r="BL468" i="9"/>
  <c r="BI468" i="9"/>
  <c r="BH468" i="9"/>
  <c r="BN467" i="9"/>
  <c r="BM467" i="9"/>
  <c r="BL467" i="9"/>
  <c r="BH467" i="9"/>
  <c r="BP466" i="9"/>
  <c r="BM466" i="9"/>
  <c r="BL466" i="9"/>
  <c r="BO464" i="9"/>
  <c r="BI464" i="9"/>
  <c r="BP335" i="9"/>
  <c r="BO335" i="9"/>
  <c r="BN335" i="9"/>
  <c r="BH335" i="9"/>
  <c r="BO333" i="9"/>
  <c r="BN333" i="9"/>
  <c r="BM333" i="9"/>
  <c r="BK333" i="9"/>
  <c r="BJ333" i="9"/>
  <c r="BI333" i="9"/>
  <c r="BP332" i="9"/>
  <c r="BO332" i="9"/>
  <c r="BN332" i="9"/>
  <c r="BL332" i="9"/>
  <c r="BI332" i="9"/>
  <c r="BP330" i="9"/>
  <c r="BN330" i="9"/>
  <c r="BL330" i="9"/>
  <c r="BK330" i="9"/>
  <c r="BJ330" i="9"/>
  <c r="BI330" i="9"/>
  <c r="BO329" i="9"/>
  <c r="BN329" i="9"/>
  <c r="BK329" i="9"/>
  <c r="BJ329" i="9"/>
  <c r="BP328" i="9"/>
  <c r="BO328" i="9"/>
  <c r="BL328" i="9"/>
  <c r="BK328" i="9"/>
  <c r="BJ328" i="9"/>
  <c r="BH328" i="9"/>
  <c r="BP327" i="9"/>
  <c r="BM327" i="9"/>
  <c r="BL327" i="9"/>
  <c r="BI327" i="9"/>
  <c r="BH327" i="9"/>
  <c r="BP326" i="9"/>
  <c r="BO326" i="9"/>
  <c r="BN326" i="9"/>
  <c r="BM326" i="9"/>
  <c r="BI326" i="9"/>
  <c r="BP325" i="9"/>
  <c r="BO325" i="9"/>
  <c r="BN325" i="9"/>
  <c r="BL325" i="9"/>
  <c r="BK325" i="9"/>
  <c r="BJ325" i="9"/>
  <c r="BI325" i="9"/>
  <c r="BH325" i="9"/>
  <c r="BP324" i="9"/>
  <c r="BO324" i="9"/>
  <c r="BN324" i="9"/>
  <c r="BK324" i="9"/>
  <c r="BI324" i="9"/>
  <c r="BH324" i="9"/>
  <c r="BP323" i="9"/>
  <c r="BO323" i="9"/>
  <c r="BM323" i="9"/>
  <c r="BL323" i="9"/>
  <c r="BI323" i="9"/>
  <c r="BP322" i="9"/>
  <c r="BO322" i="9"/>
  <c r="BN322" i="9"/>
  <c r="BM322" i="9"/>
  <c r="BI322" i="9"/>
  <c r="BP320" i="9"/>
  <c r="BO320" i="9"/>
  <c r="BN320" i="9"/>
  <c r="BM320" i="9"/>
  <c r="BL320" i="9"/>
  <c r="BK320" i="9"/>
  <c r="BJ320" i="9"/>
  <c r="BO311" i="9"/>
  <c r="BM311" i="9"/>
  <c r="BL311" i="9"/>
  <c r="BI311" i="9"/>
  <c r="BP309" i="9"/>
  <c r="BO309" i="9"/>
  <c r="BN309" i="9"/>
  <c r="BL309" i="9"/>
  <c r="BJ309" i="9"/>
  <c r="BI309" i="9"/>
  <c r="BH309" i="9"/>
  <c r="BP308" i="9"/>
  <c r="BO308" i="9"/>
  <c r="BM308" i="9"/>
  <c r="BL308" i="9"/>
  <c r="BK308" i="9"/>
  <c r="BI308" i="9"/>
  <c r="BH308" i="9"/>
  <c r="BP306" i="9"/>
  <c r="BO306" i="9"/>
  <c r="BN306" i="9"/>
  <c r="BM306" i="9"/>
  <c r="BL306" i="9"/>
  <c r="BK306" i="9"/>
  <c r="BI306" i="9"/>
  <c r="BH306" i="9"/>
  <c r="BP305" i="9"/>
  <c r="BN305" i="9"/>
  <c r="BM305" i="9"/>
  <c r="BL305" i="9"/>
  <c r="BK305" i="9"/>
  <c r="BI305" i="9"/>
  <c r="BH305" i="9"/>
  <c r="BP304" i="9"/>
  <c r="BN304" i="9"/>
  <c r="BJ304" i="9"/>
  <c r="BI304" i="9"/>
  <c r="BP303" i="9"/>
  <c r="BO303" i="9"/>
  <c r="BN303" i="9"/>
  <c r="BK303" i="9"/>
  <c r="BJ303" i="9"/>
  <c r="BH303" i="9"/>
  <c r="BP302" i="9"/>
  <c r="BO302" i="9"/>
  <c r="BM302" i="9"/>
  <c r="BL302" i="9"/>
  <c r="BK302" i="9"/>
  <c r="BH302" i="9"/>
  <c r="BO301" i="9"/>
  <c r="BN301" i="9"/>
  <c r="BK301" i="9"/>
  <c r="BI301" i="9"/>
  <c r="BH301" i="9"/>
  <c r="BP300" i="9"/>
  <c r="BO300" i="9"/>
  <c r="BN300" i="9"/>
  <c r="BK300" i="9"/>
  <c r="BJ300" i="9"/>
  <c r="BP299" i="9"/>
  <c r="BN299" i="9"/>
  <c r="BK299" i="9"/>
  <c r="BI299" i="9"/>
  <c r="BH299" i="9"/>
  <c r="BM298" i="9"/>
  <c r="BH298" i="9"/>
  <c r="BO296" i="9"/>
  <c r="BN296" i="9"/>
  <c r="BM296" i="9"/>
  <c r="BL296" i="9"/>
  <c r="BK296" i="9"/>
  <c r="BJ296" i="9"/>
  <c r="BI296" i="9"/>
  <c r="BP287" i="9"/>
  <c r="BO287" i="9"/>
  <c r="BM287" i="9"/>
  <c r="BL287" i="9"/>
  <c r="BI287" i="9"/>
  <c r="BP285" i="9"/>
  <c r="BO285" i="9"/>
  <c r="BJ285" i="9"/>
  <c r="BI285" i="9"/>
  <c r="BH285" i="9"/>
  <c r="BO284" i="9"/>
  <c r="BN284" i="9"/>
  <c r="BM284" i="9"/>
  <c r="BK284" i="9"/>
  <c r="BI284" i="9"/>
  <c r="BP282" i="9"/>
  <c r="BO282" i="9"/>
  <c r="BN282" i="9"/>
  <c r="BJ282" i="9"/>
  <c r="BI282" i="9"/>
  <c r="BH282" i="9"/>
  <c r="BO281" i="9"/>
  <c r="BN281" i="9"/>
  <c r="BK281" i="9"/>
  <c r="BI281" i="9"/>
  <c r="BP280" i="9"/>
  <c r="BO280" i="9"/>
  <c r="BN280" i="9"/>
  <c r="BI280" i="9"/>
  <c r="BO279" i="9"/>
  <c r="BN279" i="9"/>
  <c r="BM279" i="9"/>
  <c r="BK279" i="9"/>
  <c r="BI279" i="9"/>
  <c r="BP278" i="9"/>
  <c r="BO278" i="9"/>
  <c r="BN278" i="9"/>
  <c r="BI278" i="9"/>
  <c r="BH278" i="9"/>
  <c r="BN277" i="9"/>
  <c r="BM277" i="9"/>
  <c r="BI277" i="9"/>
  <c r="BM276" i="9"/>
  <c r="BL276" i="9"/>
  <c r="BK276" i="9"/>
  <c r="BJ276" i="9"/>
  <c r="BI276" i="9"/>
  <c r="BH276" i="9"/>
  <c r="BO275" i="9"/>
  <c r="BN275" i="9"/>
  <c r="BM275" i="9"/>
  <c r="BK275" i="9"/>
  <c r="BI275" i="9"/>
  <c r="BP274" i="9"/>
  <c r="BO274" i="9"/>
  <c r="BN274" i="9"/>
  <c r="BI274" i="9"/>
  <c r="BO272" i="9"/>
  <c r="BN272" i="9"/>
  <c r="BM272" i="9"/>
  <c r="BI272" i="9"/>
  <c r="BH272" i="9"/>
  <c r="BP263" i="9"/>
  <c r="BN263" i="9"/>
  <c r="BM263" i="9"/>
  <c r="BH263" i="9"/>
  <c r="BP261" i="9"/>
  <c r="BM261" i="9"/>
  <c r="BK261" i="9"/>
  <c r="BI261" i="9"/>
  <c r="BH261" i="9"/>
  <c r="BN260" i="9"/>
  <c r="BM260" i="9"/>
  <c r="BL260" i="9"/>
  <c r="BP258" i="9"/>
  <c r="BO258" i="9"/>
  <c r="BM258" i="9"/>
  <c r="BL258" i="9"/>
  <c r="BJ258" i="9"/>
  <c r="BI258" i="9"/>
  <c r="BN257" i="9"/>
  <c r="BM257" i="9"/>
  <c r="BL257" i="9"/>
  <c r="BK257" i="9"/>
  <c r="BJ257" i="9"/>
  <c r="BI257" i="9"/>
  <c r="BP256" i="9"/>
  <c r="BO256" i="9"/>
  <c r="BN256" i="9"/>
  <c r="BK256" i="9"/>
  <c r="BP255" i="9"/>
  <c r="BO255" i="9"/>
  <c r="BN255" i="9"/>
  <c r="BM255" i="9"/>
  <c r="BL255" i="9"/>
  <c r="BJ255" i="9"/>
  <c r="BP254" i="9"/>
  <c r="BO254" i="9"/>
  <c r="BN254" i="9"/>
  <c r="BL254" i="9"/>
  <c r="BK254" i="9"/>
  <c r="BJ254" i="9"/>
  <c r="BH254" i="9"/>
  <c r="BP253" i="9"/>
  <c r="BO253" i="9"/>
  <c r="BM253" i="9"/>
  <c r="BL253" i="9"/>
  <c r="BK253" i="9"/>
  <c r="BI253" i="9"/>
  <c r="BH253" i="9"/>
  <c r="BP252" i="9"/>
  <c r="BN252" i="9"/>
  <c r="BM252" i="9"/>
  <c r="BL252" i="9"/>
  <c r="BK252" i="9"/>
  <c r="BJ252" i="9"/>
  <c r="BI252" i="9"/>
  <c r="BH252" i="9"/>
  <c r="BP251" i="9"/>
  <c r="BL251" i="9"/>
  <c r="BI251" i="9"/>
  <c r="BO250" i="9"/>
  <c r="BN250" i="9"/>
  <c r="BM250" i="9"/>
  <c r="BL250" i="9"/>
  <c r="BI250" i="9"/>
  <c r="BP248" i="9"/>
  <c r="BO248" i="9"/>
  <c r="BL248" i="9"/>
  <c r="BK248" i="9"/>
  <c r="BJ248" i="9"/>
  <c r="BI248" i="9"/>
  <c r="BN239" i="9"/>
  <c r="BL239" i="9"/>
  <c r="BP237" i="9"/>
  <c r="BO237" i="9"/>
  <c r="BN237" i="9"/>
  <c r="BM237" i="9"/>
  <c r="BJ237" i="9"/>
  <c r="BH237" i="9"/>
  <c r="BP236" i="9"/>
  <c r="BM236" i="9"/>
  <c r="BK236" i="9"/>
  <c r="BI236" i="9"/>
  <c r="BH236" i="9"/>
  <c r="BP234" i="9"/>
  <c r="BM234" i="9"/>
  <c r="BL234" i="9"/>
  <c r="BH234" i="9"/>
  <c r="BO233" i="9"/>
  <c r="BN233" i="9"/>
  <c r="BM233" i="9"/>
  <c r="BP232" i="9"/>
  <c r="BH232" i="9"/>
  <c r="BO231" i="9"/>
  <c r="BN231" i="9"/>
  <c r="BI231" i="9"/>
  <c r="BP230" i="9"/>
  <c r="BL230" i="9"/>
  <c r="BJ230" i="9"/>
  <c r="BI230" i="9"/>
  <c r="BO229" i="9"/>
  <c r="BL229" i="9"/>
  <c r="BJ229" i="9"/>
  <c r="BP228" i="9"/>
  <c r="BO228" i="9"/>
  <c r="BM228" i="9"/>
  <c r="BL228" i="9"/>
  <c r="BJ228" i="9"/>
  <c r="BH228" i="9"/>
  <c r="BP227" i="9"/>
  <c r="BM227" i="9"/>
  <c r="BJ227" i="9"/>
  <c r="BH227" i="9"/>
  <c r="BP226" i="9"/>
  <c r="BO226" i="9"/>
  <c r="BN226" i="9"/>
  <c r="BL226" i="9"/>
  <c r="BK226" i="9"/>
  <c r="BP224" i="9"/>
  <c r="BO224" i="9"/>
  <c r="BN224" i="9"/>
  <c r="BM224" i="9"/>
  <c r="BK224" i="9"/>
  <c r="BH224" i="9"/>
  <c r="BP215" i="9"/>
  <c r="BH215" i="9"/>
  <c r="BP213" i="9"/>
  <c r="BN213" i="9"/>
  <c r="BK213" i="9"/>
  <c r="BJ213" i="9"/>
  <c r="BH213" i="9"/>
  <c r="BP212" i="9"/>
  <c r="BK212" i="9"/>
  <c r="BI212" i="9"/>
  <c r="BP210" i="9"/>
  <c r="BO210" i="9"/>
  <c r="BM210" i="9"/>
  <c r="BH210" i="9"/>
  <c r="BP209" i="9"/>
  <c r="BO209" i="9"/>
  <c r="BK209" i="9"/>
  <c r="BI209" i="9"/>
  <c r="BP208" i="9"/>
  <c r="BO208" i="9"/>
  <c r="BM208" i="9"/>
  <c r="BL208" i="9"/>
  <c r="BK208" i="9"/>
  <c r="BP207" i="9"/>
  <c r="BN207" i="9"/>
  <c r="BM207" i="9"/>
  <c r="BI207" i="9"/>
  <c r="BH207" i="9"/>
  <c r="BP206" i="9"/>
  <c r="BM206" i="9"/>
  <c r="BK206" i="9"/>
  <c r="BP205" i="9"/>
  <c r="BO205" i="9"/>
  <c r="BP204" i="9"/>
  <c r="BN204" i="9"/>
  <c r="BL204" i="9"/>
  <c r="BK204" i="9"/>
  <c r="BJ204" i="9"/>
  <c r="BI204" i="9"/>
  <c r="BH204" i="9"/>
  <c r="BP203" i="9"/>
  <c r="BN203" i="9"/>
  <c r="BM203" i="9"/>
  <c r="BL203" i="9"/>
  <c r="BK203" i="9"/>
  <c r="BI203" i="9"/>
  <c r="BP202" i="9"/>
  <c r="BL202" i="9"/>
  <c r="BK202" i="9"/>
  <c r="BL200" i="9"/>
  <c r="BH200" i="9"/>
  <c r="BP191" i="9"/>
  <c r="BO191" i="9"/>
  <c r="BM191" i="9"/>
  <c r="BL191" i="9"/>
  <c r="BI191" i="9"/>
  <c r="BP189" i="9"/>
  <c r="BN189" i="9"/>
  <c r="BL189" i="9"/>
  <c r="BJ189" i="9"/>
  <c r="BH189" i="9"/>
  <c r="BP188" i="9"/>
  <c r="BO188" i="9"/>
  <c r="BM188" i="9"/>
  <c r="BL188" i="9"/>
  <c r="BK188" i="9"/>
  <c r="BI188" i="9"/>
  <c r="BP186" i="9"/>
  <c r="BN186" i="9"/>
  <c r="BM186" i="9"/>
  <c r="BL186" i="9"/>
  <c r="BK186" i="9"/>
  <c r="BP185" i="9"/>
  <c r="BO185" i="9"/>
  <c r="BN185" i="9"/>
  <c r="BL185" i="9"/>
  <c r="BJ185" i="9"/>
  <c r="BI185" i="9"/>
  <c r="BP184" i="9"/>
  <c r="BN184" i="9"/>
  <c r="BM184" i="9"/>
  <c r="BJ184" i="9"/>
  <c r="BH184" i="9"/>
  <c r="BP183" i="9"/>
  <c r="BO183" i="9"/>
  <c r="BM183" i="9"/>
  <c r="BL183" i="9"/>
  <c r="BK183" i="9"/>
  <c r="BI183" i="9"/>
  <c r="BP182" i="9"/>
  <c r="BO182" i="9"/>
  <c r="BN182" i="9"/>
  <c r="BM182" i="9"/>
  <c r="BL182" i="9"/>
  <c r="BK182" i="9"/>
  <c r="BJ182" i="9"/>
  <c r="BI182" i="9"/>
  <c r="BJ181" i="9"/>
  <c r="BI181" i="9"/>
  <c r="BH181" i="9"/>
  <c r="BP180" i="9"/>
  <c r="BO180" i="9"/>
  <c r="BL180" i="9"/>
  <c r="BI180" i="9"/>
  <c r="BP179" i="9"/>
  <c r="BO179" i="9"/>
  <c r="BM179" i="9"/>
  <c r="BK179" i="9"/>
  <c r="BJ179" i="9"/>
  <c r="BI179" i="9"/>
  <c r="BH179" i="9"/>
  <c r="BP178" i="9"/>
  <c r="BM178" i="9"/>
  <c r="BP176" i="9"/>
  <c r="BK176" i="9"/>
  <c r="BH176" i="9"/>
  <c r="BP143" i="9"/>
  <c r="BN143" i="9"/>
  <c r="BI143" i="9"/>
  <c r="BM141" i="9"/>
  <c r="BK141" i="9"/>
  <c r="BI141" i="9"/>
  <c r="BP140" i="9"/>
  <c r="BN140" i="9"/>
  <c r="BL140" i="9"/>
  <c r="BK140" i="9"/>
  <c r="BJ140" i="9"/>
  <c r="BP138" i="9"/>
  <c r="BN138" i="9"/>
  <c r="BM138" i="9"/>
  <c r="BP137" i="9"/>
  <c r="BJ137" i="9"/>
  <c r="BO136" i="9"/>
  <c r="BI136" i="9"/>
  <c r="BP135" i="9"/>
  <c r="BN135" i="9"/>
  <c r="BK135" i="9"/>
  <c r="BI135" i="9"/>
  <c r="BM134" i="9"/>
  <c r="BK134" i="9"/>
  <c r="BI134" i="9"/>
  <c r="BP133" i="9"/>
  <c r="BN133" i="9"/>
  <c r="BM133" i="9"/>
  <c r="BJ133" i="9"/>
  <c r="BO132" i="9"/>
  <c r="BN132" i="9"/>
  <c r="BK132" i="9"/>
  <c r="BP131" i="9"/>
  <c r="BN131" i="9"/>
  <c r="BK131" i="9"/>
  <c r="BJ131" i="9"/>
  <c r="BP130" i="9"/>
  <c r="BO130" i="9"/>
  <c r="BM130" i="9"/>
  <c r="BL130" i="9"/>
  <c r="BP128" i="9"/>
  <c r="BN128" i="9"/>
  <c r="BP119" i="9"/>
  <c r="BM119" i="9"/>
  <c r="BL119" i="9"/>
  <c r="BP117" i="9"/>
  <c r="BO117" i="9"/>
  <c r="BN117" i="9"/>
  <c r="BL117" i="9"/>
  <c r="BP116" i="9"/>
  <c r="BO116" i="9"/>
  <c r="BM116" i="9"/>
  <c r="BK116" i="9"/>
  <c r="BI116" i="9"/>
  <c r="BH116" i="9"/>
  <c r="BP114" i="9"/>
  <c r="BM114" i="9"/>
  <c r="BN113" i="9"/>
  <c r="BM113" i="9"/>
  <c r="BK113" i="9"/>
  <c r="BI113" i="9"/>
  <c r="BP112" i="9"/>
  <c r="BN112" i="9"/>
  <c r="BL112" i="9"/>
  <c r="BJ112" i="9"/>
  <c r="BI112" i="9"/>
  <c r="BH112" i="9"/>
  <c r="BP111" i="9"/>
  <c r="BO111" i="9"/>
  <c r="BM111" i="9"/>
  <c r="BL111" i="9"/>
  <c r="BK111" i="9"/>
  <c r="BH111" i="9"/>
  <c r="BP110" i="9"/>
  <c r="BN110" i="9"/>
  <c r="BJ110" i="9"/>
  <c r="BI110" i="9"/>
  <c r="BH110" i="9"/>
  <c r="BO109" i="9"/>
  <c r="BN109" i="9"/>
  <c r="BM109" i="9"/>
  <c r="BP108" i="9"/>
  <c r="BO108" i="9"/>
  <c r="BN108" i="9"/>
  <c r="BL108" i="9"/>
  <c r="BJ108" i="9"/>
  <c r="BO107" i="9"/>
  <c r="BM107" i="9"/>
  <c r="BK107" i="9"/>
  <c r="BP106" i="9"/>
  <c r="BN106" i="9"/>
  <c r="BL106" i="9"/>
  <c r="BP104" i="9"/>
  <c r="BO104" i="9"/>
  <c r="BM104" i="9"/>
  <c r="BK104" i="9"/>
  <c r="BI104" i="9"/>
  <c r="BP68" i="9"/>
  <c r="BL68" i="9"/>
  <c r="BO66" i="9"/>
  <c r="BM66" i="9"/>
  <c r="BL66" i="9"/>
  <c r="BI66" i="9"/>
  <c r="BM65" i="9"/>
  <c r="BI65" i="9"/>
  <c r="BL63" i="9"/>
  <c r="BI63" i="9"/>
  <c r="BP62" i="9"/>
  <c r="BN62" i="9"/>
  <c r="BN61" i="9"/>
  <c r="BL61" i="9"/>
  <c r="BP60" i="9"/>
  <c r="BL60" i="9"/>
  <c r="BI60" i="9"/>
  <c r="BN59" i="9"/>
  <c r="BL59" i="9"/>
  <c r="BK59" i="9"/>
  <c r="BJ59" i="9"/>
  <c r="BP58" i="9"/>
  <c r="BN58" i="9"/>
  <c r="BL58" i="9"/>
  <c r="BJ58" i="9"/>
  <c r="BO57" i="9"/>
  <c r="BM57" i="9"/>
  <c r="BL57" i="9"/>
  <c r="BI57" i="9"/>
  <c r="BP56" i="9"/>
  <c r="BO56" i="9"/>
  <c r="BN56" i="9"/>
  <c r="BL56" i="9"/>
  <c r="BK56" i="9"/>
  <c r="BM55" i="9"/>
  <c r="BL55" i="9"/>
  <c r="BJ55" i="9"/>
  <c r="BP53" i="9"/>
  <c r="BN53" i="9"/>
  <c r="BK53" i="9"/>
  <c r="BI53" i="9"/>
  <c r="BH30" i="9"/>
  <c r="BJ30" i="9"/>
  <c r="BM30" i="9"/>
  <c r="BO30" i="9"/>
  <c r="BP30" i="9"/>
  <c r="BH32" i="9"/>
  <c r="BJ32" i="9"/>
  <c r="BL32" i="9"/>
  <c r="BN32" i="9"/>
  <c r="BO32" i="9"/>
  <c r="BK33" i="9"/>
  <c r="BL33" i="9"/>
  <c r="BM33" i="9"/>
  <c r="BH34" i="9"/>
  <c r="BN34" i="9"/>
  <c r="BP34" i="9"/>
  <c r="BN35" i="9"/>
  <c r="BP35" i="9"/>
  <c r="BL36" i="9"/>
  <c r="BM36" i="9"/>
  <c r="BO36" i="9"/>
  <c r="BM37" i="9"/>
  <c r="BO37" i="9"/>
  <c r="BH38" i="9"/>
  <c r="BL38" i="9"/>
  <c r="BM38" i="9"/>
  <c r="BN38" i="9"/>
  <c r="BP38" i="9"/>
  <c r="BI39" i="9"/>
  <c r="BK39" i="9"/>
  <c r="BL39" i="9"/>
  <c r="BM39" i="9"/>
  <c r="BO39" i="9"/>
  <c r="BH40" i="9"/>
  <c r="BM40" i="9"/>
  <c r="BN40" i="9"/>
  <c r="BP40" i="9"/>
  <c r="BH42" i="9"/>
  <c r="BI42" i="9"/>
  <c r="BJ42" i="9"/>
  <c r="BK42" i="9"/>
  <c r="BL42" i="9"/>
  <c r="BM42" i="9"/>
  <c r="BN42" i="9"/>
  <c r="BO42" i="9"/>
  <c r="BP42" i="9"/>
  <c r="BH43" i="9"/>
  <c r="BJ43" i="9"/>
  <c r="BL43" i="9"/>
  <c r="BM43" i="9"/>
  <c r="BN43" i="9"/>
  <c r="BO43" i="9"/>
  <c r="BP43" i="9"/>
  <c r="BL45" i="9"/>
  <c r="BM45" i="9"/>
  <c r="BH7" i="9"/>
  <c r="BL7" i="9"/>
  <c r="BP7" i="9"/>
  <c r="BM9" i="9"/>
  <c r="BO9" i="9"/>
  <c r="BP9" i="9"/>
  <c r="BH10" i="9"/>
  <c r="BI10" i="9"/>
  <c r="BK10" i="9"/>
  <c r="BN10" i="9"/>
  <c r="BP10" i="9"/>
  <c r="BH11" i="9"/>
  <c r="BK11" i="9"/>
  <c r="BM11" i="9"/>
  <c r="BP11" i="9"/>
  <c r="BM12" i="9"/>
  <c r="BN12" i="9"/>
  <c r="C8" i="13"/>
  <c r="N8" i="13" s="1"/>
  <c r="D8" i="13"/>
  <c r="O8" i="13" s="1"/>
  <c r="F8" i="13"/>
  <c r="Q8" i="13" s="1"/>
  <c r="H8" i="13"/>
  <c r="S8" i="13" s="1"/>
  <c r="J8" i="13"/>
  <c r="U8" i="13" s="1"/>
  <c r="BP13" i="9"/>
  <c r="BH14" i="9"/>
  <c r="BL14" i="9"/>
  <c r="BN14" i="9"/>
  <c r="BP14" i="9"/>
  <c r="BK15" i="9"/>
  <c r="BO15" i="9"/>
  <c r="BN16" i="9"/>
  <c r="BP16" i="9"/>
  <c r="BL17" i="9"/>
  <c r="BM17" i="9"/>
  <c r="BP17" i="9"/>
  <c r="BK19" i="9"/>
  <c r="BL19" i="9"/>
  <c r="BN19" i="9"/>
  <c r="BP19" i="9"/>
  <c r="BH20" i="9"/>
  <c r="BI20" i="9"/>
  <c r="BC89" i="9"/>
  <c r="BO20" i="9"/>
  <c r="BP22" i="9"/>
  <c r="AW329" i="21"/>
  <c r="AW331" i="21"/>
  <c r="AW332" i="21"/>
  <c r="AW333" i="21"/>
  <c r="AW334" i="21"/>
  <c r="AW335" i="21"/>
  <c r="AW336" i="21"/>
  <c r="AW337" i="21"/>
  <c r="AW338" i="21"/>
  <c r="AW339" i="21"/>
  <c r="AW341" i="21"/>
  <c r="AW342" i="21"/>
  <c r="AW343" i="21"/>
  <c r="AW344" i="21"/>
  <c r="AW305" i="21"/>
  <c r="AW306" i="21"/>
  <c r="AW308" i="21"/>
  <c r="AW309" i="21"/>
  <c r="AW310" i="21"/>
  <c r="AW311" i="21"/>
  <c r="AW312" i="21"/>
  <c r="AW313" i="21"/>
  <c r="AW314" i="21"/>
  <c r="AW315" i="21"/>
  <c r="AW316" i="21"/>
  <c r="AW318" i="21"/>
  <c r="AW319" i="21"/>
  <c r="AW320" i="21"/>
  <c r="AW321" i="21"/>
  <c r="AW303" i="21"/>
  <c r="AW168" i="21"/>
  <c r="AW170" i="21"/>
  <c r="AW171" i="21"/>
  <c r="AW172" i="21"/>
  <c r="AW173" i="21"/>
  <c r="AW174" i="21"/>
  <c r="AW175" i="21"/>
  <c r="AW176" i="21"/>
  <c r="AW177" i="21"/>
  <c r="AW178" i="21"/>
  <c r="AW180" i="21"/>
  <c r="AW181" i="21"/>
  <c r="AW145" i="21"/>
  <c r="AW147" i="21"/>
  <c r="AW148" i="21"/>
  <c r="AW149" i="21"/>
  <c r="AW150" i="21"/>
  <c r="AW151" i="21"/>
  <c r="AW152" i="21"/>
  <c r="AW153" i="21"/>
  <c r="AW154" i="21"/>
  <c r="AW155" i="21"/>
  <c r="AW157" i="21"/>
  <c r="AW158" i="21"/>
  <c r="AW160" i="21"/>
  <c r="AW122" i="21"/>
  <c r="AW124" i="21"/>
  <c r="AW125" i="21"/>
  <c r="AW126" i="21"/>
  <c r="AW127" i="21"/>
  <c r="AW128" i="21"/>
  <c r="AW129" i="21"/>
  <c r="AW130" i="21"/>
  <c r="AW131" i="21"/>
  <c r="AW132" i="21"/>
  <c r="AW134" i="21"/>
  <c r="AW135" i="21"/>
  <c r="AW99" i="21"/>
  <c r="AW101" i="21"/>
  <c r="AW102" i="21"/>
  <c r="AW103" i="21"/>
  <c r="AW104" i="21"/>
  <c r="AW105" i="21"/>
  <c r="AW106" i="21"/>
  <c r="AW107" i="21"/>
  <c r="AW108" i="21"/>
  <c r="AW109" i="21"/>
  <c r="AW111" i="21"/>
  <c r="AW112" i="21"/>
  <c r="AR78" i="11"/>
  <c r="AR82" i="10"/>
  <c r="AR83" i="10"/>
  <c r="BP527" i="9"/>
  <c r="BP524" i="9"/>
  <c r="BP522" i="9"/>
  <c r="BP521" i="9"/>
  <c r="BP518" i="9"/>
  <c r="BP517" i="9"/>
  <c r="BP516" i="9"/>
  <c r="BP512" i="9"/>
  <c r="BP503" i="9"/>
  <c r="BP501" i="9"/>
  <c r="BP498" i="9"/>
  <c r="BP497" i="9"/>
  <c r="BP496" i="9"/>
  <c r="BP494" i="9"/>
  <c r="BP493" i="9"/>
  <c r="BP491" i="9"/>
  <c r="BP490" i="9"/>
  <c r="BP488" i="9"/>
  <c r="BP464" i="9"/>
  <c r="BP467" i="9"/>
  <c r="BP468" i="9"/>
  <c r="BP470" i="9"/>
  <c r="BP471" i="9"/>
  <c r="BP473" i="9"/>
  <c r="BP474" i="9"/>
  <c r="BP476" i="9"/>
  <c r="BP477" i="9"/>
  <c r="BP333" i="9"/>
  <c r="BP329" i="9"/>
  <c r="BP301" i="9"/>
  <c r="BP298" i="9"/>
  <c r="BP296" i="9"/>
  <c r="BP272" i="9"/>
  <c r="BP275" i="9"/>
  <c r="BP276" i="9"/>
  <c r="BP277" i="9"/>
  <c r="BP279" i="9"/>
  <c r="BP281" i="9"/>
  <c r="BP284" i="9"/>
  <c r="BP181" i="9"/>
  <c r="BP260" i="9"/>
  <c r="BP250" i="9"/>
  <c r="BP200" i="9"/>
  <c r="BP141" i="9"/>
  <c r="BP136" i="9"/>
  <c r="BP134" i="9"/>
  <c r="BP132" i="9"/>
  <c r="BP107" i="9"/>
  <c r="BP109" i="9"/>
  <c r="BP113" i="9"/>
  <c r="BM53" i="9"/>
  <c r="BN33" i="9"/>
  <c r="BP33" i="9"/>
  <c r="BO34" i="9"/>
  <c r="BO35" i="9"/>
  <c r="BP36" i="9"/>
  <c r="BO68" i="9"/>
  <c r="BN68" i="9"/>
  <c r="BM68" i="9"/>
  <c r="BN66" i="9"/>
  <c r="BO65" i="9"/>
  <c r="BK63" i="9"/>
  <c r="BM62" i="9"/>
  <c r="BO60" i="9"/>
  <c r="BN60" i="9"/>
  <c r="BN57" i="9"/>
  <c r="BN55" i="9"/>
  <c r="BO53" i="9"/>
  <c r="BN45" i="9"/>
  <c r="BN39" i="9"/>
  <c r="BO38" i="9"/>
  <c r="BL37" i="9"/>
  <c r="BN36" i="9"/>
  <c r="BM35" i="9"/>
  <c r="BL34" i="9"/>
  <c r="BO33" i="9"/>
  <c r="BN30" i="9"/>
  <c r="BL30" i="9"/>
  <c r="BP12" i="9"/>
  <c r="BP20" i="9"/>
  <c r="BK503" i="9"/>
  <c r="BK22" i="9"/>
  <c r="BK215" i="9"/>
  <c r="BK191" i="9"/>
  <c r="BK335" i="9"/>
  <c r="BK68" i="9"/>
  <c r="AR29" i="20"/>
  <c r="BJ287" i="9"/>
  <c r="AR28" i="20"/>
  <c r="BP321" i="9"/>
  <c r="BP177" i="9"/>
  <c r="BP129" i="9"/>
  <c r="AQ33" i="30"/>
  <c r="AQ399" i="21" s="1"/>
  <c r="AP33" i="30"/>
  <c r="AP399" i="21"/>
  <c r="AO33" i="30"/>
  <c r="AO399" i="21" s="1"/>
  <c r="AN33" i="30"/>
  <c r="AN399" i="21" s="1"/>
  <c r="AM33" i="30"/>
  <c r="AM399" i="21"/>
  <c r="AL33" i="30"/>
  <c r="AL399" i="21"/>
  <c r="AK33" i="30"/>
  <c r="AK399" i="21" s="1"/>
  <c r="AJ33" i="30"/>
  <c r="AJ399" i="21" s="1"/>
  <c r="AI33" i="30"/>
  <c r="AI399" i="21"/>
  <c r="AH33" i="30"/>
  <c r="AH399" i="21"/>
  <c r="AG33" i="30"/>
  <c r="AG399" i="21" s="1"/>
  <c r="AF33" i="30"/>
  <c r="AF399" i="21" s="1"/>
  <c r="AE33" i="30"/>
  <c r="AE399" i="21"/>
  <c r="AD33" i="30"/>
  <c r="AD399" i="21"/>
  <c r="AC33" i="30"/>
  <c r="AC398" i="21" s="1"/>
  <c r="AB33" i="30"/>
  <c r="AB399" i="21" s="1"/>
  <c r="AA33" i="30"/>
  <c r="AA399" i="21" s="1"/>
  <c r="Y33" i="30"/>
  <c r="Y399" i="21" s="1"/>
  <c r="X33" i="30"/>
  <c r="X399" i="21"/>
  <c r="W33" i="30"/>
  <c r="W399" i="21"/>
  <c r="V33" i="30"/>
  <c r="V399" i="21" s="1"/>
  <c r="U33" i="30"/>
  <c r="U399" i="21" s="1"/>
  <c r="T33" i="30"/>
  <c r="T399" i="21" s="1"/>
  <c r="S33" i="30"/>
  <c r="S399" i="21" s="1"/>
  <c r="R33" i="30"/>
  <c r="R399" i="21" s="1"/>
  <c r="Q33" i="30"/>
  <c r="Q399" i="21" s="1"/>
  <c r="P33" i="30"/>
  <c r="P399" i="21" s="1"/>
  <c r="O33" i="30"/>
  <c r="O399" i="21" s="1"/>
  <c r="N33" i="30"/>
  <c r="N399" i="21" s="1"/>
  <c r="M33" i="30"/>
  <c r="M399" i="21"/>
  <c r="L33" i="30"/>
  <c r="L399" i="21" s="1"/>
  <c r="K33" i="30"/>
  <c r="K399" i="21"/>
  <c r="D33" i="30"/>
  <c r="D399" i="21"/>
  <c r="AR32" i="30"/>
  <c r="AR31" i="30"/>
  <c r="AR30" i="30"/>
  <c r="AR29" i="30"/>
  <c r="AR28" i="30"/>
  <c r="AR27" i="30"/>
  <c r="AR26" i="30"/>
  <c r="AR25" i="30"/>
  <c r="AR24" i="30"/>
  <c r="AR23" i="30"/>
  <c r="AR22" i="30"/>
  <c r="AR21" i="30"/>
  <c r="AR20" i="30"/>
  <c r="AQ17" i="30"/>
  <c r="AQ100" i="16" s="1"/>
  <c r="AP17" i="30"/>
  <c r="AP100" i="16" s="1"/>
  <c r="AO17" i="30"/>
  <c r="AO100" i="16" s="1"/>
  <c r="AN17" i="30"/>
  <c r="AN100" i="16" s="1"/>
  <c r="AM17" i="30"/>
  <c r="AM100" i="16" s="1"/>
  <c r="AL17" i="30"/>
  <c r="AL100" i="16" s="1"/>
  <c r="AK17" i="30"/>
  <c r="AK100" i="16" s="1"/>
  <c r="AJ17" i="30"/>
  <c r="AJ100" i="16" s="1"/>
  <c r="AI17" i="30"/>
  <c r="AI100" i="16" s="1"/>
  <c r="AH17" i="30"/>
  <c r="AH100" i="16" s="1"/>
  <c r="AG17" i="30"/>
  <c r="AG100" i="16"/>
  <c r="AF17" i="30"/>
  <c r="AF100" i="16"/>
  <c r="AE17" i="30"/>
  <c r="AE100" i="16"/>
  <c r="AD17" i="30"/>
  <c r="AD100" i="16" s="1"/>
  <c r="AC17" i="30"/>
  <c r="AC100" i="16" s="1"/>
  <c r="AB17" i="30"/>
  <c r="AB100" i="16" s="1"/>
  <c r="AA17" i="30"/>
  <c r="AA100" i="16" s="1"/>
  <c r="Z17" i="30"/>
  <c r="Z100" i="16" s="1"/>
  <c r="Y17" i="30"/>
  <c r="Y100" i="16" s="1"/>
  <c r="X17" i="30"/>
  <c r="X100" i="16" s="1"/>
  <c r="W17" i="30"/>
  <c r="W100" i="16" s="1"/>
  <c r="V17" i="30"/>
  <c r="V100" i="16" s="1"/>
  <c r="U17" i="30"/>
  <c r="U100" i="16" s="1"/>
  <c r="T17" i="30"/>
  <c r="T100" i="16" s="1"/>
  <c r="S17" i="30"/>
  <c r="S100" i="16" s="1"/>
  <c r="R17" i="30"/>
  <c r="R100" i="16" s="1"/>
  <c r="Q17" i="30"/>
  <c r="Q100" i="16" s="1"/>
  <c r="P17" i="30"/>
  <c r="P100" i="16" s="1"/>
  <c r="O17" i="30"/>
  <c r="O100" i="16" s="1"/>
  <c r="N17" i="30"/>
  <c r="N100" i="16" s="1"/>
  <c r="M17" i="30"/>
  <c r="M100" i="16" s="1"/>
  <c r="L17" i="30"/>
  <c r="L100" i="16" s="1"/>
  <c r="K17" i="30"/>
  <c r="K100" i="16" s="1"/>
  <c r="D17" i="30"/>
  <c r="D100" i="16"/>
  <c r="AR16" i="30"/>
  <c r="AR15" i="30"/>
  <c r="AR14" i="30"/>
  <c r="AR13" i="30"/>
  <c r="AR12" i="30"/>
  <c r="AR11" i="30"/>
  <c r="AR10" i="30"/>
  <c r="AR9" i="30"/>
  <c r="AR8" i="30"/>
  <c r="AR7" i="30"/>
  <c r="AR6" i="30"/>
  <c r="AR5" i="30"/>
  <c r="AR4" i="30"/>
  <c r="AP537" i="9"/>
  <c r="AO537" i="9"/>
  <c r="AN537" i="9"/>
  <c r="AM537" i="9"/>
  <c r="AK537" i="9"/>
  <c r="AJ537" i="9"/>
  <c r="AG537" i="9"/>
  <c r="AF537" i="9"/>
  <c r="AE537" i="9"/>
  <c r="AC537" i="9"/>
  <c r="AB537" i="9"/>
  <c r="W537" i="9"/>
  <c r="AV513" i="9"/>
  <c r="BG513" i="9" s="1"/>
  <c r="AV489" i="9"/>
  <c r="BG489" i="9" s="1"/>
  <c r="AV465" i="9"/>
  <c r="BG465" i="9"/>
  <c r="AV321" i="9"/>
  <c r="BG321" i="9" s="1"/>
  <c r="AV297" i="9"/>
  <c r="BG297" i="9" s="1"/>
  <c r="AV273" i="9"/>
  <c r="BG273" i="9"/>
  <c r="AV249" i="9"/>
  <c r="BG249" i="9"/>
  <c r="AV225" i="9"/>
  <c r="BG225" i="9" s="1"/>
  <c r="AV201" i="9"/>
  <c r="BG201" i="9" s="1"/>
  <c r="AV177" i="9"/>
  <c r="BG177" i="9" s="1"/>
  <c r="AV105" i="9"/>
  <c r="BG105" i="9"/>
  <c r="AW54" i="9"/>
  <c r="AV54" i="9"/>
  <c r="BD31" i="9"/>
  <c r="AW31" i="9"/>
  <c r="AV31" i="9"/>
  <c r="BG31" i="9" s="1"/>
  <c r="AW8" i="9"/>
  <c r="AV8" i="9"/>
  <c r="BG8" i="9" s="1"/>
  <c r="AQ74" i="11"/>
  <c r="BP295" i="9"/>
  <c r="BP103" i="9"/>
  <c r="AQ33" i="29"/>
  <c r="AQ397" i="21" s="1"/>
  <c r="AP33" i="29"/>
  <c r="AP397" i="21" s="1"/>
  <c r="AO33" i="29"/>
  <c r="AO397" i="21" s="1"/>
  <c r="AN33" i="29"/>
  <c r="AN397" i="21" s="1"/>
  <c r="AM33" i="29"/>
  <c r="AM397" i="21" s="1"/>
  <c r="AL33" i="29"/>
  <c r="AL397" i="21" s="1"/>
  <c r="AK33" i="29"/>
  <c r="AK397" i="21" s="1"/>
  <c r="AJ33" i="29"/>
  <c r="AJ397" i="21" s="1"/>
  <c r="AI33" i="29"/>
  <c r="AI397" i="21" s="1"/>
  <c r="AH33" i="29"/>
  <c r="AH397" i="21" s="1"/>
  <c r="AG33" i="29"/>
  <c r="AG397" i="21" s="1"/>
  <c r="AF33" i="29"/>
  <c r="AF397" i="21" s="1"/>
  <c r="AE33" i="29"/>
  <c r="AE397" i="21" s="1"/>
  <c r="AD33" i="29"/>
  <c r="AD397" i="21" s="1"/>
  <c r="AC33" i="29"/>
  <c r="AC397" i="21" s="1"/>
  <c r="AB33" i="29"/>
  <c r="AB397" i="21" s="1"/>
  <c r="AA33" i="29"/>
  <c r="AA397" i="21" s="1"/>
  <c r="Z33" i="29"/>
  <c r="Z397" i="21" s="1"/>
  <c r="Y33" i="29"/>
  <c r="Y397" i="21"/>
  <c r="X33" i="29"/>
  <c r="X397" i="21" s="1"/>
  <c r="W33" i="29"/>
  <c r="W397" i="21" s="1"/>
  <c r="V33" i="29"/>
  <c r="V397" i="21" s="1"/>
  <c r="U33" i="29"/>
  <c r="U397" i="21" s="1"/>
  <c r="T33" i="29"/>
  <c r="T397" i="21" s="1"/>
  <c r="S33" i="29"/>
  <c r="S397" i="21" s="1"/>
  <c r="R33" i="29"/>
  <c r="R397" i="21" s="1"/>
  <c r="Q33" i="29"/>
  <c r="Q397" i="21" s="1"/>
  <c r="P33" i="29"/>
  <c r="P397" i="21"/>
  <c r="O33" i="29"/>
  <c r="O397" i="21"/>
  <c r="N33" i="29"/>
  <c r="N397" i="21" s="1"/>
  <c r="M33" i="29"/>
  <c r="M397" i="21" s="1"/>
  <c r="L33" i="29"/>
  <c r="L397" i="21"/>
  <c r="K33" i="29"/>
  <c r="K397" i="21"/>
  <c r="D33" i="29"/>
  <c r="D397" i="21"/>
  <c r="AR32" i="29"/>
  <c r="AR31" i="29"/>
  <c r="AR30" i="29"/>
  <c r="AR29" i="29"/>
  <c r="AR28" i="29"/>
  <c r="AR27" i="29"/>
  <c r="AR26" i="29"/>
  <c r="AR25" i="29"/>
  <c r="AR24" i="29"/>
  <c r="AR23" i="29"/>
  <c r="AR22" i="29"/>
  <c r="AR21" i="29"/>
  <c r="AR20" i="29"/>
  <c r="AQ17" i="29"/>
  <c r="AQ98" i="16" s="1"/>
  <c r="AP17" i="29"/>
  <c r="AP98" i="16"/>
  <c r="AO17" i="29"/>
  <c r="AO98" i="16" s="1"/>
  <c r="AN17" i="29"/>
  <c r="AN98" i="16"/>
  <c r="AM17" i="29"/>
  <c r="AM98" i="16"/>
  <c r="AL17" i="29"/>
  <c r="AL98" i="16"/>
  <c r="AK17" i="29"/>
  <c r="AK98" i="16" s="1"/>
  <c r="AJ17" i="29"/>
  <c r="AJ98" i="16"/>
  <c r="AI17" i="29"/>
  <c r="AI98" i="16"/>
  <c r="AH17" i="29"/>
  <c r="AH98" i="16" s="1"/>
  <c r="AG17" i="29"/>
  <c r="AG98" i="16" s="1"/>
  <c r="AF17" i="29"/>
  <c r="AF98" i="16" s="1"/>
  <c r="AE17" i="29"/>
  <c r="AE98" i="16" s="1"/>
  <c r="AD17" i="29"/>
  <c r="AD98" i="16" s="1"/>
  <c r="AC17" i="29"/>
  <c r="AC98" i="16" s="1"/>
  <c r="AB17" i="29"/>
  <c r="AB98" i="16" s="1"/>
  <c r="AA17" i="29"/>
  <c r="AA98" i="16" s="1"/>
  <c r="Z17" i="29"/>
  <c r="Z98" i="16" s="1"/>
  <c r="Y17" i="29"/>
  <c r="Y98" i="16" s="1"/>
  <c r="X17" i="29"/>
  <c r="X98" i="16" s="1"/>
  <c r="W17" i="29"/>
  <c r="W98" i="16" s="1"/>
  <c r="V17" i="29"/>
  <c r="V98" i="16" s="1"/>
  <c r="U17" i="29"/>
  <c r="U98" i="16" s="1"/>
  <c r="T17" i="29"/>
  <c r="T98" i="16" s="1"/>
  <c r="S17" i="29"/>
  <c r="S98" i="16" s="1"/>
  <c r="R17" i="29"/>
  <c r="Q17" i="29"/>
  <c r="Q98" i="16" s="1"/>
  <c r="P17" i="29"/>
  <c r="O17" i="29"/>
  <c r="O98" i="16" s="1"/>
  <c r="N17" i="29"/>
  <c r="M17" i="29"/>
  <c r="M98" i="16" s="1"/>
  <c r="L17" i="29"/>
  <c r="K17" i="29"/>
  <c r="K98" i="16"/>
  <c r="D17" i="29"/>
  <c r="D98" i="16"/>
  <c r="AR16" i="29"/>
  <c r="AR15" i="29"/>
  <c r="AR14" i="29"/>
  <c r="AR13" i="29"/>
  <c r="AR12" i="29"/>
  <c r="AR11" i="29"/>
  <c r="AR10" i="29"/>
  <c r="AR9" i="29"/>
  <c r="AR8" i="29"/>
  <c r="AR7" i="29"/>
  <c r="AR6" i="29"/>
  <c r="AR5" i="29"/>
  <c r="AR4" i="29"/>
  <c r="W23" i="16"/>
  <c r="AW52" i="9"/>
  <c r="AW29" i="9"/>
  <c r="J116" i="14"/>
  <c r="J102" i="14" s="1"/>
  <c r="K116" i="14"/>
  <c r="K102" i="14" s="1"/>
  <c r="L116" i="14"/>
  <c r="L102" i="14" s="1"/>
  <c r="M116" i="14"/>
  <c r="M102" i="14" s="1"/>
  <c r="N116" i="14"/>
  <c r="N102" i="14" s="1"/>
  <c r="O116" i="14"/>
  <c r="O102" i="14" s="1"/>
  <c r="P116" i="14"/>
  <c r="P102" i="14" s="1"/>
  <c r="Q116" i="14"/>
  <c r="Q102" i="14" s="1"/>
  <c r="R116" i="14"/>
  <c r="R102" i="14" s="1"/>
  <c r="S116" i="14"/>
  <c r="S102" i="14" s="1"/>
  <c r="T116" i="14"/>
  <c r="T102" i="14" s="1"/>
  <c r="U116" i="14"/>
  <c r="U102" i="14" s="1"/>
  <c r="V116" i="14"/>
  <c r="V102" i="14" s="1"/>
  <c r="W116" i="14"/>
  <c r="W102" i="14" s="1"/>
  <c r="X116" i="14"/>
  <c r="X102" i="14" s="1"/>
  <c r="Y116" i="14"/>
  <c r="Y102" i="14" s="1"/>
  <c r="Z116" i="14"/>
  <c r="Z102" i="14" s="1"/>
  <c r="AA116" i="14"/>
  <c r="AA102" i="14" s="1"/>
  <c r="AB116" i="14"/>
  <c r="AB102" i="14" s="1"/>
  <c r="AC116" i="14"/>
  <c r="AC102" i="14" s="1"/>
  <c r="AD116" i="14"/>
  <c r="AD102" i="14" s="1"/>
  <c r="AE116" i="14"/>
  <c r="AE102" i="14" s="1"/>
  <c r="AF116" i="14"/>
  <c r="AF102" i="14" s="1"/>
  <c r="AG116" i="14"/>
  <c r="AG102" i="14" s="1"/>
  <c r="AH116" i="14"/>
  <c r="AH102" i="14" s="1"/>
  <c r="AI116" i="14"/>
  <c r="AI102" i="14" s="1"/>
  <c r="AJ116" i="14"/>
  <c r="AJ102" i="14" s="1"/>
  <c r="AK116" i="14"/>
  <c r="AK102" i="14" s="1"/>
  <c r="AL116" i="14"/>
  <c r="AL102" i="14" s="1"/>
  <c r="AM116" i="14"/>
  <c r="AM102" i="14" s="1"/>
  <c r="AN116" i="14"/>
  <c r="AN102" i="14" s="1"/>
  <c r="AO116" i="14"/>
  <c r="AO102" i="14" s="1"/>
  <c r="AP116" i="14"/>
  <c r="C116" i="14"/>
  <c r="C102" i="14" s="1"/>
  <c r="AP102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C85" i="14"/>
  <c r="C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AP86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C69" i="14"/>
  <c r="D18" i="28"/>
  <c r="C18" i="28"/>
  <c r="AP34" i="12"/>
  <c r="AQ34" i="12"/>
  <c r="AR34" i="12"/>
  <c r="C31" i="14"/>
  <c r="K197" i="20"/>
  <c r="L197" i="20"/>
  <c r="M197" i="20"/>
  <c r="N197" i="20"/>
  <c r="O197" i="20"/>
  <c r="P197" i="20"/>
  <c r="Q197" i="20"/>
  <c r="R197" i="20"/>
  <c r="S197" i="20"/>
  <c r="T197" i="20"/>
  <c r="U197" i="20"/>
  <c r="V197" i="20"/>
  <c r="W197" i="20"/>
  <c r="X197" i="20"/>
  <c r="Y197" i="20"/>
  <c r="Z197" i="20"/>
  <c r="AA197" i="20"/>
  <c r="AB197" i="20"/>
  <c r="AC197" i="20"/>
  <c r="AD197" i="20"/>
  <c r="AE197" i="20"/>
  <c r="AF197" i="20"/>
  <c r="AG197" i="20"/>
  <c r="AH197" i="20"/>
  <c r="AI197" i="20"/>
  <c r="AJ197" i="20"/>
  <c r="AK197" i="20"/>
  <c r="AL197" i="20"/>
  <c r="AM197" i="20"/>
  <c r="AN197" i="20"/>
  <c r="AO197" i="20"/>
  <c r="AP197" i="20"/>
  <c r="AQ197" i="20"/>
  <c r="K43" i="13"/>
  <c r="K46" i="13"/>
  <c r="K27" i="13" s="1"/>
  <c r="V27" i="13" s="1"/>
  <c r="K9" i="13"/>
  <c r="V9" i="13" s="1"/>
  <c r="AQ117" i="14"/>
  <c r="AP103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C70" i="14"/>
  <c r="BL527" i="9"/>
  <c r="BK527" i="9"/>
  <c r="BK525" i="9"/>
  <c r="BK524" i="9"/>
  <c r="BL522" i="9"/>
  <c r="BK522" i="9"/>
  <c r="BL521" i="9"/>
  <c r="BK521" i="9"/>
  <c r="BK520" i="9"/>
  <c r="BK519" i="9"/>
  <c r="BL518" i="9"/>
  <c r="BK518" i="9"/>
  <c r="BL517" i="9"/>
  <c r="BK517" i="9"/>
  <c r="BK515" i="9"/>
  <c r="BL514" i="9"/>
  <c r="BK514" i="9"/>
  <c r="BL512" i="9"/>
  <c r="BK512" i="9"/>
  <c r="BL503" i="9"/>
  <c r="BK501" i="9"/>
  <c r="BK500" i="9"/>
  <c r="BL498" i="9"/>
  <c r="BK498" i="9"/>
  <c r="BL497" i="9"/>
  <c r="BK497" i="9"/>
  <c r="BK496" i="9"/>
  <c r="BK495" i="9"/>
  <c r="BL493" i="9"/>
  <c r="BK493" i="9"/>
  <c r="BK491" i="9"/>
  <c r="BK490" i="9"/>
  <c r="BK488" i="9"/>
  <c r="BK479" i="9"/>
  <c r="BL477" i="9"/>
  <c r="BK477" i="9"/>
  <c r="BL476" i="9"/>
  <c r="BK476" i="9"/>
  <c r="BL473" i="9"/>
  <c r="BK473" i="9"/>
  <c r="BK472" i="9"/>
  <c r="BK471" i="9"/>
  <c r="BL470" i="9"/>
  <c r="BL469" i="9"/>
  <c r="BK469" i="9"/>
  <c r="BK467" i="9"/>
  <c r="BK466" i="9"/>
  <c r="BL464" i="9"/>
  <c r="BK464" i="9"/>
  <c r="BL335" i="9"/>
  <c r="BL333" i="9"/>
  <c r="BL329" i="9"/>
  <c r="BK327" i="9"/>
  <c r="BL326" i="9"/>
  <c r="BK322" i="9"/>
  <c r="BL304" i="9"/>
  <c r="BL303" i="9"/>
  <c r="BL301" i="9"/>
  <c r="BL298" i="9"/>
  <c r="BK298" i="9"/>
  <c r="BL285" i="9"/>
  <c r="BK285" i="9"/>
  <c r="BL284" i="9"/>
  <c r="BK282" i="9"/>
  <c r="BL281" i="9"/>
  <c r="BL280" i="9"/>
  <c r="BL279" i="9"/>
  <c r="BK278" i="9"/>
  <c r="BL277" i="9"/>
  <c r="BL275" i="9"/>
  <c r="BK274" i="9"/>
  <c r="BL272" i="9"/>
  <c r="BK272" i="9"/>
  <c r="BL261" i="9"/>
  <c r="BK260" i="9"/>
  <c r="BL256" i="9"/>
  <c r="BK251" i="9"/>
  <c r="BK250" i="9"/>
  <c r="BL237" i="9"/>
  <c r="BK234" i="9"/>
  <c r="BK231" i="9"/>
  <c r="BK227" i="9"/>
  <c r="BL212" i="9"/>
  <c r="BL210" i="9"/>
  <c r="BL206" i="9"/>
  <c r="BL184" i="9"/>
  <c r="BK184" i="9"/>
  <c r="BL181" i="9"/>
  <c r="BK181" i="9"/>
  <c r="BL179" i="9"/>
  <c r="BL178" i="9"/>
  <c r="BK178" i="9"/>
  <c r="BK137" i="9"/>
  <c r="BL134" i="9"/>
  <c r="BL110" i="9"/>
  <c r="BL109" i="9"/>
  <c r="AQ33" i="27"/>
  <c r="AQ412" i="21"/>
  <c r="AP33" i="27"/>
  <c r="AP412" i="21"/>
  <c r="AO33" i="27"/>
  <c r="AO412" i="21"/>
  <c r="AN33" i="27"/>
  <c r="AN412" i="21"/>
  <c r="AM33" i="27"/>
  <c r="AM412" i="21"/>
  <c r="AL33" i="27"/>
  <c r="AL412" i="21"/>
  <c r="AK33" i="27"/>
  <c r="AK412" i="21"/>
  <c r="AJ33" i="27"/>
  <c r="AJ412" i="21" s="1"/>
  <c r="AI33" i="27"/>
  <c r="AI412" i="21"/>
  <c r="AH33" i="27"/>
  <c r="AH412" i="21" s="1"/>
  <c r="AG33" i="27"/>
  <c r="AG412" i="21"/>
  <c r="AF33" i="27"/>
  <c r="AF412" i="21"/>
  <c r="AE33" i="27"/>
  <c r="AE412" i="21"/>
  <c r="AD33" i="27"/>
  <c r="AD412" i="21"/>
  <c r="AC33" i="27"/>
  <c r="AC411" i="21"/>
  <c r="AB33" i="27"/>
  <c r="AB412" i="21" s="1"/>
  <c r="AA33" i="27"/>
  <c r="AA412" i="21"/>
  <c r="Z33" i="27"/>
  <c r="Z412" i="21" s="1"/>
  <c r="Y33" i="27"/>
  <c r="Y412" i="21" s="1"/>
  <c r="X33" i="27"/>
  <c r="X412" i="21" s="1"/>
  <c r="W33" i="27"/>
  <c r="W412" i="21" s="1"/>
  <c r="V33" i="27"/>
  <c r="V412" i="21" s="1"/>
  <c r="U33" i="27"/>
  <c r="U412" i="21" s="1"/>
  <c r="T33" i="27"/>
  <c r="T412" i="21" s="1"/>
  <c r="S33" i="27"/>
  <c r="S412" i="21" s="1"/>
  <c r="R33" i="27"/>
  <c r="R412" i="21" s="1"/>
  <c r="Q33" i="27"/>
  <c r="Q412" i="21" s="1"/>
  <c r="P33" i="27"/>
  <c r="P412" i="21"/>
  <c r="O33" i="27"/>
  <c r="O412" i="21" s="1"/>
  <c r="N33" i="27"/>
  <c r="N412" i="21"/>
  <c r="M33" i="27"/>
  <c r="M412" i="21"/>
  <c r="L33" i="27"/>
  <c r="L412" i="21"/>
  <c r="K33" i="27"/>
  <c r="K412" i="21"/>
  <c r="D33" i="27"/>
  <c r="D412" i="21"/>
  <c r="AR31" i="27"/>
  <c r="AR30" i="27"/>
  <c r="AR29" i="27"/>
  <c r="AR28" i="27"/>
  <c r="AR27" i="27"/>
  <c r="AR26" i="27"/>
  <c r="AR25" i="27"/>
  <c r="AR24" i="27"/>
  <c r="AR23" i="27"/>
  <c r="AR22" i="27"/>
  <c r="AR21" i="27"/>
  <c r="AR20" i="27"/>
  <c r="AQ17" i="27"/>
  <c r="AQ113" i="16"/>
  <c r="AP17" i="27"/>
  <c r="AP113" i="16" s="1"/>
  <c r="AP137" i="16" s="1"/>
  <c r="AP21" i="10" s="1"/>
  <c r="AP45" i="10" s="1"/>
  <c r="AP69" i="10" s="1"/>
  <c r="AO17" i="27"/>
  <c r="AO113" i="16" s="1"/>
  <c r="AO137" i="16" s="1"/>
  <c r="AO21" i="10" s="1"/>
  <c r="AO45" i="10" s="1"/>
  <c r="AO69" i="10" s="1"/>
  <c r="AN17" i="27"/>
  <c r="AN113" i="16" s="1"/>
  <c r="AM17" i="27"/>
  <c r="AM113" i="16" s="1"/>
  <c r="AL17" i="27"/>
  <c r="AL113" i="16" s="1"/>
  <c r="AK17" i="27"/>
  <c r="AK113" i="16" s="1"/>
  <c r="AJ17" i="27"/>
  <c r="AJ113" i="16" s="1"/>
  <c r="AI17" i="27"/>
  <c r="AI113" i="16" s="1"/>
  <c r="AI137" i="16" s="1"/>
  <c r="AI21" i="10" s="1"/>
  <c r="AI45" i="10" s="1"/>
  <c r="AI69" i="10" s="1"/>
  <c r="AH17" i="27"/>
  <c r="AH113" i="16" s="1"/>
  <c r="AG17" i="27"/>
  <c r="AG113" i="16" s="1"/>
  <c r="AF17" i="27"/>
  <c r="AF113" i="16" s="1"/>
  <c r="AE17" i="27"/>
  <c r="AE113" i="16" s="1"/>
  <c r="AD17" i="27"/>
  <c r="AD113" i="16" s="1"/>
  <c r="AC17" i="27"/>
  <c r="AC113" i="16" s="1"/>
  <c r="AB17" i="27"/>
  <c r="AB113" i="16" s="1"/>
  <c r="AA17" i="27"/>
  <c r="AA113" i="16" s="1"/>
  <c r="Z17" i="27"/>
  <c r="Z113" i="16" s="1"/>
  <c r="Y17" i="27"/>
  <c r="Y113" i="16" s="1"/>
  <c r="X17" i="27"/>
  <c r="X113" i="16" s="1"/>
  <c r="W17" i="27"/>
  <c r="W113" i="16" s="1"/>
  <c r="V17" i="27"/>
  <c r="V113" i="16" s="1"/>
  <c r="U17" i="27"/>
  <c r="U113" i="16" s="1"/>
  <c r="T17" i="27"/>
  <c r="T113" i="16" s="1"/>
  <c r="S17" i="27"/>
  <c r="S113" i="16" s="1"/>
  <c r="R17" i="27"/>
  <c r="R113" i="16" s="1"/>
  <c r="Q17" i="27"/>
  <c r="Q113" i="16" s="1"/>
  <c r="P17" i="27"/>
  <c r="P113" i="16" s="1"/>
  <c r="O17" i="27"/>
  <c r="O113" i="16" s="1"/>
  <c r="N17" i="27"/>
  <c r="N113" i="16" s="1"/>
  <c r="M17" i="27"/>
  <c r="M113" i="16" s="1"/>
  <c r="L17" i="27"/>
  <c r="K17" i="27"/>
  <c r="K113" i="16"/>
  <c r="D17" i="27"/>
  <c r="D113" i="16"/>
  <c r="AR16" i="27"/>
  <c r="AR15" i="27"/>
  <c r="AR14" i="27"/>
  <c r="AR13" i="27"/>
  <c r="AR12" i="27"/>
  <c r="AR11" i="27"/>
  <c r="AR10" i="27"/>
  <c r="AR9" i="27"/>
  <c r="AR8" i="27"/>
  <c r="AR7" i="27"/>
  <c r="AR6" i="27"/>
  <c r="AR5" i="27"/>
  <c r="AR4" i="27"/>
  <c r="AP550" i="9"/>
  <c r="AO550" i="9"/>
  <c r="AN550" i="9"/>
  <c r="AM550" i="9"/>
  <c r="AK550" i="9"/>
  <c r="AJ550" i="9"/>
  <c r="AI550" i="9"/>
  <c r="AF550" i="9"/>
  <c r="AE550" i="9"/>
  <c r="AC550" i="9"/>
  <c r="AB550" i="9"/>
  <c r="Z550" i="9"/>
  <c r="AV526" i="9"/>
  <c r="BG526" i="9" s="1"/>
  <c r="BP502" i="9"/>
  <c r="AV502" i="9"/>
  <c r="BG502" i="9"/>
  <c r="BP478" i="9"/>
  <c r="AV478" i="9"/>
  <c r="BG478" i="9" s="1"/>
  <c r="BP334" i="9"/>
  <c r="AV334" i="9"/>
  <c r="BG334" i="9"/>
  <c r="AV310" i="9"/>
  <c r="BG310" i="9"/>
  <c r="AV286" i="9"/>
  <c r="BG286" i="9" s="1"/>
  <c r="AV262" i="9"/>
  <c r="BG262" i="9" s="1"/>
  <c r="AV238" i="9"/>
  <c r="BG238" i="9" s="1"/>
  <c r="AV214" i="9"/>
  <c r="BG214" i="9" s="1"/>
  <c r="AV190" i="9"/>
  <c r="BG190" i="9" s="1"/>
  <c r="BP118" i="9"/>
  <c r="AV118" i="9"/>
  <c r="BG118" i="9"/>
  <c r="AW67" i="9"/>
  <c r="AV67" i="9"/>
  <c r="BG67" i="9" s="1"/>
  <c r="BE44" i="9"/>
  <c r="AW44" i="9"/>
  <c r="AV44" i="9"/>
  <c r="BG44" i="9" s="1"/>
  <c r="BE21" i="9"/>
  <c r="AW21" i="9"/>
  <c r="AV21" i="9"/>
  <c r="BG21" i="9"/>
  <c r="AR344" i="21"/>
  <c r="AT344" i="21"/>
  <c r="AR342" i="21"/>
  <c r="AT342" i="21" s="1"/>
  <c r="AR341" i="21"/>
  <c r="AT341" i="21" s="1"/>
  <c r="AR339" i="21"/>
  <c r="AT339" i="21" s="1"/>
  <c r="AR338" i="21"/>
  <c r="AT338" i="21" s="1"/>
  <c r="AR337" i="21"/>
  <c r="AT337" i="21" s="1"/>
  <c r="AR336" i="21"/>
  <c r="AT336" i="21" s="1"/>
  <c r="AR335" i="21"/>
  <c r="AR334" i="21"/>
  <c r="AT334" i="21" s="1"/>
  <c r="AR332" i="21"/>
  <c r="AT332" i="21" s="1"/>
  <c r="AR331" i="21"/>
  <c r="AT331" i="21"/>
  <c r="AR329" i="21"/>
  <c r="AT329" i="21" s="1"/>
  <c r="AR321" i="21"/>
  <c r="AT321" i="21" s="1"/>
  <c r="AR319" i="21"/>
  <c r="AT319" i="21" s="1"/>
  <c r="AR318" i="21"/>
  <c r="AT318" i="21" s="1"/>
  <c r="AR316" i="21"/>
  <c r="AT316" i="21" s="1"/>
  <c r="AR315" i="21"/>
  <c r="AT315" i="21" s="1"/>
  <c r="AR314" i="21"/>
  <c r="AT314" i="21" s="1"/>
  <c r="AR313" i="21"/>
  <c r="AT313" i="21" s="1"/>
  <c r="AR312" i="21"/>
  <c r="AT312" i="21" s="1"/>
  <c r="AR311" i="21"/>
  <c r="AT311" i="21" s="1"/>
  <c r="AR310" i="21"/>
  <c r="AT310" i="21" s="1"/>
  <c r="AR309" i="21"/>
  <c r="AT309" i="21" s="1"/>
  <c r="AR308" i="21"/>
  <c r="AT308" i="21" s="1"/>
  <c r="AR306" i="21"/>
  <c r="AT306" i="21" s="1"/>
  <c r="AR181" i="21"/>
  <c r="AT181" i="21" s="1"/>
  <c r="AR180" i="21"/>
  <c r="AT180" i="21" s="1"/>
  <c r="AR178" i="21"/>
  <c r="AT178" i="21" s="1"/>
  <c r="AR177" i="21"/>
  <c r="AR176" i="21"/>
  <c r="AR175" i="21"/>
  <c r="AR174" i="21"/>
  <c r="AR173" i="21"/>
  <c r="AR171" i="21"/>
  <c r="AR170" i="21"/>
  <c r="AR168" i="21"/>
  <c r="AR172" i="21"/>
  <c r="AT172" i="21" s="1"/>
  <c r="AR333" i="21"/>
  <c r="AT333" i="21"/>
  <c r="BO503" i="9"/>
  <c r="BM503" i="9"/>
  <c r="BJ503" i="9"/>
  <c r="BI503" i="9"/>
  <c r="AR503" i="9"/>
  <c r="BO501" i="9"/>
  <c r="BN501" i="9"/>
  <c r="BJ501" i="9"/>
  <c r="BI501" i="9"/>
  <c r="BH501" i="9"/>
  <c r="AR501" i="9"/>
  <c r="BO500" i="9"/>
  <c r="BN500" i="9"/>
  <c r="BM500" i="9"/>
  <c r="BJ500" i="9"/>
  <c r="BI500" i="9"/>
  <c r="BH500" i="9"/>
  <c r="AR500" i="9"/>
  <c r="BN498" i="9"/>
  <c r="BM498" i="9"/>
  <c r="BJ498" i="9"/>
  <c r="BH498" i="9"/>
  <c r="BQ498" i="9" s="1"/>
  <c r="AR498" i="9"/>
  <c r="BO497" i="9"/>
  <c r="BM497" i="9"/>
  <c r="BJ497" i="9"/>
  <c r="BI497" i="9"/>
  <c r="AR497" i="9"/>
  <c r="BO496" i="9"/>
  <c r="BN496" i="9"/>
  <c r="BJ496" i="9"/>
  <c r="BI496" i="9"/>
  <c r="BH496" i="9"/>
  <c r="AR496" i="9"/>
  <c r="BO495" i="9"/>
  <c r="BN495" i="9"/>
  <c r="BM495" i="9"/>
  <c r="BJ495" i="9"/>
  <c r="BI495" i="9"/>
  <c r="BH495" i="9"/>
  <c r="AR495" i="9"/>
  <c r="BO494" i="9"/>
  <c r="BN494" i="9"/>
  <c r="BJ494" i="9"/>
  <c r="BI494" i="9"/>
  <c r="AR494" i="9"/>
  <c r="BN493" i="9"/>
  <c r="BM493" i="9"/>
  <c r="BJ493" i="9"/>
  <c r="BH493" i="9"/>
  <c r="AR493" i="9"/>
  <c r="BO492" i="9"/>
  <c r="BM492" i="9"/>
  <c r="BJ492" i="9"/>
  <c r="BI492" i="9"/>
  <c r="BO491" i="9"/>
  <c r="BN491" i="9"/>
  <c r="BJ491" i="9"/>
  <c r="BH491" i="9"/>
  <c r="AR491" i="9"/>
  <c r="BO490" i="9"/>
  <c r="BM490" i="9"/>
  <c r="BJ490" i="9"/>
  <c r="BI490" i="9"/>
  <c r="AR490" i="9"/>
  <c r="BO488" i="9"/>
  <c r="BN488" i="9"/>
  <c r="BJ488" i="9"/>
  <c r="BI488" i="9"/>
  <c r="BH488" i="9"/>
  <c r="BQ488" i="9" s="1"/>
  <c r="AR488" i="9"/>
  <c r="BO479" i="9"/>
  <c r="BN479" i="9"/>
  <c r="BM479" i="9"/>
  <c r="BJ479" i="9"/>
  <c r="BI479" i="9"/>
  <c r="BH479" i="9"/>
  <c r="AR479" i="9"/>
  <c r="BN477" i="9"/>
  <c r="BM477" i="9"/>
  <c r="BJ477" i="9"/>
  <c r="BH477" i="9"/>
  <c r="AR477" i="9"/>
  <c r="AT477" i="9" s="1"/>
  <c r="BO476" i="9"/>
  <c r="BM476" i="9"/>
  <c r="BJ476" i="9"/>
  <c r="BI476" i="9"/>
  <c r="AR476" i="9"/>
  <c r="AT476" i="9" s="1"/>
  <c r="BO474" i="9"/>
  <c r="BJ474" i="9"/>
  <c r="BI474" i="9"/>
  <c r="AR474" i="9"/>
  <c r="AT474" i="9" s="1"/>
  <c r="BO473" i="9"/>
  <c r="BN473" i="9"/>
  <c r="BJ473" i="9"/>
  <c r="BI473" i="9"/>
  <c r="BH473" i="9"/>
  <c r="AR473" i="9"/>
  <c r="AT473" i="9" s="1"/>
  <c r="BO472" i="9"/>
  <c r="BN472" i="9"/>
  <c r="BM472" i="9"/>
  <c r="BJ472" i="9"/>
  <c r="BI472" i="9"/>
  <c r="BH472" i="9"/>
  <c r="AR472" i="9"/>
  <c r="AT472" i="9" s="1"/>
  <c r="BN471" i="9"/>
  <c r="BM471" i="9"/>
  <c r="BJ471" i="9"/>
  <c r="BH471" i="9"/>
  <c r="AR471" i="9"/>
  <c r="AT471" i="9" s="1"/>
  <c r="BO470" i="9"/>
  <c r="BM470" i="9"/>
  <c r="BI470" i="9"/>
  <c r="BH470" i="9"/>
  <c r="AR470" i="9"/>
  <c r="BN469" i="9"/>
  <c r="BM469" i="9"/>
  <c r="BJ469" i="9"/>
  <c r="BH469" i="9"/>
  <c r="AR469" i="9"/>
  <c r="AT469" i="9" s="1"/>
  <c r="BM468" i="9"/>
  <c r="BJ468" i="9"/>
  <c r="AR468" i="9"/>
  <c r="AT468" i="9" s="1"/>
  <c r="BO467" i="9"/>
  <c r="BJ467" i="9"/>
  <c r="BI467" i="9"/>
  <c r="AR467" i="9"/>
  <c r="AT467" i="9" s="1"/>
  <c r="BO466" i="9"/>
  <c r="BN466" i="9"/>
  <c r="BJ466" i="9"/>
  <c r="BI466" i="9"/>
  <c r="BH466" i="9"/>
  <c r="AR466" i="9"/>
  <c r="AT466" i="9" s="1"/>
  <c r="BN464" i="9"/>
  <c r="BM464" i="9"/>
  <c r="BJ464" i="9"/>
  <c r="BH464" i="9"/>
  <c r="AR464" i="9"/>
  <c r="AT464" i="9" s="1"/>
  <c r="BM335" i="9"/>
  <c r="AR335" i="9"/>
  <c r="AT335" i="9" s="1"/>
  <c r="BH333" i="9"/>
  <c r="AR333" i="9"/>
  <c r="AT333" i="9" s="1"/>
  <c r="BM332" i="9"/>
  <c r="BJ332" i="9"/>
  <c r="BH332" i="9"/>
  <c r="AR332" i="9"/>
  <c r="AT332" i="9" s="1"/>
  <c r="BO330" i="9"/>
  <c r="BM330" i="9"/>
  <c r="BH330" i="9"/>
  <c r="AR330" i="9"/>
  <c r="AT330" i="9" s="1"/>
  <c r="BM329" i="9"/>
  <c r="BI329" i="9"/>
  <c r="BH329" i="9"/>
  <c r="AR329" i="9"/>
  <c r="AT329" i="9" s="1"/>
  <c r="BN328" i="9"/>
  <c r="BM328" i="9"/>
  <c r="BI328" i="9"/>
  <c r="AR328" i="9"/>
  <c r="AT328" i="9" s="1"/>
  <c r="BO327" i="9"/>
  <c r="BN327" i="9"/>
  <c r="AR327" i="9"/>
  <c r="BH326" i="9"/>
  <c r="AR326" i="9"/>
  <c r="AT326" i="9" s="1"/>
  <c r="BM325" i="9"/>
  <c r="AR325" i="9"/>
  <c r="AT325" i="9" s="1"/>
  <c r="BM324" i="9"/>
  <c r="BJ324" i="9"/>
  <c r="BN323" i="9"/>
  <c r="BH323" i="9"/>
  <c r="AR323" i="9"/>
  <c r="AT323" i="9" s="1"/>
  <c r="BH322" i="9"/>
  <c r="AR322" i="9"/>
  <c r="AT322" i="9" s="1"/>
  <c r="BI320" i="9"/>
  <c r="BH320" i="9"/>
  <c r="AR320" i="9"/>
  <c r="AT320" i="9" s="1"/>
  <c r="L68" i="20"/>
  <c r="L69" i="20" s="1"/>
  <c r="P68" i="20"/>
  <c r="P69" i="20" s="1"/>
  <c r="AV499" i="9"/>
  <c r="BG499" i="9" s="1"/>
  <c r="BP475" i="9"/>
  <c r="AV475" i="9"/>
  <c r="BG475" i="9"/>
  <c r="AV331" i="9"/>
  <c r="BG331" i="9" s="1"/>
  <c r="BL132" i="9"/>
  <c r="BK492" i="9"/>
  <c r="BL324" i="9"/>
  <c r="BK468" i="9"/>
  <c r="AR492" i="9"/>
  <c r="AR324" i="9"/>
  <c r="AT324" i="9" s="1"/>
  <c r="K191" i="20"/>
  <c r="L191" i="20"/>
  <c r="M191" i="20"/>
  <c r="N191" i="20"/>
  <c r="O191" i="20"/>
  <c r="P191" i="20"/>
  <c r="Q191" i="20"/>
  <c r="R191" i="20"/>
  <c r="S191" i="20"/>
  <c r="T191" i="20"/>
  <c r="U191" i="20"/>
  <c r="V191" i="20"/>
  <c r="W191" i="20"/>
  <c r="X191" i="20"/>
  <c r="Y191" i="20"/>
  <c r="Z191" i="20"/>
  <c r="AA191" i="20"/>
  <c r="AB191" i="20"/>
  <c r="AC191" i="20"/>
  <c r="AD191" i="20"/>
  <c r="AE191" i="20"/>
  <c r="AF191" i="20"/>
  <c r="AG191" i="20"/>
  <c r="AH191" i="20"/>
  <c r="AI191" i="20"/>
  <c r="AJ191" i="20"/>
  <c r="AK191" i="20"/>
  <c r="AL191" i="20"/>
  <c r="AM191" i="20"/>
  <c r="AN191" i="20"/>
  <c r="AO191" i="20"/>
  <c r="AP191" i="20"/>
  <c r="AQ191" i="20"/>
  <c r="L193" i="20"/>
  <c r="K195" i="20"/>
  <c r="L195" i="20"/>
  <c r="M195" i="20"/>
  <c r="N195" i="20"/>
  <c r="O195" i="20"/>
  <c r="P195" i="20"/>
  <c r="Q195" i="20"/>
  <c r="R195" i="20"/>
  <c r="S195" i="20"/>
  <c r="T195" i="20"/>
  <c r="U195" i="20"/>
  <c r="V195" i="20"/>
  <c r="W195" i="20"/>
  <c r="X195" i="20"/>
  <c r="Y195" i="20"/>
  <c r="Z195" i="20"/>
  <c r="AA195" i="20"/>
  <c r="AB195" i="20"/>
  <c r="AC195" i="20"/>
  <c r="AD195" i="20"/>
  <c r="AE195" i="20"/>
  <c r="AF195" i="20"/>
  <c r="AG195" i="20"/>
  <c r="AH195" i="20"/>
  <c r="AI195" i="20"/>
  <c r="AJ195" i="20"/>
  <c r="AK195" i="20"/>
  <c r="AL195" i="20"/>
  <c r="AM195" i="20"/>
  <c r="AN195" i="20"/>
  <c r="AO195" i="20"/>
  <c r="AP195" i="20"/>
  <c r="AQ195" i="20"/>
  <c r="K196" i="20"/>
  <c r="L196" i="20"/>
  <c r="M196" i="20"/>
  <c r="N196" i="20"/>
  <c r="O196" i="20"/>
  <c r="P196" i="20"/>
  <c r="Q196" i="20"/>
  <c r="R196" i="20"/>
  <c r="S196" i="20"/>
  <c r="T196" i="20"/>
  <c r="U196" i="20"/>
  <c r="V196" i="20"/>
  <c r="W196" i="20"/>
  <c r="X196" i="20"/>
  <c r="Y196" i="20"/>
  <c r="Z196" i="20"/>
  <c r="AA196" i="20"/>
  <c r="AB196" i="20"/>
  <c r="AC196" i="20"/>
  <c r="AD196" i="20"/>
  <c r="AE196" i="20"/>
  <c r="AF196" i="20"/>
  <c r="AG196" i="20"/>
  <c r="AH196" i="20"/>
  <c r="AI196" i="20"/>
  <c r="AJ196" i="20"/>
  <c r="AK196" i="20"/>
  <c r="AL196" i="20"/>
  <c r="AM196" i="20"/>
  <c r="AN196" i="20"/>
  <c r="AO196" i="20"/>
  <c r="AP196" i="20"/>
  <c r="AQ196" i="20"/>
  <c r="K8" i="13"/>
  <c r="V8" i="13" s="1"/>
  <c r="BO527" i="9"/>
  <c r="BJ527" i="9"/>
  <c r="BI527" i="9"/>
  <c r="BH527" i="9"/>
  <c r="BO525" i="9"/>
  <c r="BN525" i="9"/>
  <c r="BJ525" i="9"/>
  <c r="BI525" i="9"/>
  <c r="BH525" i="9"/>
  <c r="BN524" i="9"/>
  <c r="BM524" i="9"/>
  <c r="BJ524" i="9"/>
  <c r="BH524" i="9"/>
  <c r="BM522" i="9"/>
  <c r="BJ522" i="9"/>
  <c r="BO521" i="9"/>
  <c r="BN521" i="9"/>
  <c r="BM521" i="9"/>
  <c r="BJ521" i="9"/>
  <c r="BI521" i="9"/>
  <c r="BH521" i="9"/>
  <c r="BO520" i="9"/>
  <c r="BN520" i="9"/>
  <c r="BJ520" i="9"/>
  <c r="BI520" i="9"/>
  <c r="BH520" i="9"/>
  <c r="BN519" i="9"/>
  <c r="BM519" i="9"/>
  <c r="BJ519" i="9"/>
  <c r="BH519" i="9"/>
  <c r="BM518" i="9"/>
  <c r="BH518" i="9"/>
  <c r="BM517" i="9"/>
  <c r="BJ517" i="9"/>
  <c r="BO515" i="9"/>
  <c r="BN515" i="9"/>
  <c r="BM515" i="9"/>
  <c r="BJ515" i="9"/>
  <c r="BI515" i="9"/>
  <c r="BH515" i="9"/>
  <c r="BO514" i="9"/>
  <c r="BN514" i="9"/>
  <c r="BM514" i="9"/>
  <c r="BJ514" i="9"/>
  <c r="BI514" i="9"/>
  <c r="BH514" i="9"/>
  <c r="BM512" i="9"/>
  <c r="BJ512" i="9"/>
  <c r="BN311" i="9"/>
  <c r="BM309" i="9"/>
  <c r="BN308" i="9"/>
  <c r="BO305" i="9"/>
  <c r="BO304" i="9"/>
  <c r="BH304" i="9"/>
  <c r="BM303" i="9"/>
  <c r="BI303" i="9"/>
  <c r="BN302" i="9"/>
  <c r="BJ302" i="9"/>
  <c r="BI302" i="9"/>
  <c r="BM301" i="9"/>
  <c r="BO299" i="9"/>
  <c r="BM299" i="9"/>
  <c r="BO298" i="9"/>
  <c r="BN298" i="9"/>
  <c r="BI298" i="9"/>
  <c r="BH296" i="9"/>
  <c r="BN287" i="9"/>
  <c r="BH287" i="9"/>
  <c r="BM285" i="9"/>
  <c r="BJ284" i="9"/>
  <c r="BH284" i="9"/>
  <c r="BM282" i="9"/>
  <c r="BM281" i="9"/>
  <c r="BJ281" i="9"/>
  <c r="BH281" i="9"/>
  <c r="BM280" i="9"/>
  <c r="BH280" i="9"/>
  <c r="BH279" i="9"/>
  <c r="BM278" i="9"/>
  <c r="BJ278" i="9"/>
  <c r="BJ277" i="9"/>
  <c r="BH277" i="9"/>
  <c r="BJ275" i="9"/>
  <c r="BH275" i="9"/>
  <c r="BM274" i="9"/>
  <c r="BJ274" i="9"/>
  <c r="BH274" i="9"/>
  <c r="BJ272" i="9"/>
  <c r="BO263" i="9"/>
  <c r="BN261" i="9"/>
  <c r="BJ261" i="9"/>
  <c r="BO260" i="9"/>
  <c r="BJ260" i="9"/>
  <c r="BI260" i="9"/>
  <c r="BN258" i="9"/>
  <c r="BH258" i="9"/>
  <c r="BO257" i="9"/>
  <c r="BH257" i="9"/>
  <c r="BM256" i="9"/>
  <c r="BJ256" i="9"/>
  <c r="BH256" i="9"/>
  <c r="BH255" i="9"/>
  <c r="BM254" i="9"/>
  <c r="BI254" i="9"/>
  <c r="BN253" i="9"/>
  <c r="BO251" i="9"/>
  <c r="BN251" i="9"/>
  <c r="BM251" i="9"/>
  <c r="BH250" i="9"/>
  <c r="BN248" i="9"/>
  <c r="BM248" i="9"/>
  <c r="BH248" i="9"/>
  <c r="BM239" i="9"/>
  <c r="BI237" i="9"/>
  <c r="BO236" i="9"/>
  <c r="BJ236" i="9"/>
  <c r="BJ234" i="9"/>
  <c r="BN232" i="9"/>
  <c r="BM231" i="9"/>
  <c r="BO230" i="9"/>
  <c r="BH230" i="9"/>
  <c r="BM226" i="9"/>
  <c r="BH226" i="9"/>
  <c r="BO213" i="9"/>
  <c r="BI213" i="9"/>
  <c r="BN212" i="9"/>
  <c r="BM212" i="9"/>
  <c r="BJ212" i="9"/>
  <c r="BN210" i="9"/>
  <c r="BJ209" i="9"/>
  <c r="BH209" i="9"/>
  <c r="BN208" i="9"/>
  <c r="BJ208" i="9"/>
  <c r="BO207" i="9"/>
  <c r="BJ207" i="9"/>
  <c r="BJ206" i="9"/>
  <c r="BI206" i="9"/>
  <c r="BH206" i="9"/>
  <c r="BM205" i="9"/>
  <c r="BH205" i="9"/>
  <c r="BH203" i="9"/>
  <c r="BO202" i="9"/>
  <c r="BN202" i="9"/>
  <c r="BM202" i="9"/>
  <c r="BH202" i="9"/>
  <c r="BO200" i="9"/>
  <c r="BN191" i="9"/>
  <c r="BH191" i="9"/>
  <c r="BO189" i="9"/>
  <c r="BM189" i="9"/>
  <c r="BI189" i="9"/>
  <c r="BN188" i="9"/>
  <c r="BJ188" i="9"/>
  <c r="BH188" i="9"/>
  <c r="BO186" i="9"/>
  <c r="BH186" i="9"/>
  <c r="BM185" i="9"/>
  <c r="BH185" i="9"/>
  <c r="BI184" i="9"/>
  <c r="BN183" i="9"/>
  <c r="BH183" i="9"/>
  <c r="BH182" i="9"/>
  <c r="BO181" i="9"/>
  <c r="BN181" i="9"/>
  <c r="BM181" i="9"/>
  <c r="BN179" i="9"/>
  <c r="BO178" i="9"/>
  <c r="BN178" i="9"/>
  <c r="BH178" i="9"/>
  <c r="BO176" i="9"/>
  <c r="BN176" i="9"/>
  <c r="BM176" i="9"/>
  <c r="BI176" i="9"/>
  <c r="BO143" i="9"/>
  <c r="BM143" i="9"/>
  <c r="BO141" i="9"/>
  <c r="BN141" i="9"/>
  <c r="BJ141" i="9"/>
  <c r="BO140" i="9"/>
  <c r="BM140" i="9"/>
  <c r="BO138" i="9"/>
  <c r="BO137" i="9"/>
  <c r="BN137" i="9"/>
  <c r="BM137" i="9"/>
  <c r="BN136" i="9"/>
  <c r="BM136" i="9"/>
  <c r="BO135" i="9"/>
  <c r="BM135" i="9"/>
  <c r="BO134" i="9"/>
  <c r="BN134" i="9"/>
  <c r="BJ134" i="9"/>
  <c r="BO133" i="9"/>
  <c r="BO131" i="9"/>
  <c r="BM131" i="9"/>
  <c r="BN130" i="9"/>
  <c r="BO128" i="9"/>
  <c r="BM128" i="9"/>
  <c r="BH104" i="9"/>
  <c r="BN104" i="9"/>
  <c r="BH106" i="9"/>
  <c r="BM106" i="9"/>
  <c r="BO106" i="9"/>
  <c r="BH107" i="9"/>
  <c r="BM110" i="9"/>
  <c r="BO110" i="9"/>
  <c r="BN111" i="9"/>
  <c r="BO112" i="9"/>
  <c r="BH113" i="9"/>
  <c r="BO113" i="9"/>
  <c r="BH114" i="9"/>
  <c r="BN114" i="9"/>
  <c r="BO114" i="9"/>
  <c r="BJ116" i="9"/>
  <c r="BH117" i="9"/>
  <c r="BJ117" i="9"/>
  <c r="BM117" i="9"/>
  <c r="BO119" i="9"/>
  <c r="BJ66" i="9"/>
  <c r="BJ65" i="9"/>
  <c r="BH62" i="9"/>
  <c r="BI59" i="9"/>
  <c r="BH59" i="9"/>
  <c r="BI58" i="9"/>
  <c r="BH56" i="9"/>
  <c r="BJ53" i="9"/>
  <c r="BH53" i="9"/>
  <c r="BH39" i="9"/>
  <c r="BJ38" i="9"/>
  <c r="BI38" i="9"/>
  <c r="BH37" i="9"/>
  <c r="BH33" i="9"/>
  <c r="BO10" i="9"/>
  <c r="BH12" i="9"/>
  <c r="BH16" i="9"/>
  <c r="BO16" i="9"/>
  <c r="BO17" i="9"/>
  <c r="BH19" i="9"/>
  <c r="BI19" i="9"/>
  <c r="BJ19" i="9"/>
  <c r="BM20" i="9"/>
  <c r="J11" i="13"/>
  <c r="U11" i="13" s="1"/>
  <c r="BM7" i="9"/>
  <c r="AR94" i="20"/>
  <c r="AR95" i="20"/>
  <c r="AR96" i="20"/>
  <c r="AR97" i="20"/>
  <c r="AR98" i="20"/>
  <c r="AR99" i="20"/>
  <c r="AR100" i="20"/>
  <c r="AR93" i="20"/>
  <c r="L136" i="20"/>
  <c r="L137" i="20" s="1"/>
  <c r="M136" i="20"/>
  <c r="M137" i="20" s="1"/>
  <c r="N136" i="20"/>
  <c r="N137" i="20" s="1"/>
  <c r="O136" i="20"/>
  <c r="O137" i="20" s="1"/>
  <c r="Q136" i="20"/>
  <c r="Q137" i="20" s="1"/>
  <c r="R136" i="20"/>
  <c r="R137" i="20" s="1"/>
  <c r="S136" i="20"/>
  <c r="S137" i="20" s="1"/>
  <c r="T137" i="20"/>
  <c r="U136" i="20"/>
  <c r="U137" i="20" s="1"/>
  <c r="V136" i="20"/>
  <c r="V137" i="20" s="1"/>
  <c r="X136" i="20"/>
  <c r="X137" i="20" s="1"/>
  <c r="Y136" i="20"/>
  <c r="Y137" i="20" s="1"/>
  <c r="AA136" i="20"/>
  <c r="AA137" i="20" s="1"/>
  <c r="AC136" i="20"/>
  <c r="AC137" i="20" s="1"/>
  <c r="AD136" i="20"/>
  <c r="AD137" i="20" s="1"/>
  <c r="AE136" i="20"/>
  <c r="AE137" i="20" s="1"/>
  <c r="AF136" i="20"/>
  <c r="AF137" i="20" s="1"/>
  <c r="AG136" i="20"/>
  <c r="AG137" i="20" s="1"/>
  <c r="AH136" i="20"/>
  <c r="AH137" i="20" s="1"/>
  <c r="AI136" i="20"/>
  <c r="AI137" i="20" s="1"/>
  <c r="AJ136" i="20"/>
  <c r="AJ137" i="20" s="1"/>
  <c r="AK136" i="20"/>
  <c r="AK137" i="20" s="1"/>
  <c r="AL136" i="20"/>
  <c r="AL137" i="20" s="1"/>
  <c r="AM136" i="20"/>
  <c r="AM137" i="20" s="1"/>
  <c r="AO136" i="20"/>
  <c r="AO137" i="20" s="1"/>
  <c r="AP136" i="20"/>
  <c r="AP137" i="20" s="1"/>
  <c r="AQ136" i="20"/>
  <c r="AQ137" i="20" s="1"/>
  <c r="K111" i="20"/>
  <c r="K23" i="20" s="1"/>
  <c r="L111" i="20"/>
  <c r="M111" i="20"/>
  <c r="M23" i="20" s="1"/>
  <c r="N111" i="20"/>
  <c r="N23" i="20" s="1"/>
  <c r="O111" i="20"/>
  <c r="O23" i="20" s="1"/>
  <c r="P111" i="20"/>
  <c r="P113" i="20" s="1"/>
  <c r="P114" i="20" s="1"/>
  <c r="Q111" i="20"/>
  <c r="Q113" i="20" s="1"/>
  <c r="Q114" i="20" s="1"/>
  <c r="R111" i="20"/>
  <c r="S111" i="20"/>
  <c r="T111" i="20"/>
  <c r="T113" i="20" s="1"/>
  <c r="T114" i="20" s="1"/>
  <c r="U111" i="20"/>
  <c r="U113" i="20" s="1"/>
  <c r="U114" i="20" s="1"/>
  <c r="V111" i="20"/>
  <c r="W111" i="20"/>
  <c r="W23" i="20" s="1"/>
  <c r="X111" i="20"/>
  <c r="X113" i="20" s="1"/>
  <c r="X114" i="20" s="1"/>
  <c r="Y111" i="20"/>
  <c r="Y23" i="20" s="1"/>
  <c r="Z111" i="20"/>
  <c r="Z113" i="20" s="1"/>
  <c r="Z114" i="20" s="1"/>
  <c r="AA111" i="20"/>
  <c r="AA23" i="20" s="1"/>
  <c r="AB111" i="20"/>
  <c r="AB113" i="20" s="1"/>
  <c r="AB114" i="20" s="1"/>
  <c r="AC111" i="20"/>
  <c r="AC23" i="20" s="1"/>
  <c r="AD111" i="20"/>
  <c r="AD113" i="20" s="1"/>
  <c r="AD114" i="20" s="1"/>
  <c r="AE111" i="20"/>
  <c r="AE23" i="20" s="1"/>
  <c r="AF111" i="20"/>
  <c r="AF113" i="20" s="1"/>
  <c r="AF114" i="20" s="1"/>
  <c r="AG111" i="20"/>
  <c r="AG113" i="20" s="1"/>
  <c r="AG114" i="20" s="1"/>
  <c r="AH111" i="20"/>
  <c r="AH113" i="20" s="1"/>
  <c r="AH114" i="20" s="1"/>
  <c r="AI111" i="20"/>
  <c r="AJ111" i="20"/>
  <c r="AK111" i="20"/>
  <c r="AK23" i="20" s="1"/>
  <c r="AL111" i="20"/>
  <c r="AL113" i="20" s="1"/>
  <c r="AL114" i="20" s="1"/>
  <c r="AM111" i="20"/>
  <c r="AM113" i="20" s="1"/>
  <c r="AM114" i="20" s="1"/>
  <c r="AN111" i="20"/>
  <c r="AN113" i="20" s="1"/>
  <c r="AN114" i="20" s="1"/>
  <c r="AO111" i="20"/>
  <c r="AP111" i="20"/>
  <c r="AP23" i="20" s="1"/>
  <c r="AQ111" i="20"/>
  <c r="AQ113" i="20" s="1"/>
  <c r="AQ114" i="20" s="1"/>
  <c r="D18" i="20"/>
  <c r="D19" i="20"/>
  <c r="D20" i="20"/>
  <c r="D21" i="20"/>
  <c r="D22" i="20"/>
  <c r="D24" i="20"/>
  <c r="D17" i="20"/>
  <c r="K136" i="20"/>
  <c r="K137" i="20" s="1"/>
  <c r="AR135" i="20"/>
  <c r="AR132" i="20"/>
  <c r="AR131" i="20"/>
  <c r="AR130" i="20"/>
  <c r="AR129" i="20"/>
  <c r="AR128" i="20"/>
  <c r="AR127" i="20"/>
  <c r="AQ101" i="20"/>
  <c r="AQ102" i="20" s="1"/>
  <c r="AP101" i="20"/>
  <c r="AP102" i="20"/>
  <c r="AO101" i="20"/>
  <c r="AO102" i="20" s="1"/>
  <c r="AN101" i="20"/>
  <c r="AN102" i="20" s="1"/>
  <c r="AM101" i="20"/>
  <c r="AM102" i="20" s="1"/>
  <c r="AL101" i="20"/>
  <c r="AL102" i="20" s="1"/>
  <c r="AK101" i="20"/>
  <c r="AK102" i="20" s="1"/>
  <c r="AJ101" i="20"/>
  <c r="AJ102" i="20" s="1"/>
  <c r="AI101" i="20"/>
  <c r="AI102" i="20" s="1"/>
  <c r="AH101" i="20"/>
  <c r="AH102" i="20" s="1"/>
  <c r="AF101" i="20"/>
  <c r="AF102" i="20" s="1"/>
  <c r="AE101" i="20"/>
  <c r="AE102" i="20" s="1"/>
  <c r="AD101" i="20"/>
  <c r="AD102" i="20" s="1"/>
  <c r="AC101" i="20"/>
  <c r="AC102" i="20" s="1"/>
  <c r="AB101" i="20"/>
  <c r="AB102" i="20" s="1"/>
  <c r="AA101" i="20"/>
  <c r="AA102" i="20" s="1"/>
  <c r="Z101" i="20"/>
  <c r="Z102" i="20" s="1"/>
  <c r="Y101" i="20"/>
  <c r="Y102" i="20" s="1"/>
  <c r="X101" i="20"/>
  <c r="X102" i="20" s="1"/>
  <c r="W101" i="20"/>
  <c r="W102" i="20" s="1"/>
  <c r="V101" i="20"/>
  <c r="V102" i="20" s="1"/>
  <c r="U101" i="20"/>
  <c r="U102" i="20" s="1"/>
  <c r="T101" i="20"/>
  <c r="T102" i="20" s="1"/>
  <c r="S101" i="20"/>
  <c r="S102" i="20" s="1"/>
  <c r="R101" i="20"/>
  <c r="R102" i="20" s="1"/>
  <c r="Q101" i="20"/>
  <c r="Q102" i="20" s="1"/>
  <c r="P101" i="20"/>
  <c r="P102" i="20" s="1"/>
  <c r="O101" i="20"/>
  <c r="O102" i="20" s="1"/>
  <c r="N101" i="20"/>
  <c r="N102" i="20" s="1"/>
  <c r="M101" i="20"/>
  <c r="M102" i="20" s="1"/>
  <c r="L101" i="20"/>
  <c r="L102" i="20" s="1"/>
  <c r="K101" i="20"/>
  <c r="K102" i="20" s="1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K104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K87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K71" i="14"/>
  <c r="L34" i="12"/>
  <c r="M34" i="12"/>
  <c r="N34" i="12"/>
  <c r="AS28" i="12"/>
  <c r="AS31" i="12"/>
  <c r="D557" i="9"/>
  <c r="BN228" i="9"/>
  <c r="K185" i="20"/>
  <c r="L185" i="20"/>
  <c r="M185" i="20"/>
  <c r="K176" i="20"/>
  <c r="L176" i="20"/>
  <c r="K167" i="20"/>
  <c r="L167" i="20"/>
  <c r="K158" i="20"/>
  <c r="L158" i="20"/>
  <c r="K148" i="20"/>
  <c r="K149" i="20" s="1"/>
  <c r="L148" i="20"/>
  <c r="K124" i="20"/>
  <c r="K125" i="20" s="1"/>
  <c r="L124" i="20"/>
  <c r="L125" i="20" s="1"/>
  <c r="K90" i="20"/>
  <c r="K91" i="20" s="1"/>
  <c r="L90" i="20"/>
  <c r="M90" i="20"/>
  <c r="M91" i="20" s="1"/>
  <c r="K79" i="20"/>
  <c r="K80" i="20" s="1"/>
  <c r="L79" i="20"/>
  <c r="L80" i="20" s="1"/>
  <c r="K68" i="20"/>
  <c r="K69" i="20" s="1"/>
  <c r="K12" i="20"/>
  <c r="K54" i="20"/>
  <c r="L54" i="20"/>
  <c r="M54" i="20"/>
  <c r="K45" i="20"/>
  <c r="K56" i="20" s="1"/>
  <c r="J57" i="14" s="1"/>
  <c r="L45" i="20"/>
  <c r="K53" i="14" s="1"/>
  <c r="M45" i="20"/>
  <c r="L53" i="14" s="1"/>
  <c r="BL300" i="9"/>
  <c r="BH300" i="9"/>
  <c r="AQ91" i="23"/>
  <c r="AQ395" i="21" s="1"/>
  <c r="AP91" i="23"/>
  <c r="AP395" i="21" s="1"/>
  <c r="AP419" i="21" s="1"/>
  <c r="AP4" i="11" s="1"/>
  <c r="AO91" i="23"/>
  <c r="AO395" i="21" s="1"/>
  <c r="AN91" i="23"/>
  <c r="AN395" i="21" s="1"/>
  <c r="AM91" i="23"/>
  <c r="AM395" i="21" s="1"/>
  <c r="AL91" i="23"/>
  <c r="AL395" i="21" s="1"/>
  <c r="AK91" i="23"/>
  <c r="AK395" i="21" s="1"/>
  <c r="AJ91" i="23"/>
  <c r="AJ395" i="21" s="1"/>
  <c r="AI91" i="23"/>
  <c r="AI395" i="21" s="1"/>
  <c r="AH91" i="23"/>
  <c r="AH395" i="21" s="1"/>
  <c r="AG91" i="23"/>
  <c r="AG395" i="21" s="1"/>
  <c r="AF91" i="23"/>
  <c r="AF395" i="21" s="1"/>
  <c r="AE91" i="23"/>
  <c r="AE395" i="21" s="1"/>
  <c r="AD91" i="23"/>
  <c r="AD395" i="21" s="1"/>
  <c r="AC91" i="23"/>
  <c r="AC395" i="21" s="1"/>
  <c r="AB91" i="23"/>
  <c r="AB395" i="21" s="1"/>
  <c r="AA91" i="23"/>
  <c r="AA395" i="21" s="1"/>
  <c r="Y91" i="23"/>
  <c r="Y395" i="21" s="1"/>
  <c r="X91" i="23"/>
  <c r="X395" i="21" s="1"/>
  <c r="W91" i="23"/>
  <c r="W395" i="21" s="1"/>
  <c r="V91" i="23"/>
  <c r="V395" i="21" s="1"/>
  <c r="U91" i="23"/>
  <c r="U395" i="21" s="1"/>
  <c r="T91" i="23"/>
  <c r="T395" i="21" s="1"/>
  <c r="S91" i="23"/>
  <c r="S395" i="21" s="1"/>
  <c r="R91" i="23"/>
  <c r="R395" i="21" s="1"/>
  <c r="Q91" i="23"/>
  <c r="Q395" i="21" s="1"/>
  <c r="P91" i="23"/>
  <c r="P395" i="21" s="1"/>
  <c r="O91" i="23"/>
  <c r="O395" i="21" s="1"/>
  <c r="N91" i="23"/>
  <c r="N395" i="21" s="1"/>
  <c r="M91" i="23"/>
  <c r="M395" i="21" s="1"/>
  <c r="L91" i="23"/>
  <c r="L395" i="21" s="1"/>
  <c r="K91" i="23"/>
  <c r="K395" i="21" s="1"/>
  <c r="D91" i="23"/>
  <c r="D395" i="21" s="1"/>
  <c r="AQ46" i="23"/>
  <c r="AQ96" i="16" s="1"/>
  <c r="AP46" i="23"/>
  <c r="AP96" i="16" s="1"/>
  <c r="AO46" i="23"/>
  <c r="AO96" i="16" s="1"/>
  <c r="AN46" i="23"/>
  <c r="AN96" i="16" s="1"/>
  <c r="AM46" i="23"/>
  <c r="AM96" i="16" s="1"/>
  <c r="AL46" i="23"/>
  <c r="AL96" i="16" s="1"/>
  <c r="AK46" i="23"/>
  <c r="AK96" i="16" s="1"/>
  <c r="AJ46" i="23"/>
  <c r="AJ96" i="16" s="1"/>
  <c r="AI46" i="23"/>
  <c r="AI96" i="16" s="1"/>
  <c r="AH46" i="23"/>
  <c r="AH96" i="16" s="1"/>
  <c r="AG46" i="23"/>
  <c r="AG96" i="16" s="1"/>
  <c r="AF46" i="23"/>
  <c r="AF96" i="16" s="1"/>
  <c r="AE46" i="23"/>
  <c r="AE96" i="16" s="1"/>
  <c r="AD46" i="23"/>
  <c r="AD96" i="16" s="1"/>
  <c r="AC46" i="23"/>
  <c r="AC96" i="16" s="1"/>
  <c r="AB46" i="23"/>
  <c r="AB96" i="16" s="1"/>
  <c r="AA46" i="23"/>
  <c r="AA96" i="16" s="1"/>
  <c r="Z46" i="23"/>
  <c r="Z96" i="16" s="1"/>
  <c r="Y46" i="23"/>
  <c r="Y96" i="16" s="1"/>
  <c r="X46" i="23"/>
  <c r="X96" i="16" s="1"/>
  <c r="W46" i="23"/>
  <c r="W96" i="16" s="1"/>
  <c r="V46" i="23"/>
  <c r="V96" i="16" s="1"/>
  <c r="U46" i="23"/>
  <c r="U96" i="16" s="1"/>
  <c r="T46" i="23"/>
  <c r="T96" i="16" s="1"/>
  <c r="S46" i="23"/>
  <c r="S96" i="16" s="1"/>
  <c r="R46" i="23"/>
  <c r="R96" i="16" s="1"/>
  <c r="Q46" i="23"/>
  <c r="Q96" i="16" s="1"/>
  <c r="P46" i="23"/>
  <c r="P96" i="16" s="1"/>
  <c r="O46" i="23"/>
  <c r="O96" i="16" s="1"/>
  <c r="N46" i="23"/>
  <c r="N96" i="16" s="1"/>
  <c r="M46" i="23"/>
  <c r="M96" i="16" s="1"/>
  <c r="L46" i="23"/>
  <c r="L96" i="16" s="1"/>
  <c r="K46" i="23"/>
  <c r="K96" i="16" s="1"/>
  <c r="D46" i="23"/>
  <c r="D96" i="16" s="1"/>
  <c r="BP125" i="9"/>
  <c r="AV101" i="9"/>
  <c r="BG101" i="9" s="1"/>
  <c r="BE50" i="9"/>
  <c r="AW50" i="9"/>
  <c r="AV50" i="9"/>
  <c r="BE27" i="9"/>
  <c r="AW27" i="9"/>
  <c r="BH27" i="9" s="1"/>
  <c r="AV27" i="9"/>
  <c r="BG27" i="9" s="1"/>
  <c r="BE4" i="9"/>
  <c r="K12" i="13" s="1"/>
  <c r="V12" i="13" s="1"/>
  <c r="BK516" i="9"/>
  <c r="BL516" i="9"/>
  <c r="BJ180" i="9"/>
  <c r="BO276" i="9"/>
  <c r="BM300" i="9"/>
  <c r="BQ300" i="9" s="1"/>
  <c r="BJ516" i="9"/>
  <c r="BH180" i="9"/>
  <c r="BM180" i="9"/>
  <c r="BN180" i="9"/>
  <c r="BO252" i="9"/>
  <c r="BI300" i="9"/>
  <c r="BO516" i="9"/>
  <c r="BM108" i="9"/>
  <c r="BM132" i="9"/>
  <c r="BI516" i="9"/>
  <c r="BJ132" i="9"/>
  <c r="BJ57" i="9"/>
  <c r="BN11" i="9"/>
  <c r="BI11" i="9"/>
  <c r="Q49" i="10"/>
  <c r="Q74" i="10"/>
  <c r="U49" i="10"/>
  <c r="U74" i="10"/>
  <c r="AC49" i="10"/>
  <c r="AC74" i="10"/>
  <c r="AG49" i="10"/>
  <c r="AG74" i="10"/>
  <c r="AK49" i="10"/>
  <c r="AK74" i="10"/>
  <c r="N49" i="10"/>
  <c r="N74" i="10"/>
  <c r="R49" i="10"/>
  <c r="R74" i="10"/>
  <c r="V49" i="10"/>
  <c r="V74" i="10"/>
  <c r="Z49" i="10"/>
  <c r="AD49" i="10"/>
  <c r="AD74" i="10"/>
  <c r="AH49" i="10"/>
  <c r="AH74" i="10"/>
  <c r="AL49" i="10"/>
  <c r="AL74" i="10"/>
  <c r="AP49" i="10"/>
  <c r="AP74" i="10"/>
  <c r="K49" i="10"/>
  <c r="K74" i="10"/>
  <c r="O49" i="10"/>
  <c r="W49" i="10"/>
  <c r="W74" i="10"/>
  <c r="AA49" i="10"/>
  <c r="AA74" i="10"/>
  <c r="AE49" i="10"/>
  <c r="AE74" i="10"/>
  <c r="AM49" i="10"/>
  <c r="AM74" i="10"/>
  <c r="AQ49" i="10"/>
  <c r="AQ74" i="10"/>
  <c r="P49" i="10"/>
  <c r="P74" i="10"/>
  <c r="T49" i="10"/>
  <c r="T74" i="10"/>
  <c r="X49" i="10"/>
  <c r="X74" i="10"/>
  <c r="AF49" i="10"/>
  <c r="AF74" i="10"/>
  <c r="AJ49" i="10"/>
  <c r="AJ74" i="10"/>
  <c r="AN49" i="10"/>
  <c r="AN74" i="10"/>
  <c r="M49" i="10"/>
  <c r="M74" i="10"/>
  <c r="L49" i="10"/>
  <c r="L74" i="10"/>
  <c r="AV523" i="9"/>
  <c r="BG523" i="9"/>
  <c r="AV307" i="9"/>
  <c r="BG307" i="9"/>
  <c r="AV235" i="9"/>
  <c r="BG235" i="9" s="1"/>
  <c r="D46" i="13"/>
  <c r="D27" i="13" s="1"/>
  <c r="O27" i="13" s="1"/>
  <c r="D24" i="17"/>
  <c r="D110" i="16" s="1"/>
  <c r="D134" i="16" s="1"/>
  <c r="D18" i="10" s="1"/>
  <c r="AR23" i="17"/>
  <c r="AR22" i="17"/>
  <c r="AR21" i="17"/>
  <c r="AR20" i="17"/>
  <c r="AR19" i="17"/>
  <c r="AR18" i="17"/>
  <c r="AR17" i="17"/>
  <c r="AR10" i="17"/>
  <c r="AU56" i="17" s="1"/>
  <c r="AR9" i="17"/>
  <c r="AR7" i="17"/>
  <c r="AR6" i="17"/>
  <c r="AR5" i="17"/>
  <c r="AR4" i="17"/>
  <c r="AV283" i="9"/>
  <c r="BG283" i="9"/>
  <c r="AV259" i="9"/>
  <c r="BG259" i="9" s="1"/>
  <c r="AV211" i="9"/>
  <c r="BG211" i="9" s="1"/>
  <c r="BP187" i="9"/>
  <c r="AV187" i="9"/>
  <c r="BG187" i="9"/>
  <c r="BP115" i="9"/>
  <c r="AV115" i="9"/>
  <c r="BG115" i="9" s="1"/>
  <c r="AW64" i="9"/>
  <c r="BH64" i="9" s="1"/>
  <c r="AV64" i="9"/>
  <c r="BG64" i="9" s="1"/>
  <c r="AW41" i="9"/>
  <c r="AV41" i="9"/>
  <c r="BG41" i="9" s="1"/>
  <c r="E46" i="13"/>
  <c r="P46" i="13" s="1"/>
  <c r="H46" i="13"/>
  <c r="J46" i="13"/>
  <c r="J27" i="13" s="1"/>
  <c r="U27" i="13" s="1"/>
  <c r="I46" i="13"/>
  <c r="I27" i="13" s="1"/>
  <c r="T27" i="13" s="1"/>
  <c r="C46" i="13"/>
  <c r="C27" i="13" s="1"/>
  <c r="N27" i="13" s="1"/>
  <c r="AR367" i="21"/>
  <c r="AR365" i="21"/>
  <c r="AT365" i="21" s="1"/>
  <c r="AR364" i="21"/>
  <c r="AT364" i="21" s="1"/>
  <c r="AR362" i="21"/>
  <c r="AR361" i="21"/>
  <c r="AT361" i="21" s="1"/>
  <c r="AR360" i="21"/>
  <c r="AR359" i="21"/>
  <c r="AT359" i="21" s="1"/>
  <c r="AR358" i="21"/>
  <c r="AT358" i="21" s="1"/>
  <c r="AR357" i="21"/>
  <c r="AT357" i="21" s="1"/>
  <c r="AR356" i="21"/>
  <c r="AT356" i="21" s="1"/>
  <c r="AR355" i="21"/>
  <c r="AT355" i="21" s="1"/>
  <c r="AR354" i="21"/>
  <c r="AR352" i="21"/>
  <c r="AT352" i="21" s="1"/>
  <c r="AR160" i="21"/>
  <c r="AR158" i="21"/>
  <c r="AT158" i="21" s="1"/>
  <c r="AR157" i="21"/>
  <c r="AT157" i="21" s="1"/>
  <c r="AR155" i="21"/>
  <c r="AR154" i="21"/>
  <c r="AR153" i="21"/>
  <c r="AT153" i="21" s="1"/>
  <c r="AR152" i="21"/>
  <c r="AR151" i="21"/>
  <c r="AR150" i="21"/>
  <c r="AR149" i="21"/>
  <c r="AT149" i="21" s="1"/>
  <c r="AR148" i="21"/>
  <c r="AR147" i="21"/>
  <c r="AT147" i="21" s="1"/>
  <c r="AR145" i="21"/>
  <c r="AR137" i="21"/>
  <c r="AR135" i="21"/>
  <c r="AT135" i="21" s="1"/>
  <c r="AR134" i="21"/>
  <c r="AT134" i="21" s="1"/>
  <c r="AR132" i="21"/>
  <c r="AT132" i="21" s="1"/>
  <c r="AR131" i="21"/>
  <c r="AR130" i="21"/>
  <c r="AR129" i="21"/>
  <c r="AR128" i="21"/>
  <c r="AR127" i="21"/>
  <c r="AR126" i="21"/>
  <c r="AT126" i="21" s="1"/>
  <c r="AR125" i="21"/>
  <c r="AR124" i="21"/>
  <c r="AR122" i="21"/>
  <c r="AT122" i="21" s="1"/>
  <c r="AR114" i="21"/>
  <c r="AR112" i="21"/>
  <c r="AT112" i="21" s="1"/>
  <c r="AR111" i="21"/>
  <c r="AT111" i="21" s="1"/>
  <c r="AR109" i="21"/>
  <c r="AR108" i="21"/>
  <c r="AR107" i="21"/>
  <c r="AR106" i="21"/>
  <c r="AR105" i="21"/>
  <c r="AT105" i="21" s="1"/>
  <c r="AR104" i="21"/>
  <c r="AT104" i="21" s="1"/>
  <c r="AR103" i="21"/>
  <c r="AR102" i="21"/>
  <c r="AR101" i="21"/>
  <c r="AR99" i="21"/>
  <c r="AT99" i="21" s="1"/>
  <c r="AR91" i="21"/>
  <c r="AW91" i="21" s="1"/>
  <c r="AR89" i="21"/>
  <c r="AR88" i="21"/>
  <c r="AT88" i="21" s="1"/>
  <c r="AR86" i="21"/>
  <c r="AW86" i="21" s="1"/>
  <c r="AR85" i="21"/>
  <c r="AW85" i="21" s="1"/>
  <c r="AR84" i="21"/>
  <c r="AW84" i="21" s="1"/>
  <c r="AR83" i="21"/>
  <c r="AW83" i="21" s="1"/>
  <c r="AR82" i="21"/>
  <c r="AW82" i="21" s="1"/>
  <c r="AR81" i="21"/>
  <c r="AW81" i="21" s="1"/>
  <c r="AR80" i="21"/>
  <c r="AW80" i="21" s="1"/>
  <c r="AR79" i="21"/>
  <c r="AW79" i="21" s="1"/>
  <c r="AR78" i="21"/>
  <c r="AW78" i="21" s="1"/>
  <c r="AR76" i="21"/>
  <c r="AW76" i="21" s="1"/>
  <c r="AR45" i="21"/>
  <c r="AW45" i="21" s="1"/>
  <c r="AR43" i="21"/>
  <c r="AR42" i="21"/>
  <c r="AW42" i="21" s="1"/>
  <c r="AR40" i="21"/>
  <c r="AW40" i="21" s="1"/>
  <c r="AR39" i="21"/>
  <c r="AR38" i="21"/>
  <c r="AR37" i="21"/>
  <c r="AW37" i="21" s="1"/>
  <c r="AR36" i="21"/>
  <c r="AW36" i="21"/>
  <c r="AR35" i="21"/>
  <c r="AR34" i="21"/>
  <c r="AW34" i="21" s="1"/>
  <c r="AR33" i="21"/>
  <c r="AW33" i="21" s="1"/>
  <c r="AR32" i="21"/>
  <c r="AR30" i="21"/>
  <c r="AW30" i="21" s="1"/>
  <c r="AR7" i="21"/>
  <c r="AW7" i="21" s="1"/>
  <c r="AR9" i="21"/>
  <c r="AW9" i="21" s="1"/>
  <c r="AR99" i="16"/>
  <c r="K76" i="16"/>
  <c r="K123" i="16" s="1"/>
  <c r="K7" i="10" s="1"/>
  <c r="L76" i="16"/>
  <c r="L123" i="16" s="1"/>
  <c r="L7" i="10" s="1"/>
  <c r="M76" i="16"/>
  <c r="N76" i="16"/>
  <c r="N123" i="16" s="1"/>
  <c r="N7" i="10" s="1"/>
  <c r="N31" i="10" s="1"/>
  <c r="N55" i="10" s="1"/>
  <c r="O76" i="16"/>
  <c r="O123" i="16" s="1"/>
  <c r="O7" i="10" s="1"/>
  <c r="O31" i="10" s="1"/>
  <c r="O55" i="10" s="1"/>
  <c r="P76" i="16"/>
  <c r="P123" i="16" s="1"/>
  <c r="P7" i="10" s="1"/>
  <c r="Q76" i="16"/>
  <c r="Q123" i="16" s="1"/>
  <c r="Q7" i="10" s="1"/>
  <c r="Q31" i="10" s="1"/>
  <c r="Q55" i="10" s="1"/>
  <c r="R76" i="16"/>
  <c r="R123" i="16" s="1"/>
  <c r="R7" i="10" s="1"/>
  <c r="R31" i="10" s="1"/>
  <c r="R55" i="10" s="1"/>
  <c r="S76" i="16"/>
  <c r="S123" i="16" s="1"/>
  <c r="S7" i="10" s="1"/>
  <c r="S31" i="10" s="1"/>
  <c r="S55" i="10" s="1"/>
  <c r="T76" i="16"/>
  <c r="T123" i="16" s="1"/>
  <c r="T7" i="10" s="1"/>
  <c r="T31" i="10" s="1"/>
  <c r="T55" i="10" s="1"/>
  <c r="U76" i="16"/>
  <c r="U123" i="16" s="1"/>
  <c r="U7" i="10" s="1"/>
  <c r="U31" i="10" s="1"/>
  <c r="U55" i="10" s="1"/>
  <c r="V76" i="16"/>
  <c r="V123" i="16" s="1"/>
  <c r="V7" i="10" s="1"/>
  <c r="V31" i="10" s="1"/>
  <c r="V55" i="10" s="1"/>
  <c r="W76" i="16"/>
  <c r="W123" i="16" s="1"/>
  <c r="W7" i="10" s="1"/>
  <c r="W31" i="10" s="1"/>
  <c r="W55" i="10" s="1"/>
  <c r="X76" i="16"/>
  <c r="X123" i="16" s="1"/>
  <c r="X7" i="10" s="1"/>
  <c r="X31" i="10" s="1"/>
  <c r="X55" i="10" s="1"/>
  <c r="Y76" i="16"/>
  <c r="Y123" i="16" s="1"/>
  <c r="Y7" i="10" s="1"/>
  <c r="Y31" i="10" s="1"/>
  <c r="Y55" i="10" s="1"/>
  <c r="Z76" i="16"/>
  <c r="Z123" i="16" s="1"/>
  <c r="Z7" i="10" s="1"/>
  <c r="Z31" i="10" s="1"/>
  <c r="Z55" i="10" s="1"/>
  <c r="AA76" i="16"/>
  <c r="AA123" i="16" s="1"/>
  <c r="AA7" i="10" s="1"/>
  <c r="AA31" i="10" s="1"/>
  <c r="AA55" i="10" s="1"/>
  <c r="AB123" i="16"/>
  <c r="AB7" i="10" s="1"/>
  <c r="AB31" i="10" s="1"/>
  <c r="AB55" i="10" s="1"/>
  <c r="AC76" i="16"/>
  <c r="AC123" i="16" s="1"/>
  <c r="AC7" i="10" s="1"/>
  <c r="AC31" i="10" s="1"/>
  <c r="AC55" i="10" s="1"/>
  <c r="AD76" i="16"/>
  <c r="AD123" i="16" s="1"/>
  <c r="AD7" i="10" s="1"/>
  <c r="AD31" i="10" s="1"/>
  <c r="AD55" i="10" s="1"/>
  <c r="AE76" i="16"/>
  <c r="AE123" i="16" s="1"/>
  <c r="AE7" i="10" s="1"/>
  <c r="AE31" i="10" s="1"/>
  <c r="AE55" i="10" s="1"/>
  <c r="AF76" i="16"/>
  <c r="AF123" i="16" s="1"/>
  <c r="AF7" i="10" s="1"/>
  <c r="AF31" i="10" s="1"/>
  <c r="AF55" i="10" s="1"/>
  <c r="AG76" i="16"/>
  <c r="AG123" i="16" s="1"/>
  <c r="AG7" i="10" s="1"/>
  <c r="AG31" i="10" s="1"/>
  <c r="AG55" i="10" s="1"/>
  <c r="AH76" i="16"/>
  <c r="AH123" i="16" s="1"/>
  <c r="AH7" i="10" s="1"/>
  <c r="AH31" i="10" s="1"/>
  <c r="AH55" i="10" s="1"/>
  <c r="AI76" i="16"/>
  <c r="AI123" i="16" s="1"/>
  <c r="AI7" i="10" s="1"/>
  <c r="AJ76" i="16"/>
  <c r="AJ123" i="16" s="1"/>
  <c r="AJ7" i="10" s="1"/>
  <c r="AJ31" i="10" s="1"/>
  <c r="AJ55" i="10" s="1"/>
  <c r="AK76" i="16"/>
  <c r="AK123" i="16" s="1"/>
  <c r="AK7" i="10" s="1"/>
  <c r="AK31" i="10" s="1"/>
  <c r="AK55" i="10" s="1"/>
  <c r="AL76" i="16"/>
  <c r="AL123" i="16" s="1"/>
  <c r="AL7" i="10" s="1"/>
  <c r="AL31" i="10" s="1"/>
  <c r="AL55" i="10" s="1"/>
  <c r="AM76" i="16"/>
  <c r="AM123" i="16" s="1"/>
  <c r="AN76" i="16"/>
  <c r="AN123" i="16"/>
  <c r="AO76" i="16"/>
  <c r="AO123" i="16" s="1"/>
  <c r="AO7" i="10" s="1"/>
  <c r="AO31" i="10" s="1"/>
  <c r="AO55" i="10" s="1"/>
  <c r="AP76" i="16"/>
  <c r="AP123" i="16"/>
  <c r="AP7" i="10" s="1"/>
  <c r="AP31" i="10" s="1"/>
  <c r="AP55" i="10" s="1"/>
  <c r="AQ76" i="16"/>
  <c r="AQ123" i="16"/>
  <c r="K78" i="16"/>
  <c r="K125" i="16"/>
  <c r="L78" i="16"/>
  <c r="L125" i="16" s="1"/>
  <c r="L9" i="10" s="1"/>
  <c r="M78" i="16"/>
  <c r="M125" i="16" s="1"/>
  <c r="M9" i="10" s="1"/>
  <c r="M33" i="10" s="1"/>
  <c r="M57" i="10" s="1"/>
  <c r="N78" i="16"/>
  <c r="N125" i="16" s="1"/>
  <c r="N9" i="10" s="1"/>
  <c r="N33" i="10" s="1"/>
  <c r="N57" i="10" s="1"/>
  <c r="O78" i="16"/>
  <c r="O125" i="16" s="1"/>
  <c r="O9" i="10" s="1"/>
  <c r="O33" i="10" s="1"/>
  <c r="O57" i="10" s="1"/>
  <c r="P78" i="16"/>
  <c r="P125" i="16" s="1"/>
  <c r="P9" i="10" s="1"/>
  <c r="P33" i="10" s="1"/>
  <c r="P57" i="10" s="1"/>
  <c r="Q78" i="16"/>
  <c r="R78" i="16"/>
  <c r="R125" i="16" s="1"/>
  <c r="R9" i="10" s="1"/>
  <c r="S78" i="16"/>
  <c r="S125" i="16" s="1"/>
  <c r="S9" i="10" s="1"/>
  <c r="S33" i="10" s="1"/>
  <c r="S57" i="10" s="1"/>
  <c r="T78" i="16"/>
  <c r="T125" i="16" s="1"/>
  <c r="T9" i="10" s="1"/>
  <c r="T33" i="10" s="1"/>
  <c r="T57" i="10" s="1"/>
  <c r="U78" i="16"/>
  <c r="U125" i="16" s="1"/>
  <c r="U9" i="10" s="1"/>
  <c r="U33" i="10" s="1"/>
  <c r="U57" i="10" s="1"/>
  <c r="V78" i="16"/>
  <c r="V125" i="16" s="1"/>
  <c r="V9" i="10" s="1"/>
  <c r="V33" i="10" s="1"/>
  <c r="V57" i="10" s="1"/>
  <c r="W78" i="16"/>
  <c r="W125" i="16" s="1"/>
  <c r="W9" i="10" s="1"/>
  <c r="W33" i="10" s="1"/>
  <c r="W57" i="10" s="1"/>
  <c r="X78" i="16"/>
  <c r="X125" i="16" s="1"/>
  <c r="X9" i="10" s="1"/>
  <c r="X33" i="10" s="1"/>
  <c r="X57" i="10" s="1"/>
  <c r="Y78" i="16"/>
  <c r="Y125" i="16" s="1"/>
  <c r="Y9" i="10" s="1"/>
  <c r="Y33" i="10" s="1"/>
  <c r="Y57" i="10" s="1"/>
  <c r="Z78" i="16"/>
  <c r="Z125" i="16" s="1"/>
  <c r="Z9" i="10" s="1"/>
  <c r="Z33" i="10" s="1"/>
  <c r="Z57" i="10" s="1"/>
  <c r="AA78" i="16"/>
  <c r="AA125" i="16" s="1"/>
  <c r="AA9" i="10" s="1"/>
  <c r="AA33" i="10" s="1"/>
  <c r="AA57" i="10" s="1"/>
  <c r="AB125" i="16"/>
  <c r="AB9" i="10" s="1"/>
  <c r="AB33" i="10" s="1"/>
  <c r="AB57" i="10" s="1"/>
  <c r="AC78" i="16"/>
  <c r="AD78" i="16"/>
  <c r="AD125" i="16"/>
  <c r="AD9" i="10" s="1"/>
  <c r="AE78" i="16"/>
  <c r="AE125" i="16"/>
  <c r="AE9" i="10" s="1"/>
  <c r="AF78" i="16"/>
  <c r="AF125" i="16" s="1"/>
  <c r="AF9" i="10" s="1"/>
  <c r="AG78" i="16"/>
  <c r="AG125" i="16"/>
  <c r="AH78" i="16"/>
  <c r="AH125" i="16" s="1"/>
  <c r="AH9" i="10" s="1"/>
  <c r="AH33" i="10" s="1"/>
  <c r="AH57" i="10" s="1"/>
  <c r="AI78" i="16"/>
  <c r="AI125" i="16" s="1"/>
  <c r="AI9" i="10" s="1"/>
  <c r="AI33" i="10" s="1"/>
  <c r="AI57" i="10" s="1"/>
  <c r="AJ78" i="16"/>
  <c r="AJ125" i="16" s="1"/>
  <c r="AK78" i="16"/>
  <c r="AK125" i="16" s="1"/>
  <c r="AK9" i="10" s="1"/>
  <c r="AK33" i="10" s="1"/>
  <c r="AK57" i="10" s="1"/>
  <c r="AL78" i="16"/>
  <c r="AL125" i="16" s="1"/>
  <c r="AL9" i="10" s="1"/>
  <c r="AM78" i="16"/>
  <c r="AM125" i="16" s="1"/>
  <c r="AM9" i="10" s="1"/>
  <c r="AM33" i="10" s="1"/>
  <c r="AM57" i="10" s="1"/>
  <c r="AN78" i="16"/>
  <c r="AN125" i="16" s="1"/>
  <c r="AN9" i="10" s="1"/>
  <c r="AO78" i="16"/>
  <c r="AO125" i="16"/>
  <c r="AO9" i="10" s="1"/>
  <c r="AO33" i="10" s="1"/>
  <c r="AO57" i="10" s="1"/>
  <c r="AP78" i="16"/>
  <c r="AP125" i="16"/>
  <c r="AQ78" i="16"/>
  <c r="AQ125" i="16"/>
  <c r="K79" i="16"/>
  <c r="K126" i="16" s="1"/>
  <c r="K10" i="10" s="1"/>
  <c r="L79" i="16"/>
  <c r="L126" i="16" s="1"/>
  <c r="M79" i="16"/>
  <c r="M126" i="16" s="1"/>
  <c r="M10" i="10" s="1"/>
  <c r="M34" i="10" s="1"/>
  <c r="M58" i="10" s="1"/>
  <c r="N79" i="16"/>
  <c r="N126" i="16" s="1"/>
  <c r="N10" i="10" s="1"/>
  <c r="N34" i="10" s="1"/>
  <c r="N58" i="10" s="1"/>
  <c r="O79" i="16"/>
  <c r="O126" i="16" s="1"/>
  <c r="O10" i="10" s="1"/>
  <c r="O34" i="10" s="1"/>
  <c r="O58" i="10" s="1"/>
  <c r="P79" i="16"/>
  <c r="P126" i="16" s="1"/>
  <c r="P10" i="10" s="1"/>
  <c r="P34" i="10" s="1"/>
  <c r="P58" i="10" s="1"/>
  <c r="Q79" i="16"/>
  <c r="Q126" i="16" s="1"/>
  <c r="Q10" i="10" s="1"/>
  <c r="Q34" i="10" s="1"/>
  <c r="Q58" i="10" s="1"/>
  <c r="R79" i="16"/>
  <c r="R126" i="16" s="1"/>
  <c r="R10" i="10" s="1"/>
  <c r="S79" i="16"/>
  <c r="S126" i="16" s="1"/>
  <c r="S10" i="10" s="1"/>
  <c r="S34" i="10" s="1"/>
  <c r="S58" i="10" s="1"/>
  <c r="T79" i="16"/>
  <c r="T126" i="16" s="1"/>
  <c r="T10" i="10" s="1"/>
  <c r="T34" i="10" s="1"/>
  <c r="T58" i="10" s="1"/>
  <c r="U79" i="16"/>
  <c r="U126" i="16" s="1"/>
  <c r="U10" i="10" s="1"/>
  <c r="U34" i="10" s="1"/>
  <c r="U58" i="10" s="1"/>
  <c r="V79" i="16"/>
  <c r="V126" i="16" s="1"/>
  <c r="V10" i="10" s="1"/>
  <c r="V34" i="10" s="1"/>
  <c r="V58" i="10" s="1"/>
  <c r="W79" i="16"/>
  <c r="W126" i="16" s="1"/>
  <c r="W10" i="10" s="1"/>
  <c r="W34" i="10" s="1"/>
  <c r="W58" i="10" s="1"/>
  <c r="X79" i="16"/>
  <c r="X126" i="16" s="1"/>
  <c r="X10" i="10" s="1"/>
  <c r="X34" i="10" s="1"/>
  <c r="X58" i="10" s="1"/>
  <c r="Y79" i="16"/>
  <c r="Y126" i="16" s="1"/>
  <c r="Y10" i="10" s="1"/>
  <c r="Y34" i="10" s="1"/>
  <c r="Y58" i="10" s="1"/>
  <c r="Z79" i="16"/>
  <c r="Z126" i="16" s="1"/>
  <c r="Z10" i="10" s="1"/>
  <c r="Z34" i="10" s="1"/>
  <c r="Z58" i="10" s="1"/>
  <c r="AA79" i="16"/>
  <c r="AA126" i="16" s="1"/>
  <c r="AA10" i="10" s="1"/>
  <c r="AA34" i="10" s="1"/>
  <c r="AA58" i="10" s="1"/>
  <c r="AB126" i="16"/>
  <c r="AB10" i="10" s="1"/>
  <c r="AB34" i="10" s="1"/>
  <c r="AB58" i="10" s="1"/>
  <c r="AC79" i="16"/>
  <c r="AC126" i="16" s="1"/>
  <c r="AC10" i="10" s="1"/>
  <c r="AC34" i="10" s="1"/>
  <c r="AC58" i="10" s="1"/>
  <c r="AD79" i="16"/>
  <c r="AE79" i="16"/>
  <c r="AE126" i="16" s="1"/>
  <c r="AE10" i="10" s="1"/>
  <c r="AF79" i="16"/>
  <c r="AF126" i="16"/>
  <c r="AF10" i="10" s="1"/>
  <c r="AG79" i="16"/>
  <c r="AG126" i="16"/>
  <c r="AG10" i="10" s="1"/>
  <c r="AH79" i="16"/>
  <c r="AH126" i="16" s="1"/>
  <c r="AH10" i="10" s="1"/>
  <c r="AI79" i="16"/>
  <c r="AI126" i="16"/>
  <c r="AI10" i="10" s="1"/>
  <c r="AI34" i="10" s="1"/>
  <c r="AJ79" i="16"/>
  <c r="AJ126" i="16" s="1"/>
  <c r="AJ10" i="10"/>
  <c r="AK79" i="16"/>
  <c r="AK126" i="16" s="1"/>
  <c r="AK10" i="10" s="1"/>
  <c r="AL79" i="16"/>
  <c r="AL126" i="16" s="1"/>
  <c r="AL10" i="10" s="1"/>
  <c r="AM79" i="16"/>
  <c r="AM126" i="16" s="1"/>
  <c r="AM10" i="10" s="1"/>
  <c r="AM34" i="10" s="1"/>
  <c r="AM58" i="10" s="1"/>
  <c r="AN79" i="16"/>
  <c r="AN126" i="16" s="1"/>
  <c r="AN10" i="10" s="1"/>
  <c r="AO79" i="16"/>
  <c r="AO126" i="16"/>
  <c r="AO10" i="10" s="1"/>
  <c r="AP79" i="16"/>
  <c r="AP126" i="16"/>
  <c r="AP10" i="10" s="1"/>
  <c r="AP34" i="10" s="1"/>
  <c r="AP58" i="10" s="1"/>
  <c r="AQ79" i="16"/>
  <c r="AQ126" i="16" s="1"/>
  <c r="AQ10" i="10" s="1"/>
  <c r="K80" i="16"/>
  <c r="K127" i="16"/>
  <c r="L80" i="16"/>
  <c r="L127" i="16" s="1"/>
  <c r="M80" i="16"/>
  <c r="M127" i="16"/>
  <c r="M11" i="10" s="1"/>
  <c r="N80" i="16"/>
  <c r="O80" i="16"/>
  <c r="P80" i="16"/>
  <c r="P127" i="16" s="1"/>
  <c r="P11" i="10" s="1"/>
  <c r="P35" i="10" s="1"/>
  <c r="P59" i="10" s="1"/>
  <c r="Q80" i="16"/>
  <c r="Q127" i="16" s="1"/>
  <c r="Q11" i="10" s="1"/>
  <c r="R80" i="16"/>
  <c r="R127" i="16" s="1"/>
  <c r="R11" i="10" s="1"/>
  <c r="S80" i="16"/>
  <c r="S127" i="16" s="1"/>
  <c r="S11" i="10" s="1"/>
  <c r="S35" i="10" s="1"/>
  <c r="S59" i="10" s="1"/>
  <c r="T80" i="16"/>
  <c r="T127" i="16" s="1"/>
  <c r="T11" i="10" s="1"/>
  <c r="T35" i="10" s="1"/>
  <c r="T59" i="10" s="1"/>
  <c r="U80" i="16"/>
  <c r="U127" i="16" s="1"/>
  <c r="U11" i="10" s="1"/>
  <c r="V80" i="16"/>
  <c r="V127" i="16" s="1"/>
  <c r="V11" i="10" s="1"/>
  <c r="W80" i="16"/>
  <c r="W127" i="16" s="1"/>
  <c r="W11" i="10" s="1"/>
  <c r="X80" i="16"/>
  <c r="X127" i="16" s="1"/>
  <c r="Y80" i="16"/>
  <c r="Y127" i="16"/>
  <c r="Z80" i="16"/>
  <c r="Z127" i="16" s="1"/>
  <c r="Z11" i="10" s="1"/>
  <c r="Z35" i="10" s="1"/>
  <c r="Z59" i="10" s="1"/>
  <c r="AA80" i="16"/>
  <c r="AA127" i="16" s="1"/>
  <c r="AA11" i="10" s="1"/>
  <c r="AA35" i="10" s="1"/>
  <c r="AB127" i="16"/>
  <c r="AB11" i="10" s="1"/>
  <c r="AB35" i="10" s="1"/>
  <c r="AC80" i="16"/>
  <c r="AC127" i="16" s="1"/>
  <c r="AC11" i="10" s="1"/>
  <c r="AD80" i="16"/>
  <c r="AD127" i="16" s="1"/>
  <c r="AD11" i="10" s="1"/>
  <c r="AE80" i="16"/>
  <c r="AE127" i="16"/>
  <c r="AE11" i="10" s="1"/>
  <c r="AF80" i="16"/>
  <c r="AF127" i="16" s="1"/>
  <c r="AG80" i="16"/>
  <c r="AG127" i="16" s="1"/>
  <c r="AG11" i="10" s="1"/>
  <c r="AH80" i="16"/>
  <c r="AH127" i="16" s="1"/>
  <c r="AH11" i="10" s="1"/>
  <c r="AH35" i="10" s="1"/>
  <c r="AI80" i="16"/>
  <c r="AI127" i="16" s="1"/>
  <c r="AI11" i="10" s="1"/>
  <c r="AJ80" i="16"/>
  <c r="AJ127" i="16" s="1"/>
  <c r="AJ11" i="10" s="1"/>
  <c r="AJ35" i="10" s="1"/>
  <c r="AK80" i="16"/>
  <c r="AK127" i="16" s="1"/>
  <c r="AK11" i="10" s="1"/>
  <c r="AL80" i="16"/>
  <c r="AL127" i="16" s="1"/>
  <c r="AL11" i="10" s="1"/>
  <c r="AM80" i="16"/>
  <c r="AM127" i="16" s="1"/>
  <c r="AM11" i="10" s="1"/>
  <c r="AN80" i="16"/>
  <c r="AN127" i="16" s="1"/>
  <c r="AN11" i="10" s="1"/>
  <c r="AO80" i="16"/>
  <c r="AO127" i="16"/>
  <c r="AO11" i="10" s="1"/>
  <c r="AO35" i="10" s="1"/>
  <c r="AO59" i="10" s="1"/>
  <c r="AP80" i="16"/>
  <c r="AP127" i="16"/>
  <c r="AP11" i="10" s="1"/>
  <c r="AQ80" i="16"/>
  <c r="AQ127" i="16" s="1"/>
  <c r="AQ11" i="10" s="1"/>
  <c r="K81" i="16"/>
  <c r="K128" i="16" s="1"/>
  <c r="K12" i="10" s="1"/>
  <c r="L81" i="16"/>
  <c r="L128" i="16" s="1"/>
  <c r="M81" i="16"/>
  <c r="M128" i="16" s="1"/>
  <c r="M12" i="10" s="1"/>
  <c r="N81" i="16"/>
  <c r="O81" i="16"/>
  <c r="P81" i="16"/>
  <c r="Q81" i="16"/>
  <c r="R81" i="16"/>
  <c r="S81" i="16"/>
  <c r="T81" i="16"/>
  <c r="U81" i="16"/>
  <c r="V81" i="16"/>
  <c r="W81" i="16"/>
  <c r="X81" i="16"/>
  <c r="X128" i="16" s="1"/>
  <c r="Y81" i="16"/>
  <c r="Z81" i="16"/>
  <c r="AA81" i="16"/>
  <c r="AC81" i="16"/>
  <c r="AD81" i="16"/>
  <c r="AE81" i="16"/>
  <c r="AF81" i="16"/>
  <c r="AG81" i="16"/>
  <c r="AH81" i="16"/>
  <c r="AI81" i="16"/>
  <c r="AJ81" i="16"/>
  <c r="AK81" i="16"/>
  <c r="AL81" i="16"/>
  <c r="AM81" i="16"/>
  <c r="AN81" i="16"/>
  <c r="AO81" i="16"/>
  <c r="AP81" i="16"/>
  <c r="AP128" i="16"/>
  <c r="AQ81" i="16"/>
  <c r="K82" i="16"/>
  <c r="K129" i="16"/>
  <c r="K13" i="10" s="1"/>
  <c r="L82" i="16"/>
  <c r="L129" i="16" s="1"/>
  <c r="M82" i="16"/>
  <c r="M129" i="16" s="1"/>
  <c r="M13" i="10" s="1"/>
  <c r="N82" i="16"/>
  <c r="N129" i="16" s="1"/>
  <c r="N13" i="10" s="1"/>
  <c r="O82" i="16"/>
  <c r="O129" i="16" s="1"/>
  <c r="O13" i="10" s="1"/>
  <c r="P82" i="16"/>
  <c r="P129" i="16" s="1"/>
  <c r="P13" i="10" s="1"/>
  <c r="Q82" i="16"/>
  <c r="Q129" i="16" s="1"/>
  <c r="Q13" i="10" s="1"/>
  <c r="R82" i="16"/>
  <c r="R129" i="16" s="1"/>
  <c r="R13" i="10" s="1"/>
  <c r="R37" i="10" s="1"/>
  <c r="R61" i="10" s="1"/>
  <c r="S82" i="16"/>
  <c r="S129" i="16" s="1"/>
  <c r="S13" i="10" s="1"/>
  <c r="T82" i="16"/>
  <c r="T129" i="16" s="1"/>
  <c r="T13" i="10" s="1"/>
  <c r="T37" i="10" s="1"/>
  <c r="T61" i="10" s="1"/>
  <c r="U82" i="16"/>
  <c r="U129" i="16" s="1"/>
  <c r="U13" i="10" s="1"/>
  <c r="U37" i="10" s="1"/>
  <c r="U61" i="10" s="1"/>
  <c r="V82" i="16"/>
  <c r="V129" i="16" s="1"/>
  <c r="V13" i="10" s="1"/>
  <c r="V37" i="10" s="1"/>
  <c r="V61" i="10" s="1"/>
  <c r="W82" i="16"/>
  <c r="W129" i="16" s="1"/>
  <c r="W13" i="10" s="1"/>
  <c r="W37" i="10" s="1"/>
  <c r="W61" i="10" s="1"/>
  <c r="X82" i="16"/>
  <c r="X129" i="16"/>
  <c r="Y82" i="16"/>
  <c r="Y129" i="16" s="1"/>
  <c r="Y13" i="10" s="1"/>
  <c r="Z82" i="16"/>
  <c r="Z129" i="16" s="1"/>
  <c r="Z13" i="10" s="1"/>
  <c r="AA82" i="16"/>
  <c r="AA129" i="16" s="1"/>
  <c r="AA13" i="10" s="1"/>
  <c r="AB129" i="16"/>
  <c r="AB13" i="10" s="1"/>
  <c r="AC82" i="16"/>
  <c r="AC129" i="16" s="1"/>
  <c r="AC13" i="10" s="1"/>
  <c r="AD82" i="16"/>
  <c r="AD129" i="16" s="1"/>
  <c r="AE82" i="16"/>
  <c r="AE129" i="16" s="1"/>
  <c r="AE13" i="10" s="1"/>
  <c r="AF82" i="16"/>
  <c r="AF129" i="16" s="1"/>
  <c r="AF13" i="10" s="1"/>
  <c r="AG82" i="16"/>
  <c r="AG129" i="16" s="1"/>
  <c r="AG13" i="10" s="1"/>
  <c r="AG37" i="10" s="1"/>
  <c r="AG61" i="10" s="1"/>
  <c r="AH82" i="16"/>
  <c r="AH129" i="16" s="1"/>
  <c r="AH13" i="10" s="1"/>
  <c r="AI82" i="16"/>
  <c r="AI129" i="16" s="1"/>
  <c r="AI13" i="10" s="1"/>
  <c r="AJ82" i="16"/>
  <c r="AJ129" i="16" s="1"/>
  <c r="AJ13" i="10" s="1"/>
  <c r="AJ37" i="10" s="1"/>
  <c r="AJ61" i="10" s="1"/>
  <c r="AK82" i="16"/>
  <c r="AK129" i="16" s="1"/>
  <c r="AK13" i="10" s="1"/>
  <c r="AL82" i="16"/>
  <c r="AL129" i="16" s="1"/>
  <c r="AL13" i="10" s="1"/>
  <c r="AM82" i="16"/>
  <c r="AM129" i="16" s="1"/>
  <c r="AM13" i="10" s="1"/>
  <c r="AN82" i="16"/>
  <c r="AN129" i="16" s="1"/>
  <c r="AN13" i="10" s="1"/>
  <c r="AN37" i="10" s="1"/>
  <c r="AO82" i="16"/>
  <c r="AO129" i="16"/>
  <c r="AP82" i="16"/>
  <c r="AP129" i="16"/>
  <c r="AP13" i="10" s="1"/>
  <c r="AP37" i="10" s="1"/>
  <c r="AQ82" i="16"/>
  <c r="AQ129" i="16" s="1"/>
  <c r="AQ13" i="10" s="1"/>
  <c r="AQ37" i="10" s="1"/>
  <c r="AQ61" i="10" s="1"/>
  <c r="K83" i="16"/>
  <c r="K130" i="16" s="1"/>
  <c r="L83" i="16"/>
  <c r="L130" i="16" s="1"/>
  <c r="M83" i="16"/>
  <c r="M130" i="16" s="1"/>
  <c r="M14" i="10" s="1"/>
  <c r="N83" i="16"/>
  <c r="N130" i="16" s="1"/>
  <c r="N14" i="10" s="1"/>
  <c r="N38" i="10" s="1"/>
  <c r="N62" i="10" s="1"/>
  <c r="O83" i="16"/>
  <c r="O130" i="16" s="1"/>
  <c r="O14" i="10" s="1"/>
  <c r="O38" i="10" s="1"/>
  <c r="O62" i="10" s="1"/>
  <c r="P83" i="16"/>
  <c r="P130" i="16" s="1"/>
  <c r="P14" i="10" s="1"/>
  <c r="P38" i="10" s="1"/>
  <c r="P62" i="10" s="1"/>
  <c r="Q83" i="16"/>
  <c r="R83" i="16"/>
  <c r="R130" i="16" s="1"/>
  <c r="R14" i="10" s="1"/>
  <c r="S83" i="16"/>
  <c r="S130" i="16" s="1"/>
  <c r="S14" i="10" s="1"/>
  <c r="S38" i="10" s="1"/>
  <c r="S62" i="10" s="1"/>
  <c r="T83" i="16"/>
  <c r="T130" i="16" s="1"/>
  <c r="T14" i="10" s="1"/>
  <c r="T38" i="10" s="1"/>
  <c r="T62" i="10" s="1"/>
  <c r="U83" i="16"/>
  <c r="U130" i="16" s="1"/>
  <c r="U14" i="10" s="1"/>
  <c r="U38" i="10" s="1"/>
  <c r="U62" i="10" s="1"/>
  <c r="V83" i="16"/>
  <c r="V130" i="16" s="1"/>
  <c r="V14" i="10" s="1"/>
  <c r="V38" i="10" s="1"/>
  <c r="V62" i="10" s="1"/>
  <c r="W83" i="16"/>
  <c r="W130" i="16" s="1"/>
  <c r="W14" i="10" s="1"/>
  <c r="X83" i="16"/>
  <c r="X130" i="16" s="1"/>
  <c r="X14" i="10" s="1"/>
  <c r="Y83" i="16"/>
  <c r="Y130" i="16" s="1"/>
  <c r="Y14" i="10" s="1"/>
  <c r="Y38" i="10" s="1"/>
  <c r="Y62" i="10" s="1"/>
  <c r="Z83" i="16"/>
  <c r="Z130" i="16" s="1"/>
  <c r="Z14" i="10" s="1"/>
  <c r="Z38" i="10" s="1"/>
  <c r="Z62" i="10" s="1"/>
  <c r="AA83" i="16"/>
  <c r="AA130" i="16" s="1"/>
  <c r="AA14" i="10" s="1"/>
  <c r="AA38" i="10" s="1"/>
  <c r="AA62" i="10" s="1"/>
  <c r="AB130" i="16"/>
  <c r="AB14" i="10" s="1"/>
  <c r="AB38" i="10" s="1"/>
  <c r="AB62" i="10" s="1"/>
  <c r="AC83" i="16"/>
  <c r="AC130" i="16" s="1"/>
  <c r="AC14" i="10" s="1"/>
  <c r="AD83" i="16"/>
  <c r="AD130" i="16" s="1"/>
  <c r="AD14" i="10" s="1"/>
  <c r="AE83" i="16"/>
  <c r="AE130" i="16" s="1"/>
  <c r="AE14" i="10" s="1"/>
  <c r="AE38" i="10" s="1"/>
  <c r="AE62" i="10" s="1"/>
  <c r="AF83" i="16"/>
  <c r="AF130" i="16" s="1"/>
  <c r="AF14" i="10" s="1"/>
  <c r="AG83" i="16"/>
  <c r="AG130" i="16" s="1"/>
  <c r="AG14" i="10" s="1"/>
  <c r="AH83" i="16"/>
  <c r="AH130" i="16" s="1"/>
  <c r="AH14" i="10" s="1"/>
  <c r="AI83" i="16"/>
  <c r="AI130" i="16" s="1"/>
  <c r="AI14" i="10" s="1"/>
  <c r="AJ83" i="16"/>
  <c r="AJ130" i="16" s="1"/>
  <c r="AJ14" i="10" s="1"/>
  <c r="AK83" i="16"/>
  <c r="AK130" i="16" s="1"/>
  <c r="AK14" i="10" s="1"/>
  <c r="AL83" i="16"/>
  <c r="AL130" i="16" s="1"/>
  <c r="AL14" i="10" s="1"/>
  <c r="AL38" i="10" s="1"/>
  <c r="AM83" i="16"/>
  <c r="AM130" i="16" s="1"/>
  <c r="AM14" i="10" s="1"/>
  <c r="AM38" i="10" s="1"/>
  <c r="AM62" i="10" s="1"/>
  <c r="AN83" i="16"/>
  <c r="AN130" i="16" s="1"/>
  <c r="AN14" i="10" s="1"/>
  <c r="AO83" i="16"/>
  <c r="AO130" i="16" s="1"/>
  <c r="AO14" i="10" s="1"/>
  <c r="AO38" i="10" s="1"/>
  <c r="AO62" i="10" s="1"/>
  <c r="AP83" i="16"/>
  <c r="AP130" i="16"/>
  <c r="AQ83" i="16"/>
  <c r="AQ130" i="16"/>
  <c r="AQ14" i="10" s="1"/>
  <c r="K84" i="16"/>
  <c r="K131" i="16"/>
  <c r="K15" i="10" s="1"/>
  <c r="L84" i="16"/>
  <c r="L131" i="16" s="1"/>
  <c r="M84" i="16"/>
  <c r="M131" i="16" s="1"/>
  <c r="M15" i="10" s="1"/>
  <c r="M39" i="10" s="1"/>
  <c r="M63" i="10" s="1"/>
  <c r="N84" i="16"/>
  <c r="O84" i="16"/>
  <c r="O131" i="16" s="1"/>
  <c r="O15" i="10" s="1"/>
  <c r="O39" i="10" s="1"/>
  <c r="O63" i="10" s="1"/>
  <c r="P84" i="16"/>
  <c r="P131" i="16" s="1"/>
  <c r="P15" i="10" s="1"/>
  <c r="P39" i="10" s="1"/>
  <c r="P63" i="10" s="1"/>
  <c r="Q84" i="16"/>
  <c r="Q131" i="16" s="1"/>
  <c r="Q15" i="10" s="1"/>
  <c r="Q39" i="10" s="1"/>
  <c r="Q63" i="10" s="1"/>
  <c r="R84" i="16"/>
  <c r="R131" i="16" s="1"/>
  <c r="R15" i="10" s="1"/>
  <c r="S84" i="16"/>
  <c r="S131" i="16" s="1"/>
  <c r="S15" i="10" s="1"/>
  <c r="S39" i="10" s="1"/>
  <c r="S63" i="10" s="1"/>
  <c r="T84" i="16"/>
  <c r="T131" i="16" s="1"/>
  <c r="T15" i="10" s="1"/>
  <c r="T39" i="10" s="1"/>
  <c r="T63" i="10" s="1"/>
  <c r="U84" i="16"/>
  <c r="U131" i="16" s="1"/>
  <c r="U15" i="10" s="1"/>
  <c r="U39" i="10" s="1"/>
  <c r="U63" i="10" s="1"/>
  <c r="V84" i="16"/>
  <c r="V131" i="16" s="1"/>
  <c r="V15" i="10" s="1"/>
  <c r="V39" i="10" s="1"/>
  <c r="V63" i="10" s="1"/>
  <c r="W84" i="16"/>
  <c r="W131" i="16" s="1"/>
  <c r="W15" i="10" s="1"/>
  <c r="W39" i="10" s="1"/>
  <c r="W63" i="10" s="1"/>
  <c r="X84" i="16"/>
  <c r="X131" i="16" s="1"/>
  <c r="X15" i="10" s="1"/>
  <c r="X39" i="10" s="1"/>
  <c r="X63" i="10" s="1"/>
  <c r="Y84" i="16"/>
  <c r="Y131" i="16" s="1"/>
  <c r="Y15" i="10" s="1"/>
  <c r="Y39" i="10" s="1"/>
  <c r="Y63" i="10" s="1"/>
  <c r="Z84" i="16"/>
  <c r="Z131" i="16" s="1"/>
  <c r="Z15" i="10" s="1"/>
  <c r="Z39" i="10" s="1"/>
  <c r="Z63" i="10" s="1"/>
  <c r="AA84" i="16"/>
  <c r="AA131" i="16" s="1"/>
  <c r="AA15" i="10" s="1"/>
  <c r="AA39" i="10" s="1"/>
  <c r="AA63" i="10" s="1"/>
  <c r="AB131" i="16"/>
  <c r="AB15" i="10" s="1"/>
  <c r="AB39" i="10" s="1"/>
  <c r="AB63" i="10" s="1"/>
  <c r="AC84" i="16"/>
  <c r="AC131" i="16" s="1"/>
  <c r="AC15" i="10" s="1"/>
  <c r="AD84" i="16"/>
  <c r="AD131" i="16" s="1"/>
  <c r="AD15" i="10" s="1"/>
  <c r="AD39" i="10" s="1"/>
  <c r="AD63" i="10" s="1"/>
  <c r="AE84" i="16"/>
  <c r="AE131" i="16" s="1"/>
  <c r="AE15" i="10" s="1"/>
  <c r="AF84" i="16"/>
  <c r="AF131" i="16" s="1"/>
  <c r="AF15" i="10" s="1"/>
  <c r="AG84" i="16"/>
  <c r="AG131" i="16" s="1"/>
  <c r="AG15" i="10" s="1"/>
  <c r="AG39" i="10" s="1"/>
  <c r="AG63" i="10" s="1"/>
  <c r="AH84" i="16"/>
  <c r="AH131" i="16" s="1"/>
  <c r="AH15" i="10" s="1"/>
  <c r="AH39" i="10" s="1"/>
  <c r="AH63" i="10" s="1"/>
  <c r="AI84" i="16"/>
  <c r="AI131" i="16" s="1"/>
  <c r="AI15" i="10" s="1"/>
  <c r="AI39" i="10" s="1"/>
  <c r="AI63" i="10" s="1"/>
  <c r="AJ84" i="16"/>
  <c r="AJ131" i="16" s="1"/>
  <c r="AJ15" i="10" s="1"/>
  <c r="AJ39" i="10" s="1"/>
  <c r="AJ63" i="10" s="1"/>
  <c r="AK84" i="16"/>
  <c r="AK131" i="16" s="1"/>
  <c r="AK15" i="10" s="1"/>
  <c r="AL84" i="16"/>
  <c r="AL131" i="16" s="1"/>
  <c r="AL15" i="10" s="1"/>
  <c r="AL39" i="10" s="1"/>
  <c r="AL63" i="10" s="1"/>
  <c r="AM84" i="16"/>
  <c r="AM131" i="16"/>
  <c r="AM15" i="10" s="1"/>
  <c r="AN84" i="16"/>
  <c r="AN131" i="16" s="1"/>
  <c r="AN15" i="10" s="1"/>
  <c r="AN39" i="10" s="1"/>
  <c r="AN63" i="10" s="1"/>
  <c r="AO84" i="16"/>
  <c r="AO131" i="16" s="1"/>
  <c r="AO15" i="10" s="1"/>
  <c r="AP84" i="16"/>
  <c r="AP131" i="16"/>
  <c r="AP15" i="10" s="1"/>
  <c r="AP39" i="10" s="1"/>
  <c r="AP63" i="10" s="1"/>
  <c r="AQ84" i="16"/>
  <c r="AQ131" i="16"/>
  <c r="K85" i="16"/>
  <c r="K132" i="16"/>
  <c r="K16" i="10" s="1"/>
  <c r="L85" i="16"/>
  <c r="L132" i="16" s="1"/>
  <c r="M85" i="16"/>
  <c r="M132" i="16" s="1"/>
  <c r="M16" i="10" s="1"/>
  <c r="M40" i="10" s="1"/>
  <c r="M64" i="10" s="1"/>
  <c r="N85" i="16"/>
  <c r="N132" i="16" s="1"/>
  <c r="N16" i="10" s="1"/>
  <c r="N40" i="10" s="1"/>
  <c r="N64" i="10" s="1"/>
  <c r="O85" i="16"/>
  <c r="O132" i="16" s="1"/>
  <c r="O16" i="10" s="1"/>
  <c r="O40" i="10" s="1"/>
  <c r="O64" i="10" s="1"/>
  <c r="P85" i="16"/>
  <c r="P132" i="16" s="1"/>
  <c r="P16" i="10" s="1"/>
  <c r="P40" i="10" s="1"/>
  <c r="P64" i="10" s="1"/>
  <c r="Q85" i="16"/>
  <c r="Q132" i="16" s="1"/>
  <c r="Q16" i="10" s="1"/>
  <c r="Q40" i="10" s="1"/>
  <c r="Q64" i="10" s="1"/>
  <c r="R85" i="16"/>
  <c r="R132" i="16" s="1"/>
  <c r="R16" i="10" s="1"/>
  <c r="S85" i="16"/>
  <c r="S132" i="16" s="1"/>
  <c r="S16" i="10" s="1"/>
  <c r="S40" i="10" s="1"/>
  <c r="S64" i="10" s="1"/>
  <c r="T85" i="16"/>
  <c r="T132" i="16" s="1"/>
  <c r="T16" i="10" s="1"/>
  <c r="T40" i="10" s="1"/>
  <c r="T64" i="10" s="1"/>
  <c r="U85" i="16"/>
  <c r="U132" i="16" s="1"/>
  <c r="U16" i="10" s="1"/>
  <c r="U40" i="10" s="1"/>
  <c r="U64" i="10" s="1"/>
  <c r="V85" i="16"/>
  <c r="V132" i="16" s="1"/>
  <c r="V16" i="10" s="1"/>
  <c r="V40" i="10" s="1"/>
  <c r="V64" i="10" s="1"/>
  <c r="W85" i="16"/>
  <c r="W132" i="16" s="1"/>
  <c r="W16" i="10" s="1"/>
  <c r="W40" i="10" s="1"/>
  <c r="W64" i="10" s="1"/>
  <c r="X85" i="16"/>
  <c r="X132" i="16" s="1"/>
  <c r="X16" i="10" s="1"/>
  <c r="X40" i="10" s="1"/>
  <c r="X64" i="10" s="1"/>
  <c r="Y85" i="16"/>
  <c r="Y132" i="16" s="1"/>
  <c r="Y16" i="10" s="1"/>
  <c r="Y40" i="10" s="1"/>
  <c r="Y64" i="10" s="1"/>
  <c r="Z85" i="16"/>
  <c r="Z132" i="16" s="1"/>
  <c r="Z16" i="10" s="1"/>
  <c r="Z40" i="10" s="1"/>
  <c r="Z64" i="10" s="1"/>
  <c r="AA85" i="16"/>
  <c r="AA132" i="16" s="1"/>
  <c r="AA16" i="10" s="1"/>
  <c r="AB132" i="16"/>
  <c r="AB16" i="10" s="1"/>
  <c r="AB40" i="10" s="1"/>
  <c r="AB64" i="10" s="1"/>
  <c r="AC85" i="16"/>
  <c r="AC132" i="16" s="1"/>
  <c r="AC16" i="10" s="1"/>
  <c r="AC40" i="10" s="1"/>
  <c r="AC64" i="10" s="1"/>
  <c r="AD85" i="16"/>
  <c r="AD132" i="16" s="1"/>
  <c r="AD16" i="10" s="1"/>
  <c r="AD40" i="10" s="1"/>
  <c r="AD64" i="10" s="1"/>
  <c r="AE85" i="16"/>
  <c r="AE132" i="16" s="1"/>
  <c r="AE16" i="10" s="1"/>
  <c r="AE40" i="10" s="1"/>
  <c r="AE64" i="10" s="1"/>
  <c r="AF85" i="16"/>
  <c r="AF132" i="16" s="1"/>
  <c r="AF16" i="10" s="1"/>
  <c r="AG85" i="16"/>
  <c r="AG132" i="16" s="1"/>
  <c r="AG16" i="10" s="1"/>
  <c r="AH85" i="16"/>
  <c r="AH132" i="16" s="1"/>
  <c r="AH16" i="10" s="1"/>
  <c r="AI85" i="16"/>
  <c r="AI132" i="16" s="1"/>
  <c r="AI16" i="10" s="1"/>
  <c r="AI40" i="10" s="1"/>
  <c r="AJ85" i="16"/>
  <c r="AJ132" i="16" s="1"/>
  <c r="AJ16" i="10" s="1"/>
  <c r="AJ40" i="10" s="1"/>
  <c r="AJ64" i="10" s="1"/>
  <c r="AK85" i="16"/>
  <c r="AK132" i="16" s="1"/>
  <c r="AK16" i="10" s="1"/>
  <c r="AL85" i="16"/>
  <c r="AL132" i="16" s="1"/>
  <c r="AL16" i="10" s="1"/>
  <c r="AM85" i="16"/>
  <c r="AM132" i="16"/>
  <c r="AN85" i="16"/>
  <c r="AN132" i="16" s="1"/>
  <c r="AN16" i="10" s="1"/>
  <c r="AO85" i="16"/>
  <c r="AO132" i="16" s="1"/>
  <c r="AO16" i="10" s="1"/>
  <c r="AO40" i="10" s="1"/>
  <c r="AO64" i="10" s="1"/>
  <c r="AP85" i="16"/>
  <c r="AP132" i="16"/>
  <c r="AP16" i="10" s="1"/>
  <c r="AQ85" i="16"/>
  <c r="AQ132" i="16" s="1"/>
  <c r="AQ16" i="10" s="1"/>
  <c r="AQ40" i="10" s="1"/>
  <c r="AQ64" i="10" s="1"/>
  <c r="K86" i="16"/>
  <c r="K133" i="16" s="1"/>
  <c r="K17" i="10" s="1"/>
  <c r="L86" i="16"/>
  <c r="L133" i="16" s="1"/>
  <c r="M86" i="16"/>
  <c r="M133" i="16" s="1"/>
  <c r="M17" i="10" s="1"/>
  <c r="M41" i="10" s="1"/>
  <c r="M65" i="10" s="1"/>
  <c r="N86" i="16"/>
  <c r="N133" i="16" s="1"/>
  <c r="N17" i="10" s="1"/>
  <c r="N41" i="10" s="1"/>
  <c r="N65" i="10" s="1"/>
  <c r="O86" i="16"/>
  <c r="O133" i="16" s="1"/>
  <c r="O17" i="10" s="1"/>
  <c r="O41" i="10" s="1"/>
  <c r="O65" i="10" s="1"/>
  <c r="P86" i="16"/>
  <c r="P133" i="16" s="1"/>
  <c r="P17" i="10" s="1"/>
  <c r="P41" i="10" s="1"/>
  <c r="P65" i="10" s="1"/>
  <c r="Q86" i="16"/>
  <c r="Q133" i="16" s="1"/>
  <c r="Q17" i="10" s="1"/>
  <c r="R86" i="16"/>
  <c r="R133" i="16" s="1"/>
  <c r="R17" i="10" s="1"/>
  <c r="R41" i="10" s="1"/>
  <c r="R65" i="10" s="1"/>
  <c r="S86" i="16"/>
  <c r="S133" i="16" s="1"/>
  <c r="S17" i="10" s="1"/>
  <c r="S41" i="10" s="1"/>
  <c r="S65" i="10" s="1"/>
  <c r="T86" i="16"/>
  <c r="T133" i="16" s="1"/>
  <c r="T17" i="10" s="1"/>
  <c r="T41" i="10" s="1"/>
  <c r="T65" i="10" s="1"/>
  <c r="U86" i="16"/>
  <c r="U133" i="16" s="1"/>
  <c r="U17" i="10" s="1"/>
  <c r="V86" i="16"/>
  <c r="V133" i="16" s="1"/>
  <c r="V17" i="10" s="1"/>
  <c r="V41" i="10" s="1"/>
  <c r="V65" i="10" s="1"/>
  <c r="W86" i="16"/>
  <c r="W133" i="16" s="1"/>
  <c r="W17" i="10" s="1"/>
  <c r="W41" i="10" s="1"/>
  <c r="W65" i="10" s="1"/>
  <c r="X86" i="16"/>
  <c r="X133" i="16" s="1"/>
  <c r="X17" i="10" s="1"/>
  <c r="X41" i="10" s="1"/>
  <c r="X65" i="10" s="1"/>
  <c r="Y86" i="16"/>
  <c r="Y133" i="16" s="1"/>
  <c r="Y17" i="10" s="1"/>
  <c r="Y41" i="10" s="1"/>
  <c r="Y65" i="10" s="1"/>
  <c r="Z86" i="16"/>
  <c r="Z133" i="16" s="1"/>
  <c r="Z17" i="10" s="1"/>
  <c r="Z41" i="10" s="1"/>
  <c r="Z65" i="10" s="1"/>
  <c r="AA86" i="16"/>
  <c r="AA133" i="16" s="1"/>
  <c r="AA17" i="10" s="1"/>
  <c r="AA41" i="10" s="1"/>
  <c r="AA65" i="10" s="1"/>
  <c r="AB133" i="16"/>
  <c r="AB17" i="10" s="1"/>
  <c r="AB41" i="10" s="1"/>
  <c r="AB65" i="10" s="1"/>
  <c r="AC86" i="16"/>
  <c r="AC133" i="16" s="1"/>
  <c r="AC17" i="10" s="1"/>
  <c r="AD86" i="16"/>
  <c r="AD133" i="16" s="1"/>
  <c r="AD17" i="10" s="1"/>
  <c r="AE86" i="16"/>
  <c r="AE133" i="16" s="1"/>
  <c r="AE17" i="10" s="1"/>
  <c r="AF86" i="16"/>
  <c r="AF133" i="16" s="1"/>
  <c r="AF17" i="10" s="1"/>
  <c r="AG86" i="16"/>
  <c r="AG133" i="16" s="1"/>
  <c r="AG17" i="10" s="1"/>
  <c r="AH86" i="16"/>
  <c r="AH133" i="16" s="1"/>
  <c r="AH17" i="10" s="1"/>
  <c r="AI86" i="16"/>
  <c r="AI133" i="16" s="1"/>
  <c r="AI17" i="10" s="1"/>
  <c r="AJ86" i="16"/>
  <c r="AJ133" i="16" s="1"/>
  <c r="AJ17" i="10" s="1"/>
  <c r="AJ41" i="10" s="1"/>
  <c r="AJ65" i="10" s="1"/>
  <c r="AK86" i="16"/>
  <c r="AK133" i="16" s="1"/>
  <c r="AK17" i="10" s="1"/>
  <c r="AL86" i="16"/>
  <c r="AL133" i="16" s="1"/>
  <c r="AL17" i="10" s="1"/>
  <c r="AL41" i="10" s="1"/>
  <c r="AL65" i="10" s="1"/>
  <c r="AM86" i="16"/>
  <c r="AM133" i="16" s="1"/>
  <c r="AM17" i="10" s="1"/>
  <c r="AM41" i="10" s="1"/>
  <c r="AM65" i="10" s="1"/>
  <c r="AN86" i="16"/>
  <c r="AN133" i="16" s="1"/>
  <c r="AN17" i="10" s="1"/>
  <c r="AO86" i="16"/>
  <c r="AO133" i="16"/>
  <c r="AP86" i="16"/>
  <c r="AP133" i="16"/>
  <c r="AP17" i="10" s="1"/>
  <c r="AP41" i="10" s="1"/>
  <c r="AQ86" i="16"/>
  <c r="AQ133" i="16" s="1"/>
  <c r="AQ17" i="10" s="1"/>
  <c r="AQ41" i="10" s="1"/>
  <c r="AQ65" i="10" s="1"/>
  <c r="K88" i="16"/>
  <c r="L88" i="16"/>
  <c r="L135" i="16" s="1"/>
  <c r="M88" i="16"/>
  <c r="M135" i="16" s="1"/>
  <c r="M19" i="10" s="1"/>
  <c r="N88" i="16"/>
  <c r="N135" i="16" s="1"/>
  <c r="N19" i="10" s="1"/>
  <c r="O88" i="16"/>
  <c r="O135" i="16" s="1"/>
  <c r="O19" i="10" s="1"/>
  <c r="P88" i="16"/>
  <c r="P135" i="16" s="1"/>
  <c r="P19" i="10" s="1"/>
  <c r="Q88" i="16"/>
  <c r="Q135" i="16" s="1"/>
  <c r="R88" i="16"/>
  <c r="R135" i="16" s="1"/>
  <c r="R19" i="10" s="1"/>
  <c r="S88" i="16"/>
  <c r="S135" i="16" s="1"/>
  <c r="S19" i="10" s="1"/>
  <c r="T88" i="16"/>
  <c r="T135" i="16" s="1"/>
  <c r="U88" i="16"/>
  <c r="U135" i="16" s="1"/>
  <c r="U19" i="10" s="1"/>
  <c r="V88" i="16"/>
  <c r="V135" i="16" s="1"/>
  <c r="V19" i="10" s="1"/>
  <c r="W88" i="16"/>
  <c r="W135" i="16" s="1"/>
  <c r="W19" i="10" s="1"/>
  <c r="X88" i="16"/>
  <c r="X135" i="16" s="1"/>
  <c r="X19" i="10" s="1"/>
  <c r="Y88" i="16"/>
  <c r="Y135" i="16" s="1"/>
  <c r="Y19" i="10" s="1"/>
  <c r="Z88" i="16"/>
  <c r="Z135" i="16"/>
  <c r="Z19" i="10" s="1"/>
  <c r="Z43" i="10" s="1"/>
  <c r="Z67" i="10" s="1"/>
  <c r="AA88" i="16"/>
  <c r="AA135" i="16" s="1"/>
  <c r="AA19" i="10" s="1"/>
  <c r="AB135" i="16"/>
  <c r="AB19" i="10" s="1"/>
  <c r="AC88" i="16"/>
  <c r="AC135" i="16" s="1"/>
  <c r="AD88" i="16"/>
  <c r="AD135" i="16"/>
  <c r="AE88" i="16"/>
  <c r="AE135" i="16" s="1"/>
  <c r="AE19" i="10" s="1"/>
  <c r="AF88" i="16"/>
  <c r="AF135" i="16" s="1"/>
  <c r="AF19" i="10" s="1"/>
  <c r="AG88" i="16"/>
  <c r="AG135" i="16" s="1"/>
  <c r="AG19" i="10" s="1"/>
  <c r="AH88" i="16"/>
  <c r="AH135" i="16"/>
  <c r="AH19" i="10" s="1"/>
  <c r="AI88" i="16"/>
  <c r="AI135" i="16" s="1"/>
  <c r="AI19" i="10" s="1"/>
  <c r="AJ88" i="16"/>
  <c r="AJ135" i="16" s="1"/>
  <c r="AJ19" i="10" s="1"/>
  <c r="AJ43" i="10" s="1"/>
  <c r="AJ67" i="10" s="1"/>
  <c r="AK88" i="16"/>
  <c r="AK135" i="16" s="1"/>
  <c r="AK19" i="10" s="1"/>
  <c r="AL88" i="16"/>
  <c r="AL135" i="16"/>
  <c r="AM88" i="16"/>
  <c r="AM135" i="16" s="1"/>
  <c r="AM19" i="10" s="1"/>
  <c r="AN88" i="16"/>
  <c r="AN135" i="16" s="1"/>
  <c r="AN19" i="10" s="1"/>
  <c r="AN43" i="10" s="1"/>
  <c r="AO88" i="16"/>
  <c r="AO135" i="16"/>
  <c r="AP88" i="16"/>
  <c r="AP135" i="16"/>
  <c r="AQ88" i="16"/>
  <c r="AQ135" i="16"/>
  <c r="K89" i="16"/>
  <c r="K136" i="16" s="1"/>
  <c r="L89" i="16"/>
  <c r="L136" i="16" s="1"/>
  <c r="M89" i="16"/>
  <c r="M136" i="16" s="1"/>
  <c r="M20" i="10" s="1"/>
  <c r="N89" i="16"/>
  <c r="N136" i="16" s="1"/>
  <c r="N20" i="10" s="1"/>
  <c r="O89" i="16"/>
  <c r="O136" i="16"/>
  <c r="O20" i="10" s="1"/>
  <c r="P89" i="16"/>
  <c r="P136" i="16" s="1"/>
  <c r="P20" i="10" s="1"/>
  <c r="Q89" i="16"/>
  <c r="Q136" i="16" s="1"/>
  <c r="Q20" i="10" s="1"/>
  <c r="R89" i="16"/>
  <c r="R136" i="16" s="1"/>
  <c r="R20" i="10" s="1"/>
  <c r="S89" i="16"/>
  <c r="S136" i="16" s="1"/>
  <c r="S20" i="10" s="1"/>
  <c r="T89" i="16"/>
  <c r="T136" i="16" s="1"/>
  <c r="T20" i="10" s="1"/>
  <c r="U89" i="16"/>
  <c r="U136" i="16" s="1"/>
  <c r="U20" i="10" s="1"/>
  <c r="U44" i="10" s="1"/>
  <c r="U68" i="10" s="1"/>
  <c r="V89" i="16"/>
  <c r="V136" i="16" s="1"/>
  <c r="V20" i="10" s="1"/>
  <c r="V44" i="10" s="1"/>
  <c r="W89" i="16"/>
  <c r="W136" i="16"/>
  <c r="W20" i="10" s="1"/>
  <c r="X89" i="16"/>
  <c r="X136" i="16" s="1"/>
  <c r="X20" i="10" s="1"/>
  <c r="Y89" i="16"/>
  <c r="Y136" i="16"/>
  <c r="Z89" i="16"/>
  <c r="Z136" i="16"/>
  <c r="Z20" i="10" s="1"/>
  <c r="Z44" i="10" s="1"/>
  <c r="AA89" i="16"/>
  <c r="AA136" i="16"/>
  <c r="AA20" i="10" s="1"/>
  <c r="AB136" i="16"/>
  <c r="AB20" i="10" s="1"/>
  <c r="AC89" i="16"/>
  <c r="AC136" i="16"/>
  <c r="AC20" i="10"/>
  <c r="AD89" i="16"/>
  <c r="AD136" i="16"/>
  <c r="AD20" i="10" s="1"/>
  <c r="AE89" i="16"/>
  <c r="AE136" i="16" s="1"/>
  <c r="AE20" i="10" s="1"/>
  <c r="AF89" i="16"/>
  <c r="AF136" i="16"/>
  <c r="AG89" i="16"/>
  <c r="AG136" i="16"/>
  <c r="AG20" i="10" s="1"/>
  <c r="AH89" i="16"/>
  <c r="AH136" i="16"/>
  <c r="AH20" i="10" s="1"/>
  <c r="AI89" i="16"/>
  <c r="AI136" i="16" s="1"/>
  <c r="AI20" i="10" s="1"/>
  <c r="AJ89" i="16"/>
  <c r="AJ136" i="16"/>
  <c r="AK89" i="16"/>
  <c r="AK136" i="16" s="1"/>
  <c r="AK20" i="10" s="1"/>
  <c r="AL89" i="16"/>
  <c r="AL136" i="16" s="1"/>
  <c r="AL20" i="10" s="1"/>
  <c r="AM89" i="16"/>
  <c r="AM136" i="16"/>
  <c r="AN89" i="16"/>
  <c r="AN136" i="16"/>
  <c r="AN20" i="10" s="1"/>
  <c r="AN44" i="10" s="1"/>
  <c r="AO89" i="16"/>
  <c r="AO136" i="16"/>
  <c r="AP89" i="16"/>
  <c r="AP136" i="16"/>
  <c r="AQ89" i="16"/>
  <c r="AQ136" i="16"/>
  <c r="K91" i="16"/>
  <c r="K138" i="16" s="1"/>
  <c r="L91" i="16"/>
  <c r="L138" i="16" s="1"/>
  <c r="L22" i="10" s="1"/>
  <c r="L46" i="10" s="1"/>
  <c r="L70" i="10" s="1"/>
  <c r="M91" i="16"/>
  <c r="M138" i="16" s="1"/>
  <c r="M22" i="10" s="1"/>
  <c r="M46" i="10" s="1"/>
  <c r="M70" i="10" s="1"/>
  <c r="N91" i="16"/>
  <c r="O91" i="16"/>
  <c r="O138" i="16" s="1"/>
  <c r="O22" i="10" s="1"/>
  <c r="O46" i="10" s="1"/>
  <c r="O70" i="10" s="1"/>
  <c r="P91" i="16"/>
  <c r="P138" i="16" s="1"/>
  <c r="P22" i="10" s="1"/>
  <c r="P46" i="10" s="1"/>
  <c r="P70" i="10" s="1"/>
  <c r="Q91" i="16"/>
  <c r="Q138" i="16" s="1"/>
  <c r="Q22" i="10" s="1"/>
  <c r="R91" i="16"/>
  <c r="S91" i="16"/>
  <c r="S138" i="16" s="1"/>
  <c r="S22" i="10" s="1"/>
  <c r="T91" i="16"/>
  <c r="T138" i="16" s="1"/>
  <c r="T22" i="10" s="1"/>
  <c r="T46" i="10" s="1"/>
  <c r="T70" i="10" s="1"/>
  <c r="U91" i="16"/>
  <c r="U138" i="16" s="1"/>
  <c r="U22" i="10" s="1"/>
  <c r="U46" i="10" s="1"/>
  <c r="U70" i="10" s="1"/>
  <c r="V91" i="16"/>
  <c r="V138" i="16" s="1"/>
  <c r="V22" i="10" s="1"/>
  <c r="W91" i="16"/>
  <c r="W138" i="16" s="1"/>
  <c r="W22" i="10" s="1"/>
  <c r="W46" i="10" s="1"/>
  <c r="W70" i="10" s="1"/>
  <c r="X91" i="16"/>
  <c r="X138" i="16" s="1"/>
  <c r="X22" i="10" s="1"/>
  <c r="X46" i="10" s="1"/>
  <c r="X70" i="10" s="1"/>
  <c r="Y91" i="16"/>
  <c r="Y138" i="16" s="1"/>
  <c r="Y22" i="10" s="1"/>
  <c r="Y46" i="10" s="1"/>
  <c r="Y70" i="10" s="1"/>
  <c r="Z91" i="16"/>
  <c r="Z138" i="16" s="1"/>
  <c r="Z22" i="10" s="1"/>
  <c r="Z46" i="10" s="1"/>
  <c r="Z70" i="10" s="1"/>
  <c r="AA91" i="16"/>
  <c r="AA138" i="16" s="1"/>
  <c r="AA22" i="10" s="1"/>
  <c r="AA46" i="10" s="1"/>
  <c r="AA70" i="10" s="1"/>
  <c r="AB91" i="16"/>
  <c r="AB138" i="16" s="1"/>
  <c r="AB22" i="10" s="1"/>
  <c r="AC91" i="16"/>
  <c r="AC138" i="16" s="1"/>
  <c r="AC22" i="10" s="1"/>
  <c r="AD91" i="16"/>
  <c r="AD138" i="16" s="1"/>
  <c r="AD22" i="10" s="1"/>
  <c r="AD46" i="10" s="1"/>
  <c r="AD70" i="10" s="1"/>
  <c r="AE91" i="16"/>
  <c r="AE138" i="16" s="1"/>
  <c r="AE22" i="10" s="1"/>
  <c r="AE46" i="10" s="1"/>
  <c r="AE70" i="10" s="1"/>
  <c r="AF91" i="16"/>
  <c r="AF138" i="16" s="1"/>
  <c r="AF22" i="10" s="1"/>
  <c r="AG91" i="16"/>
  <c r="AG138" i="16"/>
  <c r="AG22" i="10" s="1"/>
  <c r="AG46" i="10" s="1"/>
  <c r="AG70" i="10" s="1"/>
  <c r="AH91" i="16"/>
  <c r="AH138" i="16" s="1"/>
  <c r="AH22" i="10" s="1"/>
  <c r="AH46" i="10" s="1"/>
  <c r="AH70" i="10" s="1"/>
  <c r="AI91" i="16"/>
  <c r="AI138" i="16" s="1"/>
  <c r="AI22" i="10" s="1"/>
  <c r="AI46" i="10" s="1"/>
  <c r="AI70" i="10" s="1"/>
  <c r="AJ91" i="16"/>
  <c r="AJ138" i="16" s="1"/>
  <c r="AJ22" i="10" s="1"/>
  <c r="AK91" i="16"/>
  <c r="AK138" i="16" s="1"/>
  <c r="AK22" i="10" s="1"/>
  <c r="AK46" i="10" s="1"/>
  <c r="AK70" i="10" s="1"/>
  <c r="AL91" i="16"/>
  <c r="AL138" i="16" s="1"/>
  <c r="AL22" i="10" s="1"/>
  <c r="AL46" i="10" s="1"/>
  <c r="AL70" i="10" s="1"/>
  <c r="AM91" i="16"/>
  <c r="AM138" i="16" s="1"/>
  <c r="AM22" i="10" s="1"/>
  <c r="AM46" i="10" s="1"/>
  <c r="AM70" i="10" s="1"/>
  <c r="AN91" i="16"/>
  <c r="AN138" i="16" s="1"/>
  <c r="AN22" i="10" s="1"/>
  <c r="AN46" i="10" s="1"/>
  <c r="AN70" i="10" s="1"/>
  <c r="AO91" i="16"/>
  <c r="AO138" i="16"/>
  <c r="AP91" i="16"/>
  <c r="AP138" i="16"/>
  <c r="AQ91" i="16"/>
  <c r="AQ138" i="16"/>
  <c r="D76" i="16"/>
  <c r="D123" i="16"/>
  <c r="D7" i="10"/>
  <c r="D78" i="16"/>
  <c r="D125" i="16"/>
  <c r="D9" i="10"/>
  <c r="D9" i="32" s="1"/>
  <c r="D79" i="16"/>
  <c r="D126" i="16"/>
  <c r="D81" i="16"/>
  <c r="D128" i="16"/>
  <c r="D82" i="16"/>
  <c r="D129" i="16"/>
  <c r="D13" i="10"/>
  <c r="D83" i="16"/>
  <c r="D130" i="16"/>
  <c r="D14" i="10"/>
  <c r="D84" i="16"/>
  <c r="D131" i="16"/>
  <c r="D85" i="16"/>
  <c r="D132" i="16"/>
  <c r="D86" i="16"/>
  <c r="D133" i="16"/>
  <c r="D88" i="16"/>
  <c r="D135" i="16"/>
  <c r="D19" i="10"/>
  <c r="D89" i="16"/>
  <c r="D136" i="16"/>
  <c r="D20" i="10"/>
  <c r="D91" i="16"/>
  <c r="D138" i="16"/>
  <c r="AR68" i="16"/>
  <c r="AR66" i="16"/>
  <c r="AR65" i="16"/>
  <c r="AT65" i="16" s="1"/>
  <c r="AR63" i="16"/>
  <c r="AR62" i="16"/>
  <c r="AR61" i="16"/>
  <c r="AR60" i="16"/>
  <c r="AR59" i="16"/>
  <c r="AT59" i="16" s="1"/>
  <c r="AR58" i="16"/>
  <c r="AR57" i="16"/>
  <c r="AR56" i="16"/>
  <c r="AR55" i="16"/>
  <c r="AR53" i="16"/>
  <c r="AT53" i="16" s="1"/>
  <c r="AR45" i="16"/>
  <c r="AR43" i="16"/>
  <c r="AR42" i="16"/>
  <c r="AT42" i="16" s="1"/>
  <c r="AR40" i="16"/>
  <c r="AR39" i="16"/>
  <c r="AR38" i="16"/>
  <c r="AT38" i="16" s="1"/>
  <c r="AR37" i="16"/>
  <c r="AR36" i="16"/>
  <c r="AR35" i="16"/>
  <c r="AR34" i="16"/>
  <c r="AR33" i="16"/>
  <c r="AR32" i="16"/>
  <c r="AR30" i="16"/>
  <c r="AR9" i="16"/>
  <c r="AR527" i="9"/>
  <c r="AR525" i="9"/>
  <c r="AR524" i="9"/>
  <c r="AR522" i="9"/>
  <c r="AR521" i="9"/>
  <c r="AR520" i="9"/>
  <c r="AR519" i="9"/>
  <c r="AR518" i="9"/>
  <c r="AR517" i="9"/>
  <c r="AR516" i="9"/>
  <c r="AR515" i="9"/>
  <c r="AR514" i="9"/>
  <c r="AR512" i="9"/>
  <c r="K76" i="9"/>
  <c r="L76" i="9"/>
  <c r="K16" i="35"/>
  <c r="K22" i="35" s="1"/>
  <c r="K55" i="35" s="1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K82" i="9"/>
  <c r="L82" i="9"/>
  <c r="L11" i="20" s="1"/>
  <c r="L12" i="20" s="1"/>
  <c r="M82" i="9"/>
  <c r="M11" i="20" s="1"/>
  <c r="M12" i="20" s="1"/>
  <c r="N82" i="9"/>
  <c r="N11" i="20" s="1"/>
  <c r="N12" i="20" s="1"/>
  <c r="O82" i="9"/>
  <c r="O11" i="20" s="1"/>
  <c r="O12" i="20" s="1"/>
  <c r="P82" i="9"/>
  <c r="P11" i="20" s="1"/>
  <c r="P12" i="20" s="1"/>
  <c r="Q82" i="9"/>
  <c r="Q11" i="20" s="1"/>
  <c r="Q12" i="20" s="1"/>
  <c r="R82" i="9"/>
  <c r="R11" i="20" s="1"/>
  <c r="R12" i="20" s="1"/>
  <c r="S82" i="9"/>
  <c r="S11" i="20" s="1"/>
  <c r="S12" i="20" s="1"/>
  <c r="T82" i="9"/>
  <c r="T11" i="20" s="1"/>
  <c r="U82" i="9"/>
  <c r="U11" i="20" s="1"/>
  <c r="V82" i="9"/>
  <c r="V11" i="20" s="1"/>
  <c r="V12" i="20" s="1"/>
  <c r="W82" i="9"/>
  <c r="W11" i="20" s="1"/>
  <c r="W12" i="20" s="1"/>
  <c r="X82" i="9"/>
  <c r="X11" i="20" s="1"/>
  <c r="X12" i="20" s="1"/>
  <c r="Y82" i="9"/>
  <c r="Y11" i="20" s="1"/>
  <c r="Y12" i="20" s="1"/>
  <c r="Z82" i="9"/>
  <c r="Z11" i="20" s="1"/>
  <c r="Z12" i="20" s="1"/>
  <c r="AA82" i="9"/>
  <c r="AA11" i="20" s="1"/>
  <c r="AA12" i="20" s="1"/>
  <c r="AB82" i="9"/>
  <c r="AB11" i="20" s="1"/>
  <c r="AB12" i="20" s="1"/>
  <c r="AC82" i="9"/>
  <c r="AC11" i="20" s="1"/>
  <c r="AD82" i="9"/>
  <c r="AD11" i="20" s="1"/>
  <c r="AE82" i="9"/>
  <c r="AE11" i="20" s="1"/>
  <c r="AE12" i="20" s="1"/>
  <c r="AF82" i="9"/>
  <c r="AF11" i="20" s="1"/>
  <c r="AF12" i="20" s="1"/>
  <c r="AG82" i="9"/>
  <c r="AG11" i="20" s="1"/>
  <c r="AG12" i="20" s="1"/>
  <c r="AH82" i="9"/>
  <c r="AH11" i="20" s="1"/>
  <c r="AH12" i="20" s="1"/>
  <c r="AI82" i="9"/>
  <c r="AI11" i="20" s="1"/>
  <c r="AI12" i="20" s="1"/>
  <c r="AJ82" i="9"/>
  <c r="AJ11" i="20" s="1"/>
  <c r="AK82" i="9"/>
  <c r="AK11" i="20" s="1"/>
  <c r="AL82" i="9"/>
  <c r="AL11" i="20" s="1"/>
  <c r="AL12" i="20" s="1"/>
  <c r="AM82" i="9"/>
  <c r="AM11" i="20" s="1"/>
  <c r="AM12" i="20" s="1"/>
  <c r="AN82" i="9"/>
  <c r="AN11" i="20" s="1"/>
  <c r="AN12" i="20" s="1"/>
  <c r="AO82" i="9"/>
  <c r="AO11" i="20" s="1"/>
  <c r="AP82" i="9"/>
  <c r="AP11" i="20" s="1"/>
  <c r="AP12" i="20" s="1"/>
  <c r="AQ82" i="9"/>
  <c r="AQ11" i="20" s="1"/>
  <c r="AQ12" i="20" s="1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D76" i="9"/>
  <c r="D78" i="9"/>
  <c r="D79" i="9"/>
  <c r="D81" i="9"/>
  <c r="D82" i="9"/>
  <c r="D83" i="9"/>
  <c r="D84" i="9"/>
  <c r="D85" i="9"/>
  <c r="D86" i="9"/>
  <c r="D88" i="9"/>
  <c r="D89" i="9"/>
  <c r="D91" i="9"/>
  <c r="AR311" i="9"/>
  <c r="AT311" i="9" s="1"/>
  <c r="AR309" i="9"/>
  <c r="AT309" i="9" s="1"/>
  <c r="AR308" i="9"/>
  <c r="AT308" i="9" s="1"/>
  <c r="AR306" i="9"/>
  <c r="AT306" i="9" s="1"/>
  <c r="AR305" i="9"/>
  <c r="AT305" i="9" s="1"/>
  <c r="AR304" i="9"/>
  <c r="AT304" i="9" s="1"/>
  <c r="AR303" i="9"/>
  <c r="AT303" i="9" s="1"/>
  <c r="AR302" i="9"/>
  <c r="AT302" i="9" s="1"/>
  <c r="AR301" i="9"/>
  <c r="AT301" i="9" s="1"/>
  <c r="AR300" i="9"/>
  <c r="AT300" i="9" s="1"/>
  <c r="AR299" i="9"/>
  <c r="AT299" i="9" s="1"/>
  <c r="AR298" i="9"/>
  <c r="AT298" i="9" s="1"/>
  <c r="AR296" i="9"/>
  <c r="AT296" i="9" s="1"/>
  <c r="AR287" i="9"/>
  <c r="AT287" i="9" s="1"/>
  <c r="AR285" i="9"/>
  <c r="AT285" i="9" s="1"/>
  <c r="AR284" i="9"/>
  <c r="AT284" i="9" s="1"/>
  <c r="AR282" i="9"/>
  <c r="AT282" i="9" s="1"/>
  <c r="AR281" i="9"/>
  <c r="AT281" i="9" s="1"/>
  <c r="AR280" i="9"/>
  <c r="AT280" i="9" s="1"/>
  <c r="AR279" i="9"/>
  <c r="AT279" i="9" s="1"/>
  <c r="AR278" i="9"/>
  <c r="AT278" i="9" s="1"/>
  <c r="AR277" i="9"/>
  <c r="AT277" i="9" s="1"/>
  <c r="AR276" i="9"/>
  <c r="AT276" i="9" s="1"/>
  <c r="AR275" i="9"/>
  <c r="AT275" i="9" s="1"/>
  <c r="AR274" i="9"/>
  <c r="AT274" i="9" s="1"/>
  <c r="AR272" i="9"/>
  <c r="AT272" i="9" s="1"/>
  <c r="AR263" i="9"/>
  <c r="AT263" i="9" s="1"/>
  <c r="AR261" i="9"/>
  <c r="AT261" i="9" s="1"/>
  <c r="AR260" i="9"/>
  <c r="AT260" i="9" s="1"/>
  <c r="AR258" i="9"/>
  <c r="AT258" i="9" s="1"/>
  <c r="AR257" i="9"/>
  <c r="AT257" i="9" s="1"/>
  <c r="AR256" i="9"/>
  <c r="AT256" i="9" s="1"/>
  <c r="AR255" i="9"/>
  <c r="AT255" i="9" s="1"/>
  <c r="AR254" i="9"/>
  <c r="AT254" i="9"/>
  <c r="AR253" i="9"/>
  <c r="AT253" i="9" s="1"/>
  <c r="AR252" i="9"/>
  <c r="AT252" i="9" s="1"/>
  <c r="AR251" i="9"/>
  <c r="AT251" i="9" s="1"/>
  <c r="AR250" i="9"/>
  <c r="AT250" i="9" s="1"/>
  <c r="AR248" i="9"/>
  <c r="AT248" i="9" s="1"/>
  <c r="AR239" i="9"/>
  <c r="AR237" i="9"/>
  <c r="AR236" i="9"/>
  <c r="AR234" i="9"/>
  <c r="AR233" i="9"/>
  <c r="AR232" i="9"/>
  <c r="AR231" i="9"/>
  <c r="AR230" i="9"/>
  <c r="AR229" i="9"/>
  <c r="AR228" i="9"/>
  <c r="AR227" i="9"/>
  <c r="AR226" i="9"/>
  <c r="AR224" i="9"/>
  <c r="AR215" i="9"/>
  <c r="AR213" i="9"/>
  <c r="AR212" i="9"/>
  <c r="AR210" i="9"/>
  <c r="AR209" i="9"/>
  <c r="AR208" i="9"/>
  <c r="AR207" i="9"/>
  <c r="AR206" i="9"/>
  <c r="AR205" i="9"/>
  <c r="AR204" i="9"/>
  <c r="AR203" i="9"/>
  <c r="AR202" i="9"/>
  <c r="AR200" i="9"/>
  <c r="AR191" i="9"/>
  <c r="AR189" i="9"/>
  <c r="AR188" i="9"/>
  <c r="AR186" i="9"/>
  <c r="AR185" i="9"/>
  <c r="AR184" i="9"/>
  <c r="AR183" i="9"/>
  <c r="AR182" i="9"/>
  <c r="AR181" i="9"/>
  <c r="AR180" i="9"/>
  <c r="AR179" i="9"/>
  <c r="AR178" i="9"/>
  <c r="AR176" i="9"/>
  <c r="AR119" i="9"/>
  <c r="AR117" i="9"/>
  <c r="AR116" i="9"/>
  <c r="AR114" i="9"/>
  <c r="AR113" i="9"/>
  <c r="AR112" i="9"/>
  <c r="AR111" i="9"/>
  <c r="AR110" i="9"/>
  <c r="AR109" i="9"/>
  <c r="AR107" i="9"/>
  <c r="AR106" i="9"/>
  <c r="AR104" i="9"/>
  <c r="AR68" i="9"/>
  <c r="AR66" i="9"/>
  <c r="AR65" i="9"/>
  <c r="AR63" i="9"/>
  <c r="AR62" i="9"/>
  <c r="AR61" i="9"/>
  <c r="AR60" i="9"/>
  <c r="AR59" i="9"/>
  <c r="AR58" i="9"/>
  <c r="AR57" i="9"/>
  <c r="AR56" i="9"/>
  <c r="AR55" i="9"/>
  <c r="AT55" i="16" s="1"/>
  <c r="AR53" i="9"/>
  <c r="AR45" i="9"/>
  <c r="AR43" i="9"/>
  <c r="AR42" i="9"/>
  <c r="AR40" i="9"/>
  <c r="AR39" i="9"/>
  <c r="AR38" i="9"/>
  <c r="AR37" i="9"/>
  <c r="AR36" i="9"/>
  <c r="AR35" i="9"/>
  <c r="AR34" i="9"/>
  <c r="AR33" i="9"/>
  <c r="AR32" i="9"/>
  <c r="AR30" i="9"/>
  <c r="AR9" i="9"/>
  <c r="M69" i="11"/>
  <c r="N69" i="11"/>
  <c r="O69" i="11"/>
  <c r="P69" i="11"/>
  <c r="Q69" i="11"/>
  <c r="R69" i="11"/>
  <c r="S69" i="11"/>
  <c r="T69" i="11"/>
  <c r="U69" i="11"/>
  <c r="V69" i="11"/>
  <c r="W69" i="11"/>
  <c r="X69" i="11"/>
  <c r="Z69" i="11"/>
  <c r="AA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D69" i="11"/>
  <c r="L69" i="11"/>
  <c r="S49" i="10"/>
  <c r="S74" i="10"/>
  <c r="Y49" i="10"/>
  <c r="Y74" i="10"/>
  <c r="AB49" i="10"/>
  <c r="AB74" i="10"/>
  <c r="AI49" i="10"/>
  <c r="AI74" i="10"/>
  <c r="AO49" i="10"/>
  <c r="AO74" i="10"/>
  <c r="AR47" i="10"/>
  <c r="H43" i="13"/>
  <c r="G46" i="13"/>
  <c r="F46" i="13"/>
  <c r="F47" i="13" s="1"/>
  <c r="Q47" i="13" s="1"/>
  <c r="Z74" i="10"/>
  <c r="C43" i="13"/>
  <c r="N43" i="13" s="1"/>
  <c r="I43" i="13"/>
  <c r="I44" i="13" s="1"/>
  <c r="T44" i="13" s="1"/>
  <c r="E43" i="13"/>
  <c r="E26" i="13" s="1"/>
  <c r="P26" i="13" s="1"/>
  <c r="F43" i="13"/>
  <c r="Q43" i="13" s="1"/>
  <c r="G43" i="13"/>
  <c r="G26" i="13" s="1"/>
  <c r="R26" i="13" s="1"/>
  <c r="D43" i="13"/>
  <c r="O43" i="13" s="1"/>
  <c r="J43" i="13"/>
  <c r="U43" i="13" s="1"/>
  <c r="AR88" i="10"/>
  <c r="AR79" i="11"/>
  <c r="N18" i="13"/>
  <c r="O18" i="13"/>
  <c r="P18" i="13"/>
  <c r="Q18" i="13"/>
  <c r="R18" i="13"/>
  <c r="S18" i="13"/>
  <c r="T18" i="13"/>
  <c r="U18" i="13"/>
  <c r="V18" i="13"/>
  <c r="N20" i="13"/>
  <c r="O20" i="13"/>
  <c r="P20" i="13"/>
  <c r="Q20" i="13"/>
  <c r="R20" i="13"/>
  <c r="S20" i="13"/>
  <c r="T20" i="13"/>
  <c r="U20" i="13"/>
  <c r="V20" i="13"/>
  <c r="Q10" i="13"/>
  <c r="N10" i="13"/>
  <c r="O10" i="13"/>
  <c r="P10" i="13"/>
  <c r="R10" i="13"/>
  <c r="S10" i="13"/>
  <c r="T10" i="13"/>
  <c r="U10" i="13"/>
  <c r="V10" i="13"/>
  <c r="K44" i="13"/>
  <c r="V44" i="13" s="1"/>
  <c r="D33" i="13"/>
  <c r="E33" i="13"/>
  <c r="G33" i="13"/>
  <c r="S28" i="13"/>
  <c r="T28" i="13"/>
  <c r="U28" i="13"/>
  <c r="V28" i="13"/>
  <c r="I19" i="13"/>
  <c r="T19" i="13" s="1"/>
  <c r="J19" i="13"/>
  <c r="U19" i="13" s="1"/>
  <c r="L20" i="13"/>
  <c r="C19" i="13"/>
  <c r="N19" i="13" s="1"/>
  <c r="L18" i="13"/>
  <c r="L10" i="13"/>
  <c r="F33" i="13"/>
  <c r="T12" i="20"/>
  <c r="U12" i="20"/>
  <c r="AC12" i="20"/>
  <c r="AD12" i="20"/>
  <c r="AJ12" i="20"/>
  <c r="AK12" i="20"/>
  <c r="AR23" i="11"/>
  <c r="AR69" i="11" s="1"/>
  <c r="N185" i="20"/>
  <c r="O185" i="20"/>
  <c r="P185" i="20"/>
  <c r="Q185" i="20"/>
  <c r="R185" i="20"/>
  <c r="S185" i="20"/>
  <c r="T185" i="20"/>
  <c r="U185" i="20"/>
  <c r="V185" i="20"/>
  <c r="W185" i="20"/>
  <c r="X185" i="20"/>
  <c r="Y185" i="20"/>
  <c r="Z185" i="20"/>
  <c r="AA185" i="20"/>
  <c r="AB185" i="20"/>
  <c r="AC185" i="20"/>
  <c r="AD185" i="20"/>
  <c r="AE185" i="20"/>
  <c r="AF185" i="20"/>
  <c r="AG185" i="20"/>
  <c r="AH185" i="20"/>
  <c r="AI185" i="20"/>
  <c r="AJ185" i="20"/>
  <c r="AK185" i="20"/>
  <c r="AL185" i="20"/>
  <c r="AM185" i="20"/>
  <c r="AN185" i="20"/>
  <c r="AO185" i="20"/>
  <c r="AP185" i="20"/>
  <c r="AQ185" i="20"/>
  <c r="M176" i="20"/>
  <c r="N176" i="20"/>
  <c r="O176" i="20"/>
  <c r="P176" i="20"/>
  <c r="Q176" i="20"/>
  <c r="R176" i="20"/>
  <c r="S176" i="20"/>
  <c r="T176" i="20"/>
  <c r="U176" i="20"/>
  <c r="V176" i="20"/>
  <c r="W176" i="20"/>
  <c r="X176" i="20"/>
  <c r="Y176" i="20"/>
  <c r="Z176" i="20"/>
  <c r="AA176" i="20"/>
  <c r="AB176" i="20"/>
  <c r="AC176" i="20"/>
  <c r="AD176" i="20"/>
  <c r="AE176" i="20"/>
  <c r="AF176" i="20"/>
  <c r="AG176" i="20"/>
  <c r="AH176" i="20"/>
  <c r="AI176" i="20"/>
  <c r="AJ176" i="20"/>
  <c r="AK176" i="20"/>
  <c r="AL176" i="20"/>
  <c r="AM176" i="20"/>
  <c r="AN176" i="20"/>
  <c r="AO176" i="20"/>
  <c r="AP176" i="20"/>
  <c r="AQ176" i="20"/>
  <c r="M167" i="20"/>
  <c r="N167" i="20"/>
  <c r="O167" i="20"/>
  <c r="P167" i="20"/>
  <c r="Q167" i="20"/>
  <c r="R167" i="20"/>
  <c r="S167" i="20"/>
  <c r="T167" i="20"/>
  <c r="U167" i="20"/>
  <c r="V167" i="20"/>
  <c r="W167" i="20"/>
  <c r="X167" i="20"/>
  <c r="Y167" i="20"/>
  <c r="Z167" i="20"/>
  <c r="AA167" i="20"/>
  <c r="AB167" i="20"/>
  <c r="AC167" i="20"/>
  <c r="AD167" i="20"/>
  <c r="AE167" i="20"/>
  <c r="AF167" i="20"/>
  <c r="AG167" i="20"/>
  <c r="AH167" i="20"/>
  <c r="AI167" i="20"/>
  <c r="AJ167" i="20"/>
  <c r="AK167" i="20"/>
  <c r="AL167" i="20"/>
  <c r="AM167" i="20"/>
  <c r="AN167" i="20"/>
  <c r="AO167" i="20"/>
  <c r="AP167" i="20"/>
  <c r="AQ167" i="20"/>
  <c r="M158" i="20"/>
  <c r="N158" i="20"/>
  <c r="O158" i="20"/>
  <c r="P158" i="20"/>
  <c r="Q158" i="20"/>
  <c r="R158" i="20"/>
  <c r="S158" i="20"/>
  <c r="T158" i="20"/>
  <c r="U158" i="20"/>
  <c r="V158" i="20"/>
  <c r="W158" i="20"/>
  <c r="X158" i="20"/>
  <c r="Y158" i="20"/>
  <c r="Z158" i="20"/>
  <c r="AA158" i="20"/>
  <c r="AB158" i="20"/>
  <c r="AC158" i="20"/>
  <c r="AD158" i="20"/>
  <c r="AE158" i="20"/>
  <c r="AF158" i="20"/>
  <c r="AG158" i="20"/>
  <c r="AH158" i="20"/>
  <c r="AI158" i="20"/>
  <c r="AJ158" i="20"/>
  <c r="AK158" i="20"/>
  <c r="AL158" i="20"/>
  <c r="AM158" i="20"/>
  <c r="AN158" i="20"/>
  <c r="AO158" i="20"/>
  <c r="AP158" i="20"/>
  <c r="AQ158" i="20"/>
  <c r="AR184" i="20"/>
  <c r="AR183" i="20"/>
  <c r="AR182" i="20"/>
  <c r="AR181" i="20"/>
  <c r="AR180" i="20"/>
  <c r="AR179" i="20"/>
  <c r="AR178" i="20"/>
  <c r="AR175" i="20"/>
  <c r="AR174" i="20"/>
  <c r="AR173" i="20"/>
  <c r="AR172" i="20"/>
  <c r="AR171" i="20"/>
  <c r="AR170" i="20"/>
  <c r="AR169" i="20"/>
  <c r="AR166" i="20"/>
  <c r="AR165" i="20"/>
  <c r="AR164" i="20"/>
  <c r="AR163" i="20"/>
  <c r="AR162" i="20"/>
  <c r="AR161" i="20"/>
  <c r="AR160" i="20"/>
  <c r="AR157" i="20"/>
  <c r="AR156" i="20"/>
  <c r="AR155" i="20"/>
  <c r="AR154" i="20"/>
  <c r="AR153" i="20"/>
  <c r="AR152" i="20"/>
  <c r="AR151" i="20"/>
  <c r="AR147" i="20"/>
  <c r="AR146" i="20"/>
  <c r="AR145" i="20"/>
  <c r="AR144" i="20"/>
  <c r="AR143" i="20"/>
  <c r="AR142" i="20"/>
  <c r="AR141" i="20"/>
  <c r="M148" i="20"/>
  <c r="N148" i="20"/>
  <c r="O148" i="20"/>
  <c r="P148" i="20"/>
  <c r="Q148" i="20"/>
  <c r="R148" i="20"/>
  <c r="S148" i="20"/>
  <c r="T148" i="20"/>
  <c r="U148" i="20"/>
  <c r="V148" i="20"/>
  <c r="W148" i="20"/>
  <c r="X148" i="20"/>
  <c r="Y148" i="20"/>
  <c r="Z148" i="20"/>
  <c r="AA148" i="20"/>
  <c r="AA45" i="20"/>
  <c r="Z53" i="14" s="1"/>
  <c r="AB148" i="20"/>
  <c r="AC148" i="20"/>
  <c r="AC149" i="20" s="1"/>
  <c r="AD148" i="20"/>
  <c r="AD149" i="20" s="1"/>
  <c r="AE148" i="20"/>
  <c r="AE149" i="20" s="1"/>
  <c r="AF148" i="20"/>
  <c r="AF149" i="20" s="1"/>
  <c r="AG148" i="20"/>
  <c r="AG149" i="20" s="1"/>
  <c r="AH148" i="20"/>
  <c r="AH149" i="20" s="1"/>
  <c r="AI148" i="20"/>
  <c r="AI149" i="20" s="1"/>
  <c r="AJ148" i="20"/>
  <c r="AJ149" i="20" s="1"/>
  <c r="AK148" i="20"/>
  <c r="AK149" i="20" s="1"/>
  <c r="AL148" i="20"/>
  <c r="AL149" i="20" s="1"/>
  <c r="AM148" i="20"/>
  <c r="AM149" i="20" s="1"/>
  <c r="AN148" i="20"/>
  <c r="AN149" i="20" s="1"/>
  <c r="AO148" i="20"/>
  <c r="AO149" i="20" s="1"/>
  <c r="AP148" i="20"/>
  <c r="AP149" i="20" s="1"/>
  <c r="AQ148" i="20"/>
  <c r="AQ149" i="20" s="1"/>
  <c r="AR123" i="20"/>
  <c r="AR121" i="20"/>
  <c r="AR120" i="20"/>
  <c r="AR119" i="20"/>
  <c r="AR118" i="20"/>
  <c r="AR117" i="20"/>
  <c r="AR116" i="20"/>
  <c r="M124" i="20"/>
  <c r="M125" i="20" s="1"/>
  <c r="N124" i="20"/>
  <c r="N125" i="20" s="1"/>
  <c r="O124" i="20"/>
  <c r="O125" i="20" s="1"/>
  <c r="P124" i="20"/>
  <c r="P125" i="20" s="1"/>
  <c r="Q124" i="20"/>
  <c r="Q125" i="20" s="1"/>
  <c r="R124" i="20"/>
  <c r="R125" i="20" s="1"/>
  <c r="S124" i="20"/>
  <c r="S125" i="20" s="1"/>
  <c r="T124" i="20"/>
  <c r="T125" i="20" s="1"/>
  <c r="U124" i="20"/>
  <c r="U125" i="20" s="1"/>
  <c r="V124" i="20"/>
  <c r="V125" i="20" s="1"/>
  <c r="W124" i="20"/>
  <c r="W125" i="20" s="1"/>
  <c r="X124" i="20"/>
  <c r="X125" i="20" s="1"/>
  <c r="Y124" i="20"/>
  <c r="Z124" i="20"/>
  <c r="Z125" i="20" s="1"/>
  <c r="AA124" i="20"/>
  <c r="AA125" i="20"/>
  <c r="AB124" i="20"/>
  <c r="AB125" i="20" s="1"/>
  <c r="AC124" i="20"/>
  <c r="AC125" i="20" s="1"/>
  <c r="AD124" i="20"/>
  <c r="AD125" i="20" s="1"/>
  <c r="AE124" i="20"/>
  <c r="AE125" i="20" s="1"/>
  <c r="AF124" i="20"/>
  <c r="AF125" i="20" s="1"/>
  <c r="AG124" i="20"/>
  <c r="AG125" i="20" s="1"/>
  <c r="AH124" i="20"/>
  <c r="AH125" i="20" s="1"/>
  <c r="AI124" i="20"/>
  <c r="AI125" i="20" s="1"/>
  <c r="AJ124" i="20"/>
  <c r="AJ125" i="20" s="1"/>
  <c r="AK124" i="20"/>
  <c r="AK125" i="20" s="1"/>
  <c r="AL124" i="20"/>
  <c r="AM124" i="20"/>
  <c r="AM125" i="20" s="1"/>
  <c r="AN124" i="20"/>
  <c r="AN125" i="20"/>
  <c r="AO124" i="20"/>
  <c r="AO125" i="20" s="1"/>
  <c r="AP124" i="20"/>
  <c r="AP125" i="20" s="1"/>
  <c r="AQ124" i="20"/>
  <c r="AQ125" i="20" s="1"/>
  <c r="AR112" i="20"/>
  <c r="AR110" i="20"/>
  <c r="AR109" i="20"/>
  <c r="AR108" i="20"/>
  <c r="AR107" i="20"/>
  <c r="AR106" i="20"/>
  <c r="AR105" i="20"/>
  <c r="AR89" i="20"/>
  <c r="AR87" i="20"/>
  <c r="AR86" i="20"/>
  <c r="AR85" i="20"/>
  <c r="AR84" i="20"/>
  <c r="AR83" i="20"/>
  <c r="AR82" i="20"/>
  <c r="N90" i="20"/>
  <c r="N91" i="20" s="1"/>
  <c r="O90" i="20"/>
  <c r="O91" i="20" s="1"/>
  <c r="P90" i="20"/>
  <c r="P91" i="20" s="1"/>
  <c r="Q90" i="20"/>
  <c r="Q91" i="20" s="1"/>
  <c r="R90" i="20"/>
  <c r="R91" i="20" s="1"/>
  <c r="S90" i="20"/>
  <c r="S91" i="20" s="1"/>
  <c r="T90" i="20"/>
  <c r="T91" i="20" s="1"/>
  <c r="U90" i="20"/>
  <c r="U91" i="20" s="1"/>
  <c r="V90" i="20"/>
  <c r="V91" i="20" s="1"/>
  <c r="W90" i="20"/>
  <c r="W91" i="20" s="1"/>
  <c r="X90" i="20"/>
  <c r="X91" i="20" s="1"/>
  <c r="Y90" i="20"/>
  <c r="Y91" i="20" s="1"/>
  <c r="Z90" i="20"/>
  <c r="Z91" i="20" s="1"/>
  <c r="AA90" i="20"/>
  <c r="AA91" i="20" s="1"/>
  <c r="AB90" i="20"/>
  <c r="AB91" i="20" s="1"/>
  <c r="AC90" i="20"/>
  <c r="AC91" i="20" s="1"/>
  <c r="AD90" i="20"/>
  <c r="AD91" i="20" s="1"/>
  <c r="AE90" i="20"/>
  <c r="AE91" i="20" s="1"/>
  <c r="AF90" i="20"/>
  <c r="AF91" i="20" s="1"/>
  <c r="AG90" i="20"/>
  <c r="AG91" i="20" s="1"/>
  <c r="AH90" i="20"/>
  <c r="AI90" i="20"/>
  <c r="AI91" i="20" s="1"/>
  <c r="AJ90" i="20"/>
  <c r="AJ91" i="20" s="1"/>
  <c r="AK90" i="20"/>
  <c r="AK91" i="20" s="1"/>
  <c r="AL90" i="20"/>
  <c r="AL91" i="20" s="1"/>
  <c r="AM90" i="20"/>
  <c r="AM91" i="20" s="1"/>
  <c r="AN90" i="20"/>
  <c r="AN91" i="20" s="1"/>
  <c r="AO90" i="20"/>
  <c r="AO91" i="20" s="1"/>
  <c r="AP90" i="20"/>
  <c r="AQ90" i="20"/>
  <c r="AQ91" i="20" s="1"/>
  <c r="AR72" i="20"/>
  <c r="AR73" i="20"/>
  <c r="AR74" i="20"/>
  <c r="AR75" i="20"/>
  <c r="AR76" i="20"/>
  <c r="AR78" i="20"/>
  <c r="AR71" i="20"/>
  <c r="M79" i="20"/>
  <c r="M80" i="20" s="1"/>
  <c r="N79" i="20"/>
  <c r="N80" i="20" s="1"/>
  <c r="O79" i="20"/>
  <c r="O80" i="20" s="1"/>
  <c r="P79" i="20"/>
  <c r="P80" i="20" s="1"/>
  <c r="Q79" i="20"/>
  <c r="Q80" i="20" s="1"/>
  <c r="R79" i="20"/>
  <c r="R80" i="20" s="1"/>
  <c r="S79" i="20"/>
  <c r="S80" i="20" s="1"/>
  <c r="T79" i="20"/>
  <c r="T80" i="20" s="1"/>
  <c r="U79" i="20"/>
  <c r="U80" i="20" s="1"/>
  <c r="V79" i="20"/>
  <c r="V80" i="20" s="1"/>
  <c r="W79" i="20"/>
  <c r="W80" i="20" s="1"/>
  <c r="X79" i="20"/>
  <c r="X80" i="20" s="1"/>
  <c r="Y79" i="20"/>
  <c r="Y80" i="20" s="1"/>
  <c r="Z79" i="20"/>
  <c r="Z80" i="20" s="1"/>
  <c r="AA79" i="20"/>
  <c r="AB79" i="20"/>
  <c r="AB80" i="20" s="1"/>
  <c r="AC79" i="20"/>
  <c r="AC80" i="20" s="1"/>
  <c r="AD79" i="20"/>
  <c r="AD80" i="20" s="1"/>
  <c r="AE79" i="20"/>
  <c r="AE80" i="20" s="1"/>
  <c r="AF79" i="20"/>
  <c r="AF80" i="20" s="1"/>
  <c r="AG79" i="20"/>
  <c r="AG80" i="20" s="1"/>
  <c r="AH79" i="20"/>
  <c r="AH80" i="20" s="1"/>
  <c r="AI79" i="20"/>
  <c r="AI80" i="20" s="1"/>
  <c r="AJ79" i="20"/>
  <c r="AJ80" i="20" s="1"/>
  <c r="AK79" i="20"/>
  <c r="AK80" i="20" s="1"/>
  <c r="AL79" i="20"/>
  <c r="AL80" i="20" s="1"/>
  <c r="AM79" i="20"/>
  <c r="AM80" i="20" s="1"/>
  <c r="AN79" i="20"/>
  <c r="AO79" i="20"/>
  <c r="AO80" i="20" s="1"/>
  <c r="AP79" i="20"/>
  <c r="AP80" i="20" s="1"/>
  <c r="AQ79" i="20"/>
  <c r="AQ80" i="20" s="1"/>
  <c r="AR61" i="20"/>
  <c r="AR62" i="20"/>
  <c r="AR63" i="20"/>
  <c r="AR64" i="20"/>
  <c r="AR65" i="20"/>
  <c r="AR67" i="20"/>
  <c r="AR60" i="20"/>
  <c r="S68" i="20"/>
  <c r="S69" i="20" s="1"/>
  <c r="T68" i="20"/>
  <c r="T69" i="20" s="1"/>
  <c r="W68" i="20"/>
  <c r="W69" i="20" s="1"/>
  <c r="X68" i="20"/>
  <c r="Y68" i="20"/>
  <c r="Y69" i="20" s="1"/>
  <c r="AA68" i="20"/>
  <c r="AB68" i="20"/>
  <c r="AE68" i="20"/>
  <c r="AE192" i="20" s="1"/>
  <c r="AF68" i="20"/>
  <c r="AF69" i="20" s="1"/>
  <c r="AI68" i="20"/>
  <c r="AI69" i="20" s="1"/>
  <c r="AJ68" i="20"/>
  <c r="AM68" i="20"/>
  <c r="AM69" i="20" s="1"/>
  <c r="AN68" i="20"/>
  <c r="AQ68" i="20"/>
  <c r="AQ69" i="20" s="1"/>
  <c r="N68" i="20"/>
  <c r="N69" i="20" s="1"/>
  <c r="O68" i="20"/>
  <c r="O69" i="20" s="1"/>
  <c r="Q68" i="20"/>
  <c r="Q69" i="20" s="1"/>
  <c r="AL125" i="20"/>
  <c r="AA80" i="20"/>
  <c r="AN80" i="20"/>
  <c r="C105" i="14"/>
  <c r="D80" i="16"/>
  <c r="D127" i="16"/>
  <c r="D11" i="10"/>
  <c r="D80" i="9"/>
  <c r="AR108" i="9"/>
  <c r="AV4" i="9"/>
  <c r="BG4" i="9" s="1"/>
  <c r="BH108" i="9"/>
  <c r="AR115" i="16"/>
  <c r="AR20" i="21"/>
  <c r="AR19" i="21"/>
  <c r="AR17" i="21"/>
  <c r="AR16" i="21"/>
  <c r="AW16" i="21" s="1"/>
  <c r="AR15" i="21"/>
  <c r="AW15" i="21" s="1"/>
  <c r="AR14" i="21"/>
  <c r="AW14" i="21" s="1"/>
  <c r="AR13" i="21"/>
  <c r="AW13" i="21" s="1"/>
  <c r="AR112" i="16"/>
  <c r="AR111" i="16"/>
  <c r="AR109" i="16"/>
  <c r="AR108" i="16"/>
  <c r="AR106" i="16"/>
  <c r="AR105" i="16"/>
  <c r="AR20" i="16"/>
  <c r="AR19" i="16"/>
  <c r="AT19" i="16" s="1"/>
  <c r="AR17" i="16"/>
  <c r="AR16" i="16"/>
  <c r="AR15" i="16"/>
  <c r="AR14" i="16"/>
  <c r="AR13" i="16"/>
  <c r="AR12" i="9"/>
  <c r="AR13" i="9"/>
  <c r="AR14" i="9"/>
  <c r="AR15" i="9"/>
  <c r="AR16" i="9"/>
  <c r="AR17" i="9"/>
  <c r="AR19" i="9"/>
  <c r="AR20" i="9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C88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AH106" i="14"/>
  <c r="AI106" i="14"/>
  <c r="AJ106" i="14"/>
  <c r="AK106" i="14"/>
  <c r="AL106" i="14"/>
  <c r="AM106" i="14"/>
  <c r="AN106" i="14"/>
  <c r="AO106" i="14"/>
  <c r="C106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AH105" i="14"/>
  <c r="AI105" i="14"/>
  <c r="AJ105" i="14"/>
  <c r="AK105" i="14"/>
  <c r="AL105" i="14"/>
  <c r="AM105" i="14"/>
  <c r="AN105" i="14"/>
  <c r="AO105" i="14"/>
  <c r="AP105" i="14"/>
  <c r="P7" i="15"/>
  <c r="P9" i="15"/>
  <c r="Q7" i="15"/>
  <c r="R7" i="15"/>
  <c r="R9" i="15"/>
  <c r="S7" i="15"/>
  <c r="S9" i="15"/>
  <c r="U7" i="15"/>
  <c r="Y7" i="15"/>
  <c r="Z7" i="15"/>
  <c r="AC7" i="15"/>
  <c r="AD7" i="15"/>
  <c r="AD9" i="15"/>
  <c r="AG7" i="15"/>
  <c r="M7" i="15"/>
  <c r="N7" i="15"/>
  <c r="O7" i="15"/>
  <c r="L7" i="15"/>
  <c r="L9" i="15"/>
  <c r="H7" i="15"/>
  <c r="I7" i="15"/>
  <c r="J7" i="15"/>
  <c r="J9" i="15"/>
  <c r="K7" i="15"/>
  <c r="K9" i="15"/>
  <c r="G7" i="15"/>
  <c r="E7" i="15"/>
  <c r="F7" i="15"/>
  <c r="D7" i="15"/>
  <c r="D9" i="15"/>
  <c r="AE7" i="15"/>
  <c r="AF7" i="15"/>
  <c r="AA7" i="15"/>
  <c r="AA9" i="15"/>
  <c r="AB7" i="15"/>
  <c r="AB9" i="15"/>
  <c r="V7" i="15"/>
  <c r="W7" i="15"/>
  <c r="X7" i="15"/>
  <c r="T7" i="15"/>
  <c r="T9" i="15"/>
  <c r="W9" i="15"/>
  <c r="AF9" i="15"/>
  <c r="O9" i="15"/>
  <c r="H9" i="15"/>
  <c r="X9" i="15"/>
  <c r="F9" i="15"/>
  <c r="V9" i="15"/>
  <c r="AE9" i="15"/>
  <c r="E9" i="15"/>
  <c r="I9" i="15"/>
  <c r="N9" i="15"/>
  <c r="G9" i="15"/>
  <c r="Z9" i="15"/>
  <c r="AC9" i="15"/>
  <c r="Y9" i="15"/>
  <c r="U9" i="15"/>
  <c r="Q9" i="15"/>
  <c r="M9" i="15"/>
  <c r="AH4" i="15"/>
  <c r="AH5" i="15"/>
  <c r="AH6" i="15"/>
  <c r="AH3" i="15"/>
  <c r="AH7" i="15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AL54" i="20"/>
  <c r="AM54" i="20"/>
  <c r="AN54" i="20"/>
  <c r="AO54" i="20"/>
  <c r="AP54" i="20"/>
  <c r="AQ54" i="20"/>
  <c r="AR9" i="20"/>
  <c r="AR10" i="20"/>
  <c r="AR80" i="11"/>
  <c r="AR90" i="10"/>
  <c r="AR89" i="10"/>
  <c r="AR41" i="17"/>
  <c r="AR27" i="17"/>
  <c r="AR45" i="17"/>
  <c r="AR44" i="17"/>
  <c r="AR28" i="17"/>
  <c r="AU51" i="17" s="1"/>
  <c r="AR43" i="17"/>
  <c r="AR29" i="17"/>
  <c r="AR42" i="17"/>
  <c r="AU65" i="17" s="1"/>
  <c r="AR40" i="17"/>
  <c r="AR32" i="17"/>
  <c r="AR30" i="17"/>
  <c r="D54" i="20"/>
  <c r="N45" i="20"/>
  <c r="M53" i="14" s="1"/>
  <c r="O45" i="20"/>
  <c r="N53" i="14" s="1"/>
  <c r="P45" i="20"/>
  <c r="Q45" i="20"/>
  <c r="P53" i="14" s="1"/>
  <c r="R45" i="20"/>
  <c r="S45" i="20"/>
  <c r="R53" i="14" s="1"/>
  <c r="T45" i="20"/>
  <c r="S53" i="14" s="1"/>
  <c r="U45" i="20"/>
  <c r="T53" i="14" s="1"/>
  <c r="V45" i="20"/>
  <c r="U53" i="14" s="1"/>
  <c r="W45" i="20"/>
  <c r="V53" i="14" s="1"/>
  <c r="X45" i="20"/>
  <c r="W53" i="14" s="1"/>
  <c r="Y45" i="20"/>
  <c r="X53" i="14" s="1"/>
  <c r="Z45" i="20"/>
  <c r="Y53" i="14" s="1"/>
  <c r="AB45" i="20"/>
  <c r="AC45" i="20"/>
  <c r="AB53" i="14" s="1"/>
  <c r="AD45" i="20"/>
  <c r="AC53" i="14" s="1"/>
  <c r="AE45" i="20"/>
  <c r="AD53" i="14" s="1"/>
  <c r="AF45" i="20"/>
  <c r="AE53" i="14" s="1"/>
  <c r="AG45" i="20"/>
  <c r="AF53" i="14" s="1"/>
  <c r="AH45" i="20"/>
  <c r="AG53" i="14" s="1"/>
  <c r="AI45" i="20"/>
  <c r="AJ45" i="20"/>
  <c r="AI53" i="14" s="1"/>
  <c r="AK45" i="20"/>
  <c r="AJ53" i="14" s="1"/>
  <c r="AL45" i="20"/>
  <c r="AK53" i="14" s="1"/>
  <c r="AM45" i="20"/>
  <c r="AL53" i="14" s="1"/>
  <c r="AN45" i="20"/>
  <c r="AO45" i="20"/>
  <c r="AN53" i="14" s="1"/>
  <c r="AP45" i="20"/>
  <c r="AO53" i="14" s="1"/>
  <c r="AQ45" i="20"/>
  <c r="AP53" i="14" s="1"/>
  <c r="AR53" i="20"/>
  <c r="AR52" i="20"/>
  <c r="AR51" i="20"/>
  <c r="AR50" i="20"/>
  <c r="AR49" i="20"/>
  <c r="AR48" i="20"/>
  <c r="AR7" i="16"/>
  <c r="AR10" i="16"/>
  <c r="Y52" i="12"/>
  <c r="AA52" i="12"/>
  <c r="AL52" i="12"/>
  <c r="AM52" i="12"/>
  <c r="AP106" i="14"/>
  <c r="AR103" i="16"/>
  <c r="AR101" i="16"/>
  <c r="AR7" i="9"/>
  <c r="AR10" i="9"/>
  <c r="AR22" i="9"/>
  <c r="AR102" i="16"/>
  <c r="AR22" i="21"/>
  <c r="AR11" i="21"/>
  <c r="AT11" i="21" s="1"/>
  <c r="AR10" i="21"/>
  <c r="AW10" i="21" s="1"/>
  <c r="AR11" i="16"/>
  <c r="AR22" i="16"/>
  <c r="N28" i="13"/>
  <c r="D12" i="20"/>
  <c r="AR44" i="20"/>
  <c r="AR43" i="20"/>
  <c r="AR42" i="20"/>
  <c r="AR41" i="20"/>
  <c r="AR40" i="20"/>
  <c r="AR39" i="20"/>
  <c r="AR8" i="20"/>
  <c r="AR7" i="20"/>
  <c r="AR6" i="20"/>
  <c r="AR5" i="20"/>
  <c r="AR4" i="20"/>
  <c r="BE18" i="9"/>
  <c r="AV18" i="9"/>
  <c r="BG18" i="9"/>
  <c r="Q28" i="13"/>
  <c r="AR11" i="9"/>
  <c r="O28" i="13"/>
  <c r="P28" i="13"/>
  <c r="AR12" i="21"/>
  <c r="AW12" i="21" s="1"/>
  <c r="AR12" i="16"/>
  <c r="R28" i="13"/>
  <c r="L28" i="13"/>
  <c r="AP89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E90" i="14"/>
  <c r="AF90" i="14"/>
  <c r="AG90" i="14"/>
  <c r="AH90" i="14"/>
  <c r="AI90" i="14"/>
  <c r="AJ90" i="14"/>
  <c r="AK90" i="14"/>
  <c r="AL90" i="14"/>
  <c r="AM90" i="14"/>
  <c r="AN90" i="14"/>
  <c r="AO90" i="14"/>
  <c r="AP90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C90" i="14"/>
  <c r="C91" i="14"/>
  <c r="C92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AP74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C74" i="14"/>
  <c r="C75" i="14"/>
  <c r="C76" i="14"/>
  <c r="AO89" i="14"/>
  <c r="AN89" i="14"/>
  <c r="AM89" i="14"/>
  <c r="AL73" i="14"/>
  <c r="AL89" i="14"/>
  <c r="AR46" i="17"/>
  <c r="D47" i="17"/>
  <c r="D409" i="21" s="1"/>
  <c r="AK89" i="14"/>
  <c r="AJ89" i="14"/>
  <c r="AI89" i="14"/>
  <c r="AG89" i="14"/>
  <c r="AH89" i="14"/>
  <c r="AF89" i="14"/>
  <c r="AF73" i="14"/>
  <c r="AE89" i="14"/>
  <c r="AD89" i="14"/>
  <c r="AD90" i="14"/>
  <c r="AC89" i="14"/>
  <c r="AB73" i="14"/>
  <c r="AB89" i="14"/>
  <c r="AA73" i="14"/>
  <c r="AA89" i="14"/>
  <c r="Z89" i="14"/>
  <c r="Y89" i="14"/>
  <c r="X89" i="14"/>
  <c r="AG73" i="14"/>
  <c r="AH73" i="14"/>
  <c r="AP73" i="14"/>
  <c r="AO73" i="14"/>
  <c r="AJ73" i="14"/>
  <c r="AE73" i="14"/>
  <c r="Y73" i="14"/>
  <c r="Z73" i="14"/>
  <c r="AN73" i="14"/>
  <c r="AI73" i="14"/>
  <c r="AD73" i="14"/>
  <c r="X73" i="14"/>
  <c r="AK73" i="14"/>
  <c r="AM73" i="14"/>
  <c r="AC73" i="14"/>
  <c r="V73" i="14"/>
  <c r="V89" i="14"/>
  <c r="U73" i="14"/>
  <c r="U89" i="14"/>
  <c r="M73" i="14"/>
  <c r="T73" i="14"/>
  <c r="T89" i="14"/>
  <c r="L73" i="14"/>
  <c r="C73" i="14"/>
  <c r="Q73" i="14"/>
  <c r="R73" i="14"/>
  <c r="N73" i="14"/>
  <c r="P73" i="14"/>
  <c r="S73" i="14"/>
  <c r="O73" i="14"/>
  <c r="S89" i="14"/>
  <c r="R89" i="14"/>
  <c r="Q89" i="14"/>
  <c r="O89" i="14"/>
  <c r="P89" i="14"/>
  <c r="N89" i="14"/>
  <c r="C89" i="14"/>
  <c r="L89" i="14"/>
  <c r="M89" i="14"/>
  <c r="W73" i="14"/>
  <c r="W89" i="14"/>
  <c r="AO34" i="12"/>
  <c r="AM34" i="12"/>
  <c r="AN34" i="12"/>
  <c r="AI34" i="12"/>
  <c r="AJ34" i="12"/>
  <c r="AK34" i="12"/>
  <c r="AF34" i="12"/>
  <c r="AG34" i="12"/>
  <c r="AH34" i="12"/>
  <c r="AE34" i="12"/>
  <c r="AD34" i="12"/>
  <c r="AC34" i="12"/>
  <c r="AA34" i="12"/>
  <c r="AB34" i="12"/>
  <c r="X34" i="12"/>
  <c r="Y34" i="12"/>
  <c r="Z34" i="12"/>
  <c r="E58" i="12"/>
  <c r="L58" i="12"/>
  <c r="M58" i="12"/>
  <c r="N58" i="12" s="1"/>
  <c r="AS33" i="12"/>
  <c r="AS27" i="12"/>
  <c r="AR84" i="10"/>
  <c r="O34" i="12"/>
  <c r="P34" i="12"/>
  <c r="Q34" i="12"/>
  <c r="R34" i="12"/>
  <c r="S34" i="12"/>
  <c r="T34" i="12"/>
  <c r="U34" i="12"/>
  <c r="V34" i="12"/>
  <c r="W34" i="12"/>
  <c r="E34" i="12"/>
  <c r="E41" i="12"/>
  <c r="F41" i="12"/>
  <c r="G41" i="12"/>
  <c r="AR81" i="10"/>
  <c r="AR80" i="10"/>
  <c r="AR78" i="10"/>
  <c r="AS51" i="12"/>
  <c r="AR183" i="21"/>
  <c r="AT103" i="21"/>
  <c r="BK13" i="9"/>
  <c r="AT34" i="16"/>
  <c r="BK32" i="9"/>
  <c r="F11" i="13"/>
  <c r="Q11" i="13" s="1"/>
  <c r="BK61" i="9"/>
  <c r="BK20" i="9"/>
  <c r="BK30" i="9"/>
  <c r="AT57" i="21"/>
  <c r="AT57" i="16"/>
  <c r="BI34" i="9"/>
  <c r="AO68" i="20"/>
  <c r="AO192" i="20" s="1"/>
  <c r="AK68" i="20"/>
  <c r="AK192" i="20" s="1"/>
  <c r="AG68" i="20"/>
  <c r="AG192" i="20" s="1"/>
  <c r="U68" i="20"/>
  <c r="U192" i="20" s="1"/>
  <c r="AC68" i="20"/>
  <c r="AR66" i="20"/>
  <c r="AP68" i="20"/>
  <c r="AP192" i="20" s="1"/>
  <c r="AL68" i="20"/>
  <c r="AL69" i="20" s="1"/>
  <c r="AH68" i="20"/>
  <c r="AH192" i="20" s="1"/>
  <c r="AD68" i="20"/>
  <c r="Z68" i="20"/>
  <c r="V68" i="20"/>
  <c r="V192" i="20" s="1"/>
  <c r="R68" i="20"/>
  <c r="R69" i="20" s="1"/>
  <c r="M68" i="20"/>
  <c r="M69" i="20" s="1"/>
  <c r="BP221" i="9"/>
  <c r="AV173" i="9"/>
  <c r="BG173" i="9" s="1"/>
  <c r="BG192" i="9" s="1"/>
  <c r="AV197" i="9"/>
  <c r="BG197" i="9" s="1"/>
  <c r="AY269" i="9"/>
  <c r="AV245" i="9"/>
  <c r="BG245" i="9" s="1"/>
  <c r="BP317" i="9"/>
  <c r="AV269" i="9"/>
  <c r="BG269" i="9" s="1"/>
  <c r="BP341" i="9"/>
  <c r="AV293" i="9"/>
  <c r="BG293" i="9" s="1"/>
  <c r="BP365" i="9"/>
  <c r="AV317" i="9"/>
  <c r="BG317" i="9" s="1"/>
  <c r="AV341" i="9"/>
  <c r="BG341" i="9"/>
  <c r="BP485" i="9"/>
  <c r="AV365" i="9"/>
  <c r="BG365" i="9"/>
  <c r="AV461" i="9"/>
  <c r="BG461" i="9" s="1"/>
  <c r="AV485" i="9"/>
  <c r="BG485" i="9"/>
  <c r="AV509" i="9"/>
  <c r="BG509" i="9" s="1"/>
  <c r="AT131" i="21"/>
  <c r="AH9" i="15"/>
  <c r="AT173" i="21"/>
  <c r="AM56" i="20"/>
  <c r="AL57" i="14" s="1"/>
  <c r="AT60" i="16"/>
  <c r="AU68" i="17"/>
  <c r="AR18" i="33"/>
  <c r="AN7" i="10"/>
  <c r="D12" i="10"/>
  <c r="Y20" i="10"/>
  <c r="AO17" i="10"/>
  <c r="D15" i="10"/>
  <c r="D10" i="10"/>
  <c r="AJ20" i="10"/>
  <c r="AJ44" i="10" s="1"/>
  <c r="AJ68" i="10" s="1"/>
  <c r="AF20" i="10"/>
  <c r="AP19" i="10"/>
  <c r="AC19" i="10"/>
  <c r="AO13" i="10"/>
  <c r="AD13" i="10"/>
  <c r="K11" i="10"/>
  <c r="AP22" i="10"/>
  <c r="AP46" i="10" s="1"/>
  <c r="AP70" i="10" s="1"/>
  <c r="AQ20" i="10"/>
  <c r="AM20" i="10"/>
  <c r="K20" i="10"/>
  <c r="AO19" i="10"/>
  <c r="AL19" i="10"/>
  <c r="K14" i="10"/>
  <c r="AP12" i="10"/>
  <c r="AP36" i="10" s="1"/>
  <c r="AP60" i="10" s="1"/>
  <c r="Y11" i="10"/>
  <c r="AQ9" i="10"/>
  <c r="D16" i="10"/>
  <c r="AO20" i="10"/>
  <c r="AQ19" i="10"/>
  <c r="AD19" i="10"/>
  <c r="AD19" i="32" s="1"/>
  <c r="T19" i="10"/>
  <c r="T43" i="10" s="1"/>
  <c r="T67" i="10" s="1"/>
  <c r="D17" i="10"/>
  <c r="D37" i="10"/>
  <c r="D31" i="10"/>
  <c r="AP20" i="10"/>
  <c r="Q19" i="10"/>
  <c r="AP14" i="10"/>
  <c r="AF11" i="10"/>
  <c r="AF35" i="10" s="1"/>
  <c r="X11" i="10"/>
  <c r="K9" i="10"/>
  <c r="AT170" i="21"/>
  <c r="R92" i="21"/>
  <c r="U69" i="16"/>
  <c r="AC92" i="21"/>
  <c r="AG92" i="21"/>
  <c r="X147" i="9"/>
  <c r="AO161" i="21"/>
  <c r="AD115" i="21"/>
  <c r="AW28" i="9"/>
  <c r="BH28" i="9" s="1"/>
  <c r="AH74" i="9"/>
  <c r="AV246" i="9"/>
  <c r="BG246" i="9" s="1"/>
  <c r="AO534" i="9"/>
  <c r="AI534" i="9"/>
  <c r="AE534" i="9"/>
  <c r="AV486" i="9"/>
  <c r="BG486" i="9"/>
  <c r="N74" i="16"/>
  <c r="D230" i="21"/>
  <c r="D231" i="21" s="1"/>
  <c r="E231" i="21" s="1"/>
  <c r="AV51" i="9"/>
  <c r="BG51" i="9" s="1"/>
  <c r="AY51" i="9"/>
  <c r="BJ51" i="9" s="1"/>
  <c r="AB534" i="9"/>
  <c r="L534" i="9"/>
  <c r="AM534" i="9"/>
  <c r="AV462" i="9"/>
  <c r="BG462" i="9" s="1"/>
  <c r="AV318" i="9"/>
  <c r="BG318" i="9" s="1"/>
  <c r="AV198" i="9"/>
  <c r="BG198" i="9" s="1"/>
  <c r="AH184" i="21"/>
  <c r="L74" i="9"/>
  <c r="V74" i="9"/>
  <c r="AA74" i="9"/>
  <c r="AI74" i="9"/>
  <c r="BE28" i="9"/>
  <c r="BP28" i="9" s="1"/>
  <c r="AV294" i="9"/>
  <c r="BG294" i="9" s="1"/>
  <c r="AL92" i="21"/>
  <c r="Q74" i="9"/>
  <c r="AJ74" i="9"/>
  <c r="AN74" i="9"/>
  <c r="D46" i="33"/>
  <c r="D47" i="33" s="1"/>
  <c r="E47" i="33" s="1"/>
  <c r="F47" i="33" s="1"/>
  <c r="G47" i="33" s="1"/>
  <c r="H47" i="33" s="1"/>
  <c r="AC534" i="9"/>
  <c r="BE510" i="9"/>
  <c r="V23" i="16"/>
  <c r="AV510" i="9"/>
  <c r="BG510" i="9" s="1"/>
  <c r="W534" i="9"/>
  <c r="AV366" i="9"/>
  <c r="BG366" i="9"/>
  <c r="AV342" i="9"/>
  <c r="BG342" i="9" s="1"/>
  <c r="AV270" i="9"/>
  <c r="BG270" i="9" s="1"/>
  <c r="O23" i="21"/>
  <c r="X345" i="21"/>
  <c r="AV28" i="9"/>
  <c r="BG28" i="9"/>
  <c r="AG74" i="9"/>
  <c r="AK74" i="9"/>
  <c r="AV102" i="9"/>
  <c r="BG102" i="9" s="1"/>
  <c r="M74" i="16"/>
  <c r="Q74" i="16"/>
  <c r="AV174" i="9"/>
  <c r="BG174" i="9"/>
  <c r="AQ22" i="10"/>
  <c r="AQ46" i="10" s="1"/>
  <c r="AQ15" i="10"/>
  <c r="AQ7" i="10"/>
  <c r="AV199" i="9"/>
  <c r="BG199" i="9" s="1"/>
  <c r="AV463" i="9"/>
  <c r="BG463" i="9" s="1"/>
  <c r="BD29" i="9"/>
  <c r="BO29" i="9" s="1"/>
  <c r="S535" i="9"/>
  <c r="BA511" i="9"/>
  <c r="BL511" i="9" s="1"/>
  <c r="BC511" i="9"/>
  <c r="BN511" i="9" s="1"/>
  <c r="AV29" i="9"/>
  <c r="BG29" i="9" s="1"/>
  <c r="AG386" i="9"/>
  <c r="P362" i="9"/>
  <c r="AN363" i="9"/>
  <c r="AJ362" i="9"/>
  <c r="AI338" i="9"/>
  <c r="AA339" i="9"/>
  <c r="AF315" i="9"/>
  <c r="AE170" i="9"/>
  <c r="AI170" i="9"/>
  <c r="BB175" i="9"/>
  <c r="BC175" i="9"/>
  <c r="BD175" i="9"/>
  <c r="BO175" i="9" s="1"/>
  <c r="BB271" i="9"/>
  <c r="BM271" i="9" s="1"/>
  <c r="BC271" i="9"/>
  <c r="BD271" i="9"/>
  <c r="AZ295" i="9"/>
  <c r="BK295" i="9" s="1"/>
  <c r="BA295" i="9"/>
  <c r="AX319" i="9"/>
  <c r="L52" i="33"/>
  <c r="AV367" i="9"/>
  <c r="BG367" i="9" s="1"/>
  <c r="BG384" i="9" s="1"/>
  <c r="W75" i="9"/>
  <c r="AV247" i="9"/>
  <c r="BG247" i="9" s="1"/>
  <c r="N535" i="9"/>
  <c r="BD511" i="9"/>
  <c r="BO511" i="9" s="1"/>
  <c r="AV175" i="9"/>
  <c r="BG175" i="9" s="1"/>
  <c r="AV223" i="9"/>
  <c r="BG223" i="9" s="1"/>
  <c r="AV271" i="9"/>
  <c r="BG271" i="9" s="1"/>
  <c r="AV319" i="9"/>
  <c r="BG319" i="9" s="1"/>
  <c r="AV487" i="9"/>
  <c r="BG487" i="9" s="1"/>
  <c r="BG504" i="9" s="1"/>
  <c r="T535" i="9"/>
  <c r="AB535" i="9"/>
  <c r="AO386" i="9"/>
  <c r="AC386" i="9"/>
  <c r="AM339" i="9"/>
  <c r="X315" i="9"/>
  <c r="AB315" i="9"/>
  <c r="AK290" i="9"/>
  <c r="AN218" i="9"/>
  <c r="AM170" i="9"/>
  <c r="AY151" i="9"/>
  <c r="BJ151" i="9" s="1"/>
  <c r="AZ151" i="9"/>
  <c r="BK151" i="9" s="1"/>
  <c r="BA151" i="9"/>
  <c r="BL151" i="9" s="1"/>
  <c r="AV343" i="9"/>
  <c r="BG343" i="9" s="1"/>
  <c r="BB343" i="9"/>
  <c r="BC343" i="9"/>
  <c r="BD343" i="9"/>
  <c r="BO343" i="9" s="1"/>
  <c r="AV295" i="9"/>
  <c r="BG295" i="9" s="1"/>
  <c r="AV511" i="9"/>
  <c r="BG511" i="9" s="1"/>
  <c r="V535" i="9"/>
  <c r="BA29" i="9"/>
  <c r="BL29" i="9"/>
  <c r="AV52" i="9"/>
  <c r="AV103" i="9"/>
  <c r="BG103" i="9" s="1"/>
  <c r="M535" i="9"/>
  <c r="AK535" i="9"/>
  <c r="T363" i="9"/>
  <c r="AB362" i="9"/>
  <c r="AV151" i="9"/>
  <c r="BG151" i="9" s="1"/>
  <c r="AP9" i="10"/>
  <c r="AO22" i="10"/>
  <c r="AO46" i="10" s="1"/>
  <c r="AO70" i="10" s="1"/>
  <c r="AM7" i="10"/>
  <c r="AM31" i="10" s="1"/>
  <c r="AM55" i="10" s="1"/>
  <c r="AM16" i="10"/>
  <c r="AJ9" i="10"/>
  <c r="AJ33" i="10" s="1"/>
  <c r="AJ57" i="10" s="1"/>
  <c r="AI537" i="9"/>
  <c r="AG9" i="10"/>
  <c r="AG550" i="9"/>
  <c r="BA199" i="9"/>
  <c r="BL199" i="9" s="1"/>
  <c r="AA550" i="9"/>
  <c r="BA21" i="9"/>
  <c r="BL21" i="9" s="1"/>
  <c r="AA537" i="9"/>
  <c r="Z54" i="33"/>
  <c r="Y52" i="33"/>
  <c r="AT470" i="9"/>
  <c r="X483" i="9"/>
  <c r="X13" i="10"/>
  <c r="AZ21" i="9"/>
  <c r="BK21" i="9" s="1"/>
  <c r="X550" i="9"/>
  <c r="W290" i="9"/>
  <c r="AZ199" i="9"/>
  <c r="BK199" i="9" s="1"/>
  <c r="V550" i="9"/>
  <c r="AZ190" i="9"/>
  <c r="BK190" i="9" s="1"/>
  <c r="M534" i="9"/>
  <c r="AX223" i="9"/>
  <c r="BI223" i="9" s="1"/>
  <c r="AY201" i="9"/>
  <c r="BJ201" i="9" s="1"/>
  <c r="AZ153" i="9"/>
  <c r="BK153" i="9"/>
  <c r="S533" i="9"/>
  <c r="T550" i="9"/>
  <c r="AY199" i="9"/>
  <c r="BJ199" i="9" s="1"/>
  <c r="T533" i="9"/>
  <c r="S50" i="33"/>
  <c r="S161" i="21"/>
  <c r="AY21" i="9"/>
  <c r="BJ21" i="9" s="1"/>
  <c r="AT36" i="33"/>
  <c r="AY297" i="9"/>
  <c r="BJ297" i="9" s="1"/>
  <c r="S550" i="9"/>
  <c r="AY293" i="9"/>
  <c r="S339" i="9"/>
  <c r="R23" i="21"/>
  <c r="AY105" i="9"/>
  <c r="BJ105" i="9" s="1"/>
  <c r="AY101" i="9"/>
  <c r="BJ101" i="9" s="1"/>
  <c r="AY286" i="9"/>
  <c r="R550" i="9"/>
  <c r="AY317" i="9"/>
  <c r="BJ317" i="9" s="1"/>
  <c r="R533" i="9"/>
  <c r="Q50" i="33"/>
  <c r="AY295" i="9"/>
  <c r="BJ295" i="9" s="1"/>
  <c r="AX4" i="9"/>
  <c r="BI4" i="9" s="1"/>
  <c r="AY197" i="9"/>
  <c r="BJ197" i="9" s="1"/>
  <c r="AW513" i="9"/>
  <c r="K537" i="9"/>
  <c r="BE513" i="9"/>
  <c r="BP513" i="9" s="1"/>
  <c r="AZ105" i="9"/>
  <c r="BA105" i="9"/>
  <c r="BL105" i="9" s="1"/>
  <c r="BA201" i="9"/>
  <c r="BL201" i="9" s="1"/>
  <c r="BB201" i="9"/>
  <c r="BC201" i="9"/>
  <c r="BD201" i="9"/>
  <c r="BO201" i="9" s="1"/>
  <c r="AZ225" i="9"/>
  <c r="BK225" i="9" s="1"/>
  <c r="BA225" i="9"/>
  <c r="BL225" i="9" s="1"/>
  <c r="AZ321" i="9"/>
  <c r="BK321" i="9" s="1"/>
  <c r="BA321" i="9"/>
  <c r="AX465" i="9"/>
  <c r="BI465" i="9" s="1"/>
  <c r="BE489" i="9"/>
  <c r="BP489" i="9" s="1"/>
  <c r="T54" i="33"/>
  <c r="T101" i="33" s="1"/>
  <c r="T8" i="34" s="1"/>
  <c r="L54" i="33"/>
  <c r="L101" i="33" s="1"/>
  <c r="L8" i="34" s="1"/>
  <c r="V54" i="33"/>
  <c r="AH54" i="33"/>
  <c r="AP54" i="33"/>
  <c r="BB153" i="9"/>
  <c r="BC153" i="9"/>
  <c r="BD153" i="9"/>
  <c r="BO153" i="9" s="1"/>
  <c r="BE345" i="9"/>
  <c r="BP345" i="9" s="1"/>
  <c r="AX369" i="9"/>
  <c r="BB54" i="9"/>
  <c r="BC54" i="9"/>
  <c r="BN54" i="9" s="1"/>
  <c r="BD54" i="9"/>
  <c r="BO54" i="9" s="1"/>
  <c r="L537" i="9"/>
  <c r="AX513" i="9"/>
  <c r="D54" i="33"/>
  <c r="D101" i="33"/>
  <c r="D8" i="34"/>
  <c r="AX177" i="9"/>
  <c r="BE201" i="9"/>
  <c r="BP201" i="9" s="1"/>
  <c r="BA249" i="9"/>
  <c r="AX273" i="9"/>
  <c r="AZ465" i="9"/>
  <c r="BA465" i="9"/>
  <c r="AX489" i="9"/>
  <c r="Y54" i="33"/>
  <c r="AC54" i="33"/>
  <c r="S54" i="33"/>
  <c r="W54" i="33"/>
  <c r="AA54" i="33"/>
  <c r="AE54" i="33"/>
  <c r="AI54" i="33"/>
  <c r="AM54" i="33"/>
  <c r="AQ54" i="33"/>
  <c r="AQ101" i="33" s="1"/>
  <c r="AQ8" i="34" s="1"/>
  <c r="BE153" i="9"/>
  <c r="BP153" i="9" s="1"/>
  <c r="AX345" i="9"/>
  <c r="X537" i="9"/>
  <c r="AZ369" i="9"/>
  <c r="BA369" i="9"/>
  <c r="BL369" i="9" s="1"/>
  <c r="AY513" i="9"/>
  <c r="AZ513" i="9"/>
  <c r="BA513" i="9"/>
  <c r="Y537" i="9"/>
  <c r="AY177" i="9"/>
  <c r="BJ177" i="9" s="1"/>
  <c r="AZ177" i="9"/>
  <c r="BK177" i="9"/>
  <c r="BA177" i="9"/>
  <c r="BL177" i="9" s="1"/>
  <c r="BE225" i="9"/>
  <c r="BP225" i="9" s="1"/>
  <c r="BC249" i="9"/>
  <c r="BD249" i="9"/>
  <c r="AY273" i="9"/>
  <c r="BJ273" i="9" s="1"/>
  <c r="AZ273" i="9"/>
  <c r="BK273" i="9"/>
  <c r="BA273" i="9"/>
  <c r="AX297" i="9"/>
  <c r="AZ489" i="9"/>
  <c r="BA489" i="9"/>
  <c r="BL489" i="9" s="1"/>
  <c r="R54" i="33"/>
  <c r="AL54" i="33"/>
  <c r="P54" i="33"/>
  <c r="P101" i="33" s="1"/>
  <c r="P8" i="34" s="1"/>
  <c r="X54" i="33"/>
  <c r="X101" i="33" s="1"/>
  <c r="X8" i="34" s="1"/>
  <c r="AB101" i="33"/>
  <c r="AB8" i="34" s="1"/>
  <c r="AF54" i="33"/>
  <c r="AF101" i="33"/>
  <c r="AF8" i="34" s="1"/>
  <c r="AJ54" i="33"/>
  <c r="AJ101" i="33" s="1"/>
  <c r="AJ8" i="34" s="1"/>
  <c r="AJ31" i="34" s="1"/>
  <c r="AJ54" i="34" s="1"/>
  <c r="AN54" i="33"/>
  <c r="AY345" i="9"/>
  <c r="AZ345" i="9"/>
  <c r="BA345" i="9"/>
  <c r="V537" i="9"/>
  <c r="Z537" i="9"/>
  <c r="AD537" i="9"/>
  <c r="BB513" i="9"/>
  <c r="BC513" i="9"/>
  <c r="AH537" i="9"/>
  <c r="BD513" i="9"/>
  <c r="AL537" i="9"/>
  <c r="AZ201" i="9"/>
  <c r="BK201" i="9" s="1"/>
  <c r="T537" i="9"/>
  <c r="AX249" i="9"/>
  <c r="BI249" i="9" s="1"/>
  <c r="AY249" i="9"/>
  <c r="BJ249" i="9" s="1"/>
  <c r="BA297" i="9"/>
  <c r="AX321" i="9"/>
  <c r="BE465" i="9"/>
  <c r="BP465" i="9" s="1"/>
  <c r="K54" i="33"/>
  <c r="Q54" i="33"/>
  <c r="AG54" i="33"/>
  <c r="AK54" i="33"/>
  <c r="AO54" i="33"/>
  <c r="AY153" i="9"/>
  <c r="BJ153" i="9" s="1"/>
  <c r="BE369" i="9"/>
  <c r="BP369" i="9" s="1"/>
  <c r="AV77" i="9"/>
  <c r="BG54" i="9"/>
  <c r="AY526" i="9"/>
  <c r="BJ526" i="9" s="1"/>
  <c r="Q550" i="9"/>
  <c r="U550" i="9"/>
  <c r="AZ526" i="9"/>
  <c r="Y550" i="9"/>
  <c r="BA526" i="9"/>
  <c r="BE238" i="9"/>
  <c r="BP238" i="9" s="1"/>
  <c r="Z67" i="33"/>
  <c r="BB526" i="9"/>
  <c r="AD550" i="9"/>
  <c r="BC526" i="9"/>
  <c r="AH550" i="9"/>
  <c r="AL550" i="9"/>
  <c r="BD526" i="9"/>
  <c r="BP142" i="9"/>
  <c r="BB190" i="9"/>
  <c r="BC190" i="9"/>
  <c r="BN190" i="9"/>
  <c r="BD190" i="9"/>
  <c r="AY214" i="9"/>
  <c r="BJ214" i="9" s="1"/>
  <c r="AZ214" i="9"/>
  <c r="BK214" i="9" s="1"/>
  <c r="BA214" i="9"/>
  <c r="BL214" i="9" s="1"/>
  <c r="BE262" i="9"/>
  <c r="BP262" i="9"/>
  <c r="BB286" i="9"/>
  <c r="BC286" i="9"/>
  <c r="BN286" i="9" s="1"/>
  <c r="BD286" i="9"/>
  <c r="AY310" i="9"/>
  <c r="BJ310" i="9" s="1"/>
  <c r="AZ310" i="9"/>
  <c r="BA310" i="9"/>
  <c r="AX334" i="9"/>
  <c r="BI334" i="9"/>
  <c r="BB502" i="9"/>
  <c r="BM502" i="9" s="1"/>
  <c r="BC502" i="9"/>
  <c r="BD502" i="9"/>
  <c r="K67" i="33"/>
  <c r="K114" i="33" s="1"/>
  <c r="K21" i="34" s="1"/>
  <c r="S67" i="33"/>
  <c r="W67" i="33"/>
  <c r="AA67" i="33"/>
  <c r="AE67" i="33"/>
  <c r="AI67" i="33"/>
  <c r="AM67" i="33"/>
  <c r="AQ67" i="33"/>
  <c r="AY166" i="9"/>
  <c r="BJ166" i="9" s="1"/>
  <c r="AZ166" i="9"/>
  <c r="BK166" i="9" s="1"/>
  <c r="BA166" i="9"/>
  <c r="BB358" i="9"/>
  <c r="BC358" i="9"/>
  <c r="BD358" i="9"/>
  <c r="BO358" i="9"/>
  <c r="BE382" i="9"/>
  <c r="BP382" i="9" s="1"/>
  <c r="AN194" i="9"/>
  <c r="AF194" i="9"/>
  <c r="AB194" i="9"/>
  <c r="X194" i="9"/>
  <c r="AW526" i="9"/>
  <c r="BH526" i="9" s="1"/>
  <c r="K550" i="9"/>
  <c r="AW550" i="9" s="1"/>
  <c r="W550" i="9"/>
  <c r="BE526" i="9"/>
  <c r="AY118" i="9"/>
  <c r="BJ118" i="9" s="1"/>
  <c r="AZ118" i="9"/>
  <c r="BK118" i="9" s="1"/>
  <c r="BA118" i="9"/>
  <c r="BL118" i="9" s="1"/>
  <c r="BE190" i="9"/>
  <c r="BB214" i="9"/>
  <c r="BM214" i="9" s="1"/>
  <c r="BC214" i="9"/>
  <c r="BN214" i="9" s="1"/>
  <c r="BD214" i="9"/>
  <c r="AY238" i="9"/>
  <c r="BJ238" i="9" s="1"/>
  <c r="AZ238" i="9"/>
  <c r="BA238" i="9"/>
  <c r="BL238" i="9" s="1"/>
  <c r="BE286" i="9"/>
  <c r="BP286" i="9" s="1"/>
  <c r="BB310" i="9"/>
  <c r="BC310" i="9"/>
  <c r="BD310" i="9"/>
  <c r="BD312" i="9" s="1"/>
  <c r="BD567" i="9" s="1"/>
  <c r="AY334" i="9"/>
  <c r="BJ334" i="9" s="1"/>
  <c r="AZ334" i="9"/>
  <c r="BK334" i="9" s="1"/>
  <c r="BA334" i="9"/>
  <c r="BL334" i="9"/>
  <c r="AX478" i="9"/>
  <c r="U67" i="33"/>
  <c r="L67" i="33"/>
  <c r="L114" i="33" s="1"/>
  <c r="L21" i="34" s="1"/>
  <c r="P67" i="33"/>
  <c r="T67" i="33"/>
  <c r="X67" i="33"/>
  <c r="AB67" i="33"/>
  <c r="AF67" i="33"/>
  <c r="AJ67" i="33"/>
  <c r="AJ114" i="33" s="1"/>
  <c r="AJ21" i="34" s="1"/>
  <c r="AN67" i="33"/>
  <c r="BB166" i="9"/>
  <c r="BC166" i="9"/>
  <c r="BD166" i="9"/>
  <c r="BE358" i="9"/>
  <c r="BP358" i="9" s="1"/>
  <c r="BQ358" i="9" s="1"/>
  <c r="AX382" i="9"/>
  <c r="BI382" i="9" s="1"/>
  <c r="AZ44" i="9"/>
  <c r="BK44" i="9" s="1"/>
  <c r="BD44" i="9"/>
  <c r="AX526" i="9"/>
  <c r="D67" i="33"/>
  <c r="D114" i="33"/>
  <c r="D21" i="34"/>
  <c r="BB118" i="9"/>
  <c r="BM118" i="9"/>
  <c r="BC118" i="9"/>
  <c r="BN118" i="9" s="1"/>
  <c r="BD118" i="9"/>
  <c r="BK142" i="9"/>
  <c r="BE214" i="9"/>
  <c r="BP214" i="9" s="1"/>
  <c r="BB238" i="9"/>
  <c r="BM238" i="9" s="1"/>
  <c r="BC238" i="9"/>
  <c r="BN238" i="9" s="1"/>
  <c r="BD238" i="9"/>
  <c r="BO238" i="9" s="1"/>
  <c r="AY262" i="9"/>
  <c r="BJ262" i="9" s="1"/>
  <c r="AZ262" i="9"/>
  <c r="BA262" i="9"/>
  <c r="BL262" i="9" s="1"/>
  <c r="AX286" i="9"/>
  <c r="BI286" i="9" s="1"/>
  <c r="BE310" i="9"/>
  <c r="BP310" i="9" s="1"/>
  <c r="BB334" i="9"/>
  <c r="BC334" i="9"/>
  <c r="BN334" i="9" s="1"/>
  <c r="BD334" i="9"/>
  <c r="AY478" i="9"/>
  <c r="AZ478" i="9"/>
  <c r="BA478" i="9"/>
  <c r="BL478" i="9" s="1"/>
  <c r="AX502" i="9"/>
  <c r="R67" i="33"/>
  <c r="AR21" i="33"/>
  <c r="AH67" i="33"/>
  <c r="Q67" i="33"/>
  <c r="Y67" i="33"/>
  <c r="AC67" i="33"/>
  <c r="AK67" i="33"/>
  <c r="AK114" i="33" s="1"/>
  <c r="AK21" i="34" s="1"/>
  <c r="AO67" i="33"/>
  <c r="BE166" i="9"/>
  <c r="BP166" i="9"/>
  <c r="AX358" i="9"/>
  <c r="AY382" i="9"/>
  <c r="BJ382" i="9" s="1"/>
  <c r="AZ382" i="9"/>
  <c r="BK382" i="9" s="1"/>
  <c r="BA382" i="9"/>
  <c r="AY67" i="9"/>
  <c r="BJ67" i="9" s="1"/>
  <c r="AZ67" i="9"/>
  <c r="BK67" i="9" s="1"/>
  <c r="BA67" i="9"/>
  <c r="BL67" i="9"/>
  <c r="V75" i="16"/>
  <c r="R507" i="9"/>
  <c r="AM482" i="9"/>
  <c r="O387" i="9"/>
  <c r="Z362" i="9"/>
  <c r="AP362" i="9"/>
  <c r="AJ339" i="9"/>
  <c r="AK314" i="9"/>
  <c r="AG315" i="9"/>
  <c r="AM267" i="9"/>
  <c r="AA267" i="9"/>
  <c r="AC218" i="9"/>
  <c r="AM147" i="9"/>
  <c r="W147" i="9"/>
  <c r="AF123" i="9"/>
  <c r="AN123" i="9"/>
  <c r="BE367" i="9"/>
  <c r="BP367" i="9" s="1"/>
  <c r="AF535" i="9"/>
  <c r="AJ535" i="9"/>
  <c r="AN535" i="9"/>
  <c r="Q75" i="16"/>
  <c r="R46" i="16"/>
  <c r="AP52" i="33"/>
  <c r="T23" i="21"/>
  <c r="Z322" i="21"/>
  <c r="AZ511" i="9"/>
  <c r="BK511" i="9" s="1"/>
  <c r="Y535" i="9"/>
  <c r="AG535" i="9"/>
  <c r="AO535" i="9"/>
  <c r="X52" i="33"/>
  <c r="W46" i="33"/>
  <c r="Z52" i="33"/>
  <c r="AM52" i="33"/>
  <c r="AM99" i="33"/>
  <c r="AM6" i="34" s="1"/>
  <c r="N507" i="9"/>
  <c r="W483" i="9"/>
  <c r="AA482" i="9"/>
  <c r="AN339" i="9"/>
  <c r="AP291" i="9"/>
  <c r="BC199" i="9"/>
  <c r="BN199" i="9" s="1"/>
  <c r="AZ223" i="9"/>
  <c r="BK223" i="9" s="1"/>
  <c r="BB295" i="9"/>
  <c r="BM295" i="9" s="1"/>
  <c r="BC295" i="9"/>
  <c r="BD295" i="9"/>
  <c r="AY319" i="9"/>
  <c r="BJ319" i="9" s="1"/>
  <c r="AZ319" i="9"/>
  <c r="BK319" i="9" s="1"/>
  <c r="BA319" i="9"/>
  <c r="AX463" i="9"/>
  <c r="M52" i="33"/>
  <c r="M99" i="33" s="1"/>
  <c r="M6" i="34" s="1"/>
  <c r="M29" i="34" s="1"/>
  <c r="M52" i="34" s="1"/>
  <c r="Q52" i="33"/>
  <c r="Q99" i="33" s="1"/>
  <c r="Q6" i="34" s="1"/>
  <c r="T52" i="33"/>
  <c r="AC52" i="33"/>
  <c r="AF52" i="33"/>
  <c r="AF99" i="33" s="1"/>
  <c r="AF6" i="34" s="1"/>
  <c r="AJ52" i="33"/>
  <c r="AJ99" i="33" s="1"/>
  <c r="AJ6" i="34" s="1"/>
  <c r="AJ29" i="34" s="1"/>
  <c r="AN52" i="33"/>
  <c r="BB151" i="9"/>
  <c r="BC151" i="9"/>
  <c r="BN151" i="9" s="1"/>
  <c r="BD151" i="9"/>
  <c r="BO151" i="9" s="1"/>
  <c r="BE343" i="9"/>
  <c r="BP343" i="9"/>
  <c r="AX367" i="9"/>
  <c r="BI367" i="9" s="1"/>
  <c r="AC123" i="9"/>
  <c r="AG123" i="9"/>
  <c r="AK123" i="9"/>
  <c r="AO122" i="9"/>
  <c r="AM194" i="9"/>
  <c r="AI194" i="9"/>
  <c r="AE195" i="9"/>
  <c r="AA195" i="9"/>
  <c r="W194" i="9"/>
  <c r="O195" i="9"/>
  <c r="AI482" i="9"/>
  <c r="X363" i="9"/>
  <c r="AI146" i="9"/>
  <c r="AY103" i="9"/>
  <c r="BJ103" i="9" s="1"/>
  <c r="BA103" i="9"/>
  <c r="BL103" i="9" s="1"/>
  <c r="BB199" i="9"/>
  <c r="BM199" i="9" s="1"/>
  <c r="BD199" i="9"/>
  <c r="AY223" i="9"/>
  <c r="BJ223" i="9" s="1"/>
  <c r="BA223" i="9"/>
  <c r="BL223" i="9" s="1"/>
  <c r="Q184" i="21"/>
  <c r="BB511" i="9"/>
  <c r="AD535" i="9"/>
  <c r="AH535" i="9"/>
  <c r="AL535" i="9"/>
  <c r="AP535" i="9"/>
  <c r="D52" i="33"/>
  <c r="D99" i="33"/>
  <c r="D6" i="34"/>
  <c r="AB368" i="21"/>
  <c r="Z507" i="9"/>
  <c r="AG506" i="9"/>
  <c r="AI507" i="9"/>
  <c r="AA506" i="9"/>
  <c r="O506" i="9"/>
  <c r="AO506" i="9"/>
  <c r="AC506" i="9"/>
  <c r="AP483" i="9"/>
  <c r="O483" i="9"/>
  <c r="AJ483" i="9"/>
  <c r="R482" i="9"/>
  <c r="Z483" i="9"/>
  <c r="P483" i="9"/>
  <c r="P387" i="9"/>
  <c r="AJ386" i="9"/>
  <c r="AI386" i="9"/>
  <c r="AM387" i="9"/>
  <c r="AE386" i="9"/>
  <c r="R362" i="9"/>
  <c r="AM363" i="9"/>
  <c r="O363" i="9"/>
  <c r="AE362" i="9"/>
  <c r="AC338" i="9"/>
  <c r="AB338" i="9"/>
  <c r="AE338" i="9"/>
  <c r="T338" i="9"/>
  <c r="AN314" i="9"/>
  <c r="AP314" i="9"/>
  <c r="AJ314" i="9"/>
  <c r="AO315" i="9"/>
  <c r="AO291" i="9"/>
  <c r="AI291" i="9"/>
  <c r="AM290" i="9"/>
  <c r="AC291" i="9"/>
  <c r="AG290" i="9"/>
  <c r="AN266" i="9"/>
  <c r="AP267" i="9"/>
  <c r="S266" i="9"/>
  <c r="AA242" i="9"/>
  <c r="AO242" i="9"/>
  <c r="AO554" i="9" s="1"/>
  <c r="AG218" i="9"/>
  <c r="AG171" i="9"/>
  <c r="AC171" i="9"/>
  <c r="AE147" i="9"/>
  <c r="Z147" i="9"/>
  <c r="BB103" i="9"/>
  <c r="BM103" i="9" s="1"/>
  <c r="BC103" i="9"/>
  <c r="BN103" i="9" s="1"/>
  <c r="BD103" i="9"/>
  <c r="AX175" i="9"/>
  <c r="BI175" i="9" s="1"/>
  <c r="BE199" i="9"/>
  <c r="BP199" i="9"/>
  <c r="BB223" i="9"/>
  <c r="BM223" i="9" s="1"/>
  <c r="BC223" i="9"/>
  <c r="BN223" i="9" s="1"/>
  <c r="BD223" i="9"/>
  <c r="AY247" i="9"/>
  <c r="AZ247" i="9"/>
  <c r="BK247" i="9" s="1"/>
  <c r="AX271" i="9"/>
  <c r="BB319" i="9"/>
  <c r="BM319" i="9" s="1"/>
  <c r="BC319" i="9"/>
  <c r="BN319" i="9" s="1"/>
  <c r="BD319" i="9"/>
  <c r="AY463" i="9"/>
  <c r="BJ463" i="9" s="1"/>
  <c r="AZ463" i="9"/>
  <c r="BK463" i="9" s="1"/>
  <c r="BA463" i="9"/>
  <c r="BL463" i="9" s="1"/>
  <c r="AX487" i="9"/>
  <c r="BI487" i="9" s="1"/>
  <c r="AQ52" i="33"/>
  <c r="N52" i="33"/>
  <c r="N99" i="33" s="1"/>
  <c r="N6" i="34" s="1"/>
  <c r="R52" i="33"/>
  <c r="R99" i="33" s="1"/>
  <c r="R6" i="34" s="1"/>
  <c r="U52" i="33"/>
  <c r="AA52" i="33"/>
  <c r="AD52" i="33"/>
  <c r="AG52" i="33"/>
  <c r="AK52" i="33"/>
  <c r="BE151" i="9"/>
  <c r="BP151" i="9" s="1"/>
  <c r="AX343" i="9"/>
  <c r="X535" i="9"/>
  <c r="AY367" i="9"/>
  <c r="BJ367" i="9" s="1"/>
  <c r="AZ367" i="9"/>
  <c r="BK367" i="9" s="1"/>
  <c r="BA367" i="9"/>
  <c r="BL367" i="9" s="1"/>
  <c r="AP123" i="9"/>
  <c r="L46" i="33"/>
  <c r="X46" i="33"/>
  <c r="AJ46" i="33"/>
  <c r="AP194" i="9"/>
  <c r="Z195" i="9"/>
  <c r="N195" i="9"/>
  <c r="K535" i="9"/>
  <c r="AE535" i="9"/>
  <c r="AI535" i="9"/>
  <c r="AM535" i="9"/>
  <c r="W507" i="9"/>
  <c r="AP506" i="9"/>
  <c r="V506" i="9"/>
  <c r="AN482" i="9"/>
  <c r="AE483" i="9"/>
  <c r="T482" i="9"/>
  <c r="AB483" i="9"/>
  <c r="S483" i="9"/>
  <c r="AB386" i="9"/>
  <c r="S387" i="9"/>
  <c r="AA387" i="9"/>
  <c r="W386" i="9"/>
  <c r="N362" i="9"/>
  <c r="V362" i="9"/>
  <c r="AI362" i="9"/>
  <c r="AO339" i="9"/>
  <c r="AG338" i="9"/>
  <c r="AF339" i="9"/>
  <c r="X339" i="9"/>
  <c r="P338" i="9"/>
  <c r="AK338" i="9"/>
  <c r="AC314" i="9"/>
  <c r="M315" i="9"/>
  <c r="AE290" i="9"/>
  <c r="Z290" i="9"/>
  <c r="S291" i="9"/>
  <c r="N291" i="9"/>
  <c r="AE267" i="9"/>
  <c r="W267" i="9"/>
  <c r="AI267" i="9"/>
  <c r="AO218" i="9"/>
  <c r="AN36" i="14" s="1"/>
  <c r="AN109" i="14" s="1"/>
  <c r="AP171" i="9"/>
  <c r="AO171" i="9"/>
  <c r="AK170" i="9"/>
  <c r="AN147" i="9"/>
  <c r="AZ103" i="9"/>
  <c r="BK103" i="9" s="1"/>
  <c r="BM127" i="9"/>
  <c r="BN127" i="9"/>
  <c r="AY175" i="9"/>
  <c r="BJ175" i="9" s="1"/>
  <c r="AZ175" i="9"/>
  <c r="BK175" i="9" s="1"/>
  <c r="BA175" i="9"/>
  <c r="BL175" i="9" s="1"/>
  <c r="AX199" i="9"/>
  <c r="BI199" i="9" s="1"/>
  <c r="BA247" i="9"/>
  <c r="BB247" i="9"/>
  <c r="BC247" i="9"/>
  <c r="BD247" i="9"/>
  <c r="BO247" i="9" s="1"/>
  <c r="AY271" i="9"/>
  <c r="BJ271" i="9" s="1"/>
  <c r="AZ271" i="9"/>
  <c r="BK271" i="9" s="1"/>
  <c r="BA271" i="9"/>
  <c r="BL271" i="9" s="1"/>
  <c r="BB463" i="9"/>
  <c r="BC463" i="9"/>
  <c r="BN463" i="9" s="1"/>
  <c r="BD463" i="9"/>
  <c r="AY487" i="9"/>
  <c r="AZ487" i="9"/>
  <c r="BK487" i="9"/>
  <c r="BA487" i="9"/>
  <c r="BL487" i="9" s="1"/>
  <c r="S52" i="33"/>
  <c r="K52" i="33"/>
  <c r="K99" i="33" s="1"/>
  <c r="K6" i="34" s="1"/>
  <c r="O52" i="33"/>
  <c r="O99" i="33" s="1"/>
  <c r="O6" i="34" s="1"/>
  <c r="V52" i="33"/>
  <c r="AE52" i="33"/>
  <c r="AH52" i="33"/>
  <c r="AH99" i="33" s="1"/>
  <c r="AH6" i="34" s="1"/>
  <c r="AL52" i="33"/>
  <c r="AO52" i="33"/>
  <c r="AY343" i="9"/>
  <c r="BJ343" i="9"/>
  <c r="AZ343" i="9"/>
  <c r="BA343" i="9"/>
  <c r="BL343" i="9" s="1"/>
  <c r="BB367" i="9"/>
  <c r="BC367" i="9"/>
  <c r="BN367" i="9" s="1"/>
  <c r="BD367" i="9"/>
  <c r="AA122" i="9"/>
  <c r="AE122" i="9"/>
  <c r="AI122" i="9"/>
  <c r="AM123" i="9"/>
  <c r="AO194" i="9"/>
  <c r="AK194" i="9"/>
  <c r="AG194" i="9"/>
  <c r="AC195" i="9"/>
  <c r="M194" i="9"/>
  <c r="AZ6" i="9"/>
  <c r="BA6" i="9"/>
  <c r="AY29" i="9"/>
  <c r="BC29" i="9"/>
  <c r="BN29" i="9"/>
  <c r="BA52" i="9"/>
  <c r="BL52" i="9" s="1"/>
  <c r="BD52" i="9"/>
  <c r="N314" i="9"/>
  <c r="AY18" i="9"/>
  <c r="BJ18" i="9" s="1"/>
  <c r="BC50" i="9"/>
  <c r="AV73" i="9"/>
  <c r="BG50" i="9"/>
  <c r="BB50" i="9"/>
  <c r="BM50" i="9" s="1"/>
  <c r="D22" i="10"/>
  <c r="P50" i="33"/>
  <c r="P52" i="33"/>
  <c r="P161" i="21"/>
  <c r="BI129" i="9"/>
  <c r="AX245" i="9"/>
  <c r="AX262" i="9"/>
  <c r="AX247" i="9"/>
  <c r="BI247" i="9" s="1"/>
  <c r="P537" i="9"/>
  <c r="P550" i="9"/>
  <c r="P533" i="9"/>
  <c r="P535" i="9"/>
  <c r="P314" i="9"/>
  <c r="O50" i="33"/>
  <c r="O67" i="33"/>
  <c r="O54" i="33"/>
  <c r="O550" i="9"/>
  <c r="O537" i="9"/>
  <c r="AX105" i="9"/>
  <c r="BI105" i="9" s="1"/>
  <c r="O535" i="9"/>
  <c r="O533" i="9"/>
  <c r="AX201" i="9"/>
  <c r="BI201" i="9" s="1"/>
  <c r="N67" i="33"/>
  <c r="N54" i="33"/>
  <c r="AR4" i="33"/>
  <c r="N50" i="33"/>
  <c r="AX8" i="9"/>
  <c r="BI8" i="9" s="1"/>
  <c r="AX103" i="9"/>
  <c r="BI103" i="9" s="1"/>
  <c r="AX153" i="9"/>
  <c r="BI153" i="9" s="1"/>
  <c r="N171" i="9"/>
  <c r="AX214" i="9"/>
  <c r="BI214" i="9" s="1"/>
  <c r="N537" i="9"/>
  <c r="N533" i="9"/>
  <c r="N550" i="9"/>
  <c r="AX310" i="9"/>
  <c r="BI310" i="9" s="1"/>
  <c r="AX295" i="9"/>
  <c r="AH91" i="20"/>
  <c r="AA69" i="20"/>
  <c r="AA192" i="20"/>
  <c r="AN69" i="20"/>
  <c r="AN192" i="20"/>
  <c r="AG69" i="20"/>
  <c r="L91" i="20"/>
  <c r="AD69" i="20"/>
  <c r="AD192" i="20"/>
  <c r="AP91" i="20"/>
  <c r="AK69" i="20"/>
  <c r="O53" i="14"/>
  <c r="AB69" i="20"/>
  <c r="AB192" i="20"/>
  <c r="W192" i="20"/>
  <c r="M67" i="33"/>
  <c r="M54" i="33"/>
  <c r="AR27" i="33"/>
  <c r="M50" i="33"/>
  <c r="AX118" i="9"/>
  <c r="BI118" i="9" s="1"/>
  <c r="AX101" i="9"/>
  <c r="BI101" i="9" s="1"/>
  <c r="AX197" i="9"/>
  <c r="BI197" i="9" s="1"/>
  <c r="AX238" i="9"/>
  <c r="BI238" i="9" s="1"/>
  <c r="M550" i="9"/>
  <c r="AX225" i="9"/>
  <c r="BI225" i="9" s="1"/>
  <c r="M537" i="9"/>
  <c r="D74" i="11"/>
  <c r="L550" i="9"/>
  <c r="AX166" i="9"/>
  <c r="BI166" i="9" s="1"/>
  <c r="AX149" i="9"/>
  <c r="BI149" i="9" s="1"/>
  <c r="L533" i="9"/>
  <c r="L535" i="9"/>
  <c r="AX151" i="9"/>
  <c r="BI151" i="9" s="1"/>
  <c r="BD4" i="9"/>
  <c r="J12" i="13" s="1"/>
  <c r="U12" i="13" s="1"/>
  <c r="AV90" i="9"/>
  <c r="AZ41" i="9"/>
  <c r="BK41" i="9" s="1"/>
  <c r="BD41" i="9"/>
  <c r="AY4" i="9"/>
  <c r="BC21" i="9"/>
  <c r="BN21" i="9" s="1"/>
  <c r="BB67" i="9"/>
  <c r="BM67" i="9" s="1"/>
  <c r="BC6" i="9"/>
  <c r="BN6" i="9" s="1"/>
  <c r="BA31" i="9"/>
  <c r="BL31" i="9"/>
  <c r="BE54" i="9"/>
  <c r="BP54" i="9"/>
  <c r="BE64" i="9"/>
  <c r="BP64" i="9" s="1"/>
  <c r="BD50" i="9"/>
  <c r="BO50" i="9" s="1"/>
  <c r="BO69" i="9" s="1"/>
  <c r="BE8" i="9"/>
  <c r="AY41" i="9"/>
  <c r="BJ41" i="9" s="1"/>
  <c r="BC41" i="9"/>
  <c r="AX64" i="9"/>
  <c r="BI64" i="9" s="1"/>
  <c r="BB27" i="9"/>
  <c r="BD27" i="9"/>
  <c r="BO27" i="9" s="1"/>
  <c r="BB21" i="9"/>
  <c r="BM21" i="9" s="1"/>
  <c r="BA44" i="9"/>
  <c r="BA90" i="9" s="1"/>
  <c r="BB6" i="9"/>
  <c r="AZ31" i="9"/>
  <c r="BK31" i="9" s="1"/>
  <c r="BE41" i="9"/>
  <c r="BP41" i="9"/>
  <c r="AY64" i="9"/>
  <c r="BJ64" i="9" s="1"/>
  <c r="AZ64" i="9"/>
  <c r="BK64" i="9" s="1"/>
  <c r="BA64" i="9"/>
  <c r="BL64" i="9" s="1"/>
  <c r="BC67" i="9"/>
  <c r="BN67" i="9" s="1"/>
  <c r="BB29" i="9"/>
  <c r="BE29" i="9"/>
  <c r="BB8" i="9"/>
  <c r="BM8" i="9" s="1"/>
  <c r="BC8" i="9"/>
  <c r="BD8" i="9"/>
  <c r="BB31" i="9"/>
  <c r="BE31" i="9"/>
  <c r="BP31" i="9" s="1"/>
  <c r="BB41" i="9"/>
  <c r="BC27" i="9"/>
  <c r="BD21" i="9"/>
  <c r="BO21" i="9" s="1"/>
  <c r="BE67" i="9"/>
  <c r="BP67" i="9" s="1"/>
  <c r="BD6" i="9"/>
  <c r="BO6" i="9" s="1"/>
  <c r="AZ29" i="9"/>
  <c r="BK29" i="9" s="1"/>
  <c r="BE52" i="9"/>
  <c r="AY8" i="9"/>
  <c r="BJ8" i="9" s="1"/>
  <c r="BB18" i="9"/>
  <c r="BC18" i="9"/>
  <c r="BD18" i="9"/>
  <c r="BO18" i="9" s="1"/>
  <c r="F26" i="13"/>
  <c r="Q26" i="13"/>
  <c r="AV87" i="9"/>
  <c r="BB64" i="9"/>
  <c r="BC64" i="9"/>
  <c r="BN64" i="9"/>
  <c r="BD64" i="9"/>
  <c r="BO64" i="9" s="1"/>
  <c r="AX21" i="9"/>
  <c r="BI21" i="9" s="1"/>
  <c r="AX44" i="9"/>
  <c r="BI44" i="9" s="1"/>
  <c r="BB44" i="9"/>
  <c r="BC44" i="9"/>
  <c r="BN44" i="9" s="1"/>
  <c r="BD67" i="9"/>
  <c r="AX6" i="9"/>
  <c r="BI6" i="9" s="1"/>
  <c r="AY52" i="9"/>
  <c r="BJ52" i="9" s="1"/>
  <c r="BB52" i="9"/>
  <c r="BM52" i="9" s="1"/>
  <c r="BC52" i="9"/>
  <c r="BN52" i="9" s="1"/>
  <c r="BC31" i="9"/>
  <c r="AY54" i="9"/>
  <c r="AZ54" i="9"/>
  <c r="BK54" i="9"/>
  <c r="BA54" i="9"/>
  <c r="BL54" i="9"/>
  <c r="Y230" i="21"/>
  <c r="M507" i="9"/>
  <c r="M506" i="9"/>
  <c r="AF506" i="9"/>
  <c r="AF507" i="9"/>
  <c r="X507" i="9"/>
  <c r="X506" i="9"/>
  <c r="AN507" i="9"/>
  <c r="AN506" i="9"/>
  <c r="AZ486" i="9"/>
  <c r="AZ462" i="9"/>
  <c r="N483" i="9"/>
  <c r="N482" i="9"/>
  <c r="AC482" i="9"/>
  <c r="AC483" i="9"/>
  <c r="M482" i="9"/>
  <c r="M483" i="9"/>
  <c r="M386" i="9"/>
  <c r="M387" i="9"/>
  <c r="AY366" i="9"/>
  <c r="AK387" i="9"/>
  <c r="AK386" i="9"/>
  <c r="R386" i="9"/>
  <c r="R387" i="9"/>
  <c r="AZ342" i="9"/>
  <c r="AK362" i="9"/>
  <c r="AK363" i="9"/>
  <c r="AF363" i="9"/>
  <c r="AF362" i="9"/>
  <c r="BA342" i="9"/>
  <c r="BA360" i="9" s="1"/>
  <c r="BD342" i="9"/>
  <c r="AO362" i="9"/>
  <c r="AO363" i="9"/>
  <c r="AX318" i="9"/>
  <c r="AP339" i="9"/>
  <c r="AP338" i="9"/>
  <c r="AB339" i="9"/>
  <c r="AY318" i="9"/>
  <c r="BJ318" i="9" s="1"/>
  <c r="W315" i="9"/>
  <c r="W314" i="9"/>
  <c r="BD294" i="9"/>
  <c r="AZ294" i="9"/>
  <c r="BK294" i="9" s="1"/>
  <c r="AW294" i="9"/>
  <c r="O315" i="9"/>
  <c r="O314" i="9"/>
  <c r="BC294" i="9"/>
  <c r="BC312" i="9"/>
  <c r="AX270" i="9"/>
  <c r="BE270" i="9"/>
  <c r="M290" i="9"/>
  <c r="M291" i="9"/>
  <c r="BA270" i="9"/>
  <c r="BD270" i="9"/>
  <c r="R267" i="9"/>
  <c r="R266" i="9"/>
  <c r="AG266" i="9"/>
  <c r="AG267" i="9"/>
  <c r="AZ246" i="9"/>
  <c r="BK246" i="9" s="1"/>
  <c r="Z242" i="9"/>
  <c r="BB222" i="9"/>
  <c r="W171" i="9"/>
  <c r="W170" i="9"/>
  <c r="AF171" i="9"/>
  <c r="AF170" i="9"/>
  <c r="BC150" i="9"/>
  <c r="X170" i="9"/>
  <c r="X171" i="9"/>
  <c r="AF146" i="9"/>
  <c r="AF147" i="9"/>
  <c r="AJ146" i="9"/>
  <c r="AJ147" i="9"/>
  <c r="AO146" i="9"/>
  <c r="AO147" i="9"/>
  <c r="AP147" i="9"/>
  <c r="AP146" i="9"/>
  <c r="AY102" i="9"/>
  <c r="BJ102" i="9" s="1"/>
  <c r="AK122" i="9"/>
  <c r="AI74" i="16"/>
  <c r="BD174" i="9"/>
  <c r="BD192" i="9"/>
  <c r="BC174" i="9"/>
  <c r="BB174" i="9"/>
  <c r="AP534" i="9"/>
  <c r="BC486" i="9"/>
  <c r="AY486" i="9"/>
  <c r="AY504" i="9" s="1"/>
  <c r="AY559" i="9" s="1"/>
  <c r="AY571" i="9" s="1"/>
  <c r="AW486" i="9"/>
  <c r="AW504" i="9" s="1"/>
  <c r="BE486" i="9"/>
  <c r="AX486" i="9"/>
  <c r="AX504" i="9" s="1"/>
  <c r="S507" i="9"/>
  <c r="S506" i="9"/>
  <c r="P506" i="9"/>
  <c r="P507" i="9"/>
  <c r="AB506" i="9"/>
  <c r="AB507" i="9"/>
  <c r="BA462" i="9"/>
  <c r="AW462" i="9"/>
  <c r="AW480" i="9" s="1"/>
  <c r="AF483" i="9"/>
  <c r="AF482" i="9"/>
  <c r="AM483" i="9"/>
  <c r="AG482" i="9"/>
  <c r="AG483" i="9"/>
  <c r="AY462" i="9"/>
  <c r="AK483" i="9"/>
  <c r="AK482" i="9"/>
  <c r="BC462" i="9"/>
  <c r="BC480" i="9" s="1"/>
  <c r="T386" i="9"/>
  <c r="T387" i="9"/>
  <c r="AW366" i="9"/>
  <c r="AP386" i="9"/>
  <c r="AP387" i="9"/>
  <c r="BA366" i="9"/>
  <c r="AX366" i="9"/>
  <c r="P363" i="9"/>
  <c r="W363" i="9"/>
  <c r="W362" i="9"/>
  <c r="M362" i="9"/>
  <c r="M363" i="9"/>
  <c r="O339" i="9"/>
  <c r="O338" i="9"/>
  <c r="P339" i="9"/>
  <c r="AI314" i="9"/>
  <c r="AI315" i="9"/>
  <c r="V315" i="9"/>
  <c r="V314" i="9"/>
  <c r="BB294" i="9"/>
  <c r="Z314" i="9"/>
  <c r="Z315" i="9"/>
  <c r="O291" i="9"/>
  <c r="O290" i="9"/>
  <c r="AZ270" i="9"/>
  <c r="AW270" i="9"/>
  <c r="AA291" i="9"/>
  <c r="AA290" i="9"/>
  <c r="AY270" i="9"/>
  <c r="AW246" i="9"/>
  <c r="AJ267" i="9"/>
  <c r="AJ266" i="9"/>
  <c r="AB267" i="9"/>
  <c r="AB266" i="9"/>
  <c r="BB246" i="9"/>
  <c r="BB264" i="9" s="1"/>
  <c r="AK266" i="9"/>
  <c r="AK267" i="9"/>
  <c r="BD222" i="9"/>
  <c r="BO222" i="9" s="1"/>
  <c r="BA222" i="9"/>
  <c r="BL222" i="9" s="1"/>
  <c r="AW198" i="9"/>
  <c r="BH198" i="9" s="1"/>
  <c r="BA198" i="9"/>
  <c r="AY150" i="9"/>
  <c r="AE171" i="9"/>
  <c r="AA171" i="9"/>
  <c r="AA170" i="9"/>
  <c r="AN171" i="9"/>
  <c r="AN170" i="9"/>
  <c r="AK146" i="9"/>
  <c r="AK147" i="9"/>
  <c r="BB102" i="9"/>
  <c r="BC102" i="9"/>
  <c r="BD102" i="9"/>
  <c r="BD120" i="9" s="1"/>
  <c r="BA174" i="9"/>
  <c r="AZ174" i="9"/>
  <c r="BK174" i="9" s="1"/>
  <c r="AY174" i="9"/>
  <c r="AW510" i="9"/>
  <c r="K534" i="9"/>
  <c r="AN534" i="9"/>
  <c r="AM506" i="9"/>
  <c r="AM507" i="9"/>
  <c r="T507" i="9"/>
  <c r="T506" i="9"/>
  <c r="AE506" i="9"/>
  <c r="AE507" i="9"/>
  <c r="BD486" i="9"/>
  <c r="BD504" i="9" s="1"/>
  <c r="BD559" i="9" s="1"/>
  <c r="BD571" i="9" s="1"/>
  <c r="BB462" i="9"/>
  <c r="AO483" i="9"/>
  <c r="AO482" i="9"/>
  <c r="BD462" i="9"/>
  <c r="BD480" i="9" s="1"/>
  <c r="AN387" i="9"/>
  <c r="AN386" i="9"/>
  <c r="BD366" i="9"/>
  <c r="BD384" i="9" s="1"/>
  <c r="BC366" i="9"/>
  <c r="Z387" i="9"/>
  <c r="Z386" i="9"/>
  <c r="AF387" i="9"/>
  <c r="AF386" i="9"/>
  <c r="S362" i="9"/>
  <c r="S363" i="9"/>
  <c r="AC362" i="9"/>
  <c r="AC363" i="9"/>
  <c r="BC342" i="9"/>
  <c r="BC360" i="9"/>
  <c r="AW342" i="9"/>
  <c r="AW360" i="9"/>
  <c r="BB342" i="9"/>
  <c r="BB360" i="9"/>
  <c r="BC318" i="9"/>
  <c r="BN318" i="9" s="1"/>
  <c r="AZ318" i="9"/>
  <c r="BK318" i="9" s="1"/>
  <c r="Z339" i="9"/>
  <c r="Z338" i="9"/>
  <c r="AA338" i="9"/>
  <c r="BD318" i="9"/>
  <c r="W339" i="9"/>
  <c r="W338" i="9"/>
  <c r="T314" i="9"/>
  <c r="T315" i="9"/>
  <c r="AX294" i="9"/>
  <c r="BA294" i="9"/>
  <c r="BA312" i="9" s="1"/>
  <c r="BA567" i="9" s="1"/>
  <c r="AB291" i="9"/>
  <c r="AB290" i="9"/>
  <c r="AJ290" i="9"/>
  <c r="AJ291" i="9"/>
  <c r="BC270" i="9"/>
  <c r="P291" i="9"/>
  <c r="P290" i="9"/>
  <c r="AN291" i="9"/>
  <c r="AN290" i="9"/>
  <c r="T267" i="9"/>
  <c r="T266" i="9"/>
  <c r="AC266" i="9"/>
  <c r="AC267" i="9"/>
  <c r="AF266" i="9"/>
  <c r="AF267" i="9"/>
  <c r="AB170" i="9"/>
  <c r="AB171" i="9"/>
  <c r="BA150" i="9"/>
  <c r="BB150" i="9"/>
  <c r="BB168" i="9" s="1"/>
  <c r="AJ171" i="9"/>
  <c r="AJ170" i="9"/>
  <c r="BD150" i="9"/>
  <c r="AG146" i="9"/>
  <c r="AG147" i="9"/>
  <c r="AW102" i="9"/>
  <c r="AW120" i="9" s="1"/>
  <c r="AJ195" i="9"/>
  <c r="AJ194" i="9"/>
  <c r="AX174" i="9"/>
  <c r="AJ534" i="9"/>
  <c r="AL534" i="9"/>
  <c r="AK507" i="9"/>
  <c r="AK506" i="9"/>
  <c r="AJ507" i="9"/>
  <c r="AJ506" i="9"/>
  <c r="BA486" i="9"/>
  <c r="BB486" i="9"/>
  <c r="AX462" i="9"/>
  <c r="BB366" i="9"/>
  <c r="BB384" i="9" s="1"/>
  <c r="N387" i="9"/>
  <c r="N386" i="9"/>
  <c r="AY342" i="9"/>
  <c r="BE342" i="9"/>
  <c r="AG362" i="9"/>
  <c r="AG363" i="9"/>
  <c r="AA363" i="9"/>
  <c r="AA362" i="9"/>
  <c r="AX342" i="9"/>
  <c r="BA318" i="9"/>
  <c r="AW318" i="9"/>
  <c r="BB318" i="9"/>
  <c r="M338" i="9"/>
  <c r="M339" i="9"/>
  <c r="N338" i="9"/>
  <c r="N339" i="9"/>
  <c r="AM315" i="9"/>
  <c r="AM314" i="9"/>
  <c r="AA314" i="9"/>
  <c r="AA315" i="9"/>
  <c r="AE315" i="9"/>
  <c r="AE314" i="9"/>
  <c r="AY294" i="9"/>
  <c r="BJ294" i="9" s="1"/>
  <c r="AO290" i="9"/>
  <c r="T290" i="9"/>
  <c r="T291" i="9"/>
  <c r="BB270" i="9"/>
  <c r="BD246" i="9"/>
  <c r="AO266" i="9"/>
  <c r="AO267" i="9"/>
  <c r="BC246" i="9"/>
  <c r="BC264" i="9" s="1"/>
  <c r="AW222" i="9"/>
  <c r="BH222" i="9" s="1"/>
  <c r="BC198" i="9"/>
  <c r="BN198" i="9" s="1"/>
  <c r="BD198" i="9"/>
  <c r="AW150" i="9"/>
  <c r="AW168" i="9" s="1"/>
  <c r="BE150" i="9"/>
  <c r="AC146" i="9"/>
  <c r="AC147" i="9"/>
  <c r="AX102" i="9"/>
  <c r="AJ122" i="9"/>
  <c r="BE174" i="9"/>
  <c r="AW174" i="9"/>
  <c r="AW192" i="9" s="1"/>
  <c r="BE51" i="9"/>
  <c r="BD51" i="9"/>
  <c r="AX51" i="9"/>
  <c r="BI51" i="9" s="1"/>
  <c r="AY5" i="9"/>
  <c r="AZ5" i="9"/>
  <c r="BK5" i="9" s="1"/>
  <c r="BA5" i="9"/>
  <c r="BL5" i="9" s="1"/>
  <c r="BA51" i="9"/>
  <c r="BB5" i="9"/>
  <c r="BM5" i="9" s="1"/>
  <c r="BC5" i="9"/>
  <c r="BN5" i="9" s="1"/>
  <c r="BD5" i="9"/>
  <c r="BO5" i="9" s="1"/>
  <c r="BC51" i="9"/>
  <c r="BB51" i="9"/>
  <c r="AT59" i="21"/>
  <c r="BQ468" i="9"/>
  <c r="BQ515" i="9"/>
  <c r="BQ497" i="9"/>
  <c r="AO23" i="20"/>
  <c r="Q23" i="20"/>
  <c r="BQ495" i="9"/>
  <c r="BQ473" i="9"/>
  <c r="BH494" i="9"/>
  <c r="BQ524" i="9"/>
  <c r="W20" i="13"/>
  <c r="L33" i="13"/>
  <c r="F44" i="13"/>
  <c r="Q44" i="13" s="1"/>
  <c r="W18" i="13"/>
  <c r="F27" i="13"/>
  <c r="Q27" i="13" s="1"/>
  <c r="W28" i="13"/>
  <c r="V46" i="13"/>
  <c r="G44" i="13"/>
  <c r="R44" i="13" s="1"/>
  <c r="AN136" i="20"/>
  <c r="AN137" i="20" s="1"/>
  <c r="AO113" i="20"/>
  <c r="AO114" i="20" s="1"/>
  <c r="V23" i="20"/>
  <c r="Q23" i="33"/>
  <c r="Y23" i="33"/>
  <c r="AG23" i="33"/>
  <c r="AO23" i="33"/>
  <c r="AE46" i="33"/>
  <c r="AM46" i="33"/>
  <c r="AJ23" i="21"/>
  <c r="P373" i="21"/>
  <c r="AO184" i="21"/>
  <c r="K373" i="21"/>
  <c r="AK373" i="21"/>
  <c r="U368" i="21"/>
  <c r="N23" i="33"/>
  <c r="R23" i="33"/>
  <c r="V23" i="33"/>
  <c r="Z23" i="33"/>
  <c r="AD23" i="33"/>
  <c r="AH23" i="33"/>
  <c r="AL23" i="33"/>
  <c r="AP23" i="33"/>
  <c r="P46" i="33"/>
  <c r="T46" i="33"/>
  <c r="AF46" i="33"/>
  <c r="D74" i="16"/>
  <c r="AF23" i="21"/>
  <c r="AJ69" i="21"/>
  <c r="AN92" i="21"/>
  <c r="AN138" i="21"/>
  <c r="AF230" i="21"/>
  <c r="K23" i="33"/>
  <c r="O23" i="33"/>
  <c r="S23" i="33"/>
  <c r="W23" i="33"/>
  <c r="AA23" i="33"/>
  <c r="AE23" i="33"/>
  <c r="AM23" i="33"/>
  <c r="AQ23" i="33"/>
  <c r="U46" i="33"/>
  <c r="Y46" i="33"/>
  <c r="AC46" i="33"/>
  <c r="AG46" i="33"/>
  <c r="M23" i="33"/>
  <c r="AC23" i="33"/>
  <c r="AK23" i="33"/>
  <c r="K46" i="33"/>
  <c r="S46" i="33"/>
  <c r="AQ46" i="33"/>
  <c r="P23" i="33"/>
  <c r="T23" i="33"/>
  <c r="AN23" i="33"/>
  <c r="V46" i="33"/>
  <c r="Z46" i="33"/>
  <c r="AH46" i="33"/>
  <c r="AP46" i="33"/>
  <c r="AQ90" i="16"/>
  <c r="AQ137" i="16"/>
  <c r="AH90" i="16"/>
  <c r="BK526" i="9"/>
  <c r="T75" i="16"/>
  <c r="AA75" i="16"/>
  <c r="AF75" i="16"/>
  <c r="AQ389" i="21"/>
  <c r="K389" i="21"/>
  <c r="K21" i="11" s="1"/>
  <c r="AG389" i="21"/>
  <c r="AB52" i="12"/>
  <c r="K47" i="13"/>
  <c r="V47" i="13"/>
  <c r="BK478" i="9"/>
  <c r="BJ509" i="9"/>
  <c r="AR71" i="10"/>
  <c r="AT80" i="21"/>
  <c r="Y75" i="16"/>
  <c r="BJ365" i="9"/>
  <c r="BK341" i="9"/>
  <c r="BK509" i="9"/>
  <c r="U138" i="21"/>
  <c r="AH138" i="21"/>
  <c r="AE184" i="21"/>
  <c r="AO322" i="21"/>
  <c r="AH74" i="16"/>
  <c r="AJ74" i="16"/>
  <c r="S115" i="21"/>
  <c r="D537" i="9"/>
  <c r="AV537" i="9"/>
  <c r="T69" i="16"/>
  <c r="AE69" i="16"/>
  <c r="BJ489" i="9"/>
  <c r="BI177" i="9"/>
  <c r="T207" i="21"/>
  <c r="Z376" i="21"/>
  <c r="Z77" i="16"/>
  <c r="AJ376" i="21"/>
  <c r="AB345" i="21"/>
  <c r="BJ465" i="9"/>
  <c r="AE77" i="9"/>
  <c r="AH77" i="16"/>
  <c r="AM376" i="21"/>
  <c r="S376" i="21"/>
  <c r="O376" i="21"/>
  <c r="BJ345" i="9"/>
  <c r="AQ376" i="21"/>
  <c r="AD90" i="16"/>
  <c r="AF90" i="16"/>
  <c r="AP389" i="21"/>
  <c r="T161" i="21"/>
  <c r="AP90" i="16"/>
  <c r="D550" i="9"/>
  <c r="V90" i="16"/>
  <c r="BJ478" i="9"/>
  <c r="Z389" i="21"/>
  <c r="R184" i="21"/>
  <c r="AM115" i="21"/>
  <c r="Y207" i="21"/>
  <c r="U161" i="21"/>
  <c r="AK368" i="21"/>
  <c r="AP207" i="21"/>
  <c r="BJ487" i="9"/>
  <c r="D207" i="21"/>
  <c r="D208" i="21" s="1"/>
  <c r="E208" i="21" s="1"/>
  <c r="F208" i="21" s="1"/>
  <c r="G208" i="21" s="1"/>
  <c r="H208" i="21" s="1"/>
  <c r="I208" i="21" s="1"/>
  <c r="J208" i="21" s="1"/>
  <c r="AA115" i="21"/>
  <c r="S87" i="16"/>
  <c r="AE345" i="21"/>
  <c r="AJ322" i="21"/>
  <c r="AM138" i="21"/>
  <c r="AE138" i="21"/>
  <c r="AI92" i="21"/>
  <c r="BK523" i="9"/>
  <c r="BK355" i="9"/>
  <c r="BK259" i="9"/>
  <c r="BJ379" i="9"/>
  <c r="BJ475" i="9"/>
  <c r="BK499" i="9"/>
  <c r="BP523" i="9"/>
  <c r="BK475" i="9"/>
  <c r="BJ499" i="9"/>
  <c r="BJ355" i="9"/>
  <c r="BK283" i="9"/>
  <c r="BJ523" i="9"/>
  <c r="D547" i="9"/>
  <c r="AV547" i="9" s="1"/>
  <c r="BK379" i="9"/>
  <c r="AD74" i="16"/>
  <c r="L74" i="16"/>
  <c r="AC74" i="16"/>
  <c r="R74" i="9"/>
  <c r="N376" i="21"/>
  <c r="AL376" i="21"/>
  <c r="X77" i="16"/>
  <c r="AA77" i="16"/>
  <c r="AQ77" i="16"/>
  <c r="AH77" i="9"/>
  <c r="AK77" i="9"/>
  <c r="P77" i="9"/>
  <c r="O17" i="35" s="1"/>
  <c r="O23" i="35" s="1"/>
  <c r="O56" i="35" s="1"/>
  <c r="AN77" i="9"/>
  <c r="BK262" i="9"/>
  <c r="BK238" i="9"/>
  <c r="Z75" i="16"/>
  <c r="M46" i="16"/>
  <c r="BP223" i="9"/>
  <c r="M75" i="9"/>
  <c r="BK235" i="9"/>
  <c r="K46" i="16"/>
  <c r="W46" i="16"/>
  <c r="BK317" i="9"/>
  <c r="BL173" i="9"/>
  <c r="BK149" i="9"/>
  <c r="AQ33" i="11"/>
  <c r="AQ56" i="11" s="1"/>
  <c r="AM32" i="11"/>
  <c r="AM55" i="11" s="1"/>
  <c r="AI32" i="11"/>
  <c r="AI55" i="11" s="1"/>
  <c r="D44" i="10"/>
  <c r="D35" i="10"/>
  <c r="D59" i="10" s="1"/>
  <c r="BQ525" i="9"/>
  <c r="AM23" i="20"/>
  <c r="BM494" i="9"/>
  <c r="BQ470" i="9"/>
  <c r="AT229" i="21"/>
  <c r="AT217" i="21"/>
  <c r="AT222" i="21"/>
  <c r="AT66" i="16"/>
  <c r="BN20" i="9"/>
  <c r="BO13" i="9"/>
  <c r="BH13" i="9"/>
  <c r="AJ36" i="11"/>
  <c r="AJ59" i="11" s="1"/>
  <c r="AJ23" i="16"/>
  <c r="AC90" i="16"/>
  <c r="X77" i="9"/>
  <c r="BK310" i="9"/>
  <c r="AT89" i="21"/>
  <c r="AT84" i="21"/>
  <c r="AP42" i="11"/>
  <c r="AP65" i="11" s="1"/>
  <c r="D68" i="10"/>
  <c r="BQ491" i="9"/>
  <c r="BQ496" i="9"/>
  <c r="AX29" i="9"/>
  <c r="BI29" i="9" s="1"/>
  <c r="O74" i="16"/>
  <c r="N75" i="16"/>
  <c r="N122" i="16" s="1"/>
  <c r="N6" i="10" s="1"/>
  <c r="N30" i="10" s="1"/>
  <c r="N54" i="10" s="1"/>
  <c r="N77" i="16"/>
  <c r="N87" i="16"/>
  <c r="BI13" i="9"/>
  <c r="AX31" i="9"/>
  <c r="BI31" i="9" s="1"/>
  <c r="D38" i="10"/>
  <c r="AR26" i="10"/>
  <c r="D49" i="10"/>
  <c r="D33" i="10"/>
  <c r="AT43" i="16"/>
  <c r="AW82" i="9"/>
  <c r="C32" i="13" s="1"/>
  <c r="AR76" i="11"/>
  <c r="AL74" i="16"/>
  <c r="AP74" i="9"/>
  <c r="AT8" i="31"/>
  <c r="K74" i="16"/>
  <c r="BH321" i="9"/>
  <c r="AR17" i="30"/>
  <c r="L77" i="9"/>
  <c r="K17" i="35" s="1"/>
  <c r="K23" i="35" s="1"/>
  <c r="K56" i="35" s="1"/>
  <c r="S77" i="16"/>
  <c r="AP77" i="16"/>
  <c r="BH225" i="9"/>
  <c r="W77" i="9"/>
  <c r="W77" i="16"/>
  <c r="K77" i="16"/>
  <c r="AP77" i="9"/>
  <c r="BK465" i="9"/>
  <c r="AN77" i="16"/>
  <c r="Y77" i="16"/>
  <c r="BO105" i="9"/>
  <c r="BI321" i="9"/>
  <c r="AF77" i="9"/>
  <c r="M77" i="16"/>
  <c r="AC77" i="16"/>
  <c r="BH249" i="9"/>
  <c r="AJ77" i="9"/>
  <c r="BJ513" i="9"/>
  <c r="BJ54" i="9"/>
  <c r="Q77" i="16"/>
  <c r="D77" i="9"/>
  <c r="AR513" i="9"/>
  <c r="BH297" i="9"/>
  <c r="BH465" i="9"/>
  <c r="BO345" i="9"/>
  <c r="D90" i="16"/>
  <c r="D137" i="16"/>
  <c r="AM90" i="16"/>
  <c r="BH21" i="9"/>
  <c r="M90" i="16"/>
  <c r="BH478" i="9"/>
  <c r="AN90" i="16"/>
  <c r="AO90" i="16"/>
  <c r="K90" i="16"/>
  <c r="K137" i="16"/>
  <c r="S90" i="16"/>
  <c r="W90" i="16"/>
  <c r="AJ90" i="16"/>
  <c r="Q90" i="16"/>
  <c r="BH214" i="9"/>
  <c r="AE90" i="16"/>
  <c r="Z90" i="16"/>
  <c r="BO166" i="9"/>
  <c r="BH166" i="9"/>
  <c r="BP526" i="9"/>
  <c r="BI526" i="9"/>
  <c r="BL526" i="9"/>
  <c r="BM526" i="9"/>
  <c r="BN526" i="9"/>
  <c r="BO526" i="9"/>
  <c r="O90" i="16"/>
  <c r="AK90" i="16"/>
  <c r="U90" i="16"/>
  <c r="Y90" i="16"/>
  <c r="BH44" i="9"/>
  <c r="D90" i="9"/>
  <c r="BN478" i="9"/>
  <c r="BI478" i="9"/>
  <c r="AK75" i="16"/>
  <c r="W75" i="16"/>
  <c r="O75" i="16"/>
  <c r="S75" i="16"/>
  <c r="X75" i="9"/>
  <c r="BO271" i="9"/>
  <c r="AO75" i="16"/>
  <c r="U75" i="16"/>
  <c r="AH75" i="16"/>
  <c r="AP75" i="16"/>
  <c r="AP122" i="16"/>
  <c r="AP6" i="10"/>
  <c r="AP30" i="10" s="1"/>
  <c r="AP54" i="10" s="1"/>
  <c r="AD87" i="16"/>
  <c r="W87" i="16"/>
  <c r="L87" i="16"/>
  <c r="Y92" i="21"/>
  <c r="AN184" i="21"/>
  <c r="D87" i="16"/>
  <c r="N46" i="21"/>
  <c r="BA18" i="9"/>
  <c r="BL18" i="9" s="1"/>
  <c r="S87" i="9"/>
  <c r="AP322" i="21"/>
  <c r="AK230" i="21"/>
  <c r="AD46" i="21"/>
  <c r="W87" i="9"/>
  <c r="BI187" i="9"/>
  <c r="AH207" i="21"/>
  <c r="M230" i="21"/>
  <c r="Z115" i="21"/>
  <c r="K87" i="9"/>
  <c r="BH41" i="9"/>
  <c r="Q87" i="16"/>
  <c r="AB87" i="9"/>
  <c r="R87" i="16"/>
  <c r="BM307" i="9"/>
  <c r="M87" i="16"/>
  <c r="Y87" i="16"/>
  <c r="BL259" i="9"/>
  <c r="BP509" i="9"/>
  <c r="AT53" i="21"/>
  <c r="AW53" i="21"/>
  <c r="AR366" i="21"/>
  <c r="AT366" i="21" s="1"/>
  <c r="AT36" i="21"/>
  <c r="AW65" i="21"/>
  <c r="AK161" i="21"/>
  <c r="AN368" i="21"/>
  <c r="AI345" i="21"/>
  <c r="AM368" i="21"/>
  <c r="Q345" i="21"/>
  <c r="M322" i="21"/>
  <c r="AL184" i="21"/>
  <c r="Z184" i="21"/>
  <c r="BH118" i="9"/>
  <c r="BM225" i="9"/>
  <c r="BO259" i="9"/>
  <c r="BL273" i="9"/>
  <c r="BI319" i="9"/>
  <c r="BH489" i="9"/>
  <c r="BK489" i="9"/>
  <c r="BM262" i="9"/>
  <c r="BO262" i="9"/>
  <c r="BN201" i="9"/>
  <c r="BO273" i="9"/>
  <c r="BI297" i="9"/>
  <c r="BM297" i="9"/>
  <c r="BN355" i="9"/>
  <c r="BO355" i="9"/>
  <c r="BO379" i="9"/>
  <c r="J44" i="13"/>
  <c r="U44" i="13" s="1"/>
  <c r="BO187" i="9"/>
  <c r="BQ252" i="9"/>
  <c r="D44" i="13"/>
  <c r="O44" i="13" s="1"/>
  <c r="BN187" i="9"/>
  <c r="BH513" i="9"/>
  <c r="AB136" i="20"/>
  <c r="AB137" i="20" s="1"/>
  <c r="AA113" i="20"/>
  <c r="AA114" i="20" s="1"/>
  <c r="J26" i="13"/>
  <c r="BH187" i="9"/>
  <c r="BM54" i="9"/>
  <c r="BI513" i="9"/>
  <c r="BK513" i="9"/>
  <c r="BL513" i="9"/>
  <c r="BM513" i="9"/>
  <c r="BN513" i="9"/>
  <c r="BE83" i="9"/>
  <c r="AX88" i="9"/>
  <c r="BO225" i="9"/>
  <c r="BO249" i="9"/>
  <c r="BI502" i="9"/>
  <c r="BM286" i="9"/>
  <c r="BQ356" i="9"/>
  <c r="AA77" i="9"/>
  <c r="BN177" i="9"/>
  <c r="BH201" i="9"/>
  <c r="BH273" i="9"/>
  <c r="AW76" i="9"/>
  <c r="BE79" i="9"/>
  <c r="AW85" i="9"/>
  <c r="BH382" i="9"/>
  <c r="BK297" i="9"/>
  <c r="D242" i="9"/>
  <c r="AH23" i="20"/>
  <c r="P136" i="20"/>
  <c r="P137" i="20" s="1"/>
  <c r="R43" i="13"/>
  <c r="D87" i="9"/>
  <c r="AP87" i="9"/>
  <c r="O113" i="20"/>
  <c r="O114" i="20" s="1"/>
  <c r="Q46" i="13"/>
  <c r="BH307" i="9"/>
  <c r="BN307" i="9"/>
  <c r="BN475" i="9"/>
  <c r="BO475" i="9"/>
  <c r="BH190" i="9"/>
  <c r="BB79" i="9"/>
  <c r="BM56" i="9"/>
  <c r="BH57" i="9"/>
  <c r="AW80" i="9"/>
  <c r="BO62" i="9"/>
  <c r="BD85" i="9"/>
  <c r="BM273" i="9"/>
  <c r="BI489" i="9"/>
  <c r="BI273" i="9"/>
  <c r="BO502" i="9"/>
  <c r="R46" i="13"/>
  <c r="S46" i="13"/>
  <c r="AQ77" i="9"/>
  <c r="Z136" i="20"/>
  <c r="Z137" i="20" s="1"/>
  <c r="K77" i="9"/>
  <c r="BD82" i="9"/>
  <c r="J32" i="13" s="1"/>
  <c r="BO59" i="9"/>
  <c r="BH286" i="9"/>
  <c r="BH487" i="9"/>
  <c r="BN297" i="9"/>
  <c r="BO321" i="9"/>
  <c r="BN321" i="9"/>
  <c r="BL321" i="9"/>
  <c r="BN465" i="9"/>
  <c r="AW79" i="9"/>
  <c r="BH331" i="9"/>
  <c r="BL44" i="9"/>
  <c r="AN75" i="9"/>
  <c r="BH247" i="9"/>
  <c r="BH8" i="9"/>
  <c r="BC81" i="9"/>
  <c r="BD80" i="9"/>
  <c r="BO45" i="9"/>
  <c r="BB80" i="9"/>
  <c r="K19" i="13"/>
  <c r="V19" i="13"/>
  <c r="BP32" i="9"/>
  <c r="BD84" i="9"/>
  <c r="BO61" i="9"/>
  <c r="BE88" i="9"/>
  <c r="BQ351" i="9"/>
  <c r="BQ380" i="9"/>
  <c r="BQ350" i="9"/>
  <c r="BQ370" i="9"/>
  <c r="BN31" i="9"/>
  <c r="BO31" i="9"/>
  <c r="BM129" i="9"/>
  <c r="BH51" i="9"/>
  <c r="AR133" i="20"/>
  <c r="BH65" i="9"/>
  <c r="AW88" i="9"/>
  <c r="I47" i="13"/>
  <c r="T47" i="13"/>
  <c r="T46" i="13"/>
  <c r="Y113" i="20"/>
  <c r="Y114" i="20" s="1"/>
  <c r="AR526" i="9"/>
  <c r="BN129" i="9"/>
  <c r="BN489" i="9"/>
  <c r="BM489" i="9"/>
  <c r="AR489" i="9"/>
  <c r="BP65" i="9"/>
  <c r="J9" i="13"/>
  <c r="U9" i="13" s="1"/>
  <c r="BO7" i="9"/>
  <c r="BD76" i="9"/>
  <c r="BP45" i="9"/>
  <c r="BE91" i="9"/>
  <c r="AX89" i="9"/>
  <c r="BI43" i="9"/>
  <c r="BK40" i="9"/>
  <c r="BE85" i="9"/>
  <c r="BP39" i="9"/>
  <c r="BK36" i="9"/>
  <c r="AZ82" i="9"/>
  <c r="F32" i="13" s="1"/>
  <c r="BJ34" i="9"/>
  <c r="BM32" i="9"/>
  <c r="H19" i="13"/>
  <c r="S19" i="13"/>
  <c r="BH55" i="9"/>
  <c r="BE78" i="9"/>
  <c r="BP55" i="9"/>
  <c r="BP57" i="9"/>
  <c r="BE80" i="9"/>
  <c r="BO58" i="9"/>
  <c r="BD81" i="9"/>
  <c r="BM60" i="9"/>
  <c r="BH61" i="9"/>
  <c r="BP61" i="9"/>
  <c r="BE84" i="9"/>
  <c r="BK62" i="9"/>
  <c r="BA88" i="9"/>
  <c r="BL65" i="9"/>
  <c r="N113" i="20"/>
  <c r="N114" i="20" s="1"/>
  <c r="H26" i="13"/>
  <c r="S26" i="13" s="1"/>
  <c r="W136" i="20"/>
  <c r="AR465" i="9"/>
  <c r="AT465" i="9" s="1"/>
  <c r="BB86" i="9"/>
  <c r="BM63" i="9"/>
  <c r="D362" i="9"/>
  <c r="V113" i="20"/>
  <c r="V114" i="20" s="1"/>
  <c r="AG77" i="9"/>
  <c r="AM77" i="9"/>
  <c r="AO77" i="9"/>
  <c r="BB89" i="9"/>
  <c r="K90" i="9"/>
  <c r="BH52" i="9"/>
  <c r="U77" i="9"/>
  <c r="AC77" i="9"/>
  <c r="BJ15" i="9"/>
  <c r="E11" i="13"/>
  <c r="P11" i="13" s="1"/>
  <c r="BC76" i="9"/>
  <c r="W10" i="13"/>
  <c r="E44" i="13"/>
  <c r="P44" i="13" s="1"/>
  <c r="U46" i="13"/>
  <c r="I26" i="13"/>
  <c r="T26" i="13" s="1"/>
  <c r="T43" i="13"/>
  <c r="J47" i="13"/>
  <c r="U47" i="13" s="1"/>
  <c r="D47" i="13"/>
  <c r="O46" i="13"/>
  <c r="BM13" i="9"/>
  <c r="BQ272" i="9"/>
  <c r="BM334" i="9"/>
  <c r="BO334" i="9"/>
  <c r="BN295" i="9"/>
  <c r="BM31" i="9"/>
  <c r="BO177" i="9"/>
  <c r="BM321" i="9"/>
  <c r="BO465" i="9"/>
  <c r="BM465" i="9"/>
  <c r="BM34" i="9"/>
  <c r="BE81" i="9"/>
  <c r="BC80" i="9"/>
  <c r="BM58" i="9"/>
  <c r="BB81" i="9"/>
  <c r="BE82" i="9"/>
  <c r="K32" i="13" s="1"/>
  <c r="BP59" i="9"/>
  <c r="BK60" i="9"/>
  <c r="AY84" i="9"/>
  <c r="BJ61" i="9"/>
  <c r="BO63" i="9"/>
  <c r="AY88" i="9"/>
  <c r="BN65" i="9"/>
  <c r="BC88" i="9"/>
  <c r="BQ134" i="9"/>
  <c r="BQ254" i="9"/>
  <c r="BO478" i="9"/>
  <c r="D289" i="9"/>
  <c r="E289" i="9" s="1"/>
  <c r="F289" i="9" s="1"/>
  <c r="G289" i="9"/>
  <c r="H289" i="9"/>
  <c r="I289" i="9" s="1"/>
  <c r="J289" i="9" s="1"/>
  <c r="K289" i="9" s="1"/>
  <c r="L289" i="9" s="1"/>
  <c r="M289" i="9" s="1"/>
  <c r="N289" i="9" s="1"/>
  <c r="O289" i="9" s="1"/>
  <c r="P289" i="9" s="1"/>
  <c r="Q289" i="9" s="1"/>
  <c r="P43" i="13"/>
  <c r="AF87" i="9"/>
  <c r="G19" i="13"/>
  <c r="R19" i="13" s="1"/>
  <c r="C26" i="13"/>
  <c r="N26" i="13" s="1"/>
  <c r="C44" i="13"/>
  <c r="BN41" i="9"/>
  <c r="BQ324" i="9"/>
  <c r="BO67" i="9"/>
  <c r="BO115" i="9"/>
  <c r="BO513" i="9"/>
  <c r="BO129" i="9"/>
  <c r="BO297" i="9"/>
  <c r="BO489" i="9"/>
  <c r="BL35" i="9"/>
  <c r="K11" i="13"/>
  <c r="V11" i="13" s="1"/>
  <c r="BP15" i="9"/>
  <c r="BE76" i="9"/>
  <c r="BK55" i="9"/>
  <c r="F19" i="13"/>
  <c r="Q19" i="13" s="1"/>
  <c r="BD78" i="9"/>
  <c r="BO55" i="9"/>
  <c r="BB82" i="9"/>
  <c r="H32" i="13" s="1"/>
  <c r="BM59" i="9"/>
  <c r="AW83" i="9"/>
  <c r="BH60" i="9"/>
  <c r="BE86" i="9"/>
  <c r="BP63" i="9"/>
  <c r="BJ358" i="9"/>
  <c r="BH358" i="9"/>
  <c r="BN345" i="9"/>
  <c r="BL465" i="9"/>
  <c r="BH211" i="9"/>
  <c r="BN499" i="9"/>
  <c r="BN523" i="9"/>
  <c r="BN262" i="9"/>
  <c r="BO103" i="9"/>
  <c r="BK358" i="9"/>
  <c r="BN369" i="9"/>
  <c r="BQ349" i="9"/>
  <c r="BQ353" i="9"/>
  <c r="BM64" i="9"/>
  <c r="BM475" i="9"/>
  <c r="BO310" i="9"/>
  <c r="BM511" i="9"/>
  <c r="BH199" i="9"/>
  <c r="BA83" i="9"/>
  <c r="BQ179" i="9"/>
  <c r="D169" i="9"/>
  <c r="E169" i="9" s="1"/>
  <c r="F169" i="9" s="1"/>
  <c r="G169" i="9" s="1"/>
  <c r="H169" i="9" s="1"/>
  <c r="I169" i="9" s="1"/>
  <c r="J169" i="9" s="1"/>
  <c r="K169" i="9" s="1"/>
  <c r="L169" i="9" s="1"/>
  <c r="BH115" i="9"/>
  <c r="BM247" i="9"/>
  <c r="BN247" i="9"/>
  <c r="BL297" i="9"/>
  <c r="BL475" i="9"/>
  <c r="BH499" i="9"/>
  <c r="BI499" i="9"/>
  <c r="BN259" i="9"/>
  <c r="BO142" i="9"/>
  <c r="BL310" i="9"/>
  <c r="BL502" i="9"/>
  <c r="BI295" i="9"/>
  <c r="BQ346" i="9"/>
  <c r="BQ357" i="9"/>
  <c r="BM115" i="9"/>
  <c r="BN225" i="9"/>
  <c r="BN283" i="9"/>
  <c r="BL286" i="9"/>
  <c r="BI475" i="9"/>
  <c r="BN115" i="9"/>
  <c r="BM139" i="9"/>
  <c r="BO139" i="9"/>
  <c r="BL187" i="9"/>
  <c r="BM187" i="9"/>
  <c r="BL190" i="9"/>
  <c r="BM310" i="9"/>
  <c r="BO199" i="9"/>
  <c r="BQ348" i="9"/>
  <c r="BQ376" i="9"/>
  <c r="BO118" i="9"/>
  <c r="Z75" i="9"/>
  <c r="BO127" i="9"/>
  <c r="BO295" i="9"/>
  <c r="BH54" i="9"/>
  <c r="BN105" i="9"/>
  <c r="BB76" i="9"/>
  <c r="BL283" i="9"/>
  <c r="BL295" i="9"/>
  <c r="BO283" i="9"/>
  <c r="BN310" i="9"/>
  <c r="BM177" i="9"/>
  <c r="BN271" i="9"/>
  <c r="BM487" i="9"/>
  <c r="BO487" i="9"/>
  <c r="BN249" i="9"/>
  <c r="AR297" i="9"/>
  <c r="AT297" i="9" s="1"/>
  <c r="BI355" i="9"/>
  <c r="BL345" i="9"/>
  <c r="BN166" i="9"/>
  <c r="BM166" i="9"/>
  <c r="BL166" i="9"/>
  <c r="BI358" i="9"/>
  <c r="BM345" i="9"/>
  <c r="BM369" i="9"/>
  <c r="BI369" i="9"/>
  <c r="BQ359" i="9"/>
  <c r="BQ375" i="9"/>
  <c r="BN382" i="9"/>
  <c r="BM151" i="9"/>
  <c r="BN343" i="9"/>
  <c r="BM367" i="9"/>
  <c r="BO367" i="9"/>
  <c r="BO369" i="9"/>
  <c r="BQ344" i="9"/>
  <c r="BQ347" i="9"/>
  <c r="BQ378" i="9"/>
  <c r="BQ352" i="9"/>
  <c r="BQ354" i="9"/>
  <c r="AK184" i="21"/>
  <c r="N184" i="21"/>
  <c r="AI161" i="21"/>
  <c r="L345" i="21"/>
  <c r="K184" i="21"/>
  <c r="AF345" i="21"/>
  <c r="AO345" i="21"/>
  <c r="AL73" i="16"/>
  <c r="AP46" i="16"/>
  <c r="BH149" i="9"/>
  <c r="R73" i="16"/>
  <c r="K69" i="21"/>
  <c r="AL138" i="21"/>
  <c r="S73" i="16"/>
  <c r="AM73" i="16"/>
  <c r="AD184" i="21"/>
  <c r="AN46" i="21"/>
  <c r="AP161" i="21"/>
  <c r="P184" i="21"/>
  <c r="U230" i="21"/>
  <c r="Y368" i="21"/>
  <c r="M73" i="16"/>
  <c r="Q69" i="16"/>
  <c r="U23" i="16"/>
  <c r="AJ73" i="16"/>
  <c r="R73" i="9"/>
  <c r="AA368" i="21"/>
  <c r="K23" i="16"/>
  <c r="Y372" i="21"/>
  <c r="AQ345" i="21"/>
  <c r="AA207" i="21"/>
  <c r="BA27" i="9"/>
  <c r="U46" i="21"/>
  <c r="N73" i="9"/>
  <c r="V73" i="16"/>
  <c r="AI207" i="21"/>
  <c r="AJ73" i="9"/>
  <c r="AB73" i="9"/>
  <c r="K322" i="21"/>
  <c r="P207" i="21"/>
  <c r="AM230" i="21"/>
  <c r="BH173" i="9"/>
  <c r="BH245" i="9"/>
  <c r="AG161" i="21"/>
  <c r="BM245" i="9"/>
  <c r="AK138" i="21"/>
  <c r="AQ161" i="21"/>
  <c r="BM317" i="9"/>
  <c r="K73" i="9"/>
  <c r="AP73" i="9"/>
  <c r="BH101" i="9"/>
  <c r="BH293" i="9"/>
  <c r="BH317" i="9"/>
  <c r="BH341" i="9"/>
  <c r="BH269" i="9"/>
  <c r="BL317" i="9"/>
  <c r="AH115" i="21"/>
  <c r="BH461" i="9"/>
  <c r="BH50" i="9"/>
  <c r="BN317" i="9"/>
  <c r="BM149" i="9"/>
  <c r="BN27" i="9"/>
  <c r="AQ115" i="21"/>
  <c r="AP138" i="21"/>
  <c r="P368" i="21"/>
  <c r="BH485" i="9"/>
  <c r="D73" i="9"/>
  <c r="BO509" i="9"/>
  <c r="C12" i="13"/>
  <c r="N12" i="13" s="1"/>
  <c r="BI317" i="9"/>
  <c r="AN115" i="21"/>
  <c r="BO317" i="9"/>
  <c r="BH365" i="9"/>
  <c r="BI173" i="9"/>
  <c r="V161" i="21"/>
  <c r="AH322" i="21"/>
  <c r="BL509" i="9"/>
  <c r="BM509" i="9"/>
  <c r="BN461" i="9"/>
  <c r="BN149" i="9"/>
  <c r="AN161" i="21"/>
  <c r="W149" i="20"/>
  <c r="AR87" i="10"/>
  <c r="BF558" i="9"/>
  <c r="AZ570" i="9"/>
  <c r="BL494" i="9"/>
  <c r="BQ248" i="9"/>
  <c r="BM61" i="9"/>
  <c r="BI61" i="9"/>
  <c r="AX80" i="9"/>
  <c r="AZ79" i="9"/>
  <c r="BH36" i="9"/>
  <c r="C9" i="13"/>
  <c r="N9" i="13" s="1"/>
  <c r="G9" i="13"/>
  <c r="R9" i="13" s="1"/>
  <c r="BO11" i="9"/>
  <c r="BD89" i="9"/>
  <c r="N127" i="16"/>
  <c r="N11" i="10" s="1"/>
  <c r="N35" i="10" s="1"/>
  <c r="M35" i="10"/>
  <c r="AT11" i="16"/>
  <c r="AW89" i="21"/>
  <c r="M345" i="21"/>
  <c r="AC322" i="21"/>
  <c r="AD207" i="21"/>
  <c r="L184" i="21"/>
  <c r="Q161" i="21"/>
  <c r="AA161" i="21"/>
  <c r="AB161" i="21"/>
  <c r="W138" i="21"/>
  <c r="R115" i="21"/>
  <c r="AP92" i="21"/>
  <c r="T373" i="21"/>
  <c r="R74" i="16"/>
  <c r="AG74" i="16"/>
  <c r="AT44" i="31"/>
  <c r="AT43" i="31"/>
  <c r="AT35" i="31"/>
  <c r="AT27" i="31"/>
  <c r="AT26" i="31"/>
  <c r="AT20" i="31"/>
  <c r="Y74" i="9"/>
  <c r="AT21" i="31"/>
  <c r="AT7" i="31"/>
  <c r="AL74" i="9"/>
  <c r="AB69" i="21"/>
  <c r="R376" i="21"/>
  <c r="AA376" i="21"/>
  <c r="L77" i="16"/>
  <c r="AD77" i="16"/>
  <c r="P77" i="16"/>
  <c r="R77" i="16"/>
  <c r="U77" i="16"/>
  <c r="AR273" i="9"/>
  <c r="AT273" i="9" s="1"/>
  <c r="BM249" i="9"/>
  <c r="BL249" i="9"/>
  <c r="BH177" i="9"/>
  <c r="AR153" i="9"/>
  <c r="BM153" i="9"/>
  <c r="BN153" i="9"/>
  <c r="BL153" i="9"/>
  <c r="Y77" i="9"/>
  <c r="O77" i="9"/>
  <c r="N17" i="35" s="1"/>
  <c r="N23" i="35" s="1"/>
  <c r="N56" i="35" s="1"/>
  <c r="S77" i="9"/>
  <c r="R17" i="35" s="1"/>
  <c r="R23" i="35" s="1"/>
  <c r="R56" i="35" s="1"/>
  <c r="M77" i="9"/>
  <c r="L17" i="35" s="1"/>
  <c r="L23" i="35" s="1"/>
  <c r="L56" i="35" s="1"/>
  <c r="V77" i="9"/>
  <c r="T77" i="9"/>
  <c r="S17" i="35" s="1"/>
  <c r="S23" i="35" s="1"/>
  <c r="S56" i="35" s="1"/>
  <c r="AB77" i="9"/>
  <c r="AY31" i="9"/>
  <c r="Q77" i="9"/>
  <c r="P17" i="35" s="1"/>
  <c r="P23" i="35" s="1"/>
  <c r="P56" i="35" s="1"/>
  <c r="AD77" i="9"/>
  <c r="R77" i="9"/>
  <c r="Q17" i="35" s="1"/>
  <c r="Q23" i="35" s="1"/>
  <c r="Q56" i="35" s="1"/>
  <c r="S322" i="21"/>
  <c r="V322" i="21"/>
  <c r="X230" i="21"/>
  <c r="Y161" i="21"/>
  <c r="R389" i="21"/>
  <c r="M138" i="21"/>
  <c r="Q389" i="21"/>
  <c r="T115" i="21"/>
  <c r="W92" i="21"/>
  <c r="Q92" i="21"/>
  <c r="M389" i="21"/>
  <c r="N90" i="16"/>
  <c r="R90" i="16"/>
  <c r="T90" i="16"/>
  <c r="X90" i="16"/>
  <c r="L46" i="16"/>
  <c r="L47" i="16" s="1"/>
  <c r="L90" i="16"/>
  <c r="L137" i="16" s="1"/>
  <c r="N46" i="16"/>
  <c r="P90" i="16"/>
  <c r="BK502" i="9"/>
  <c r="AR502" i="9"/>
  <c r="AR478" i="9"/>
  <c r="AT478" i="9" s="1"/>
  <c r="BM478" i="9"/>
  <c r="BL382" i="9"/>
  <c r="BL358" i="9"/>
  <c r="BM358" i="9"/>
  <c r="BN358" i="9"/>
  <c r="AR358" i="9"/>
  <c r="AT358" i="9" s="1"/>
  <c r="AR334" i="9"/>
  <c r="AT334" i="9" s="1"/>
  <c r="AR310" i="9"/>
  <c r="AT310" i="9" s="1"/>
  <c r="BO286" i="9"/>
  <c r="AR286" i="9"/>
  <c r="AT286" i="9" s="1"/>
  <c r="AR262" i="9"/>
  <c r="AT262" i="9" s="1"/>
  <c r="BI262" i="9"/>
  <c r="BO214" i="9"/>
  <c r="BM190" i="9"/>
  <c r="BO190" i="9"/>
  <c r="BM142" i="9"/>
  <c r="BN142" i="9"/>
  <c r="W90" i="9"/>
  <c r="P90" i="9"/>
  <c r="BM44" i="9"/>
  <c r="T90" i="9"/>
  <c r="AL90" i="9"/>
  <c r="AP90" i="9"/>
  <c r="R90" i="9"/>
  <c r="Z90" i="9"/>
  <c r="AI90" i="9"/>
  <c r="X90" i="9"/>
  <c r="AC90" i="9"/>
  <c r="AN90" i="9"/>
  <c r="AY44" i="9"/>
  <c r="BJ44" i="9" s="1"/>
  <c r="N90" i="9"/>
  <c r="S90" i="9"/>
  <c r="V90" i="9"/>
  <c r="AK90" i="9"/>
  <c r="AO90" i="9"/>
  <c r="AM90" i="9"/>
  <c r="BP21" i="9"/>
  <c r="AQ90" i="9"/>
  <c r="U90" i="9"/>
  <c r="O90" i="9"/>
  <c r="Y90" i="9"/>
  <c r="Z345" i="21"/>
  <c r="AF322" i="21"/>
  <c r="AI322" i="21"/>
  <c r="Z207" i="21"/>
  <c r="AG207" i="21"/>
  <c r="K374" i="21"/>
  <c r="K29" i="11" s="1"/>
  <c r="K52" i="11" s="1"/>
  <c r="AC161" i="21"/>
  <c r="AD138" i="21"/>
  <c r="AB138" i="21"/>
  <c r="L115" i="21"/>
  <c r="AJ115" i="21"/>
  <c r="AL115" i="21"/>
  <c r="N115" i="21"/>
  <c r="AP115" i="21"/>
  <c r="M115" i="21"/>
  <c r="Y115" i="21"/>
  <c r="AK92" i="21"/>
  <c r="AP69" i="21"/>
  <c r="N69" i="21"/>
  <c r="K46" i="21"/>
  <c r="AQ23" i="21"/>
  <c r="AM69" i="16"/>
  <c r="AM75" i="16"/>
  <c r="AQ75" i="16"/>
  <c r="AG69" i="16"/>
  <c r="AN75" i="16"/>
  <c r="AE75" i="16"/>
  <c r="AL75" i="16"/>
  <c r="AL122" i="16" s="1"/>
  <c r="AL6" i="10" s="1"/>
  <c r="AL30" i="10" s="1"/>
  <c r="AL54" i="10" s="1"/>
  <c r="Q46" i="16"/>
  <c r="AI75" i="16"/>
  <c r="AI122" i="16" s="1"/>
  <c r="AI6" i="10" s="1"/>
  <c r="AI30" i="10" s="1"/>
  <c r="AI54" i="10" s="1"/>
  <c r="AC75" i="16"/>
  <c r="AJ75" i="16"/>
  <c r="AJ122" i="16" s="1"/>
  <c r="AJ6" i="10" s="1"/>
  <c r="AD75" i="16"/>
  <c r="AG75" i="16"/>
  <c r="AR511" i="9"/>
  <c r="BN487" i="9"/>
  <c r="AR487" i="9"/>
  <c r="BH463" i="9"/>
  <c r="BO463" i="9"/>
  <c r="BH367" i="9"/>
  <c r="BM343" i="9"/>
  <c r="BI343" i="9"/>
  <c r="BH343" i="9"/>
  <c r="BL319" i="9"/>
  <c r="BO319" i="9"/>
  <c r="BH319" i="9"/>
  <c r="AR295" i="9"/>
  <c r="AT295" i="9" s="1"/>
  <c r="BH295" i="9"/>
  <c r="AR271" i="9"/>
  <c r="AT271" i="9" s="1"/>
  <c r="AR247" i="9"/>
  <c r="AT247" i="9" s="1"/>
  <c r="BH223" i="9"/>
  <c r="BO223" i="9"/>
  <c r="BM175" i="9"/>
  <c r="BN175" i="9"/>
  <c r="BH151" i="9"/>
  <c r="Q75" i="9"/>
  <c r="L75" i="9"/>
  <c r="BM29" i="9"/>
  <c r="N75" i="9"/>
  <c r="P75" i="9"/>
  <c r="AO75" i="9"/>
  <c r="V75" i="9"/>
  <c r="Y75" i="9"/>
  <c r="AP75" i="9"/>
  <c r="K75" i="9"/>
  <c r="AL75" i="9"/>
  <c r="AK75" i="9"/>
  <c r="AL368" i="21"/>
  <c r="L368" i="21"/>
  <c r="T345" i="21"/>
  <c r="AG345" i="21"/>
  <c r="K345" i="21"/>
  <c r="AN345" i="21"/>
  <c r="AM322" i="21"/>
  <c r="N322" i="21"/>
  <c r="U322" i="21"/>
  <c r="AD322" i="21"/>
  <c r="AN322" i="21"/>
  <c r="P230" i="21"/>
  <c r="L230" i="21"/>
  <c r="V230" i="21"/>
  <c r="AN230" i="21"/>
  <c r="T230" i="21"/>
  <c r="X138" i="21"/>
  <c r="W115" i="21"/>
  <c r="AK115" i="21"/>
  <c r="Z92" i="21"/>
  <c r="U92" i="21"/>
  <c r="AO92" i="21"/>
  <c r="P69" i="21"/>
  <c r="Z69" i="21"/>
  <c r="AH69" i="21"/>
  <c r="AO69" i="21"/>
  <c r="AK69" i="21"/>
  <c r="AG69" i="21"/>
  <c r="AL69" i="21"/>
  <c r="Q69" i="21"/>
  <c r="AE69" i="21"/>
  <c r="Y69" i="21"/>
  <c r="Y46" i="21"/>
  <c r="Q46" i="21"/>
  <c r="AK87" i="16"/>
  <c r="U87" i="16"/>
  <c r="AO87" i="16"/>
  <c r="Y69" i="16"/>
  <c r="AC69" i="16"/>
  <c r="P87" i="16"/>
  <c r="T87" i="16"/>
  <c r="X87" i="16"/>
  <c r="O87" i="16"/>
  <c r="AI87" i="16"/>
  <c r="U46" i="16"/>
  <c r="K87" i="16"/>
  <c r="AN87" i="16"/>
  <c r="Z87" i="16"/>
  <c r="BM523" i="9"/>
  <c r="BI523" i="9"/>
  <c r="BO523" i="9"/>
  <c r="BH523" i="9"/>
  <c r="AR523" i="9"/>
  <c r="BL523" i="9"/>
  <c r="BO499" i="9"/>
  <c r="AR499" i="9"/>
  <c r="BL499" i="9"/>
  <c r="BM499" i="9"/>
  <c r="AR475" i="9"/>
  <c r="AT475" i="9" s="1"/>
  <c r="BH475" i="9"/>
  <c r="BL379" i="9"/>
  <c r="BM379" i="9"/>
  <c r="BN379" i="9"/>
  <c r="BI379" i="9"/>
  <c r="AR379" i="9"/>
  <c r="AT379" i="9" s="1"/>
  <c r="BL355" i="9"/>
  <c r="BM355" i="9"/>
  <c r="BP355" i="9"/>
  <c r="AR355" i="9"/>
  <c r="AT355" i="9" s="1"/>
  <c r="BH355" i="9"/>
  <c r="BO331" i="9"/>
  <c r="BL331" i="9"/>
  <c r="AR331" i="9"/>
  <c r="AT331" i="9" s="1"/>
  <c r="BI331" i="9"/>
  <c r="BI307" i="9"/>
  <c r="BL307" i="9"/>
  <c r="BO307" i="9"/>
  <c r="BH283" i="9"/>
  <c r="BM283" i="9"/>
  <c r="BI283" i="9"/>
  <c r="AR283" i="9"/>
  <c r="AT283" i="9" s="1"/>
  <c r="BM259" i="9"/>
  <c r="BH259" i="9"/>
  <c r="BH235" i="9"/>
  <c r="BP235" i="9"/>
  <c r="BP163" i="9"/>
  <c r="BM163" i="9"/>
  <c r="BN163" i="9"/>
  <c r="BO163" i="9"/>
  <c r="BI163" i="9"/>
  <c r="BL163" i="9"/>
  <c r="BP139" i="9"/>
  <c r="BN139" i="9"/>
  <c r="AR64" i="9"/>
  <c r="L87" i="9"/>
  <c r="N87" i="9"/>
  <c r="V87" i="9"/>
  <c r="T87" i="9"/>
  <c r="BO41" i="9"/>
  <c r="BM41" i="9"/>
  <c r="AC87" i="9"/>
  <c r="AG87" i="9"/>
  <c r="AN87" i="9"/>
  <c r="R87" i="9"/>
  <c r="Z87" i="9"/>
  <c r="AH87" i="9"/>
  <c r="P87" i="9"/>
  <c r="X87" i="9"/>
  <c r="AE87" i="9"/>
  <c r="AL87" i="9"/>
  <c r="AX41" i="9"/>
  <c r="BI41" i="9" s="1"/>
  <c r="AQ87" i="9"/>
  <c r="AM87" i="9"/>
  <c r="AO87" i="9"/>
  <c r="U87" i="9"/>
  <c r="Q87" i="9"/>
  <c r="AJ230" i="21"/>
  <c r="M207" i="21"/>
  <c r="AK207" i="21"/>
  <c r="T46" i="21"/>
  <c r="P46" i="21"/>
  <c r="Y23" i="21"/>
  <c r="L73" i="16"/>
  <c r="S69" i="16"/>
  <c r="X73" i="16"/>
  <c r="P73" i="16"/>
  <c r="T73" i="16"/>
  <c r="Y23" i="16"/>
  <c r="Y73" i="16"/>
  <c r="BK485" i="9"/>
  <c r="BO461" i="9"/>
  <c r="BI461" i="9"/>
  <c r="BJ461" i="9"/>
  <c r="AR365" i="9"/>
  <c r="AT365" i="9" s="1"/>
  <c r="BI365" i="9"/>
  <c r="BO365" i="9"/>
  <c r="BM365" i="9"/>
  <c r="BL365" i="9"/>
  <c r="BO341" i="9"/>
  <c r="AR341" i="9"/>
  <c r="AT341" i="9" s="1"/>
  <c r="BL341" i="9"/>
  <c r="BM341" i="9"/>
  <c r="BI341" i="9"/>
  <c r="BL293" i="9"/>
  <c r="BI293" i="9"/>
  <c r="BN293" i="9"/>
  <c r="BM293" i="9"/>
  <c r="BM269" i="9"/>
  <c r="BI269" i="9"/>
  <c r="BN269" i="9"/>
  <c r="BL269" i="9"/>
  <c r="BO269" i="9"/>
  <c r="BN245" i="9"/>
  <c r="BL245" i="9"/>
  <c r="BP245" i="9"/>
  <c r="BO197" i="9"/>
  <c r="BM173" i="9"/>
  <c r="BN173" i="9"/>
  <c r="BO173" i="9"/>
  <c r="BO149" i="9"/>
  <c r="BM125" i="9"/>
  <c r="BN125" i="9"/>
  <c r="BO125" i="9"/>
  <c r="AM73" i="9"/>
  <c r="U73" i="9"/>
  <c r="K16" i="13"/>
  <c r="V16" i="13" s="1"/>
  <c r="AQ73" i="9"/>
  <c r="AI73" i="9"/>
  <c r="AE73" i="9"/>
  <c r="M73" i="9"/>
  <c r="AK73" i="9"/>
  <c r="O73" i="9"/>
  <c r="AO73" i="9"/>
  <c r="AL73" i="9"/>
  <c r="AD73" i="9"/>
  <c r="AG73" i="9"/>
  <c r="AC73" i="9"/>
  <c r="T73" i="9"/>
  <c r="AN73" i="9"/>
  <c r="BN7" i="9"/>
  <c r="AL77" i="9"/>
  <c r="AK73" i="16"/>
  <c r="I9" i="13"/>
  <c r="T9" i="13" s="1"/>
  <c r="AK87" i="9"/>
  <c r="BN509" i="9"/>
  <c r="BI509" i="9"/>
  <c r="BM485" i="9"/>
  <c r="BH509" i="9"/>
  <c r="AR509" i="9"/>
  <c r="AR461" i="9"/>
  <c r="AT461" i="9" s="1"/>
  <c r="O74" i="10"/>
  <c r="BP27" i="9"/>
  <c r="BP4" i="9"/>
  <c r="BP44" i="9"/>
  <c r="BO44" i="9"/>
  <c r="AF90" i="9"/>
  <c r="AJ90" i="9"/>
  <c r="AG90" i="16"/>
  <c r="AC75" i="9"/>
  <c r="AE75" i="9"/>
  <c r="AG75" i="9"/>
  <c r="AI75" i="9"/>
  <c r="AB90" i="9"/>
  <c r="AE90" i="9"/>
  <c r="AB75" i="9"/>
  <c r="AD75" i="9"/>
  <c r="AF75" i="9"/>
  <c r="AH75" i="9"/>
  <c r="AJ75" i="9"/>
  <c r="AW96" i="21"/>
  <c r="AW142" i="21"/>
  <c r="AW340" i="21"/>
  <c r="AL322" i="21"/>
  <c r="AG322" i="21"/>
  <c r="Q322" i="21"/>
  <c r="V345" i="21"/>
  <c r="W23" i="21"/>
  <c r="BH153" i="9"/>
  <c r="AR345" i="9"/>
  <c r="AT345" i="9" s="1"/>
  <c r="AW165" i="21"/>
  <c r="AW326" i="21"/>
  <c r="AI73" i="16"/>
  <c r="AE322" i="21"/>
  <c r="AW167" i="21"/>
  <c r="S23" i="21"/>
  <c r="AE74" i="16"/>
  <c r="R46" i="21"/>
  <c r="BH345" i="9"/>
  <c r="Z74" i="9"/>
  <c r="X23" i="21"/>
  <c r="S46" i="21"/>
  <c r="AC345" i="21"/>
  <c r="BM382" i="9"/>
  <c r="BC85" i="9"/>
  <c r="AJ87" i="9"/>
  <c r="AI90" i="16"/>
  <c r="AI23" i="16"/>
  <c r="BC79" i="9"/>
  <c r="AI77" i="9"/>
  <c r="AI87" i="9"/>
  <c r="BN17" i="9"/>
  <c r="AH90" i="9"/>
  <c r="AT5" i="31"/>
  <c r="AH73" i="9"/>
  <c r="AG73" i="16"/>
  <c r="AG87" i="16"/>
  <c r="AT36" i="31"/>
  <c r="AG90" i="9"/>
  <c r="BB78" i="9"/>
  <c r="AF73" i="9"/>
  <c r="AD87" i="9"/>
  <c r="AD90" i="9"/>
  <c r="BB4" i="9"/>
  <c r="AP74" i="16"/>
  <c r="Y74" i="16"/>
  <c r="Y46" i="16"/>
  <c r="AD74" i="9"/>
  <c r="AB74" i="9"/>
  <c r="W74" i="16"/>
  <c r="S46" i="16"/>
  <c r="AW183" i="21"/>
  <c r="U184" i="21"/>
  <c r="AW114" i="21"/>
  <c r="AW137" i="21"/>
  <c r="AW206" i="21"/>
  <c r="X46" i="21"/>
  <c r="O115" i="21"/>
  <c r="T138" i="21"/>
  <c r="X207" i="21"/>
  <c r="S92" i="21"/>
  <c r="U74" i="16"/>
  <c r="O46" i="16"/>
  <c r="X23" i="16"/>
  <c r="X74" i="16"/>
  <c r="T74" i="16"/>
  <c r="T23" i="16"/>
  <c r="R23" i="16"/>
  <c r="O74" i="9"/>
  <c r="AR342" i="9"/>
  <c r="AT342" i="9"/>
  <c r="S74" i="9"/>
  <c r="T74" i="9"/>
  <c r="AE52" i="12"/>
  <c r="AV46" i="21"/>
  <c r="AV92" i="21"/>
  <c r="AC125" i="16"/>
  <c r="AC73" i="16"/>
  <c r="AC87" i="16"/>
  <c r="AC56" i="20"/>
  <c r="AB57" i="14" s="1"/>
  <c r="AT20" i="16"/>
  <c r="AB46" i="21"/>
  <c r="AR199" i="9"/>
  <c r="AA90" i="16"/>
  <c r="AA46" i="21"/>
  <c r="AV115" i="21"/>
  <c r="AV184" i="21"/>
  <c r="AW184" i="21" s="1"/>
  <c r="AV69" i="21"/>
  <c r="AV23" i="21"/>
  <c r="AV207" i="21"/>
  <c r="AV230" i="21"/>
  <c r="AV161" i="21"/>
  <c r="AV138" i="21"/>
  <c r="AW138" i="21" s="1"/>
  <c r="AV322" i="21"/>
  <c r="AA90" i="9"/>
  <c r="AA87" i="9"/>
  <c r="AA73" i="9"/>
  <c r="BL139" i="9"/>
  <c r="AR118" i="9"/>
  <c r="BL115" i="9"/>
  <c r="BI335" i="9"/>
  <c r="AX312" i="9"/>
  <c r="K33" i="10"/>
  <c r="K44" i="11"/>
  <c r="AO44" i="10"/>
  <c r="AQ44" i="10"/>
  <c r="AQ68" i="10" s="1"/>
  <c r="AE35" i="10"/>
  <c r="AE59" i="10" s="1"/>
  <c r="AA43" i="10"/>
  <c r="X35" i="10"/>
  <c r="X59" i="10" s="1"/>
  <c r="AN31" i="10"/>
  <c r="K9" i="32"/>
  <c r="AP43" i="10"/>
  <c r="D34" i="10"/>
  <c r="AP38" i="10"/>
  <c r="AL35" i="10"/>
  <c r="Y44" i="10"/>
  <c r="Y68" i="10" s="1"/>
  <c r="X43" i="10"/>
  <c r="AQ31" i="10"/>
  <c r="AM40" i="10"/>
  <c r="AM64" i="10" s="1"/>
  <c r="AD43" i="10"/>
  <c r="AD67" i="10" s="1"/>
  <c r="AI43" i="10"/>
  <c r="W35" i="10"/>
  <c r="W59" i="10" s="1"/>
  <c r="AP19" i="32"/>
  <c r="X44" i="10"/>
  <c r="X68" i="10" s="1"/>
  <c r="AQ43" i="10"/>
  <c r="AQ67" i="10" s="1"/>
  <c r="AQ33" i="10"/>
  <c r="AO37" i="10"/>
  <c r="W43" i="10"/>
  <c r="AO43" i="10"/>
  <c r="AO67" i="10" s="1"/>
  <c r="AE34" i="10"/>
  <c r="AE58" i="10" s="1"/>
  <c r="AF44" i="10"/>
  <c r="AF68" i="10" s="1"/>
  <c r="AO41" i="10"/>
  <c r="AO65" i="10" s="1"/>
  <c r="K57" i="10"/>
  <c r="U43" i="10"/>
  <c r="U67" i="10" s="1"/>
  <c r="Y35" i="10"/>
  <c r="AP44" i="10"/>
  <c r="AP62" i="10"/>
  <c r="K36" i="10"/>
  <c r="K60" i="10" s="1"/>
  <c r="AL43" i="10"/>
  <c r="AL67" i="10" s="1"/>
  <c r="AF20" i="32"/>
  <c r="AE33" i="10"/>
  <c r="AE57" i="10" s="1"/>
  <c r="D40" i="10"/>
  <c r="AP67" i="10"/>
  <c r="AP43" i="32"/>
  <c r="AQ19" i="32"/>
  <c r="D39" i="10"/>
  <c r="D55" i="10"/>
  <c r="AN55" i="10"/>
  <c r="AI67" i="10"/>
  <c r="AY480" i="9"/>
  <c r="AZ360" i="9"/>
  <c r="AX336" i="9"/>
  <c r="BD336" i="9"/>
  <c r="BC192" i="9"/>
  <c r="X92" i="21"/>
  <c r="P69" i="16"/>
  <c r="T322" i="21"/>
  <c r="AE368" i="21"/>
  <c r="AE46" i="21"/>
  <c r="M74" i="9"/>
  <c r="AO74" i="9"/>
  <c r="AA194" i="9"/>
  <c r="R534" i="9"/>
  <c r="AO115" i="21"/>
  <c r="AE123" i="9"/>
  <c r="AE230" i="21"/>
  <c r="AQ368" i="21"/>
  <c r="AV120" i="9"/>
  <c r="AV121" i="9" s="1"/>
  <c r="O23" i="16"/>
  <c r="K74" i="9"/>
  <c r="BC28" i="9"/>
  <c r="AF314" i="9"/>
  <c r="N315" i="9"/>
  <c r="AO123" i="9"/>
  <c r="AR270" i="9"/>
  <c r="AT270" i="9" s="1"/>
  <c r="AL161" i="21"/>
  <c r="AP184" i="21"/>
  <c r="AB207" i="21"/>
  <c r="AI506" i="9"/>
  <c r="AG534" i="9"/>
  <c r="AC387" i="9"/>
  <c r="AE363" i="9"/>
  <c r="AL373" i="21"/>
  <c r="AQ74" i="9"/>
  <c r="D267" i="9"/>
  <c r="D481" i="9"/>
  <c r="E481" i="9" s="1"/>
  <c r="F481" i="9" s="1"/>
  <c r="G481" i="9" s="1"/>
  <c r="H481" i="9" s="1"/>
  <c r="I481" i="9" s="1"/>
  <c r="J481" i="9" s="1"/>
  <c r="K481" i="9" s="1"/>
  <c r="L481" i="9" s="1"/>
  <c r="M481" i="9" s="1"/>
  <c r="N481" i="9" s="1"/>
  <c r="O481" i="9" s="1"/>
  <c r="P481" i="9" s="1"/>
  <c r="Q481" i="9" s="1"/>
  <c r="R481" i="9" s="1"/>
  <c r="S481" i="9" s="1"/>
  <c r="T481" i="9" s="1"/>
  <c r="U481" i="9" s="1"/>
  <c r="AO531" i="9"/>
  <c r="U531" i="9"/>
  <c r="AV504" i="9"/>
  <c r="AV505" i="9" s="1"/>
  <c r="AW505" i="9" s="1"/>
  <c r="AX505" i="9" s="1"/>
  <c r="AF161" i="21"/>
  <c r="AI387" i="9"/>
  <c r="AJ46" i="21"/>
  <c r="AR486" i="9"/>
  <c r="AM184" i="21"/>
  <c r="Z138" i="21"/>
  <c r="AJ207" i="21"/>
  <c r="D92" i="21"/>
  <c r="D93" i="21" s="1"/>
  <c r="AN122" i="9"/>
  <c r="AR462" i="9"/>
  <c r="AT462" i="9" s="1"/>
  <c r="AR174" i="9"/>
  <c r="AK345" i="21"/>
  <c r="D193" i="9"/>
  <c r="E193" i="9" s="1"/>
  <c r="F193" i="9" s="1"/>
  <c r="G193" i="9" s="1"/>
  <c r="H193" i="9" s="1"/>
  <c r="I193" i="9" s="1"/>
  <c r="J193" i="9" s="1"/>
  <c r="K193" i="9" s="1"/>
  <c r="L193" i="9" s="1"/>
  <c r="M193" i="9" s="1"/>
  <c r="N193" i="9" s="1"/>
  <c r="O193" i="9" s="1"/>
  <c r="P193" i="9" s="1"/>
  <c r="Q193" i="9" s="1"/>
  <c r="D121" i="9"/>
  <c r="E121" i="9" s="1"/>
  <c r="F121" i="9"/>
  <c r="G121" i="9" s="1"/>
  <c r="H121" i="9" s="1"/>
  <c r="I121" i="9" s="1"/>
  <c r="J121" i="9" s="1"/>
  <c r="D218" i="9"/>
  <c r="C36" i="14" s="1"/>
  <c r="C47" i="14" s="1"/>
  <c r="O46" i="21"/>
  <c r="AB195" i="9"/>
  <c r="AJ363" i="9"/>
  <c r="AE339" i="9"/>
  <c r="AI363" i="9"/>
  <c r="AV312" i="9"/>
  <c r="AV313" i="9" s="1"/>
  <c r="AY510" i="9"/>
  <c r="BJ510" i="9"/>
  <c r="S345" i="21"/>
  <c r="AM373" i="21"/>
  <c r="AK291" i="9"/>
  <c r="AF534" i="9"/>
  <c r="AR294" i="9"/>
  <c r="AT294" i="9" s="1"/>
  <c r="AV192" i="9"/>
  <c r="AV193" i="9" s="1"/>
  <c r="AW193" i="9" s="1"/>
  <c r="AX193" i="9" s="1"/>
  <c r="AC74" i="9"/>
  <c r="D313" i="9"/>
  <c r="E313" i="9"/>
  <c r="F313" i="9" s="1"/>
  <c r="G313" i="9" s="1"/>
  <c r="H313" i="9" s="1"/>
  <c r="I313" i="9" s="1"/>
  <c r="J313" i="9" s="1"/>
  <c r="K313" i="9" s="1"/>
  <c r="L313" i="9" s="1"/>
  <c r="M313" i="9" s="1"/>
  <c r="N313" i="9" s="1"/>
  <c r="O313" i="9" s="1"/>
  <c r="P313" i="9" s="1"/>
  <c r="Q313" i="9" s="1"/>
  <c r="AP51" i="33"/>
  <c r="AV480" i="9"/>
  <c r="AV481" i="9" s="1"/>
  <c r="BB28" i="9"/>
  <c r="BB46" i="9" s="1"/>
  <c r="BA28" i="9"/>
  <c r="BL28" i="9" s="1"/>
  <c r="AF368" i="21"/>
  <c r="AL69" i="16"/>
  <c r="AG170" i="9"/>
  <c r="AO387" i="9"/>
  <c r="X482" i="9"/>
  <c r="AK195" i="9"/>
  <c r="AX150" i="9"/>
  <c r="BI150" i="9" s="1"/>
  <c r="AB314" i="9"/>
  <c r="AN315" i="9"/>
  <c r="O386" i="9"/>
  <c r="Z194" i="9"/>
  <c r="R218" i="9"/>
  <c r="AN74" i="16"/>
  <c r="BA510" i="9"/>
  <c r="BL510" i="9" s="1"/>
  <c r="BL528" i="9" s="1"/>
  <c r="AX510" i="9"/>
  <c r="BI510" i="9" s="1"/>
  <c r="AZ510" i="9"/>
  <c r="AZ528" i="9" s="1"/>
  <c r="AZ560" i="9" s="1"/>
  <c r="AZ572" i="9" s="1"/>
  <c r="BC510" i="9"/>
  <c r="BN510" i="9"/>
  <c r="T362" i="9"/>
  <c r="P482" i="9"/>
  <c r="AF195" i="9"/>
  <c r="AM171" i="9"/>
  <c r="AI147" i="9"/>
  <c r="AD534" i="9"/>
  <c r="AN362" i="9"/>
  <c r="AO74" i="16"/>
  <c r="AI195" i="9"/>
  <c r="AK315" i="9"/>
  <c r="Q51" i="33"/>
  <c r="BD28" i="9"/>
  <c r="BO28" i="9" s="1"/>
  <c r="AC170" i="9"/>
  <c r="AP266" i="9"/>
  <c r="R483" i="9"/>
  <c r="BD510" i="9"/>
  <c r="AH534" i="9"/>
  <c r="AI171" i="9"/>
  <c r="AI483" i="9"/>
  <c r="Z531" i="9"/>
  <c r="BB510" i="9"/>
  <c r="X314" i="9"/>
  <c r="R506" i="9"/>
  <c r="O534" i="9"/>
  <c r="D74" i="9"/>
  <c r="AE74" i="9"/>
  <c r="AN207" i="21"/>
  <c r="AG115" i="21"/>
  <c r="O161" i="21"/>
  <c r="BO102" i="9"/>
  <c r="D534" i="9"/>
  <c r="AV534" i="9" s="1"/>
  <c r="AE194" i="9"/>
  <c r="AM291" i="9"/>
  <c r="AE387" i="9"/>
  <c r="AJ387" i="9"/>
  <c r="AC507" i="9"/>
  <c r="AJ315" i="9"/>
  <c r="W531" i="9"/>
  <c r="W291" i="9"/>
  <c r="N194" i="9"/>
  <c r="O531" i="9"/>
  <c r="AV360" i="9"/>
  <c r="AV361" i="9"/>
  <c r="AF74" i="9"/>
  <c r="AP69" i="16"/>
  <c r="AM74" i="9"/>
  <c r="AR510" i="9"/>
  <c r="AN46" i="16"/>
  <c r="AQ23" i="16"/>
  <c r="D529" i="9"/>
  <c r="E529" i="9"/>
  <c r="F529" i="9" s="1"/>
  <c r="G529" i="9" s="1"/>
  <c r="H529" i="9" s="1"/>
  <c r="I529" i="9" s="1"/>
  <c r="J529" i="9" s="1"/>
  <c r="K529" i="9" s="1"/>
  <c r="L529" i="9" s="1"/>
  <c r="M529" i="9" s="1"/>
  <c r="N529" i="9" s="1"/>
  <c r="O529" i="9" s="1"/>
  <c r="P529" i="9" s="1"/>
  <c r="Q529" i="9" s="1"/>
  <c r="R529" i="9" s="1"/>
  <c r="S529" i="9" s="1"/>
  <c r="T529" i="9" s="1"/>
  <c r="U529" i="9" s="1"/>
  <c r="V529" i="9" s="1"/>
  <c r="W529" i="9" s="1"/>
  <c r="X529" i="9" s="1"/>
  <c r="Y529" i="9" s="1"/>
  <c r="Z529" i="9" s="1"/>
  <c r="AA529" i="9" s="1"/>
  <c r="AB529" i="9" s="1"/>
  <c r="AC529" i="9" s="1"/>
  <c r="AD529" i="9" s="1"/>
  <c r="AE529" i="9" s="1"/>
  <c r="AF529" i="9" s="1"/>
  <c r="AG529" i="9" s="1"/>
  <c r="AH529" i="9" s="1"/>
  <c r="AI529" i="9" s="1"/>
  <c r="AJ529" i="9" s="1"/>
  <c r="AK529" i="9" s="1"/>
  <c r="AL529" i="9" s="1"/>
  <c r="AM529" i="9" s="1"/>
  <c r="AN529" i="9" s="1"/>
  <c r="AO529" i="9" s="1"/>
  <c r="AP529" i="9" s="1"/>
  <c r="AQ529" i="9" s="1"/>
  <c r="BM318" i="9"/>
  <c r="D51" i="33"/>
  <c r="Z74" i="16"/>
  <c r="AV74" i="9"/>
  <c r="O194" i="9"/>
  <c r="AC315" i="9"/>
  <c r="AG195" i="9"/>
  <c r="AK171" i="9"/>
  <c r="AR318" i="9"/>
  <c r="AT318" i="9" s="1"/>
  <c r="AQ74" i="16"/>
  <c r="AQ39" i="10"/>
  <c r="AQ63" i="10" s="1"/>
  <c r="AV6" i="9"/>
  <c r="D23" i="9"/>
  <c r="D24" i="9" s="1"/>
  <c r="E24" i="9" s="1"/>
  <c r="F24" i="9" s="1"/>
  <c r="AQ75" i="9"/>
  <c r="U75" i="9"/>
  <c r="S75" i="9"/>
  <c r="AM75" i="9"/>
  <c r="AR223" i="9"/>
  <c r="AR367" i="9"/>
  <c r="AT367" i="9" s="1"/>
  <c r="D47" i="9"/>
  <c r="E47" i="9" s="1"/>
  <c r="F47" i="9" s="1"/>
  <c r="G47" i="9" s="1"/>
  <c r="H47" i="9" s="1"/>
  <c r="I47" i="9" s="1"/>
  <c r="J47" i="9" s="1"/>
  <c r="K47" i="9" s="1"/>
  <c r="L47" i="9" s="1"/>
  <c r="AE92" i="21"/>
  <c r="AI23" i="33"/>
  <c r="AC290" i="9"/>
  <c r="AI339" i="9"/>
  <c r="AA483" i="9"/>
  <c r="AC194" i="9"/>
  <c r="AM266" i="9"/>
  <c r="X338" i="9"/>
  <c r="AP363" i="9"/>
  <c r="BC561" i="9"/>
  <c r="BC573" i="9" s="1"/>
  <c r="AP195" i="9"/>
  <c r="AB363" i="9"/>
  <c r="AK531" i="9"/>
  <c r="AZ52" i="9"/>
  <c r="BK52" i="9" s="1"/>
  <c r="AW511" i="9"/>
  <c r="BH511" i="9" s="1"/>
  <c r="Z535" i="9"/>
  <c r="AR6" i="33"/>
  <c r="AC535" i="9"/>
  <c r="AY511" i="9"/>
  <c r="BJ511" i="9" s="1"/>
  <c r="BJ528" i="9" s="1"/>
  <c r="AY6" i="9"/>
  <c r="BJ6" i="9" s="1"/>
  <c r="AX511" i="9"/>
  <c r="BI511" i="9" s="1"/>
  <c r="AA75" i="9"/>
  <c r="AR319" i="9"/>
  <c r="AT319" i="9" s="1"/>
  <c r="AN122" i="16"/>
  <c r="AN6" i="10" s="1"/>
  <c r="D70" i="9"/>
  <c r="E70" i="9" s="1"/>
  <c r="F70" i="9" s="1"/>
  <c r="G70" i="9" s="1"/>
  <c r="H70" i="9" s="1"/>
  <c r="I70" i="9" s="1"/>
  <c r="J70" i="9" s="1"/>
  <c r="K70" i="9" s="1"/>
  <c r="D338" i="9"/>
  <c r="D69" i="21"/>
  <c r="D70" i="21" s="1"/>
  <c r="E70" i="21"/>
  <c r="P322" i="21"/>
  <c r="D385" i="9"/>
  <c r="E385" i="9" s="1"/>
  <c r="F385" i="9" s="1"/>
  <c r="G385" i="9" s="1"/>
  <c r="H385" i="9" s="1"/>
  <c r="I385" i="9" s="1"/>
  <c r="J385" i="9" s="1"/>
  <c r="K385" i="9" s="1"/>
  <c r="L385" i="9" s="1"/>
  <c r="M385" i="9" s="1"/>
  <c r="N385" i="9" s="1"/>
  <c r="O385" i="9" s="1"/>
  <c r="P385" i="9" s="1"/>
  <c r="Q385" i="9" s="1"/>
  <c r="R385" i="9" s="1"/>
  <c r="S385" i="9" s="1"/>
  <c r="T385" i="9" s="1"/>
  <c r="T374" i="21"/>
  <c r="AN146" i="9"/>
  <c r="AM338" i="9"/>
  <c r="R363" i="9"/>
  <c r="BA504" i="9"/>
  <c r="AB531" i="9"/>
  <c r="AN195" i="9"/>
  <c r="AO314" i="9"/>
  <c r="U146" i="9"/>
  <c r="AG387" i="9"/>
  <c r="AI266" i="9"/>
  <c r="V531" i="9"/>
  <c r="AV384" i="9"/>
  <c r="AV385" i="9"/>
  <c r="BE511" i="9"/>
  <c r="BE528" i="9" s="1"/>
  <c r="BE560" i="9" s="1"/>
  <c r="BE572" i="9" s="1"/>
  <c r="AA535" i="9"/>
  <c r="AP218" i="9"/>
  <c r="AW6" i="9"/>
  <c r="AN374" i="21"/>
  <c r="T75" i="9"/>
  <c r="D75" i="9"/>
  <c r="D535" i="9"/>
  <c r="AV535" i="9" s="1"/>
  <c r="M368" i="21"/>
  <c r="AL531" i="9"/>
  <c r="AA507" i="9"/>
  <c r="AV336" i="9"/>
  <c r="AV337" i="9"/>
  <c r="BE6" i="9"/>
  <c r="BP6" i="9"/>
  <c r="AI52" i="33"/>
  <c r="AI99" i="33" s="1"/>
  <c r="AI6" i="34" s="1"/>
  <c r="AP33" i="10"/>
  <c r="AI242" i="9"/>
  <c r="AG242" i="9"/>
  <c r="AG556" i="9"/>
  <c r="AH6" i="12" s="1"/>
  <c r="AH18" i="12" s="1"/>
  <c r="AF218" i="9"/>
  <c r="AC9" i="10"/>
  <c r="AC33" i="10" s="1"/>
  <c r="AC57" i="10" s="1"/>
  <c r="AB23" i="33"/>
  <c r="AR44" i="33"/>
  <c r="AA46" i="33"/>
  <c r="AR31" i="33"/>
  <c r="Z556" i="9"/>
  <c r="AA6" i="12" s="1"/>
  <c r="AZ8" i="9"/>
  <c r="W184" i="21"/>
  <c r="AR103" i="9"/>
  <c r="AZ28" i="9"/>
  <c r="W482" i="9"/>
  <c r="W195" i="9"/>
  <c r="O46" i="33"/>
  <c r="U23" i="33"/>
  <c r="U537" i="9"/>
  <c r="AR8" i="33"/>
  <c r="AR225" i="9"/>
  <c r="S338" i="9"/>
  <c r="T339" i="9"/>
  <c r="S389" i="21"/>
  <c r="S267" i="9"/>
  <c r="AY221" i="9"/>
  <c r="BJ221" i="9" s="1"/>
  <c r="S242" i="9"/>
  <c r="R537" i="9"/>
  <c r="Q23" i="16"/>
  <c r="Q46" i="33"/>
  <c r="P73" i="9"/>
  <c r="Q533" i="9"/>
  <c r="Z291" i="9"/>
  <c r="AE482" i="9"/>
  <c r="U115" i="21"/>
  <c r="W161" i="21"/>
  <c r="AO507" i="9"/>
  <c r="X195" i="9"/>
  <c r="AE291" i="9"/>
  <c r="S482" i="9"/>
  <c r="AN483" i="9"/>
  <c r="AN267" i="9"/>
  <c r="W506" i="9"/>
  <c r="AK339" i="9"/>
  <c r="AG339" i="9"/>
  <c r="AB387" i="9"/>
  <c r="AB92" i="21"/>
  <c r="Z51" i="33"/>
  <c r="AN338" i="9"/>
  <c r="O482" i="9"/>
  <c r="AM122" i="9"/>
  <c r="W242" i="9"/>
  <c r="AG122" i="9"/>
  <c r="AP170" i="9"/>
  <c r="AE266" i="9"/>
  <c r="W387" i="9"/>
  <c r="BH102" i="9"/>
  <c r="AI368" i="21"/>
  <c r="AG291" i="9"/>
  <c r="AM362" i="9"/>
  <c r="O507" i="9"/>
  <c r="T147" i="9"/>
  <c r="Z506" i="9"/>
  <c r="AO338" i="9"/>
  <c r="AM146" i="9"/>
  <c r="N161" i="21"/>
  <c r="BI318" i="9"/>
  <c r="L161" i="21"/>
  <c r="BN486" i="9"/>
  <c r="U345" i="21"/>
  <c r="D31" i="34"/>
  <c r="Q537" i="9"/>
  <c r="AY321" i="9"/>
  <c r="BJ321" i="9" s="1"/>
  <c r="S537" i="9"/>
  <c r="AR169" i="21"/>
  <c r="AQ537" i="9"/>
  <c r="BE537" i="9" s="1"/>
  <c r="AF31" i="34"/>
  <c r="AY225" i="9"/>
  <c r="BJ225" i="9" s="1"/>
  <c r="AF376" i="21"/>
  <c r="X376" i="21"/>
  <c r="AG77" i="16"/>
  <c r="AG124" i="16" s="1"/>
  <c r="AG8" i="10" s="1"/>
  <c r="AG32" i="10" s="1"/>
  <c r="AE376" i="21"/>
  <c r="AE31" i="11" s="1"/>
  <c r="AE54" i="11" s="1"/>
  <c r="T376" i="21"/>
  <c r="AQ92" i="21"/>
  <c r="AK46" i="16"/>
  <c r="AF122" i="9"/>
  <c r="Z363" i="9"/>
  <c r="AO170" i="9"/>
  <c r="AG314" i="9"/>
  <c r="V77" i="16"/>
  <c r="O77" i="16"/>
  <c r="AC376" i="21"/>
  <c r="P171" i="9"/>
  <c r="AI290" i="9"/>
  <c r="N506" i="9"/>
  <c r="AO195" i="9"/>
  <c r="AP290" i="9"/>
  <c r="W266" i="9"/>
  <c r="N363" i="9"/>
  <c r="AK69" i="16"/>
  <c r="BA8" i="9"/>
  <c r="BL8" i="9" s="1"/>
  <c r="AK77" i="16"/>
  <c r="AR77" i="21"/>
  <c r="AJ482" i="9"/>
  <c r="AA123" i="9"/>
  <c r="AG507" i="9"/>
  <c r="P195" i="9"/>
  <c r="P194" i="9"/>
  <c r="AE389" i="21"/>
  <c r="AQ550" i="9"/>
  <c r="BE550" i="9" s="1"/>
  <c r="AP67" i="33"/>
  <c r="AP114" i="33"/>
  <c r="AP21" i="34" s="1"/>
  <c r="V67" i="33"/>
  <c r="AX190" i="9"/>
  <c r="BI190" i="9" s="1"/>
  <c r="L389" i="21"/>
  <c r="W389" i="21"/>
  <c r="AH389" i="21"/>
  <c r="BB69" i="9"/>
  <c r="M314" i="9"/>
  <c r="AI123" i="9"/>
  <c r="AE146" i="9"/>
  <c r="AA266" i="9"/>
  <c r="N290" i="9"/>
  <c r="AB482" i="9"/>
  <c r="X389" i="21"/>
  <c r="Y389" i="21"/>
  <c r="Z482" i="9"/>
  <c r="AP482" i="9"/>
  <c r="AJ338" i="9"/>
  <c r="AP122" i="9"/>
  <c r="AC339" i="9"/>
  <c r="AA386" i="9"/>
  <c r="V507" i="9"/>
  <c r="AK322" i="21"/>
  <c r="U389" i="21"/>
  <c r="AJ161" i="21"/>
  <c r="AM195" i="9"/>
  <c r="AG230" i="21"/>
  <c r="R75" i="9"/>
  <c r="AR151" i="9"/>
  <c r="AR463" i="9"/>
  <c r="AT463" i="9" s="1"/>
  <c r="AC138" i="21"/>
  <c r="S368" i="21"/>
  <c r="BE168" i="9"/>
  <c r="AP315" i="9"/>
  <c r="X362" i="9"/>
  <c r="M195" i="9"/>
  <c r="AC122" i="9"/>
  <c r="S290" i="9"/>
  <c r="S386" i="9"/>
  <c r="W52" i="33"/>
  <c r="W99" i="33" s="1"/>
  <c r="W6" i="34" s="1"/>
  <c r="AQ535" i="9"/>
  <c r="BE535" i="9" s="1"/>
  <c r="D29" i="34"/>
  <c r="Q535" i="9"/>
  <c r="AL207" i="21"/>
  <c r="AH46" i="21"/>
  <c r="R75" i="16"/>
  <c r="O374" i="21"/>
  <c r="R46" i="33"/>
  <c r="O362" i="9"/>
  <c r="AM386" i="9"/>
  <c r="P386" i="9"/>
  <c r="BC336" i="9"/>
  <c r="BC384" i="9"/>
  <c r="AF338" i="9"/>
  <c r="V363" i="9"/>
  <c r="W146" i="9"/>
  <c r="BC168" i="9"/>
  <c r="T483" i="9"/>
  <c r="U483" i="9"/>
  <c r="AP507" i="9"/>
  <c r="R535" i="9"/>
  <c r="U535" i="9"/>
  <c r="AP99" i="33"/>
  <c r="AP6" i="34" s="1"/>
  <c r="AH374" i="21"/>
  <c r="M374" i="21"/>
  <c r="Q374" i="21"/>
  <c r="AF115" i="21"/>
  <c r="AY360" i="9"/>
  <c r="BC528" i="9"/>
  <c r="BC560" i="9" s="1"/>
  <c r="BC572" i="9" s="1"/>
  <c r="Q195" i="9"/>
  <c r="AZ480" i="9"/>
  <c r="AZ561" i="9" s="1"/>
  <c r="AZ504" i="9"/>
  <c r="AR29" i="33"/>
  <c r="W535" i="9"/>
  <c r="AQ99" i="33"/>
  <c r="AQ6" i="34" s="1"/>
  <c r="AI374" i="21"/>
  <c r="BP29" i="9"/>
  <c r="AM374" i="21"/>
  <c r="AD374" i="21"/>
  <c r="AR328" i="21"/>
  <c r="AT328" i="21" s="1"/>
  <c r="AW328" i="21"/>
  <c r="V115" i="21"/>
  <c r="K17" i="13"/>
  <c r="V17" i="13" s="1"/>
  <c r="AJ374" i="21"/>
  <c r="AW361" i="9"/>
  <c r="P315" i="9"/>
  <c r="AQ386" i="21"/>
  <c r="BD69" i="9"/>
  <c r="AF386" i="21"/>
  <c r="D64" i="33"/>
  <c r="AR41" i="33"/>
  <c r="BE46" i="9"/>
  <c r="AP386" i="21"/>
  <c r="AM386" i="21"/>
  <c r="AA386" i="21"/>
  <c r="S386" i="21"/>
  <c r="AB372" i="21"/>
  <c r="AZ4" i="9"/>
  <c r="BK4" i="9" s="1"/>
  <c r="L372" i="21"/>
  <c r="W372" i="21"/>
  <c r="T372" i="21"/>
  <c r="AL46" i="16"/>
  <c r="R372" i="21"/>
  <c r="S372" i="21"/>
  <c r="AZ27" i="9"/>
  <c r="BK27" i="9" s="1"/>
  <c r="AQ372" i="21"/>
  <c r="X372" i="21"/>
  <c r="P75" i="16"/>
  <c r="P122" i="16" s="1"/>
  <c r="P6" i="10" s="1"/>
  <c r="P30" i="10" s="1"/>
  <c r="P54" i="10" s="1"/>
  <c r="P46" i="16"/>
  <c r="AX18" i="9"/>
  <c r="BI18" i="9" s="1"/>
  <c r="AR29" i="9"/>
  <c r="N372" i="21"/>
  <c r="N170" i="9"/>
  <c r="AX221" i="9"/>
  <c r="BI221" i="9" s="1"/>
  <c r="M533" i="9"/>
  <c r="L69" i="16"/>
  <c r="W74" i="9"/>
  <c r="AY27" i="9"/>
  <c r="BJ27" i="9" s="1"/>
  <c r="BH67" i="9"/>
  <c r="AX67" i="9"/>
  <c r="BI67" i="9" s="1"/>
  <c r="BP52" i="9"/>
  <c r="AX52" i="9"/>
  <c r="BI52" i="9" s="1"/>
  <c r="BA41" i="9"/>
  <c r="BL41" i="9" s="1"/>
  <c r="BA50" i="9"/>
  <c r="BL50" i="9" s="1"/>
  <c r="BJ150" i="9"/>
  <c r="D533" i="9"/>
  <c r="AV221" i="9"/>
  <c r="AV561" i="9"/>
  <c r="AV573" i="9" s="1"/>
  <c r="AZ50" i="9"/>
  <c r="BA4" i="9"/>
  <c r="AX54" i="9"/>
  <c r="AX50" i="9"/>
  <c r="BI50" i="9" s="1"/>
  <c r="AX27" i="9"/>
  <c r="AY50" i="9"/>
  <c r="BJ50" i="9" s="1"/>
  <c r="BC4" i="9"/>
  <c r="BN4" i="9" s="1"/>
  <c r="AZ18" i="9"/>
  <c r="BK18" i="9" s="1"/>
  <c r="AJ59" i="10"/>
  <c r="AO69" i="16"/>
  <c r="BL486" i="9"/>
  <c r="AR366" i="9"/>
  <c r="AT366" i="9" s="1"/>
  <c r="X184" i="21"/>
  <c r="Y373" i="21"/>
  <c r="BA246" i="9"/>
  <c r="BK462" i="9"/>
  <c r="AN69" i="16"/>
  <c r="BL150" i="9"/>
  <c r="AY198" i="9"/>
  <c r="BJ198" i="9" s="1"/>
  <c r="T534" i="9"/>
  <c r="S534" i="9"/>
  <c r="U534" i="9"/>
  <c r="D373" i="21"/>
  <c r="BP150" i="9"/>
  <c r="BM222" i="9"/>
  <c r="BN102" i="9"/>
  <c r="BO246" i="9"/>
  <c r="BN366" i="9"/>
  <c r="BP510" i="9"/>
  <c r="AH92" i="21"/>
  <c r="AI69" i="16"/>
  <c r="BM102" i="9"/>
  <c r="AK74" i="16"/>
  <c r="BN28" i="9"/>
  <c r="AR150" i="9"/>
  <c r="BO294" i="9"/>
  <c r="BM462" i="9"/>
  <c r="BJ486" i="9"/>
  <c r="BJ342" i="9"/>
  <c r="R345" i="21"/>
  <c r="N368" i="21"/>
  <c r="AJ368" i="21"/>
  <c r="BN342" i="9"/>
  <c r="AG51" i="33"/>
  <c r="BI486" i="9"/>
  <c r="M373" i="21"/>
  <c r="BH366" i="9"/>
  <c r="BP126" i="9"/>
  <c r="BP144" i="9" s="1"/>
  <c r="AG138" i="21"/>
  <c r="BH342" i="9"/>
  <c r="BH360" i="9" s="1"/>
  <c r="BH486" i="9"/>
  <c r="BH504" i="9"/>
  <c r="BL462" i="9"/>
  <c r="BO486" i="9"/>
  <c r="V74" i="16"/>
  <c r="AI373" i="21"/>
  <c r="AO207" i="21"/>
  <c r="AH51" i="33"/>
  <c r="AQ534" i="9"/>
  <c r="BE534" i="9" s="1"/>
  <c r="AX222" i="9"/>
  <c r="BC222" i="9"/>
  <c r="AE373" i="21"/>
  <c r="R51" i="33"/>
  <c r="K195" i="9"/>
  <c r="K194" i="9"/>
  <c r="AQ195" i="9"/>
  <c r="AQ194" i="9"/>
  <c r="K171" i="9"/>
  <c r="K170" i="9"/>
  <c r="AH267" i="9"/>
  <c r="AH266" i="9"/>
  <c r="Y267" i="9"/>
  <c r="Y266" i="9"/>
  <c r="Q314" i="9"/>
  <c r="Q315" i="9"/>
  <c r="AD338" i="9"/>
  <c r="AD339" i="9"/>
  <c r="Y339" i="9"/>
  <c r="Y338" i="9"/>
  <c r="AQ363" i="9"/>
  <c r="AQ362" i="9"/>
  <c r="AA534" i="9"/>
  <c r="K122" i="9"/>
  <c r="AD171" i="9"/>
  <c r="AD170" i="9"/>
  <c r="AZ198" i="9"/>
  <c r="BK198" i="9" s="1"/>
  <c r="BE198" i="9"/>
  <c r="AQ218" i="9"/>
  <c r="T242" i="9"/>
  <c r="AH291" i="9"/>
  <c r="AH290" i="9"/>
  <c r="L314" i="9"/>
  <c r="L315" i="9"/>
  <c r="U338" i="9"/>
  <c r="U339" i="9"/>
  <c r="AH339" i="9"/>
  <c r="AH338" i="9"/>
  <c r="K531" i="9"/>
  <c r="AD531" i="9"/>
  <c r="AL123" i="9"/>
  <c r="AL122" i="9"/>
  <c r="AD123" i="9"/>
  <c r="AD122" i="9"/>
  <c r="AD267" i="9"/>
  <c r="AD266" i="9"/>
  <c r="L387" i="9"/>
  <c r="L386" i="9"/>
  <c r="Y386" i="9"/>
  <c r="Y387" i="9"/>
  <c r="K387" i="9"/>
  <c r="K386" i="9"/>
  <c r="BE504" i="9"/>
  <c r="BP486" i="9"/>
  <c r="R531" i="9"/>
  <c r="AQ531" i="9"/>
  <c r="N534" i="9"/>
  <c r="X534" i="9"/>
  <c r="AD195" i="9"/>
  <c r="AD194" i="9"/>
  <c r="BA102" i="9"/>
  <c r="BL102" i="9" s="1"/>
  <c r="Q122" i="9"/>
  <c r="Q123" i="9"/>
  <c r="AH171" i="9"/>
  <c r="AH170" i="9"/>
  <c r="U267" i="9"/>
  <c r="U266" i="9"/>
  <c r="BE246" i="9"/>
  <c r="Y291" i="9"/>
  <c r="Y290" i="9"/>
  <c r="AQ290" i="9"/>
  <c r="AQ291" i="9"/>
  <c r="AH314" i="9"/>
  <c r="AH315" i="9"/>
  <c r="U314" i="9"/>
  <c r="BE294" i="9"/>
  <c r="Q338" i="9"/>
  <c r="Q339" i="9"/>
  <c r="AL362" i="9"/>
  <c r="AL363" i="9"/>
  <c r="Y362" i="9"/>
  <c r="Y363" i="9"/>
  <c r="BE366" i="9"/>
  <c r="Q386" i="9"/>
  <c r="Q387" i="9"/>
  <c r="U507" i="9"/>
  <c r="U506" i="9"/>
  <c r="BP174" i="9"/>
  <c r="BE360" i="9"/>
  <c r="BP342" i="9"/>
  <c r="AL171" i="9"/>
  <c r="AL170" i="9"/>
  <c r="U218" i="9"/>
  <c r="AX246" i="9"/>
  <c r="BI246" i="9" s="1"/>
  <c r="AD363" i="9"/>
  <c r="AD362" i="9"/>
  <c r="AH386" i="9"/>
  <c r="AH387" i="9"/>
  <c r="AL483" i="9"/>
  <c r="AL482" i="9"/>
  <c r="AD482" i="9"/>
  <c r="AD483" i="9"/>
  <c r="Q170" i="9"/>
  <c r="Y218" i="9"/>
  <c r="K267" i="9"/>
  <c r="K266" i="9"/>
  <c r="Y483" i="9"/>
  <c r="Y482" i="9"/>
  <c r="L506" i="9"/>
  <c r="L507" i="9"/>
  <c r="K507" i="9"/>
  <c r="K506" i="9"/>
  <c r="AH506" i="9"/>
  <c r="AH507" i="9"/>
  <c r="AM531" i="9"/>
  <c r="P531" i="9"/>
  <c r="AL147" i="9"/>
  <c r="AL146" i="9"/>
  <c r="AX198" i="9"/>
  <c r="BI198" i="9" s="1"/>
  <c r="AY222" i="9"/>
  <c r="BJ222" i="9" s="1"/>
  <c r="AZ222" i="9"/>
  <c r="BK222" i="9" s="1"/>
  <c r="BE288" i="9"/>
  <c r="BP270" i="9"/>
  <c r="AK534" i="9"/>
  <c r="Q531" i="9"/>
  <c r="V534" i="9"/>
  <c r="L122" i="9"/>
  <c r="L123" i="9"/>
  <c r="L146" i="9"/>
  <c r="L147" i="9"/>
  <c r="K147" i="9"/>
  <c r="K146" i="9"/>
  <c r="AQ147" i="9"/>
  <c r="AQ146" i="9"/>
  <c r="AQ171" i="9"/>
  <c r="AQ170" i="9"/>
  <c r="X218" i="9"/>
  <c r="N267" i="9"/>
  <c r="N266" i="9"/>
  <c r="AL267" i="9"/>
  <c r="AL266" i="9"/>
  <c r="K339" i="9"/>
  <c r="K338" i="9"/>
  <c r="L363" i="9"/>
  <c r="L362" i="9"/>
  <c r="Q363" i="9"/>
  <c r="Q362" i="9"/>
  <c r="AD386" i="9"/>
  <c r="AD387" i="9"/>
  <c r="BE462" i="9"/>
  <c r="L483" i="9"/>
  <c r="L482" i="9"/>
  <c r="AD506" i="9"/>
  <c r="AD507" i="9"/>
  <c r="Y506" i="9"/>
  <c r="Y507" i="9"/>
  <c r="M531" i="9"/>
  <c r="S531" i="9"/>
  <c r="AH531" i="9"/>
  <c r="L195" i="9"/>
  <c r="L194" i="9"/>
  <c r="AZ150" i="9"/>
  <c r="BK150" i="9" s="1"/>
  <c r="Y170" i="9"/>
  <c r="Y171" i="9"/>
  <c r="X242" i="9"/>
  <c r="Z266" i="9"/>
  <c r="Z267" i="9"/>
  <c r="Y314" i="9"/>
  <c r="Y315" i="9"/>
  <c r="AL339" i="9"/>
  <c r="AL338" i="9"/>
  <c r="AN531" i="9"/>
  <c r="AG531" i="9"/>
  <c r="U194" i="9"/>
  <c r="U195" i="9"/>
  <c r="AD147" i="9"/>
  <c r="AD146" i="9"/>
  <c r="Y242" i="9"/>
  <c r="BE222" i="9"/>
  <c r="AD315" i="9"/>
  <c r="AD314" i="9"/>
  <c r="AP531" i="9"/>
  <c r="P534" i="9"/>
  <c r="AH195" i="9"/>
  <c r="AH194" i="9"/>
  <c r="AZ102" i="9"/>
  <c r="BK102" i="9" s="1"/>
  <c r="AH242" i="9"/>
  <c r="AY246" i="9"/>
  <c r="BJ246" i="9" s="1"/>
  <c r="AL291" i="9"/>
  <c r="AL290" i="9"/>
  <c r="L291" i="9"/>
  <c r="L290" i="9"/>
  <c r="K314" i="9"/>
  <c r="K315" i="9"/>
  <c r="AL315" i="9"/>
  <c r="AL314" i="9"/>
  <c r="BE318" i="9"/>
  <c r="L338" i="9"/>
  <c r="L339" i="9"/>
  <c r="U363" i="9"/>
  <c r="U362" i="9"/>
  <c r="Y531" i="9"/>
  <c r="AI531" i="9"/>
  <c r="Q534" i="9"/>
  <c r="L531" i="9"/>
  <c r="AD291" i="9"/>
  <c r="AD290" i="9"/>
  <c r="T531" i="9"/>
  <c r="AJ531" i="9"/>
  <c r="BE102" i="9"/>
  <c r="K363" i="9"/>
  <c r="K362" i="9"/>
  <c r="AH362" i="9"/>
  <c r="AH363" i="9"/>
  <c r="AL386" i="9"/>
  <c r="AL387" i="9"/>
  <c r="AL507" i="9"/>
  <c r="AL506" i="9"/>
  <c r="Z534" i="9"/>
  <c r="Y194" i="9"/>
  <c r="Y195" i="9"/>
  <c r="AH122" i="9"/>
  <c r="AH147" i="9"/>
  <c r="AH146" i="9"/>
  <c r="L171" i="9"/>
  <c r="BB198" i="9"/>
  <c r="AD218" i="9"/>
  <c r="Q290" i="9"/>
  <c r="Q291" i="9"/>
  <c r="K291" i="9"/>
  <c r="K290" i="9"/>
  <c r="AZ366" i="9"/>
  <c r="AH482" i="9"/>
  <c r="AH483" i="9"/>
  <c r="Q482" i="9"/>
  <c r="Q483" i="9"/>
  <c r="K483" i="9"/>
  <c r="K482" i="9"/>
  <c r="AQ506" i="9"/>
  <c r="AQ507" i="9"/>
  <c r="Q507" i="9"/>
  <c r="Q506" i="9"/>
  <c r="AF531" i="9"/>
  <c r="X531" i="9"/>
  <c r="AL195" i="9"/>
  <c r="AL194" i="9"/>
  <c r="Y147" i="9"/>
  <c r="Y534" i="9"/>
  <c r="AA322" i="21"/>
  <c r="AF373" i="21"/>
  <c r="AR327" i="21"/>
  <c r="AT327" i="21" s="1"/>
  <c r="AQ230" i="21"/>
  <c r="AO230" i="21"/>
  <c r="Z373" i="21"/>
  <c r="W373" i="21"/>
  <c r="AR97" i="21"/>
  <c r="R373" i="21"/>
  <c r="P92" i="21"/>
  <c r="K51" i="33"/>
  <c r="AP368" i="21"/>
  <c r="U373" i="21"/>
  <c r="AQ51" i="33"/>
  <c r="AA51" i="33"/>
  <c r="Y51" i="33"/>
  <c r="AR28" i="33"/>
  <c r="AX28" i="9"/>
  <c r="BI28" i="9" s="1"/>
  <c r="AQ207" i="21"/>
  <c r="N345" i="21"/>
  <c r="R368" i="21"/>
  <c r="AJ373" i="21"/>
  <c r="N373" i="21"/>
  <c r="AC207" i="21"/>
  <c r="AR350" i="21"/>
  <c r="AT350" i="21" s="1"/>
  <c r="S51" i="33"/>
  <c r="AN373" i="21"/>
  <c r="AY28" i="9"/>
  <c r="BJ28" i="9" s="1"/>
  <c r="BP51" i="9"/>
  <c r="AX5" i="9"/>
  <c r="BI5" i="9" s="1"/>
  <c r="R322" i="21"/>
  <c r="AC46" i="21"/>
  <c r="AG373" i="21"/>
  <c r="AZ51" i="9"/>
  <c r="BK51" i="9" s="1"/>
  <c r="BQ494" i="9"/>
  <c r="AR6" i="9"/>
  <c r="D483" i="9"/>
  <c r="AR54" i="9"/>
  <c r="D506" i="9"/>
  <c r="D505" i="9"/>
  <c r="E505" i="9"/>
  <c r="F505" i="9" s="1"/>
  <c r="G505" i="9" s="1"/>
  <c r="H505" i="9" s="1"/>
  <c r="I505" i="9" s="1"/>
  <c r="J505" i="9" s="1"/>
  <c r="K505" i="9" s="1"/>
  <c r="L505" i="9" s="1"/>
  <c r="M505" i="9" s="1"/>
  <c r="N505" i="9" s="1"/>
  <c r="O505" i="9" s="1"/>
  <c r="P505" i="9" s="1"/>
  <c r="Q505" i="9" s="1"/>
  <c r="R505" i="9" s="1"/>
  <c r="S505" i="9" s="1"/>
  <c r="T505" i="9" s="1"/>
  <c r="U505" i="9" s="1"/>
  <c r="V505" i="9" s="1"/>
  <c r="W505" i="9" s="1"/>
  <c r="X505" i="9" s="1"/>
  <c r="Y505" i="9" s="1"/>
  <c r="Z505" i="9" s="1"/>
  <c r="AA505" i="9" s="1"/>
  <c r="AB505" i="9" s="1"/>
  <c r="AC505" i="9" s="1"/>
  <c r="AD505" i="9" s="1"/>
  <c r="AE505" i="9" s="1"/>
  <c r="AF505" i="9" s="1"/>
  <c r="AG505" i="9" s="1"/>
  <c r="AH505" i="9" s="1"/>
  <c r="AI505" i="9" s="1"/>
  <c r="AJ505" i="9" s="1"/>
  <c r="AK505" i="9" s="1"/>
  <c r="AL505" i="9" s="1"/>
  <c r="AM505" i="9" s="1"/>
  <c r="AN505" i="9" s="1"/>
  <c r="AO505" i="9" s="1"/>
  <c r="AP505" i="9" s="1"/>
  <c r="AQ505" i="9" s="1"/>
  <c r="O345" i="21"/>
  <c r="AI386" i="21"/>
  <c r="Q386" i="21"/>
  <c r="AH373" i="21"/>
  <c r="L373" i="21"/>
  <c r="O373" i="21"/>
  <c r="AP373" i="21"/>
  <c r="M51" i="33"/>
  <c r="M46" i="33"/>
  <c r="P51" i="33"/>
  <c r="AE51" i="33"/>
  <c r="O51" i="33"/>
  <c r="AA373" i="21"/>
  <c r="AB373" i="21"/>
  <c r="AQ373" i="21"/>
  <c r="X373" i="21"/>
  <c r="AL51" i="33"/>
  <c r="AL46" i="33"/>
  <c r="N51" i="33"/>
  <c r="N46" i="33"/>
  <c r="AJ51" i="33"/>
  <c r="AJ23" i="33"/>
  <c r="L51" i="33"/>
  <c r="L23" i="33"/>
  <c r="AI51" i="33"/>
  <c r="AI46" i="33"/>
  <c r="AK51" i="33"/>
  <c r="AC51" i="33"/>
  <c r="U51" i="33"/>
  <c r="T51" i="33"/>
  <c r="AM51" i="33"/>
  <c r="R207" i="21"/>
  <c r="S373" i="21"/>
  <c r="AD51" i="33"/>
  <c r="V51" i="33"/>
  <c r="AO51" i="33"/>
  <c r="AO46" i="33"/>
  <c r="W51" i="33"/>
  <c r="AF51" i="33"/>
  <c r="AF23" i="33"/>
  <c r="X51" i="33"/>
  <c r="X23" i="33"/>
  <c r="AN46" i="33"/>
  <c r="AN51" i="33"/>
  <c r="AB46" i="33"/>
  <c r="D23" i="33"/>
  <c r="D24" i="33"/>
  <c r="E24" i="33"/>
  <c r="F24" i="33"/>
  <c r="G24" i="33"/>
  <c r="H24" i="33" s="1"/>
  <c r="I24" i="33" s="1"/>
  <c r="AR5" i="33"/>
  <c r="AE207" i="21"/>
  <c r="AR177" i="9"/>
  <c r="O368" i="21"/>
  <c r="AB376" i="21"/>
  <c r="V376" i="21"/>
  <c r="AB69" i="16"/>
  <c r="Z46" i="16"/>
  <c r="AP376" i="21"/>
  <c r="AR146" i="21"/>
  <c r="AT146" i="21" s="1"/>
  <c r="AE115" i="21"/>
  <c r="Q376" i="21"/>
  <c r="AF77" i="16"/>
  <c r="AF124" i="16" s="1"/>
  <c r="AF8" i="10" s="1"/>
  <c r="AO376" i="21"/>
  <c r="AJ77" i="16"/>
  <c r="AR31" i="16"/>
  <c r="AN69" i="21"/>
  <c r="AG46" i="16"/>
  <c r="AF69" i="21"/>
  <c r="AO368" i="21"/>
  <c r="Y376" i="21"/>
  <c r="AI376" i="21"/>
  <c r="AR123" i="21"/>
  <c r="AT123" i="21" s="1"/>
  <c r="N389" i="21"/>
  <c r="AJ389" i="21"/>
  <c r="AQ69" i="16"/>
  <c r="AD389" i="21"/>
  <c r="AR67" i="16"/>
  <c r="AA389" i="21"/>
  <c r="AB322" i="21"/>
  <c r="AR382" i="9"/>
  <c r="AT382" i="9" s="1"/>
  <c r="AR44" i="21"/>
  <c r="AW44" i="21" s="1"/>
  <c r="T389" i="21"/>
  <c r="AF207" i="21"/>
  <c r="D23" i="16"/>
  <c r="D24" i="16"/>
  <c r="E24" i="16"/>
  <c r="F24" i="16"/>
  <c r="G24" i="16"/>
  <c r="H24" i="16"/>
  <c r="I24" i="16"/>
  <c r="J24" i="16"/>
  <c r="K24" i="16"/>
  <c r="AK389" i="21"/>
  <c r="AK44" i="11" s="1"/>
  <c r="AK67" i="11" s="1"/>
  <c r="AM389" i="21"/>
  <c r="P389" i="21"/>
  <c r="AN389" i="21"/>
  <c r="AR52" i="16"/>
  <c r="AO374" i="21"/>
  <c r="D345" i="21"/>
  <c r="D346" i="21" s="1"/>
  <c r="E346" i="21" s="1"/>
  <c r="F346" i="21" s="1"/>
  <c r="G346" i="21" s="1"/>
  <c r="D75" i="16"/>
  <c r="D122" i="16"/>
  <c r="D6" i="10"/>
  <c r="AR351" i="21"/>
  <c r="AT351" i="21" s="1"/>
  <c r="AE374" i="21"/>
  <c r="V184" i="21"/>
  <c r="V374" i="21"/>
  <c r="AF374" i="21"/>
  <c r="S374" i="21"/>
  <c r="X374" i="21"/>
  <c r="R374" i="21"/>
  <c r="AQ374" i="21"/>
  <c r="U207" i="21"/>
  <c r="K230" i="21"/>
  <c r="D386" i="21"/>
  <c r="O386" i="21"/>
  <c r="V386" i="21"/>
  <c r="K386" i="21"/>
  <c r="AN386" i="21"/>
  <c r="T386" i="21"/>
  <c r="X386" i="21"/>
  <c r="AA372" i="21"/>
  <c r="D372" i="21"/>
  <c r="AO372" i="21"/>
  <c r="AG372" i="21"/>
  <c r="AI372" i="21"/>
  <c r="M372" i="21"/>
  <c r="AJ372" i="21"/>
  <c r="AF372" i="21"/>
  <c r="AR245" i="9"/>
  <c r="AH372" i="21"/>
  <c r="V372" i="21"/>
  <c r="AE372" i="21"/>
  <c r="AC372" i="21"/>
  <c r="AR167" i="21"/>
  <c r="K376" i="21"/>
  <c r="AJ386" i="21"/>
  <c r="AO373" i="21"/>
  <c r="X69" i="21"/>
  <c r="AM345" i="21"/>
  <c r="Z372" i="21"/>
  <c r="O230" i="21"/>
  <c r="V46" i="21"/>
  <c r="AC115" i="21"/>
  <c r="AC374" i="21"/>
  <c r="AC389" i="21"/>
  <c r="L138" i="21"/>
  <c r="AK372" i="21"/>
  <c r="P372" i="21"/>
  <c r="W368" i="21"/>
  <c r="AR353" i="21"/>
  <c r="AT353" i="21" s="1"/>
  <c r="L386" i="21"/>
  <c r="M92" i="21"/>
  <c r="AH368" i="21"/>
  <c r="AI46" i="21"/>
  <c r="AP374" i="21"/>
  <c r="AG374" i="21"/>
  <c r="AL389" i="21"/>
  <c r="AL44" i="11" s="1"/>
  <c r="AG376" i="21"/>
  <c r="AE386" i="21"/>
  <c r="AN372" i="21"/>
  <c r="Q373" i="21"/>
  <c r="N386" i="21"/>
  <c r="O372" i="21"/>
  <c r="V389" i="21"/>
  <c r="D376" i="21"/>
  <c r="D423" i="21"/>
  <c r="D8" i="11" s="1"/>
  <c r="AB386" i="21"/>
  <c r="L374" i="21"/>
  <c r="AG386" i="21"/>
  <c r="M386" i="21"/>
  <c r="W376" i="21"/>
  <c r="M376" i="21"/>
  <c r="Z374" i="21"/>
  <c r="W374" i="21"/>
  <c r="V69" i="21"/>
  <c r="AK386" i="21"/>
  <c r="AL386" i="21"/>
  <c r="M23" i="21"/>
  <c r="AL374" i="21"/>
  <c r="O92" i="21"/>
  <c r="AB230" i="21"/>
  <c r="AL372" i="21"/>
  <c r="Q372" i="21"/>
  <c r="U372" i="21"/>
  <c r="AM372" i="21"/>
  <c r="AP23" i="21"/>
  <c r="AP372" i="21"/>
  <c r="AB389" i="21"/>
  <c r="AH376" i="21"/>
  <c r="D374" i="21"/>
  <c r="D421" i="21" s="1"/>
  <c r="D6" i="11" s="1"/>
  <c r="AO389" i="21"/>
  <c r="AI389" i="21"/>
  <c r="Y374" i="21"/>
  <c r="AF389" i="21"/>
  <c r="AH386" i="21"/>
  <c r="R386" i="21"/>
  <c r="P386" i="21"/>
  <c r="AB374" i="21"/>
  <c r="Y386" i="21"/>
  <c r="AK374" i="21"/>
  <c r="AD372" i="21"/>
  <c r="U376" i="21"/>
  <c r="W386" i="21"/>
  <c r="AA374" i="21"/>
  <c r="AC386" i="21"/>
  <c r="AD386" i="21"/>
  <c r="AI69" i="21"/>
  <c r="L207" i="21"/>
  <c r="P374" i="21"/>
  <c r="AC373" i="21"/>
  <c r="AG184" i="21"/>
  <c r="K372" i="21"/>
  <c r="AO386" i="21"/>
  <c r="N23" i="21"/>
  <c r="N374" i="21"/>
  <c r="AD376" i="21"/>
  <c r="AD373" i="21"/>
  <c r="AR215" i="21"/>
  <c r="L376" i="21"/>
  <c r="AK376" i="21"/>
  <c r="AR192" i="21"/>
  <c r="AT192" i="21" s="1"/>
  <c r="D389" i="21"/>
  <c r="O389" i="21"/>
  <c r="U374" i="21"/>
  <c r="Z386" i="21"/>
  <c r="P376" i="21"/>
  <c r="U386" i="21"/>
  <c r="AN376" i="21"/>
  <c r="AM46" i="16"/>
  <c r="D69" i="16"/>
  <c r="D70" i="16"/>
  <c r="E70" i="16"/>
  <c r="F70" i="16"/>
  <c r="G70" i="16"/>
  <c r="H70" i="16"/>
  <c r="I70" i="16"/>
  <c r="J70" i="16"/>
  <c r="K21" i="10"/>
  <c r="AI77" i="16"/>
  <c r="AM77" i="16"/>
  <c r="D77" i="16"/>
  <c r="D124" i="16"/>
  <c r="D8" i="10"/>
  <c r="AE77" i="16"/>
  <c r="AE124" i="16" s="1"/>
  <c r="AE8" i="10" s="1"/>
  <c r="X69" i="16"/>
  <c r="AF69" i="16"/>
  <c r="AF74" i="16"/>
  <c r="D21" i="10"/>
  <c r="AF46" i="16"/>
  <c r="AQ21" i="10"/>
  <c r="AD46" i="16"/>
  <c r="M75" i="16"/>
  <c r="AR29" i="16"/>
  <c r="AR49" i="10"/>
  <c r="AR74" i="10"/>
  <c r="AA230" i="21"/>
  <c r="K207" i="21"/>
  <c r="AD161" i="21"/>
  <c r="AF184" i="21"/>
  <c r="AR31" i="21"/>
  <c r="AR307" i="21"/>
  <c r="AT307" i="21" s="1"/>
  <c r="L23" i="21"/>
  <c r="AA92" i="21"/>
  <c r="P115" i="21"/>
  <c r="AI230" i="21"/>
  <c r="P345" i="21"/>
  <c r="AR330" i="21"/>
  <c r="AT330" i="21" s="1"/>
  <c r="AI115" i="21"/>
  <c r="AF138" i="21"/>
  <c r="W230" i="21"/>
  <c r="AQ46" i="21"/>
  <c r="W46" i="21"/>
  <c r="D115" i="21"/>
  <c r="D116" i="21" s="1"/>
  <c r="T368" i="21"/>
  <c r="AR343" i="21"/>
  <c r="AT343" i="21" s="1"/>
  <c r="O69" i="16"/>
  <c r="AR44" i="16"/>
  <c r="AL77" i="16"/>
  <c r="T77" i="16"/>
  <c r="X75" i="16"/>
  <c r="AJ69" i="16"/>
  <c r="AO23" i="16"/>
  <c r="AC46" i="16"/>
  <c r="W73" i="16"/>
  <c r="AP23" i="16"/>
  <c r="BP101" i="9"/>
  <c r="AL46" i="21"/>
  <c r="AA184" i="21"/>
  <c r="AR28" i="9"/>
  <c r="AQ322" i="21"/>
  <c r="AH69" i="16"/>
  <c r="BJ129" i="9"/>
  <c r="BJ369" i="9"/>
  <c r="AO77" i="16"/>
  <c r="BK345" i="9"/>
  <c r="AR166" i="9"/>
  <c r="AR205" i="21"/>
  <c r="AT205" i="21" s="1"/>
  <c r="AR320" i="21"/>
  <c r="AT320" i="21" s="1"/>
  <c r="AF92" i="21"/>
  <c r="D138" i="21"/>
  <c r="D139" i="21" s="1"/>
  <c r="Y322" i="21"/>
  <c r="AJ92" i="21"/>
  <c r="AO46" i="21"/>
  <c r="W345" i="21"/>
  <c r="AD368" i="21"/>
  <c r="AK46" i="21"/>
  <c r="AM207" i="21"/>
  <c r="AR52" i="9"/>
  <c r="O75" i="9"/>
  <c r="BK343" i="9"/>
  <c r="AM161" i="21"/>
  <c r="AR6" i="16"/>
  <c r="AR343" i="9"/>
  <c r="AT343" i="9" s="1"/>
  <c r="M23" i="16"/>
  <c r="AC368" i="21"/>
  <c r="AG368" i="21"/>
  <c r="AH345" i="21"/>
  <c r="D46" i="21"/>
  <c r="D47" i="21" s="1"/>
  <c r="E47" i="21" s="1"/>
  <c r="F47" i="21" s="1"/>
  <c r="G47" i="21" s="1"/>
  <c r="H47" i="21" s="1"/>
  <c r="I47" i="21" s="1"/>
  <c r="V368" i="21"/>
  <c r="W69" i="16"/>
  <c r="AD69" i="16"/>
  <c r="AB184" i="21"/>
  <c r="AR307" i="9"/>
  <c r="AT307" i="9" s="1"/>
  <c r="AH46" i="16"/>
  <c r="Q368" i="21"/>
  <c r="Y87" i="9"/>
  <c r="Q138" i="21"/>
  <c r="AR115" i="9"/>
  <c r="N23" i="16"/>
  <c r="X368" i="21"/>
  <c r="Y184" i="21"/>
  <c r="AP87" i="16"/>
  <c r="W207" i="21"/>
  <c r="AD345" i="21"/>
  <c r="K92" i="21"/>
  <c r="X115" i="21"/>
  <c r="L69" i="21"/>
  <c r="D368" i="21"/>
  <c r="D369" i="21" s="1"/>
  <c r="E369" i="21" s="1"/>
  <c r="F369" i="21" s="1"/>
  <c r="G369" i="21" s="1"/>
  <c r="H369" i="21" s="1"/>
  <c r="I369" i="21" s="1"/>
  <c r="J369" i="21" s="1"/>
  <c r="M87" i="9"/>
  <c r="AH161" i="21"/>
  <c r="P74" i="9"/>
  <c r="AR54" i="16"/>
  <c r="AA69" i="16"/>
  <c r="AR201" i="9"/>
  <c r="BM201" i="9"/>
  <c r="BJ286" i="9"/>
  <c r="AR238" i="9"/>
  <c r="L90" i="9"/>
  <c r="AR67" i="9"/>
  <c r="N69" i="16"/>
  <c r="Z69" i="16"/>
  <c r="BJ259" i="9"/>
  <c r="BJ163" i="9"/>
  <c r="AH73" i="16"/>
  <c r="BO221" i="9"/>
  <c r="AN43" i="11"/>
  <c r="AJ34" i="10"/>
  <c r="AJ58" i="10" s="1"/>
  <c r="AL23" i="16"/>
  <c r="BN221" i="9"/>
  <c r="AH44" i="10"/>
  <c r="AH34" i="10"/>
  <c r="AE45" i="11"/>
  <c r="AE68" i="11" s="1"/>
  <c r="AE36" i="11"/>
  <c r="AE59" i="11" s="1"/>
  <c r="AD42" i="11"/>
  <c r="AD65" i="11" s="1"/>
  <c r="AF43" i="11"/>
  <c r="AQ45" i="11"/>
  <c r="AQ68" i="11" s="1"/>
  <c r="D32" i="11"/>
  <c r="AL42" i="11"/>
  <c r="AL65" i="11" s="1"/>
  <c r="D43" i="11"/>
  <c r="D44" i="32" s="1"/>
  <c r="D57" i="10"/>
  <c r="O87" i="9"/>
  <c r="N77" i="9"/>
  <c r="M17" i="35" s="1"/>
  <c r="M23" i="35" s="1"/>
  <c r="M56" i="35" s="1"/>
  <c r="D74" i="10"/>
  <c r="D62" i="10"/>
  <c r="AR18" i="9"/>
  <c r="L23" i="16"/>
  <c r="L24" i="16" s="1"/>
  <c r="L75" i="16"/>
  <c r="L122" i="16" s="1"/>
  <c r="AC69" i="21"/>
  <c r="AR189" i="21"/>
  <c r="AT189" i="21" s="1"/>
  <c r="AR51" i="16"/>
  <c r="AR143" i="21"/>
  <c r="AC230" i="21"/>
  <c r="AR100" i="21"/>
  <c r="AR8" i="21"/>
  <c r="BB77" i="9"/>
  <c r="BQ526" i="9"/>
  <c r="D241" i="9"/>
  <c r="E241" i="9" s="1"/>
  <c r="F241" i="9" s="1"/>
  <c r="G241" i="9" s="1"/>
  <c r="H241" i="9" s="1"/>
  <c r="I241" i="9" s="1"/>
  <c r="AW90" i="9"/>
  <c r="M184" i="21"/>
  <c r="AB46" i="16"/>
  <c r="AL90" i="16"/>
  <c r="AR113" i="21"/>
  <c r="AW113" i="21"/>
  <c r="X322" i="21"/>
  <c r="AB115" i="21"/>
  <c r="D315" i="9"/>
  <c r="D171" i="9"/>
  <c r="D314" i="9"/>
  <c r="K75" i="16"/>
  <c r="K122" i="16" s="1"/>
  <c r="K6" i="10" s="1"/>
  <c r="D361" i="9"/>
  <c r="E361" i="9" s="1"/>
  <c r="F361" i="9" s="1"/>
  <c r="G361" i="9" s="1"/>
  <c r="H361" i="9"/>
  <c r="I361" i="9" s="1"/>
  <c r="J361" i="9" s="1"/>
  <c r="K361" i="9" s="1"/>
  <c r="L361" i="9" s="1"/>
  <c r="M361" i="9" s="1"/>
  <c r="N361" i="9" s="1"/>
  <c r="O361" i="9" s="1"/>
  <c r="P361" i="9" s="1"/>
  <c r="Q361" i="9" s="1"/>
  <c r="R361" i="9" s="1"/>
  <c r="S361" i="9" s="1"/>
  <c r="T361" i="9" s="1"/>
  <c r="U361" i="9" s="1"/>
  <c r="V361" i="9" s="1"/>
  <c r="W361" i="9" s="1"/>
  <c r="X361" i="9" s="1"/>
  <c r="Y361" i="9" s="1"/>
  <c r="Z361" i="9" s="1"/>
  <c r="AA361" i="9" s="1"/>
  <c r="AB361" i="9" s="1"/>
  <c r="AC361" i="9" s="1"/>
  <c r="AD361" i="9" s="1"/>
  <c r="AE361" i="9" s="1"/>
  <c r="AF361" i="9" s="1"/>
  <c r="AG361" i="9" s="1"/>
  <c r="AH361" i="9" s="1"/>
  <c r="AI361" i="9" s="1"/>
  <c r="AJ361" i="9" s="1"/>
  <c r="AK361" i="9" s="1"/>
  <c r="AL361" i="9" s="1"/>
  <c r="AM361" i="9" s="1"/>
  <c r="AN361" i="9" s="1"/>
  <c r="AO361" i="9" s="1"/>
  <c r="AP361" i="9" s="1"/>
  <c r="AQ361" i="9" s="1"/>
  <c r="AQ69" i="21"/>
  <c r="K69" i="16"/>
  <c r="AN30" i="10"/>
  <c r="AD69" i="21"/>
  <c r="AN23" i="21"/>
  <c r="AH87" i="16"/>
  <c r="AR259" i="9"/>
  <c r="BH163" i="9"/>
  <c r="K115" i="21"/>
  <c r="D322" i="21"/>
  <c r="D323" i="21" s="1"/>
  <c r="AJ345" i="21"/>
  <c r="D122" i="9"/>
  <c r="D123" i="9"/>
  <c r="AR18" i="21"/>
  <c r="AW18" i="21" s="1"/>
  <c r="AR187" i="9"/>
  <c r="AA345" i="21"/>
  <c r="D184" i="21"/>
  <c r="D185" i="21" s="1"/>
  <c r="E185" i="21" s="1"/>
  <c r="F185" i="21" s="1"/>
  <c r="T46" i="16"/>
  <c r="Z368" i="21"/>
  <c r="S184" i="21"/>
  <c r="D46" i="16"/>
  <c r="D47" i="16"/>
  <c r="E47" i="16"/>
  <c r="F47" i="16"/>
  <c r="G47" i="16"/>
  <c r="H47" i="16"/>
  <c r="I47" i="16"/>
  <c r="J47" i="16"/>
  <c r="K47" i="16"/>
  <c r="D161" i="21"/>
  <c r="D162" i="21" s="1"/>
  <c r="E162" i="21" s="1"/>
  <c r="F162" i="21" s="1"/>
  <c r="G162" i="21" s="1"/>
  <c r="H162" i="21" s="1"/>
  <c r="I162" i="21" s="1"/>
  <c r="J162" i="21" s="1"/>
  <c r="K162" i="21" s="1"/>
  <c r="L162" i="21" s="1"/>
  <c r="M162" i="21" s="1"/>
  <c r="N162" i="21" s="1"/>
  <c r="O162" i="21" s="1"/>
  <c r="P162" i="21" s="1"/>
  <c r="Q162" i="21" s="1"/>
  <c r="AM87" i="16"/>
  <c r="AL87" i="16"/>
  <c r="AJ87" i="16"/>
  <c r="D337" i="9"/>
  <c r="E337" i="9" s="1"/>
  <c r="F337" i="9" s="1"/>
  <c r="G337" i="9" s="1"/>
  <c r="H337" i="9" s="1"/>
  <c r="I337" i="9" s="1"/>
  <c r="J337" i="9" s="1"/>
  <c r="K337" i="9" s="1"/>
  <c r="L337" i="9" s="1"/>
  <c r="M337" i="9" s="1"/>
  <c r="N337" i="9" s="1"/>
  <c r="O337" i="9" s="1"/>
  <c r="P337" i="9" s="1"/>
  <c r="Q337" i="9" s="1"/>
  <c r="D339" i="9"/>
  <c r="Z23" i="16"/>
  <c r="AR41" i="21"/>
  <c r="AW41" i="21" s="1"/>
  <c r="AF87" i="16"/>
  <c r="AD23" i="21"/>
  <c r="AR41" i="16"/>
  <c r="AA138" i="21"/>
  <c r="D194" i="9"/>
  <c r="AE161" i="21"/>
  <c r="Q23" i="21"/>
  <c r="Z73" i="16"/>
  <c r="AB23" i="21"/>
  <c r="AO73" i="16"/>
  <c r="AI23" i="21"/>
  <c r="AM23" i="21"/>
  <c r="L46" i="21"/>
  <c r="D290" i="9"/>
  <c r="Z23" i="21"/>
  <c r="K23" i="21"/>
  <c r="D23" i="21"/>
  <c r="D24" i="21" s="1"/>
  <c r="E24" i="21" s="1"/>
  <c r="F24" i="21" s="1"/>
  <c r="G24" i="21" s="1"/>
  <c r="H24" i="21" s="1"/>
  <c r="I24" i="21" s="1"/>
  <c r="J24" i="21" s="1"/>
  <c r="K24" i="21" s="1"/>
  <c r="AG23" i="21"/>
  <c r="AR5" i="21"/>
  <c r="AR28" i="21"/>
  <c r="N207" i="21"/>
  <c r="T184" i="21"/>
  <c r="AD92" i="21"/>
  <c r="Q115" i="21"/>
  <c r="X161" i="21"/>
  <c r="AR90" i="21"/>
  <c r="AW90" i="21" s="1"/>
  <c r="R138" i="21"/>
  <c r="O207" i="21"/>
  <c r="AH230" i="21"/>
  <c r="AJ138" i="21"/>
  <c r="AO138" i="21"/>
  <c r="AR304" i="21"/>
  <c r="AT304" i="21" s="1"/>
  <c r="R230" i="21"/>
  <c r="AM92" i="21"/>
  <c r="V207" i="21"/>
  <c r="AR213" i="21"/>
  <c r="AT213" i="21" s="1"/>
  <c r="AF46" i="21"/>
  <c r="S230" i="21"/>
  <c r="AP230" i="21"/>
  <c r="AL345" i="21"/>
  <c r="AM69" i="21"/>
  <c r="W322" i="21"/>
  <c r="AR54" i="21"/>
  <c r="AR98" i="21"/>
  <c r="AW98" i="21"/>
  <c r="AR202" i="21"/>
  <c r="AT202" i="21"/>
  <c r="AR52" i="21"/>
  <c r="AW52" i="21" s="1"/>
  <c r="AR120" i="21"/>
  <c r="K161" i="21"/>
  <c r="AR340" i="21"/>
  <c r="AT340" i="21" s="1"/>
  <c r="N230" i="21"/>
  <c r="S138" i="21"/>
  <c r="AR179" i="21"/>
  <c r="AW179" i="21"/>
  <c r="U69" i="21"/>
  <c r="T92" i="21"/>
  <c r="AR228" i="21"/>
  <c r="AW228" i="21"/>
  <c r="AR51" i="21"/>
  <c r="AR212" i="21"/>
  <c r="AT212" i="21" s="1"/>
  <c r="Q230" i="21"/>
  <c r="M46" i="21"/>
  <c r="P23" i="21"/>
  <c r="AR64" i="21"/>
  <c r="AW64" i="21" s="1"/>
  <c r="AR305" i="21"/>
  <c r="AT305" i="21" s="1"/>
  <c r="AH23" i="21"/>
  <c r="R69" i="21"/>
  <c r="P138" i="21"/>
  <c r="AQ42" i="11"/>
  <c r="AQ65" i="11" s="1"/>
  <c r="V92" i="21"/>
  <c r="AR6" i="21"/>
  <c r="AW6" i="21" s="1"/>
  <c r="AP46" i="21"/>
  <c r="AR29" i="21"/>
  <c r="AW29" i="21" s="1"/>
  <c r="AR75" i="21"/>
  <c r="AW75" i="21" s="1"/>
  <c r="AR190" i="21"/>
  <c r="AT190" i="21" s="1"/>
  <c r="AR136" i="21"/>
  <c r="AW136" i="21"/>
  <c r="AR303" i="21"/>
  <c r="AT303" i="21" s="1"/>
  <c r="U23" i="21"/>
  <c r="V138" i="21"/>
  <c r="O138" i="21"/>
  <c r="AG43" i="11"/>
  <c r="AG66" i="11" s="1"/>
  <c r="D45" i="11"/>
  <c r="H17" i="13"/>
  <c r="S17" i="13" s="1"/>
  <c r="AR222" i="9"/>
  <c r="U74" i="9"/>
  <c r="BE74" i="9"/>
  <c r="D265" i="9"/>
  <c r="E265" i="9" s="1"/>
  <c r="F265" i="9" s="1"/>
  <c r="G265" i="9" s="1"/>
  <c r="H265" i="9" s="1"/>
  <c r="I265" i="9" s="1"/>
  <c r="J265" i="9" s="1"/>
  <c r="K265" i="9" s="1"/>
  <c r="D266" i="9"/>
  <c r="BQ465" i="9"/>
  <c r="G17" i="13"/>
  <c r="R17" i="13" s="1"/>
  <c r="BQ478" i="9"/>
  <c r="D195" i="9"/>
  <c r="J17" i="13"/>
  <c r="U17" i="13" s="1"/>
  <c r="Q90" i="9"/>
  <c r="BQ487" i="9"/>
  <c r="AR102" i="9"/>
  <c r="BC77" i="9"/>
  <c r="BO52" i="9"/>
  <c r="D363" i="9"/>
  <c r="L73" i="9"/>
  <c r="I17" i="13"/>
  <c r="T17" i="13" s="1"/>
  <c r="AR175" i="9"/>
  <c r="AR214" i="9"/>
  <c r="D291" i="9"/>
  <c r="BB87" i="9"/>
  <c r="N44" i="13"/>
  <c r="BE90" i="9"/>
  <c r="BQ355" i="9"/>
  <c r="D170" i="9"/>
  <c r="AR31" i="9"/>
  <c r="AR249" i="9"/>
  <c r="AT249" i="9" s="1"/>
  <c r="AQ184" i="21"/>
  <c r="AQ138" i="21"/>
  <c r="AI138" i="21"/>
  <c r="AR73" i="21"/>
  <c r="AW73" i="21" s="1"/>
  <c r="AC23" i="21"/>
  <c r="AP73" i="16"/>
  <c r="AJ46" i="16"/>
  <c r="AR96" i="21"/>
  <c r="O184" i="21"/>
  <c r="N73" i="16"/>
  <c r="X73" i="9"/>
  <c r="M69" i="16"/>
  <c r="N138" i="21"/>
  <c r="Y138" i="21"/>
  <c r="AJ184" i="21"/>
  <c r="AA73" i="16"/>
  <c r="AR269" i="9"/>
  <c r="AT269" i="9" s="1"/>
  <c r="BL27" i="9"/>
  <c r="BJ269" i="9"/>
  <c r="BM27" i="9"/>
  <c r="U73" i="16"/>
  <c r="BH4" i="9"/>
  <c r="S207" i="21"/>
  <c r="V69" i="16"/>
  <c r="R69" i="16"/>
  <c r="AG46" i="21"/>
  <c r="O73" i="16"/>
  <c r="AR50" i="21"/>
  <c r="AW50" i="21" s="1"/>
  <c r="Z161" i="21"/>
  <c r="S23" i="16"/>
  <c r="AW559" i="9"/>
  <c r="AW571" i="9" s="1"/>
  <c r="Q73" i="9"/>
  <c r="AO23" i="21"/>
  <c r="AR142" i="21"/>
  <c r="V73" i="9"/>
  <c r="Z73" i="9"/>
  <c r="AR188" i="21"/>
  <c r="AT188" i="21" s="1"/>
  <c r="AR165" i="21"/>
  <c r="AR27" i="16"/>
  <c r="K73" i="16"/>
  <c r="AE46" i="16"/>
  <c r="AI184" i="21"/>
  <c r="AN73" i="16"/>
  <c r="BM461" i="9"/>
  <c r="AE73" i="16"/>
  <c r="AP345" i="21"/>
  <c r="AR50" i="16"/>
  <c r="AK23" i="21"/>
  <c r="AE23" i="21"/>
  <c r="L322" i="21"/>
  <c r="AQ73" i="16"/>
  <c r="Q73" i="16"/>
  <c r="AC184" i="21"/>
  <c r="AR326" i="21"/>
  <c r="AT326" i="21" s="1"/>
  <c r="Y73" i="9"/>
  <c r="AO46" i="16"/>
  <c r="AR27" i="9"/>
  <c r="AR349" i="21"/>
  <c r="AT349" i="21" s="1"/>
  <c r="AN23" i="16"/>
  <c r="D73" i="16"/>
  <c r="BE73" i="9"/>
  <c r="AR485" i="9"/>
  <c r="AR504" i="9" s="1"/>
  <c r="V23" i="21"/>
  <c r="J16" i="13"/>
  <c r="U16" i="13" s="1"/>
  <c r="BP50" i="9"/>
  <c r="AL230" i="21"/>
  <c r="BL461" i="9"/>
  <c r="AR27" i="21"/>
  <c r="BQ509" i="9"/>
  <c r="D507" i="9"/>
  <c r="AR101" i="9"/>
  <c r="AR50" i="9"/>
  <c r="BD90" i="9"/>
  <c r="D61" i="10"/>
  <c r="D25" i="10"/>
  <c r="E25" i="10" s="1"/>
  <c r="F25" i="10" s="1"/>
  <c r="M59" i="10"/>
  <c r="O322" i="21"/>
  <c r="AR74" i="21"/>
  <c r="W69" i="21"/>
  <c r="AA46" i="16"/>
  <c r="AM74" i="16"/>
  <c r="AM23" i="16"/>
  <c r="AR246" i="9"/>
  <c r="AT246" i="9" s="1"/>
  <c r="AR198" i="9"/>
  <c r="AK23" i="16"/>
  <c r="AR8" i="16"/>
  <c r="BK369" i="9"/>
  <c r="AR369" i="9"/>
  <c r="AT369" i="9" s="1"/>
  <c r="AR321" i="9"/>
  <c r="AT169" i="21" s="1"/>
  <c r="BK105" i="9"/>
  <c r="AR105" i="9"/>
  <c r="BH31" i="9"/>
  <c r="AW77" i="9"/>
  <c r="AR8" i="9"/>
  <c r="Z77" i="9"/>
  <c r="AW205" i="21"/>
  <c r="AR182" i="21"/>
  <c r="AW182" i="21"/>
  <c r="AR159" i="21"/>
  <c r="AW159" i="21"/>
  <c r="T69" i="21"/>
  <c r="AR67" i="21"/>
  <c r="AW67" i="21" s="1"/>
  <c r="M69" i="21"/>
  <c r="AR190" i="9"/>
  <c r="AR44" i="9"/>
  <c r="M90" i="9"/>
  <c r="AR21" i="9"/>
  <c r="Y345" i="21"/>
  <c r="Q207" i="21"/>
  <c r="AR144" i="21"/>
  <c r="AW144" i="21"/>
  <c r="AR121" i="21"/>
  <c r="AT121" i="21" s="1"/>
  <c r="AW121" i="21"/>
  <c r="N92" i="21"/>
  <c r="S69" i="21"/>
  <c r="AA69" i="21"/>
  <c r="Z46" i="21"/>
  <c r="AM46" i="21"/>
  <c r="AL23" i="21"/>
  <c r="BP511" i="9"/>
  <c r="C17" i="13"/>
  <c r="N17" i="13" s="1"/>
  <c r="BH29" i="9"/>
  <c r="BJ29" i="9"/>
  <c r="AC92" i="9"/>
  <c r="AB6" i="14" s="1"/>
  <c r="AB6" i="37" s="1"/>
  <c r="BH6" i="9"/>
  <c r="AW75" i="9"/>
  <c r="BK6" i="9"/>
  <c r="K368" i="21"/>
  <c r="AR363" i="21"/>
  <c r="AT363" i="21" s="1"/>
  <c r="AR317" i="21"/>
  <c r="AT317" i="21" s="1"/>
  <c r="Z230" i="21"/>
  <c r="AD230" i="21"/>
  <c r="AR225" i="21"/>
  <c r="AT225" i="21" s="1"/>
  <c r="AR156" i="21"/>
  <c r="AT156" i="21" s="1"/>
  <c r="AW156" i="21"/>
  <c r="M161" i="21"/>
  <c r="AR133" i="21"/>
  <c r="K138" i="21"/>
  <c r="AR110" i="21"/>
  <c r="L92" i="21"/>
  <c r="AR87" i="21"/>
  <c r="AW87" i="21" s="1"/>
  <c r="AR64" i="16"/>
  <c r="V87" i="16"/>
  <c r="V46" i="16"/>
  <c r="AI46" i="16"/>
  <c r="AQ46" i="16"/>
  <c r="AQ87" i="16"/>
  <c r="X46" i="16"/>
  <c r="AE87" i="16"/>
  <c r="BQ523" i="9"/>
  <c r="BP499" i="9"/>
  <c r="BQ475" i="9"/>
  <c r="BP379" i="9"/>
  <c r="BH379" i="9"/>
  <c r="BP331" i="9"/>
  <c r="BN331" i="9"/>
  <c r="BN336" i="9" s="1"/>
  <c r="BM331" i="9"/>
  <c r="AR235" i="9"/>
  <c r="AR163" i="9"/>
  <c r="AR41" i="9"/>
  <c r="BE87" i="9"/>
  <c r="BP18" i="9"/>
  <c r="BH18" i="9"/>
  <c r="AW87" i="9"/>
  <c r="AR211" i="21"/>
  <c r="AR119" i="21"/>
  <c r="BN485" i="9"/>
  <c r="BL485" i="9"/>
  <c r="BO485" i="9"/>
  <c r="BI485" i="9"/>
  <c r="BI504" i="9" s="1"/>
  <c r="AX559" i="9"/>
  <c r="AX571" i="9" s="1"/>
  <c r="BJ485" i="9"/>
  <c r="BP461" i="9"/>
  <c r="BK461" i="9"/>
  <c r="BN365" i="9"/>
  <c r="BN341" i="9"/>
  <c r="BJ341" i="9"/>
  <c r="AR317" i="9"/>
  <c r="AT317" i="9" s="1"/>
  <c r="BK293" i="9"/>
  <c r="AR293" i="9"/>
  <c r="AT293" i="9" s="1"/>
  <c r="BO293" i="9"/>
  <c r="BP293" i="9"/>
  <c r="BP269" i="9"/>
  <c r="BO245" i="9"/>
  <c r="AR197" i="9"/>
  <c r="BP197" i="9"/>
  <c r="AR173" i="9"/>
  <c r="BK173" i="9"/>
  <c r="AR149" i="9"/>
  <c r="BO101" i="9"/>
  <c r="BO120" i="9"/>
  <c r="BN101" i="9"/>
  <c r="H16" i="13"/>
  <c r="S16" i="13" s="1"/>
  <c r="W73" i="9"/>
  <c r="S73" i="9"/>
  <c r="BN50" i="9"/>
  <c r="I16" i="13"/>
  <c r="T16" i="13"/>
  <c r="AR4" i="9"/>
  <c r="BN8" i="9"/>
  <c r="AE23" i="16"/>
  <c r="BH294" i="9"/>
  <c r="BM366" i="9"/>
  <c r="BM384" i="9" s="1"/>
  <c r="BO510" i="9"/>
  <c r="AA23" i="21"/>
  <c r="AR21" i="21"/>
  <c r="AW21" i="21" s="1"/>
  <c r="AR221" i="9"/>
  <c r="AR4" i="21"/>
  <c r="BL366" i="9"/>
  <c r="AL31" i="11"/>
  <c r="BN246" i="9"/>
  <c r="BN264" i="9" s="1"/>
  <c r="AI30" i="11"/>
  <c r="AI53" i="11" s="1"/>
  <c r="AH23" i="16"/>
  <c r="BC87" i="9"/>
  <c r="BN18" i="9"/>
  <c r="AG23" i="16"/>
  <c r="AF73" i="16"/>
  <c r="AF23" i="16"/>
  <c r="BM18" i="9"/>
  <c r="AD23" i="16"/>
  <c r="AD73" i="16"/>
  <c r="BM6" i="9"/>
  <c r="BB75" i="9"/>
  <c r="BM235" i="9"/>
  <c r="BO342" i="9"/>
  <c r="BO360" i="9" s="1"/>
  <c r="BO198" i="9"/>
  <c r="BJ462" i="9"/>
  <c r="BJ480" i="9" s="1"/>
  <c r="AY561" i="9"/>
  <c r="AY573" i="9" s="1"/>
  <c r="BK510" i="9"/>
  <c r="BK528" i="9" s="1"/>
  <c r="D145" i="9"/>
  <c r="E145" i="9" s="1"/>
  <c r="F145" i="9" s="1"/>
  <c r="G145" i="9" s="1"/>
  <c r="H145" i="9" s="1"/>
  <c r="I145" i="9" s="1"/>
  <c r="J145" i="9" s="1"/>
  <c r="K145" i="9" s="1"/>
  <c r="L145" i="9" s="1"/>
  <c r="D147" i="9"/>
  <c r="D146" i="9"/>
  <c r="BH150" i="9"/>
  <c r="BO318" i="9"/>
  <c r="BO336" i="9"/>
  <c r="BN174" i="9"/>
  <c r="BN192" i="9" s="1"/>
  <c r="BL174" i="9"/>
  <c r="BN294" i="9"/>
  <c r="BC567" i="9"/>
  <c r="BO366" i="9"/>
  <c r="BO384" i="9" s="1"/>
  <c r="BH318" i="9"/>
  <c r="BM342" i="9"/>
  <c r="BM360" i="9" s="1"/>
  <c r="BI174" i="9"/>
  <c r="BL51" i="9"/>
  <c r="BH174" i="9"/>
  <c r="BH192" i="9"/>
  <c r="BI342" i="9"/>
  <c r="BL318" i="9"/>
  <c r="BK486" i="9"/>
  <c r="BK504" i="9" s="1"/>
  <c r="BM126" i="9"/>
  <c r="BM144" i="9"/>
  <c r="BL294" i="9"/>
  <c r="BL312" i="9" s="1"/>
  <c r="BH246" i="9"/>
  <c r="BO174" i="9"/>
  <c r="BO192" i="9" s="1"/>
  <c r="S74" i="16"/>
  <c r="AR28" i="16"/>
  <c r="BO126" i="9"/>
  <c r="BO144" i="9" s="1"/>
  <c r="BO270" i="9"/>
  <c r="BI294" i="9"/>
  <c r="BI270" i="9"/>
  <c r="BI462" i="9"/>
  <c r="BL270" i="9"/>
  <c r="BM270" i="9"/>
  <c r="BM486" i="9"/>
  <c r="AR51" i="9"/>
  <c r="BK270" i="9"/>
  <c r="BM294" i="9"/>
  <c r="BM150" i="9"/>
  <c r="BM168" i="9" s="1"/>
  <c r="BO51" i="9"/>
  <c r="BN51" i="9"/>
  <c r="BN270" i="9"/>
  <c r="BO462" i="9"/>
  <c r="BO480" i="9" s="1"/>
  <c r="BD561" i="9"/>
  <c r="BD573" i="9" s="1"/>
  <c r="BH510" i="9"/>
  <c r="BH528" i="9" s="1"/>
  <c r="BN126" i="9"/>
  <c r="BN144" i="9"/>
  <c r="BH270" i="9"/>
  <c r="BO150" i="9"/>
  <c r="BM174" i="9"/>
  <c r="BM192" i="9"/>
  <c r="BN462" i="9"/>
  <c r="BN480" i="9"/>
  <c r="BM51" i="9"/>
  <c r="BN150" i="9"/>
  <c r="BN168" i="9" s="1"/>
  <c r="BH462" i="9"/>
  <c r="BM246" i="9"/>
  <c r="BM264" i="9" s="1"/>
  <c r="BL342" i="9"/>
  <c r="BL360" i="9" s="1"/>
  <c r="AR166" i="21"/>
  <c r="AT166" i="21" s="1"/>
  <c r="P74" i="16"/>
  <c r="P23" i="16"/>
  <c r="AR5" i="9"/>
  <c r="BJ270" i="9"/>
  <c r="BK342" i="9"/>
  <c r="AR360" i="9"/>
  <c r="AT360" i="9" s="1"/>
  <c r="BJ366" i="9"/>
  <c r="N74" i="9"/>
  <c r="X74" i="9"/>
  <c r="AC44" i="10"/>
  <c r="AC23" i="16"/>
  <c r="AR4" i="16"/>
  <c r="AR21" i="16"/>
  <c r="AA74" i="16"/>
  <c r="AR5" i="16"/>
  <c r="AA23" i="16"/>
  <c r="AA87" i="16"/>
  <c r="AR18" i="16"/>
  <c r="BI336" i="9"/>
  <c r="BL211" i="9"/>
  <c r="AR211" i="9"/>
  <c r="BL198" i="9"/>
  <c r="AO61" i="10"/>
  <c r="AL62" i="10"/>
  <c r="AX192" i="9"/>
  <c r="AF54" i="34"/>
  <c r="D52" i="34"/>
  <c r="D58" i="10"/>
  <c r="AO68" i="10"/>
  <c r="AN61" i="10"/>
  <c r="AQ57" i="10"/>
  <c r="AQ55" i="10"/>
  <c r="AN68" i="10"/>
  <c r="D54" i="34"/>
  <c r="D69" i="33"/>
  <c r="D70" i="33"/>
  <c r="E70" i="33"/>
  <c r="D55" i="11"/>
  <c r="D33" i="32"/>
  <c r="Y59" i="10"/>
  <c r="AP68" i="10"/>
  <c r="D64" i="10"/>
  <c r="D63" i="10"/>
  <c r="AB59" i="10"/>
  <c r="AW528" i="9"/>
  <c r="AV559" i="9"/>
  <c r="AV571" i="9" s="1"/>
  <c r="D552" i="9"/>
  <c r="D553" i="9" s="1"/>
  <c r="BD74" i="9"/>
  <c r="AZ75" i="9"/>
  <c r="F17" i="13"/>
  <c r="Q17" i="13" s="1"/>
  <c r="D92" i="9"/>
  <c r="C6" i="14" s="1"/>
  <c r="C78" i="14" s="1"/>
  <c r="D93" i="9"/>
  <c r="AV567" i="9"/>
  <c r="BM510" i="9"/>
  <c r="AG555" i="9"/>
  <c r="D482" i="9"/>
  <c r="D217" i="9"/>
  <c r="E217" i="9" s="1"/>
  <c r="F217" i="9" s="1"/>
  <c r="G217" i="9" s="1"/>
  <c r="H217" i="9" s="1"/>
  <c r="D556" i="9"/>
  <c r="E6" i="12" s="1"/>
  <c r="BM28" i="9"/>
  <c r="BM46" i="9" s="1"/>
  <c r="BD46" i="9"/>
  <c r="J21" i="13" s="1"/>
  <c r="U21" i="13" s="1"/>
  <c r="Q194" i="9"/>
  <c r="D531" i="9"/>
  <c r="N531" i="9"/>
  <c r="BA528" i="9"/>
  <c r="BA560" i="9" s="1"/>
  <c r="BA572" i="9" s="1"/>
  <c r="BJ360" i="9"/>
  <c r="AE555" i="9"/>
  <c r="AF5" i="12" s="1"/>
  <c r="AF17" i="12" s="1"/>
  <c r="AE73" i="11" s="1"/>
  <c r="AO555" i="9"/>
  <c r="AP5" i="12" s="1"/>
  <c r="AP17" i="12" s="1"/>
  <c r="AO73" i="11" s="1"/>
  <c r="AE531" i="9"/>
  <c r="AK555" i="9"/>
  <c r="AL5" i="12" s="1"/>
  <c r="AL17" i="12" s="1"/>
  <c r="AK73" i="11" s="1"/>
  <c r="D386" i="9"/>
  <c r="AA531" i="9"/>
  <c r="AC531" i="9"/>
  <c r="U147" i="9"/>
  <c r="AN555" i="9"/>
  <c r="AL555" i="9"/>
  <c r="AM5" i="12" s="1"/>
  <c r="AM17" i="12" s="1"/>
  <c r="AL73" i="11" s="1"/>
  <c r="D387" i="9"/>
  <c r="D555" i="9"/>
  <c r="E5" i="12" s="1"/>
  <c r="E17" i="12" s="1"/>
  <c r="D73" i="11" s="1"/>
  <c r="BE75" i="9"/>
  <c r="Z218" i="9"/>
  <c r="AX528" i="9"/>
  <c r="AX560" i="9" s="1"/>
  <c r="BG6" i="9"/>
  <c r="AV23" i="9"/>
  <c r="AV24" i="9" s="1"/>
  <c r="AD555" i="9"/>
  <c r="AE5" i="12" s="1"/>
  <c r="AE17" i="12" s="1"/>
  <c r="AD73" i="11" s="1"/>
  <c r="AI555" i="9"/>
  <c r="AJ5" i="12" s="1"/>
  <c r="AJ17" i="12" s="1"/>
  <c r="AI73" i="11" s="1"/>
  <c r="AP555" i="9"/>
  <c r="AQ5" i="12" s="1"/>
  <c r="AQ17" i="12" s="1"/>
  <c r="AP73" i="11" s="1"/>
  <c r="AM555" i="9"/>
  <c r="AV75" i="9"/>
  <c r="AP57" i="10"/>
  <c r="G16" i="13"/>
  <c r="R16" i="13" s="1"/>
  <c r="U482" i="9"/>
  <c r="BO504" i="9"/>
  <c r="BA46" i="9"/>
  <c r="BG221" i="9"/>
  <c r="D68" i="11"/>
  <c r="P242" i="9"/>
  <c r="BI54" i="9"/>
  <c r="AS11" i="12"/>
  <c r="BN384" i="9"/>
  <c r="AH58" i="10"/>
  <c r="D8" i="32"/>
  <c r="K45" i="10"/>
  <c r="AL67" i="11"/>
  <c r="AP67" i="32"/>
  <c r="AF66" i="11"/>
  <c r="Y556" i="9"/>
  <c r="Z6" i="12" s="1"/>
  <c r="BP504" i="9"/>
  <c r="BN222" i="9"/>
  <c r="BP528" i="9"/>
  <c r="BJ504" i="9"/>
  <c r="BM198" i="9"/>
  <c r="BK366" i="9"/>
  <c r="BO312" i="9"/>
  <c r="BN360" i="9"/>
  <c r="BL480" i="9"/>
  <c r="BE559" i="9"/>
  <c r="BE571" i="9" s="1"/>
  <c r="AQ122" i="9"/>
  <c r="AQ123" i="9"/>
  <c r="BE336" i="9"/>
  <c r="BP318" i="9"/>
  <c r="BP336" i="9" s="1"/>
  <c r="AQ242" i="9"/>
  <c r="AP36" i="14" s="1"/>
  <c r="BE384" i="9"/>
  <c r="BP366" i="9"/>
  <c r="BE312" i="9"/>
  <c r="BE567" i="9" s="1"/>
  <c r="BP294" i="9"/>
  <c r="BE216" i="9"/>
  <c r="BP198" i="9"/>
  <c r="BP216" i="9" s="1"/>
  <c r="BE120" i="9"/>
  <c r="BP102" i="9"/>
  <c r="BP120" i="9"/>
  <c r="U122" i="9"/>
  <c r="U123" i="9"/>
  <c r="BP222" i="9"/>
  <c r="AQ483" i="9"/>
  <c r="AQ482" i="9"/>
  <c r="AQ267" i="9"/>
  <c r="AQ266" i="9"/>
  <c r="BE480" i="9"/>
  <c r="BE561" i="9" s="1"/>
  <c r="BE573" i="9" s="1"/>
  <c r="BP462" i="9"/>
  <c r="BP480" i="9"/>
  <c r="BE264" i="9"/>
  <c r="BP246" i="9"/>
  <c r="BP264" i="9" s="1"/>
  <c r="Y122" i="9"/>
  <c r="AQ338" i="9"/>
  <c r="AQ339" i="9"/>
  <c r="U170" i="9"/>
  <c r="U171" i="9"/>
  <c r="AQ386" i="9"/>
  <c r="AQ554" i="9" s="1"/>
  <c r="AQ387" i="9"/>
  <c r="AQ314" i="9"/>
  <c r="AQ315" i="9"/>
  <c r="Y69" i="33"/>
  <c r="K70" i="16"/>
  <c r="L70" i="16"/>
  <c r="M70" i="16" s="1"/>
  <c r="BL246" i="9"/>
  <c r="AK69" i="33"/>
  <c r="AQ45" i="10"/>
  <c r="AQ69" i="10" s="1"/>
  <c r="AF32" i="10"/>
  <c r="AZ87" i="9"/>
  <c r="BH168" i="9"/>
  <c r="D66" i="11"/>
  <c r="AH68" i="10"/>
  <c r="I12" i="13"/>
  <c r="T12" i="13" s="1"/>
  <c r="AT215" i="21"/>
  <c r="AM44" i="11"/>
  <c r="AM67" i="11" s="1"/>
  <c r="D31" i="11"/>
  <c r="D54" i="11" s="1"/>
  <c r="D30" i="10"/>
  <c r="D32" i="10"/>
  <c r="AO92" i="16"/>
  <c r="BI27" i="9"/>
  <c r="BQ499" i="9"/>
  <c r="AP92" i="16"/>
  <c r="F16" i="13"/>
  <c r="Q16" i="13" s="1"/>
  <c r="D92" i="16"/>
  <c r="D93" i="16"/>
  <c r="E93" i="16"/>
  <c r="F93" i="16"/>
  <c r="G93" i="16"/>
  <c r="H93" i="16" s="1"/>
  <c r="I93" i="16" s="1"/>
  <c r="J93" i="16" s="1"/>
  <c r="BQ485" i="9"/>
  <c r="H21" i="13"/>
  <c r="S21" i="13" s="1"/>
  <c r="BK50" i="9"/>
  <c r="BA559" i="9"/>
  <c r="BA571" i="9" s="1"/>
  <c r="AW322" i="21"/>
  <c r="AW317" i="21"/>
  <c r="AW161" i="21"/>
  <c r="AW133" i="21"/>
  <c r="AW110" i="21"/>
  <c r="AQ92" i="16"/>
  <c r="BQ379" i="9"/>
  <c r="AW119" i="21"/>
  <c r="AT119" i="21"/>
  <c r="BQ461" i="9"/>
  <c r="BQ341" i="9"/>
  <c r="BJ245" i="9"/>
  <c r="BL149" i="9"/>
  <c r="AZ559" i="9"/>
  <c r="AZ571" i="9" s="1"/>
  <c r="AW560" i="9"/>
  <c r="AW572" i="9" s="1"/>
  <c r="AX567" i="9"/>
  <c r="AW345" i="21"/>
  <c r="BH480" i="9"/>
  <c r="BM504" i="9"/>
  <c r="BQ486" i="9"/>
  <c r="BK360" i="9"/>
  <c r="AC68" i="10"/>
  <c r="AO5" i="12"/>
  <c r="AO17" i="12" s="1"/>
  <c r="AN73" i="11" s="1"/>
  <c r="AH5" i="12"/>
  <c r="AH17" i="12" s="1"/>
  <c r="AG73" i="11" s="1"/>
  <c r="AN5" i="12"/>
  <c r="AN17" i="12" s="1"/>
  <c r="AM73" i="11" s="1"/>
  <c r="D95" i="9"/>
  <c r="E4" i="12" s="1"/>
  <c r="E16" i="12" s="1"/>
  <c r="D77" i="10" s="1"/>
  <c r="D554" i="9"/>
  <c r="AW207" i="21"/>
  <c r="AS10" i="12"/>
  <c r="AS13" i="12"/>
  <c r="M13" i="12"/>
  <c r="K69" i="10"/>
  <c r="AQ556" i="9"/>
  <c r="AR6" i="12" s="1"/>
  <c r="D56" i="10"/>
  <c r="D54" i="10"/>
  <c r="AR362" i="9"/>
  <c r="AR75" i="11"/>
  <c r="AS8" i="12"/>
  <c r="AW230" i="21"/>
  <c r="AW115" i="21"/>
  <c r="AR85" i="10"/>
  <c r="L71" i="32"/>
  <c r="D71" i="32"/>
  <c r="AI71" i="32"/>
  <c r="AM71" i="32"/>
  <c r="U71" i="32"/>
  <c r="K71" i="32"/>
  <c r="AR75" i="34"/>
  <c r="AP71" i="32"/>
  <c r="P71" i="32"/>
  <c r="AE71" i="32"/>
  <c r="AF71" i="32"/>
  <c r="AK71" i="32"/>
  <c r="O71" i="32"/>
  <c r="M71" i="32"/>
  <c r="V71" i="32"/>
  <c r="AO71" i="32"/>
  <c r="Q71" i="32"/>
  <c r="AH71" i="32"/>
  <c r="AL71" i="32"/>
  <c r="AQ71" i="32"/>
  <c r="T71" i="32"/>
  <c r="S71" i="32"/>
  <c r="AJ71" i="32"/>
  <c r="Y71" i="32"/>
  <c r="N71" i="32"/>
  <c r="R71" i="32"/>
  <c r="Z71" i="32"/>
  <c r="AD71" i="32"/>
  <c r="AG71" i="32"/>
  <c r="AC71" i="32"/>
  <c r="W71" i="32"/>
  <c r="AA71" i="32"/>
  <c r="X71" i="32"/>
  <c r="AB71" i="32"/>
  <c r="AN71" i="32"/>
  <c r="AR47" i="32"/>
  <c r="AR71" i="32"/>
  <c r="AQ75" i="36"/>
  <c r="C24" i="36"/>
  <c r="C11" i="14"/>
  <c r="C16" i="14" s="1"/>
  <c r="AQ427" i="21" l="1"/>
  <c r="AQ12" i="11" s="1"/>
  <c r="AR403" i="21"/>
  <c r="AR427" i="21" s="1"/>
  <c r="AQ423" i="21"/>
  <c r="AQ8" i="11" s="1"/>
  <c r="AQ31" i="11" s="1"/>
  <c r="AQ54" i="11" s="1"/>
  <c r="AR399" i="21"/>
  <c r="AR423" i="21" s="1"/>
  <c r="AP115" i="33"/>
  <c r="AP22" i="34" s="1"/>
  <c r="AO128" i="16"/>
  <c r="AO12" i="10" s="1"/>
  <c r="AO36" i="10" s="1"/>
  <c r="AO60" i="10" s="1"/>
  <c r="AN420" i="21"/>
  <c r="AN5" i="11" s="1"/>
  <c r="AR396" i="21"/>
  <c r="AR420" i="21" s="1"/>
  <c r="AO115" i="33"/>
  <c r="AO22" i="34" s="1"/>
  <c r="K67" i="11"/>
  <c r="K39" i="11"/>
  <c r="K34" i="11"/>
  <c r="K32" i="11"/>
  <c r="K42" i="11"/>
  <c r="AN115" i="33"/>
  <c r="AN22" i="34" s="1"/>
  <c r="AN45" i="34" s="1"/>
  <c r="AM92" i="16"/>
  <c r="AM115" i="33"/>
  <c r="AM22" i="34" s="1"/>
  <c r="AM71" i="33"/>
  <c r="AM242" i="9"/>
  <c r="AL115" i="33"/>
  <c r="AL22" i="34" s="1"/>
  <c r="BD75" i="9"/>
  <c r="AK122" i="16"/>
  <c r="AK6" i="10" s="1"/>
  <c r="AK30" i="10" s="1"/>
  <c r="AK54" i="10" s="1"/>
  <c r="AK115" i="33"/>
  <c r="AK22" i="34" s="1"/>
  <c r="AK71" i="33"/>
  <c r="BN9" i="9"/>
  <c r="AK242" i="9"/>
  <c r="AJ115" i="33"/>
  <c r="AJ22" i="34" s="1"/>
  <c r="AJ92" i="16"/>
  <c r="AJ218" i="9"/>
  <c r="I11" i="13"/>
  <c r="T11" i="13" s="1"/>
  <c r="AI31" i="10"/>
  <c r="AI55" i="10" s="1"/>
  <c r="AI7" i="32"/>
  <c r="AI115" i="33"/>
  <c r="AI22" i="34" s="1"/>
  <c r="BC74" i="9"/>
  <c r="AG56" i="20"/>
  <c r="AF57" i="14" s="1"/>
  <c r="BB74" i="9"/>
  <c r="AF242" i="9"/>
  <c r="AE242" i="9"/>
  <c r="AD36" i="14" s="1"/>
  <c r="BB83" i="9"/>
  <c r="AH45" i="11"/>
  <c r="AH68" i="11" s="1"/>
  <c r="AQ20" i="32"/>
  <c r="AQ43" i="11"/>
  <c r="AQ66" i="11" s="1"/>
  <c r="AF37" i="11"/>
  <c r="AF60" i="11" s="1"/>
  <c r="AH32" i="11"/>
  <c r="AH55" i="11" s="1"/>
  <c r="E36" i="11"/>
  <c r="E37" i="32" s="1"/>
  <c r="E59" i="11"/>
  <c r="E13" i="32"/>
  <c r="E63" i="11"/>
  <c r="AN66" i="11"/>
  <c r="K369" i="21"/>
  <c r="L369" i="21" s="1"/>
  <c r="M369" i="21" s="1"/>
  <c r="N369" i="21" s="1"/>
  <c r="O369" i="21" s="1"/>
  <c r="P369" i="21" s="1"/>
  <c r="Q369" i="21" s="1"/>
  <c r="R369" i="21" s="1"/>
  <c r="S369" i="21" s="1"/>
  <c r="T369" i="21" s="1"/>
  <c r="U369" i="21" s="1"/>
  <c r="V369" i="21" s="1"/>
  <c r="W369" i="21" s="1"/>
  <c r="X369" i="21" s="1"/>
  <c r="Y369" i="21" s="1"/>
  <c r="Z369" i="21" s="1"/>
  <c r="AA369" i="21" s="1"/>
  <c r="AB369" i="21" s="1"/>
  <c r="AC369" i="21" s="1"/>
  <c r="AD369" i="21" s="1"/>
  <c r="AE369" i="21" s="1"/>
  <c r="AF369" i="21" s="1"/>
  <c r="AG369" i="21" s="1"/>
  <c r="AH369" i="21" s="1"/>
  <c r="AI369" i="21" s="1"/>
  <c r="AJ369" i="21" s="1"/>
  <c r="AK369" i="21" s="1"/>
  <c r="AL369" i="21" s="1"/>
  <c r="AM369" i="21" s="1"/>
  <c r="AN369" i="21" s="1"/>
  <c r="AO369" i="21" s="1"/>
  <c r="AP369" i="21" s="1"/>
  <c r="AQ369" i="21" s="1"/>
  <c r="H346" i="21"/>
  <c r="I346" i="21" s="1"/>
  <c r="J346" i="21" s="1"/>
  <c r="AW11" i="21"/>
  <c r="AP32" i="11"/>
  <c r="AP55" i="11" s="1"/>
  <c r="AT83" i="21"/>
  <c r="F231" i="21"/>
  <c r="G231" i="21" s="1"/>
  <c r="H231" i="21" s="1"/>
  <c r="I231" i="21" s="1"/>
  <c r="J231" i="21" s="1"/>
  <c r="E116" i="21"/>
  <c r="F116" i="21" s="1"/>
  <c r="G116" i="21" s="1"/>
  <c r="H116" i="21" s="1"/>
  <c r="I116" i="21" s="1"/>
  <c r="J116" i="21" s="1"/>
  <c r="K116" i="21" s="1"/>
  <c r="L116" i="21" s="1"/>
  <c r="M116" i="21" s="1"/>
  <c r="N116" i="21" s="1"/>
  <c r="O116" i="21" s="1"/>
  <c r="P116" i="21" s="1"/>
  <c r="Q116" i="21" s="1"/>
  <c r="R116" i="21" s="1"/>
  <c r="S116" i="21" s="1"/>
  <c r="T116" i="21" s="1"/>
  <c r="U116" i="21" s="1"/>
  <c r="V116" i="21" s="1"/>
  <c r="W116" i="21" s="1"/>
  <c r="X116" i="21" s="1"/>
  <c r="Y116" i="21" s="1"/>
  <c r="Z116" i="21" s="1"/>
  <c r="AA116" i="21" s="1"/>
  <c r="AB116" i="21" s="1"/>
  <c r="AC116" i="21" s="1"/>
  <c r="AD116" i="21" s="1"/>
  <c r="AE116" i="21" s="1"/>
  <c r="AF116" i="21" s="1"/>
  <c r="AG116" i="21" s="1"/>
  <c r="AH116" i="21" s="1"/>
  <c r="AI116" i="21" s="1"/>
  <c r="AJ116" i="21" s="1"/>
  <c r="AK116" i="21" s="1"/>
  <c r="AL116" i="21" s="1"/>
  <c r="AM116" i="21" s="1"/>
  <c r="AN116" i="21" s="1"/>
  <c r="AO116" i="21" s="1"/>
  <c r="AP116" i="21" s="1"/>
  <c r="AQ116" i="21" s="1"/>
  <c r="L277" i="21"/>
  <c r="M277" i="21" s="1"/>
  <c r="N277" i="21" s="1"/>
  <c r="O277" i="21" s="1"/>
  <c r="P277" i="21" s="1"/>
  <c r="Q277" i="21" s="1"/>
  <c r="R277" i="21" s="1"/>
  <c r="S277" i="21" s="1"/>
  <c r="T277" i="21" s="1"/>
  <c r="U277" i="21" s="1"/>
  <c r="V277" i="21" s="1"/>
  <c r="W277" i="21" s="1"/>
  <c r="X277" i="21" s="1"/>
  <c r="Y277" i="21" s="1"/>
  <c r="Z277" i="21" s="1"/>
  <c r="AA277" i="21" s="1"/>
  <c r="AB277" i="21" s="1"/>
  <c r="AC277" i="21" s="1"/>
  <c r="AD277" i="21" s="1"/>
  <c r="AE277" i="21" s="1"/>
  <c r="AF277" i="21" s="1"/>
  <c r="AG277" i="21" s="1"/>
  <c r="AH277" i="21" s="1"/>
  <c r="AI277" i="21" s="1"/>
  <c r="AJ277" i="21" s="1"/>
  <c r="AK277" i="21" s="1"/>
  <c r="AL277" i="21" s="1"/>
  <c r="AM277" i="21" s="1"/>
  <c r="AN277" i="21" s="1"/>
  <c r="AO277" i="21" s="1"/>
  <c r="AP277" i="21" s="1"/>
  <c r="AQ277" i="21" s="1"/>
  <c r="E17" i="32"/>
  <c r="D391" i="21"/>
  <c r="D392" i="21" s="1"/>
  <c r="F70" i="21"/>
  <c r="G70" i="21" s="1"/>
  <c r="H70" i="21" s="1"/>
  <c r="I70" i="21" s="1"/>
  <c r="J70" i="21" s="1"/>
  <c r="K70" i="21" s="1"/>
  <c r="J55" i="11"/>
  <c r="K8" i="11"/>
  <c r="E59" i="32"/>
  <c r="D38" i="11"/>
  <c r="D39" i="32" s="1"/>
  <c r="D15" i="32"/>
  <c r="AJ43" i="11"/>
  <c r="AJ66" i="11" s="1"/>
  <c r="AH36" i="11"/>
  <c r="AH59" i="11" s="1"/>
  <c r="AE30" i="11"/>
  <c r="AE53" i="11" s="1"/>
  <c r="D16" i="32"/>
  <c r="D39" i="11"/>
  <c r="D62" i="11" s="1"/>
  <c r="AP34" i="11"/>
  <c r="AP57" i="11" s="1"/>
  <c r="AO45" i="11"/>
  <c r="AO68" i="11" s="1"/>
  <c r="AP33" i="11"/>
  <c r="AP56" i="11" s="1"/>
  <c r="G37" i="11"/>
  <c r="G60" i="11" s="1"/>
  <c r="AJ30" i="11"/>
  <c r="AJ53" i="11" s="1"/>
  <c r="AP43" i="11"/>
  <c r="AP66" i="11" s="1"/>
  <c r="AL43" i="11"/>
  <c r="AL66" i="11" s="1"/>
  <c r="AQ37" i="11"/>
  <c r="AQ60" i="11" s="1"/>
  <c r="D32" i="32"/>
  <c r="D56" i="32" s="1"/>
  <c r="J47" i="21"/>
  <c r="K47" i="21" s="1"/>
  <c r="L47" i="21" s="1"/>
  <c r="M47" i="21" s="1"/>
  <c r="N47" i="21" s="1"/>
  <c r="O47" i="21" s="1"/>
  <c r="P47" i="21" s="1"/>
  <c r="Q47" i="21" s="1"/>
  <c r="R47" i="21" s="1"/>
  <c r="S47" i="21" s="1"/>
  <c r="T47" i="21" s="1"/>
  <c r="U47" i="21" s="1"/>
  <c r="V47" i="21" s="1"/>
  <c r="W47" i="21" s="1"/>
  <c r="X47" i="21" s="1"/>
  <c r="Y47" i="21" s="1"/>
  <c r="Z47" i="21" s="1"/>
  <c r="AA47" i="21" s="1"/>
  <c r="AB47" i="21" s="1"/>
  <c r="AC47" i="21" s="1"/>
  <c r="AD47" i="21" s="1"/>
  <c r="AE47" i="21" s="1"/>
  <c r="AF47" i="21" s="1"/>
  <c r="AG47" i="21" s="1"/>
  <c r="AH47" i="21" s="1"/>
  <c r="AI47" i="21" s="1"/>
  <c r="AJ47" i="21" s="1"/>
  <c r="AK47" i="21" s="1"/>
  <c r="AL47" i="21" s="1"/>
  <c r="AM47" i="21" s="1"/>
  <c r="AN47" i="21" s="1"/>
  <c r="AO47" i="21" s="1"/>
  <c r="AP47" i="21" s="1"/>
  <c r="AQ47" i="21" s="1"/>
  <c r="AT13" i="21"/>
  <c r="F61" i="11"/>
  <c r="D436" i="21"/>
  <c r="D21" i="11" s="1"/>
  <c r="D44" i="11" s="1"/>
  <c r="D67" i="11" s="1"/>
  <c r="AI391" i="21"/>
  <c r="AH391" i="21"/>
  <c r="AT58" i="21"/>
  <c r="G185" i="21"/>
  <c r="H185" i="21" s="1"/>
  <c r="I185" i="21" s="1"/>
  <c r="J185" i="21" s="1"/>
  <c r="K185" i="21" s="1"/>
  <c r="L185" i="21" s="1"/>
  <c r="M185" i="21" s="1"/>
  <c r="N185" i="21" s="1"/>
  <c r="O185" i="21" s="1"/>
  <c r="P185" i="21" s="1"/>
  <c r="Q185" i="21" s="1"/>
  <c r="E139" i="21"/>
  <c r="F139" i="21" s="1"/>
  <c r="G139" i="21" s="1"/>
  <c r="H139" i="21" s="1"/>
  <c r="I139" i="21" s="1"/>
  <c r="J139" i="21" s="1"/>
  <c r="K139" i="21" s="1"/>
  <c r="L139" i="21" s="1"/>
  <c r="M139" i="21" s="1"/>
  <c r="N139" i="21" s="1"/>
  <c r="O139" i="21" s="1"/>
  <c r="P139" i="21" s="1"/>
  <c r="Q139" i="21" s="1"/>
  <c r="R139" i="21" s="1"/>
  <c r="S139" i="21" s="1"/>
  <c r="T139" i="21" s="1"/>
  <c r="U139" i="21" s="1"/>
  <c r="V139" i="21" s="1"/>
  <c r="W139" i="21" s="1"/>
  <c r="X139" i="21" s="1"/>
  <c r="Y139" i="21" s="1"/>
  <c r="Z139" i="21" s="1"/>
  <c r="AA139" i="21" s="1"/>
  <c r="AB139" i="21" s="1"/>
  <c r="AC139" i="21" s="1"/>
  <c r="AD139" i="21" s="1"/>
  <c r="AE139" i="21" s="1"/>
  <c r="AF139" i="21" s="1"/>
  <c r="AG139" i="21" s="1"/>
  <c r="AH139" i="21" s="1"/>
  <c r="AI139" i="21" s="1"/>
  <c r="AJ139" i="21" s="1"/>
  <c r="AK139" i="21" s="1"/>
  <c r="AL139" i="21" s="1"/>
  <c r="AM139" i="21" s="1"/>
  <c r="AN139" i="21" s="1"/>
  <c r="AO139" i="21" s="1"/>
  <c r="AP139" i="21" s="1"/>
  <c r="AQ139" i="21" s="1"/>
  <c r="AW66" i="21"/>
  <c r="J68" i="11"/>
  <c r="AK391" i="21"/>
  <c r="K391" i="21"/>
  <c r="E57" i="11"/>
  <c r="I421" i="21"/>
  <c r="I6" i="11" s="1"/>
  <c r="I29" i="11" s="1"/>
  <c r="E93" i="21"/>
  <c r="F93" i="21" s="1"/>
  <c r="G93" i="21" s="1"/>
  <c r="H93" i="21" s="1"/>
  <c r="I93" i="21" s="1"/>
  <c r="J93" i="21" s="1"/>
  <c r="K93" i="21" s="1"/>
  <c r="L93" i="21" s="1"/>
  <c r="M93" i="21" s="1"/>
  <c r="N93" i="21" s="1"/>
  <c r="O93" i="21" s="1"/>
  <c r="P93" i="21" s="1"/>
  <c r="Q93" i="21" s="1"/>
  <c r="R93" i="21" s="1"/>
  <c r="S93" i="21" s="1"/>
  <c r="T93" i="21" s="1"/>
  <c r="U93" i="21" s="1"/>
  <c r="V93" i="21" s="1"/>
  <c r="W93" i="21" s="1"/>
  <c r="X93" i="21" s="1"/>
  <c r="Y93" i="21" s="1"/>
  <c r="Z93" i="21" s="1"/>
  <c r="AA93" i="21" s="1"/>
  <c r="AB93" i="21" s="1"/>
  <c r="AC93" i="21" s="1"/>
  <c r="AD93" i="21" s="1"/>
  <c r="AE93" i="21" s="1"/>
  <c r="AF93" i="21" s="1"/>
  <c r="AG93" i="21" s="1"/>
  <c r="AH93" i="21" s="1"/>
  <c r="AI93" i="21" s="1"/>
  <c r="AJ93" i="21" s="1"/>
  <c r="AK93" i="21" s="1"/>
  <c r="AL93" i="21" s="1"/>
  <c r="AM93" i="21" s="1"/>
  <c r="AN93" i="21" s="1"/>
  <c r="AO93" i="21" s="1"/>
  <c r="AP93" i="21" s="1"/>
  <c r="AQ93" i="21" s="1"/>
  <c r="AE391" i="21"/>
  <c r="AF391" i="21"/>
  <c r="AG391" i="21"/>
  <c r="D35" i="11"/>
  <c r="D58" i="11" s="1"/>
  <c r="K346" i="21"/>
  <c r="L346" i="21" s="1"/>
  <c r="M346" i="21" s="1"/>
  <c r="N346" i="21" s="1"/>
  <c r="O346" i="21" s="1"/>
  <c r="P346" i="21" s="1"/>
  <c r="Q346" i="21" s="1"/>
  <c r="R346" i="21" s="1"/>
  <c r="S346" i="21" s="1"/>
  <c r="T346" i="21" s="1"/>
  <c r="U346" i="21" s="1"/>
  <c r="V346" i="21" s="1"/>
  <c r="W346" i="21" s="1"/>
  <c r="X346" i="21" s="1"/>
  <c r="Y346" i="21" s="1"/>
  <c r="Z346" i="21" s="1"/>
  <c r="AA346" i="21" s="1"/>
  <c r="AB346" i="21" s="1"/>
  <c r="AC346" i="21" s="1"/>
  <c r="AD346" i="21" s="1"/>
  <c r="AE346" i="21" s="1"/>
  <c r="AF346" i="21" s="1"/>
  <c r="AG346" i="21" s="1"/>
  <c r="AH346" i="21" s="1"/>
  <c r="AI346" i="21" s="1"/>
  <c r="AJ346" i="21" s="1"/>
  <c r="AK346" i="21" s="1"/>
  <c r="AL346" i="21" s="1"/>
  <c r="AM346" i="21" s="1"/>
  <c r="AN346" i="21" s="1"/>
  <c r="AO346" i="21" s="1"/>
  <c r="AP346" i="21" s="1"/>
  <c r="AQ346" i="21" s="1"/>
  <c r="I427" i="21"/>
  <c r="I12" i="11" s="1"/>
  <c r="I35" i="11" s="1"/>
  <c r="I58" i="11" s="1"/>
  <c r="AL391" i="21"/>
  <c r="AD391" i="21"/>
  <c r="BB91" i="9"/>
  <c r="BM16" i="9"/>
  <c r="BB90" i="9"/>
  <c r="BA79" i="9"/>
  <c r="AC555" i="9"/>
  <c r="AD5" i="12" s="1"/>
  <c r="AD17" i="12" s="1"/>
  <c r="AC73" i="11" s="1"/>
  <c r="H12" i="32"/>
  <c r="H35" i="11"/>
  <c r="H58" i="11" s="1"/>
  <c r="J30" i="11"/>
  <c r="J53" i="11" s="1"/>
  <c r="AE42" i="11"/>
  <c r="AE65" i="11" s="1"/>
  <c r="AO20" i="32"/>
  <c r="AO43" i="11"/>
  <c r="AO44" i="32" s="1"/>
  <c r="D7" i="32"/>
  <c r="D30" i="11"/>
  <c r="AN42" i="11"/>
  <c r="AN65" i="11" s="1"/>
  <c r="AN19" i="32"/>
  <c r="AQ40" i="11"/>
  <c r="AQ63" i="11" s="1"/>
  <c r="AF45" i="11"/>
  <c r="AF68" i="11" s="1"/>
  <c r="AQ44" i="11"/>
  <c r="AQ67" i="11" s="1"/>
  <c r="AQ39" i="11"/>
  <c r="AQ62" i="11" s="1"/>
  <c r="H45" i="11"/>
  <c r="H68" i="11" s="1"/>
  <c r="AN30" i="11"/>
  <c r="AN53" i="11" s="1"/>
  <c r="AQ31" i="32"/>
  <c r="AQ53" i="11"/>
  <c r="G43" i="11"/>
  <c r="G66" i="11" s="1"/>
  <c r="AH43" i="11"/>
  <c r="AH44" i="32" s="1"/>
  <c r="AE39" i="11"/>
  <c r="AE62" i="11" s="1"/>
  <c r="F44" i="11"/>
  <c r="F67" i="11" s="1"/>
  <c r="AJ45" i="11"/>
  <c r="AJ68" i="11" s="1"/>
  <c r="AM43" i="11"/>
  <c r="AM66" i="11" s="1"/>
  <c r="AE43" i="11"/>
  <c r="AE66" i="11" s="1"/>
  <c r="AF42" i="11"/>
  <c r="AF65" i="11" s="1"/>
  <c r="AG40" i="11"/>
  <c r="AG63" i="11" s="1"/>
  <c r="AN33" i="11"/>
  <c r="AN56" i="11" s="1"/>
  <c r="E43" i="11"/>
  <c r="E44" i="32" s="1"/>
  <c r="E20" i="32"/>
  <c r="I34" i="11"/>
  <c r="I57" i="11" s="1"/>
  <c r="I11" i="32"/>
  <c r="G32" i="11"/>
  <c r="G55" i="11" s="1"/>
  <c r="D6" i="32"/>
  <c r="D29" i="11"/>
  <c r="AE34" i="11"/>
  <c r="AE57" i="11" s="1"/>
  <c r="D14" i="32"/>
  <c r="D37" i="11"/>
  <c r="D60" i="11" s="1"/>
  <c r="G33" i="11"/>
  <c r="G56" i="11" s="1"/>
  <c r="AP391" i="21"/>
  <c r="AI56" i="11"/>
  <c r="L70" i="21"/>
  <c r="D21" i="32"/>
  <c r="AQ7" i="32"/>
  <c r="E65" i="32"/>
  <c r="AP45" i="11"/>
  <c r="AP68" i="11" s="1"/>
  <c r="AL59" i="11"/>
  <c r="AQ55" i="11"/>
  <c r="E391" i="21"/>
  <c r="E392" i="21" s="1"/>
  <c r="J436" i="21"/>
  <c r="J21" i="11" s="1"/>
  <c r="J44" i="11" s="1"/>
  <c r="J67" i="11" s="1"/>
  <c r="E323" i="21"/>
  <c r="F323" i="21" s="1"/>
  <c r="G323" i="21" s="1"/>
  <c r="H323" i="21" s="1"/>
  <c r="I323" i="21" s="1"/>
  <c r="J323" i="21" s="1"/>
  <c r="K323" i="21" s="1"/>
  <c r="L323" i="21" s="1"/>
  <c r="M323" i="21" s="1"/>
  <c r="N323" i="21" s="1"/>
  <c r="O323" i="21" s="1"/>
  <c r="P323" i="21" s="1"/>
  <c r="Q323" i="21" s="1"/>
  <c r="R323" i="21" s="1"/>
  <c r="S323" i="21" s="1"/>
  <c r="T323" i="21" s="1"/>
  <c r="U323" i="21" s="1"/>
  <c r="V323" i="21" s="1"/>
  <c r="W323" i="21" s="1"/>
  <c r="X323" i="21" s="1"/>
  <c r="Y323" i="21" s="1"/>
  <c r="Z323" i="21" s="1"/>
  <c r="AA323" i="21" s="1"/>
  <c r="AB323" i="21" s="1"/>
  <c r="AC323" i="21" s="1"/>
  <c r="AD323" i="21" s="1"/>
  <c r="AE323" i="21" s="1"/>
  <c r="AF323" i="21" s="1"/>
  <c r="AG323" i="21" s="1"/>
  <c r="AH323" i="21" s="1"/>
  <c r="AI323" i="21" s="1"/>
  <c r="AJ323" i="21" s="1"/>
  <c r="AK323" i="21" s="1"/>
  <c r="AL323" i="21" s="1"/>
  <c r="AM323" i="21" s="1"/>
  <c r="AN323" i="21" s="1"/>
  <c r="AO323" i="21" s="1"/>
  <c r="AP323" i="21" s="1"/>
  <c r="AQ323" i="21" s="1"/>
  <c r="AJ44" i="11"/>
  <c r="AJ67" i="11" s="1"/>
  <c r="K231" i="21"/>
  <c r="L231" i="21" s="1"/>
  <c r="M231" i="21" s="1"/>
  <c r="N231" i="21" s="1"/>
  <c r="O231" i="21" s="1"/>
  <c r="P231" i="21" s="1"/>
  <c r="Q231" i="21" s="1"/>
  <c r="R231" i="21" s="1"/>
  <c r="S231" i="21" s="1"/>
  <c r="AP44" i="11"/>
  <c r="AP67" i="11" s="1"/>
  <c r="G68" i="11"/>
  <c r="F63" i="11"/>
  <c r="E30" i="11"/>
  <c r="F391" i="21"/>
  <c r="G421" i="21"/>
  <c r="G6" i="11" s="1"/>
  <c r="E436" i="21"/>
  <c r="E21" i="11" s="1"/>
  <c r="E423" i="21"/>
  <c r="E8" i="11" s="1"/>
  <c r="I420" i="21"/>
  <c r="I5" i="11" s="1"/>
  <c r="AJ391" i="21"/>
  <c r="D36" i="11"/>
  <c r="AN44" i="11"/>
  <c r="N44" i="11"/>
  <c r="N67" i="11" s="1"/>
  <c r="AI43" i="11"/>
  <c r="AI66" i="11" s="1"/>
  <c r="D57" i="32"/>
  <c r="D40" i="11"/>
  <c r="AG9" i="32"/>
  <c r="H421" i="21"/>
  <c r="H6" i="11" s="1"/>
  <c r="F423" i="21"/>
  <c r="F8" i="11" s="1"/>
  <c r="K208" i="21"/>
  <c r="L208" i="21" s="1"/>
  <c r="M208" i="21" s="1"/>
  <c r="N208" i="21" s="1"/>
  <c r="O208" i="21" s="1"/>
  <c r="P208" i="21" s="1"/>
  <c r="Q208" i="21" s="1"/>
  <c r="R208" i="21" s="1"/>
  <c r="S208" i="21" s="1"/>
  <c r="T208" i="21" s="1"/>
  <c r="U208" i="21" s="1"/>
  <c r="V208" i="21" s="1"/>
  <c r="W208" i="21" s="1"/>
  <c r="X208" i="21" s="1"/>
  <c r="Y208" i="21" s="1"/>
  <c r="Z208" i="21" s="1"/>
  <c r="AA208" i="21" s="1"/>
  <c r="AB208" i="21" s="1"/>
  <c r="AC208" i="21" s="1"/>
  <c r="AD208" i="21" s="1"/>
  <c r="AE208" i="21" s="1"/>
  <c r="AF208" i="21" s="1"/>
  <c r="AG208" i="21" s="1"/>
  <c r="AH208" i="21" s="1"/>
  <c r="AI208" i="21" s="1"/>
  <c r="AJ208" i="21" s="1"/>
  <c r="AK208" i="21" s="1"/>
  <c r="AL208" i="21" s="1"/>
  <c r="AM208" i="21" s="1"/>
  <c r="AN208" i="21" s="1"/>
  <c r="AO208" i="21" s="1"/>
  <c r="AP208" i="21" s="1"/>
  <c r="AQ208" i="21" s="1"/>
  <c r="AR345" i="21"/>
  <c r="AT345" i="21" s="1"/>
  <c r="AQ391" i="21"/>
  <c r="AN63" i="11"/>
  <c r="AK53" i="11"/>
  <c r="AO391" i="21"/>
  <c r="H38" i="11"/>
  <c r="H61" i="11" s="1"/>
  <c r="D10" i="32"/>
  <c r="G423" i="21"/>
  <c r="G8" i="11" s="1"/>
  <c r="F421" i="21"/>
  <c r="F6" i="11" s="1"/>
  <c r="I423" i="21"/>
  <c r="I8" i="11" s="1"/>
  <c r="I66" i="11"/>
  <c r="AI31" i="11"/>
  <c r="AI54" i="11" s="1"/>
  <c r="D13" i="32"/>
  <c r="D25" i="32" s="1"/>
  <c r="E25" i="32" s="1"/>
  <c r="G436" i="21"/>
  <c r="G21" i="11" s="1"/>
  <c r="G44" i="11" s="1"/>
  <c r="N35" i="11"/>
  <c r="N58" i="11" s="1"/>
  <c r="I35" i="32"/>
  <c r="AR207" i="21"/>
  <c r="AT207" i="21" s="1"/>
  <c r="D56" i="11"/>
  <c r="D34" i="11"/>
  <c r="D57" i="11" s="1"/>
  <c r="AQ9" i="32"/>
  <c r="AW88" i="21"/>
  <c r="G433" i="21"/>
  <c r="G18" i="11" s="1"/>
  <c r="BQ489" i="9"/>
  <c r="BL504" i="9"/>
  <c r="AW481" i="9"/>
  <c r="AW561" i="9"/>
  <c r="AW573" i="9" s="1"/>
  <c r="AT228" i="21"/>
  <c r="BP46" i="9"/>
  <c r="BL46" i="9"/>
  <c r="AY505" i="9"/>
  <c r="AZ505" i="9" s="1"/>
  <c r="BA505" i="9" s="1"/>
  <c r="AW46" i="9"/>
  <c r="BQ184" i="9"/>
  <c r="BO454" i="9"/>
  <c r="BQ454" i="9" s="1"/>
  <c r="AV88" i="9"/>
  <c r="BA89" i="9"/>
  <c r="P122" i="9"/>
  <c r="P123" i="9"/>
  <c r="L24" i="35"/>
  <c r="L57" i="35" s="1"/>
  <c r="BA75" i="9"/>
  <c r="BQ367" i="9"/>
  <c r="BB120" i="9"/>
  <c r="AT362" i="21"/>
  <c r="BI312" i="9"/>
  <c r="BQ158" i="9"/>
  <c r="BE69" i="9"/>
  <c r="BG120" i="9"/>
  <c r="BN120" i="9"/>
  <c r="BQ309" i="9"/>
  <c r="BP312" i="9"/>
  <c r="BL336" i="9"/>
  <c r="BG528" i="9"/>
  <c r="BQ520" i="9"/>
  <c r="AT108" i="21"/>
  <c r="AT150" i="21"/>
  <c r="BP168" i="9"/>
  <c r="BQ462" i="9"/>
  <c r="BN528" i="9"/>
  <c r="BQ492" i="9"/>
  <c r="AX456" i="9"/>
  <c r="AT247" i="21"/>
  <c r="AY548" i="9"/>
  <c r="BD544" i="9"/>
  <c r="AV544" i="9"/>
  <c r="BQ422" i="9"/>
  <c r="BQ424" i="9"/>
  <c r="I24" i="35"/>
  <c r="I113" i="20"/>
  <c r="I114" i="20" s="1"/>
  <c r="AQ555" i="9"/>
  <c r="AR5" i="12" s="1"/>
  <c r="AR17" i="12" s="1"/>
  <c r="AQ73" i="11" s="1"/>
  <c r="BP360" i="9"/>
  <c r="D26" i="13"/>
  <c r="O26" i="13" s="1"/>
  <c r="BQ479" i="9"/>
  <c r="AT168" i="21"/>
  <c r="BQ469" i="9"/>
  <c r="BQ493" i="9"/>
  <c r="BQ501" i="9"/>
  <c r="BQ522" i="9"/>
  <c r="BQ474" i="9"/>
  <c r="BK414" i="9"/>
  <c r="BB408" i="9"/>
  <c r="BI456" i="9"/>
  <c r="BQ398" i="9"/>
  <c r="BQ399" i="9"/>
  <c r="BQ400" i="9"/>
  <c r="BQ404" i="9"/>
  <c r="BQ430" i="9"/>
  <c r="G555" i="9"/>
  <c r="H5" i="12" s="1"/>
  <c r="H17" i="12" s="1"/>
  <c r="G73" i="11" s="1"/>
  <c r="AZ89" i="9"/>
  <c r="C39" i="35"/>
  <c r="C52" i="35" s="1"/>
  <c r="BC504" i="9"/>
  <c r="BC559" i="9" s="1"/>
  <c r="BC571" i="9" s="1"/>
  <c r="BQ477" i="9"/>
  <c r="BQ518" i="9"/>
  <c r="I92" i="9"/>
  <c r="BQ423" i="9"/>
  <c r="BQ440" i="9"/>
  <c r="BQ442" i="9"/>
  <c r="BQ444" i="9"/>
  <c r="E202" i="20"/>
  <c r="BE144" i="9"/>
  <c r="K36" i="13" s="1"/>
  <c r="V36" i="13" s="1"/>
  <c r="BB144" i="9"/>
  <c r="BM69" i="9"/>
  <c r="AI554" i="9"/>
  <c r="BE23" i="9"/>
  <c r="BQ513" i="9"/>
  <c r="AQ92" i="9"/>
  <c r="AP6" i="14" s="1"/>
  <c r="BQ330" i="9"/>
  <c r="BQ333" i="9"/>
  <c r="BQ464" i="9"/>
  <c r="BQ512" i="9"/>
  <c r="BC432" i="9"/>
  <c r="BC545" i="9"/>
  <c r="BQ421" i="9"/>
  <c r="BP384" i="9"/>
  <c r="AW121" i="9"/>
  <c r="BQ343" i="9"/>
  <c r="BM336" i="9"/>
  <c r="BG360" i="9"/>
  <c r="BB192" i="9"/>
  <c r="AT360" i="21"/>
  <c r="BQ516" i="9"/>
  <c r="BQ514" i="9"/>
  <c r="BF570" i="9"/>
  <c r="AX432" i="9"/>
  <c r="AW432" i="9"/>
  <c r="BQ427" i="9"/>
  <c r="G92" i="9"/>
  <c r="AQ95" i="9"/>
  <c r="AR4" i="12" s="1"/>
  <c r="AR16" i="12" s="1"/>
  <c r="AQ77" i="10" s="1"/>
  <c r="U22" i="13"/>
  <c r="G24" i="9"/>
  <c r="H24" i="9" s="1"/>
  <c r="I24" i="9" s="1"/>
  <c r="J24" i="9" s="1"/>
  <c r="K24" i="9" s="1"/>
  <c r="E47" i="13"/>
  <c r="P47" i="13" s="1"/>
  <c r="N46" i="13"/>
  <c r="W46" i="13" s="1"/>
  <c r="K13" i="13"/>
  <c r="V13" i="13" s="1"/>
  <c r="V14" i="13" s="1"/>
  <c r="K21" i="13"/>
  <c r="V21" i="13" s="1"/>
  <c r="V22" i="13" s="1"/>
  <c r="C24" i="35"/>
  <c r="C57" i="35" s="1"/>
  <c r="G24" i="35"/>
  <c r="E27" i="13"/>
  <c r="P27" i="13" s="1"/>
  <c r="BL20" i="9"/>
  <c r="D31" i="35"/>
  <c r="D38" i="35" s="1"/>
  <c r="D51" i="35" s="1"/>
  <c r="S22" i="13"/>
  <c r="C47" i="13"/>
  <c r="N47" i="13" s="1"/>
  <c r="L46" i="13"/>
  <c r="M42" i="34"/>
  <c r="M65" i="34" s="1"/>
  <c r="AQ38" i="10"/>
  <c r="AQ62" i="10" s="1"/>
  <c r="AQ14" i="32"/>
  <c r="AI39" i="34"/>
  <c r="AI62" i="34" s="1"/>
  <c r="AL37" i="10"/>
  <c r="AL13" i="32"/>
  <c r="AQ34" i="10"/>
  <c r="AQ58" i="10" s="1"/>
  <c r="AQ10" i="32"/>
  <c r="Q42" i="34"/>
  <c r="Q65" i="34"/>
  <c r="Q36" i="34"/>
  <c r="Q59" i="34"/>
  <c r="AP16" i="32"/>
  <c r="AP64" i="32" s="1"/>
  <c r="AP40" i="10"/>
  <c r="AP40" i="32" s="1"/>
  <c r="AP11" i="32"/>
  <c r="AP35" i="10"/>
  <c r="AP59" i="10" s="1"/>
  <c r="AO134" i="16"/>
  <c r="AO18" i="10" s="1"/>
  <c r="M101" i="33"/>
  <c r="M8" i="34" s="1"/>
  <c r="AM101" i="33"/>
  <c r="AM8" i="34" s="1"/>
  <c r="AM105" i="33"/>
  <c r="AM12" i="34" s="1"/>
  <c r="AM35" i="34" s="1"/>
  <c r="AQ22" i="32"/>
  <c r="D12" i="32"/>
  <c r="AM124" i="16"/>
  <c r="AM8" i="10" s="1"/>
  <c r="AM32" i="10" s="1"/>
  <c r="AM56" i="10" s="1"/>
  <c r="D33" i="34"/>
  <c r="N101" i="33"/>
  <c r="N8" i="34" s="1"/>
  <c r="AN105" i="33"/>
  <c r="AN12" i="34" s="1"/>
  <c r="AN35" i="34" s="1"/>
  <c r="D45" i="10"/>
  <c r="D36" i="10"/>
  <c r="AQ122" i="16"/>
  <c r="AQ6" i="10" s="1"/>
  <c r="AN124" i="16"/>
  <c r="AN8" i="10" s="1"/>
  <c r="AN32" i="10" s="1"/>
  <c r="AN56" i="10" s="1"/>
  <c r="AQ128" i="16"/>
  <c r="AQ12" i="10" s="1"/>
  <c r="AQ36" i="10" s="1"/>
  <c r="AQ60" i="10" s="1"/>
  <c r="AI128" i="16"/>
  <c r="AI12" i="10" s="1"/>
  <c r="AI36" i="10" s="1"/>
  <c r="AI60" i="10" s="1"/>
  <c r="AO105" i="33"/>
  <c r="AO12" i="34" s="1"/>
  <c r="AO35" i="34" s="1"/>
  <c r="AO58" i="34" s="1"/>
  <c r="AQ69" i="33"/>
  <c r="AO124" i="16"/>
  <c r="AO8" i="10" s="1"/>
  <c r="AO32" i="10" s="1"/>
  <c r="AO56" i="10" s="1"/>
  <c r="D53" i="34"/>
  <c r="Z65" i="34"/>
  <c r="D30" i="34"/>
  <c r="AI105" i="33"/>
  <c r="AI12" i="34" s="1"/>
  <c r="D42" i="10"/>
  <c r="AE69" i="33"/>
  <c r="AO69" i="33"/>
  <c r="AO71" i="33" s="1"/>
  <c r="D22" i="32"/>
  <c r="AO120" i="16"/>
  <c r="AP124" i="16"/>
  <c r="AP8" i="10" s="1"/>
  <c r="AP32" i="10" s="1"/>
  <c r="AP56" i="10" s="1"/>
  <c r="E39" i="32"/>
  <c r="E63" i="32" s="1"/>
  <c r="D62" i="34"/>
  <c r="S65" i="34"/>
  <c r="I6" i="32"/>
  <c r="N105" i="33"/>
  <c r="N12" i="34" s="1"/>
  <c r="AQ105" i="33"/>
  <c r="AQ12" i="34" s="1"/>
  <c r="AN92" i="16"/>
  <c r="D46" i="10"/>
  <c r="D44" i="34"/>
  <c r="D67" i="34" s="1"/>
  <c r="AE11" i="32"/>
  <c r="D120" i="16"/>
  <c r="D4" i="10" s="1"/>
  <c r="AD124" i="16"/>
  <c r="AD8" i="10" s="1"/>
  <c r="AD32" i="10" s="1"/>
  <c r="AD56" i="10" s="1"/>
  <c r="AQ124" i="16"/>
  <c r="AQ8" i="10" s="1"/>
  <c r="AQ32" i="10" s="1"/>
  <c r="AO121" i="16"/>
  <c r="AO5" i="10" s="1"/>
  <c r="D58" i="34"/>
  <c r="D66" i="34"/>
  <c r="AB60" i="34"/>
  <c r="R65" i="34"/>
  <c r="AK105" i="33"/>
  <c r="AK12" i="34" s="1"/>
  <c r="AK35" i="34" s="1"/>
  <c r="D30" i="32"/>
  <c r="D41" i="10"/>
  <c r="D43" i="10"/>
  <c r="AJ124" i="16"/>
  <c r="AJ8" i="10" s="1"/>
  <c r="AJ32" i="10" s="1"/>
  <c r="D121" i="16"/>
  <c r="D5" i="10" s="1"/>
  <c r="AP121" i="16"/>
  <c r="AP5" i="10" s="1"/>
  <c r="E36" i="32"/>
  <c r="E60" i="32" s="1"/>
  <c r="D59" i="34"/>
  <c r="D45" i="34"/>
  <c r="AQ134" i="16"/>
  <c r="AQ18" i="10" s="1"/>
  <c r="G10" i="32"/>
  <c r="AE101" i="33"/>
  <c r="AE8" i="34" s="1"/>
  <c r="AK101" i="33"/>
  <c r="AK8" i="34" s="1"/>
  <c r="AM97" i="33"/>
  <c r="AM128" i="16"/>
  <c r="AM12" i="10" s="1"/>
  <c r="AM36" i="10" s="1"/>
  <c r="AM60" i="10" s="1"/>
  <c r="AE128" i="16"/>
  <c r="AE12" i="10" s="1"/>
  <c r="AE36" i="10" s="1"/>
  <c r="AE60" i="10" s="1"/>
  <c r="AE105" i="33"/>
  <c r="AE12" i="34" s="1"/>
  <c r="D11" i="32"/>
  <c r="AO122" i="16"/>
  <c r="AO6" i="10" s="1"/>
  <c r="AO30" i="10" s="1"/>
  <c r="AO54" i="10" s="1"/>
  <c r="AQ121" i="16"/>
  <c r="AQ5" i="10" s="1"/>
  <c r="AO14" i="32"/>
  <c r="D56" i="34"/>
  <c r="D34" i="34"/>
  <c r="AP134" i="16"/>
  <c r="AP18" i="10" s="1"/>
  <c r="AP42" i="10" s="1"/>
  <c r="AP66" i="10" s="1"/>
  <c r="BA87" i="9"/>
  <c r="BL12" i="9"/>
  <c r="AA56" i="20"/>
  <c r="Z57" i="14" s="1"/>
  <c r="BA78" i="9"/>
  <c r="BA86" i="9"/>
  <c r="G11" i="13"/>
  <c r="R11" i="13" s="1"/>
  <c r="BA84" i="9"/>
  <c r="AA149" i="20"/>
  <c r="D41" i="32"/>
  <c r="AO44" i="11"/>
  <c r="AO67" i="11" s="1"/>
  <c r="BK65" i="9"/>
  <c r="BQ65" i="9" s="1"/>
  <c r="AZ88" i="9"/>
  <c r="BG277" i="9"/>
  <c r="AV288" i="9"/>
  <c r="BM304" i="9"/>
  <c r="BM312" i="9" s="1"/>
  <c r="BB312" i="9"/>
  <c r="BB567" i="9" s="1"/>
  <c r="G34" i="11"/>
  <c r="G35" i="32" s="1"/>
  <c r="D52" i="11"/>
  <c r="BN312" i="9"/>
  <c r="D40" i="32"/>
  <c r="U26" i="13"/>
  <c r="AW456" i="9"/>
  <c r="BH438" i="9"/>
  <c r="BO40" i="9"/>
  <c r="BO46" i="9" s="1"/>
  <c r="BD86" i="9"/>
  <c r="BE89" i="9"/>
  <c r="BP66" i="9"/>
  <c r="BP69" i="9" s="1"/>
  <c r="O47" i="13"/>
  <c r="W47" i="13" s="1"/>
  <c r="BI366" i="9"/>
  <c r="AX384" i="9"/>
  <c r="AW312" i="9"/>
  <c r="AW567" i="9" s="1"/>
  <c r="BQ476" i="9"/>
  <c r="BE77" i="9"/>
  <c r="BE92" i="9" s="1"/>
  <c r="BP8" i="9"/>
  <c r="BP23" i="9" s="1"/>
  <c r="BG40" i="9"/>
  <c r="AV86" i="9"/>
  <c r="AV46" i="9"/>
  <c r="AV47" i="9" s="1"/>
  <c r="BO261" i="9"/>
  <c r="BO264" i="9" s="1"/>
  <c r="BD264" i="9"/>
  <c r="BQ305" i="9"/>
  <c r="BL418" i="9"/>
  <c r="BA432" i="9"/>
  <c r="AN391" i="21"/>
  <c r="AM391" i="21"/>
  <c r="BM528" i="9"/>
  <c r="AN45" i="11"/>
  <c r="AN68" i="11" s="1"/>
  <c r="BP190" i="9"/>
  <c r="BP192" i="9" s="1"/>
  <c r="BE192" i="9"/>
  <c r="BE556" i="9" s="1"/>
  <c r="BE566" i="9" s="1"/>
  <c r="BG168" i="9"/>
  <c r="AV69" i="9"/>
  <c r="AV70" i="9" s="1"/>
  <c r="BG52" i="9"/>
  <c r="BH66" i="9"/>
  <c r="BH69" i="9" s="1"/>
  <c r="AW89" i="9"/>
  <c r="BO277" i="9"/>
  <c r="BO288" i="9" s="1"/>
  <c r="BD288" i="9"/>
  <c r="AY528" i="9"/>
  <c r="AY560" i="9" s="1"/>
  <c r="AY572" i="9" s="1"/>
  <c r="AM31" i="11"/>
  <c r="BO528" i="9"/>
  <c r="L24" i="21"/>
  <c r="BA336" i="9"/>
  <c r="D17" i="32"/>
  <c r="BN63" i="9"/>
  <c r="BN69" i="9" s="1"/>
  <c r="BC69" i="9"/>
  <c r="BC86" i="9"/>
  <c r="BO157" i="9"/>
  <c r="BO168" i="9" s="1"/>
  <c r="BD168" i="9"/>
  <c r="BQ342" i="9"/>
  <c r="BQ511" i="9"/>
  <c r="BN46" i="9"/>
  <c r="BL247" i="9"/>
  <c r="BL264" i="9" s="1"/>
  <c r="BA264" i="9"/>
  <c r="BD83" i="9"/>
  <c r="BO14" i="9"/>
  <c r="BC83" i="9"/>
  <c r="BN37" i="9"/>
  <c r="BC46" i="9"/>
  <c r="I21" i="13" s="1"/>
  <c r="T21" i="13" s="1"/>
  <c r="T22" i="13" s="1"/>
  <c r="I37" i="11"/>
  <c r="I60" i="11" s="1"/>
  <c r="BM463" i="9"/>
  <c r="BM480" i="9" s="1"/>
  <c r="BB480" i="9"/>
  <c r="BB561" i="9" s="1"/>
  <c r="BB573" i="9" s="1"/>
  <c r="AP92" i="9"/>
  <c r="AZ84" i="9"/>
  <c r="BK38" i="9"/>
  <c r="BQ38" i="9" s="1"/>
  <c r="BG261" i="9"/>
  <c r="BG264" i="9" s="1"/>
  <c r="AV264" i="9"/>
  <c r="AV265" i="9" s="1"/>
  <c r="D63" i="11"/>
  <c r="BH312" i="9"/>
  <c r="AV528" i="9"/>
  <c r="AT19" i="21"/>
  <c r="AW19" i="21"/>
  <c r="BG336" i="9"/>
  <c r="P44" i="11"/>
  <c r="P67" i="11" s="1"/>
  <c r="T231" i="21"/>
  <c r="U231" i="21" s="1"/>
  <c r="BQ61" i="9"/>
  <c r="AV168" i="9"/>
  <c r="AV169" i="9" s="1"/>
  <c r="AW169" i="9" s="1"/>
  <c r="BG312" i="9"/>
  <c r="AW20" i="21"/>
  <c r="AT20" i="21"/>
  <c r="H27" i="13"/>
  <c r="S27" i="13" s="1"/>
  <c r="H47" i="13"/>
  <c r="S47" i="13" s="1"/>
  <c r="AT327" i="9"/>
  <c r="AT175" i="21"/>
  <c r="BQ278" i="9"/>
  <c r="BQ503" i="9"/>
  <c r="BH271" i="9"/>
  <c r="BH288" i="9" s="1"/>
  <c r="AW288" i="9"/>
  <c r="AW384" i="9"/>
  <c r="AW385" i="9" s="1"/>
  <c r="AX385" i="9" s="1"/>
  <c r="BH369" i="9"/>
  <c r="BH384" i="9" s="1"/>
  <c r="AN28" i="11"/>
  <c r="AN51" i="11" s="1"/>
  <c r="BB336" i="9"/>
  <c r="BB504" i="9"/>
  <c r="BB559" i="9" s="1"/>
  <c r="BB571" i="9" s="1"/>
  <c r="BF571" i="9" s="1"/>
  <c r="BA480" i="9"/>
  <c r="BA561" i="9" s="1"/>
  <c r="BA573" i="9" s="1"/>
  <c r="G47" i="13"/>
  <c r="R47" i="13" s="1"/>
  <c r="G27" i="13"/>
  <c r="BQ521" i="9"/>
  <c r="BH334" i="9"/>
  <c r="BH336" i="9" s="1"/>
  <c r="AW336" i="9"/>
  <c r="AW337" i="9" s="1"/>
  <c r="AX337" i="9" s="1"/>
  <c r="G95" i="9"/>
  <c r="H4" i="12" s="1"/>
  <c r="H16" i="12" s="1"/>
  <c r="G77" i="10" s="1"/>
  <c r="F6" i="14"/>
  <c r="E8" i="32"/>
  <c r="E31" i="11"/>
  <c r="E32" i="32" s="1"/>
  <c r="AG554" i="9"/>
  <c r="AR528" i="9"/>
  <c r="BC534" i="9"/>
  <c r="AL54" i="11"/>
  <c r="AX360" i="9"/>
  <c r="AX361" i="9" s="1"/>
  <c r="AY361" i="9" s="1"/>
  <c r="AZ361" i="9" s="1"/>
  <c r="BA361" i="9" s="1"/>
  <c r="BB361" i="9" s="1"/>
  <c r="BC361" i="9" s="1"/>
  <c r="BD361" i="9" s="1"/>
  <c r="BE361" i="9" s="1"/>
  <c r="BI345" i="9"/>
  <c r="BQ345" i="9" s="1"/>
  <c r="S43" i="13"/>
  <c r="L43" i="13"/>
  <c r="H44" i="13"/>
  <c r="BQ188" i="9"/>
  <c r="BQ281" i="9"/>
  <c r="BQ527" i="9"/>
  <c r="BQ417" i="9"/>
  <c r="BI463" i="9"/>
  <c r="BI480" i="9" s="1"/>
  <c r="AX480" i="9"/>
  <c r="AX561" i="9" s="1"/>
  <c r="AX573" i="9" s="1"/>
  <c r="BG480" i="9"/>
  <c r="BQ206" i="9"/>
  <c r="BQ302" i="9"/>
  <c r="K26" i="13"/>
  <c r="V26" i="13" s="1"/>
  <c r="V43" i="13"/>
  <c r="K33" i="11"/>
  <c r="BD528" i="9"/>
  <c r="BD560" i="9" s="1"/>
  <c r="BD572" i="9" s="1"/>
  <c r="BD360" i="9"/>
  <c r="AW47" i="9"/>
  <c r="BQ467" i="9"/>
  <c r="BQ490" i="9"/>
  <c r="BQ500" i="9"/>
  <c r="BQ517" i="9"/>
  <c r="BQ519" i="9"/>
  <c r="K55" i="11"/>
  <c r="BG288" i="9"/>
  <c r="AI23" i="20"/>
  <c r="AI113" i="20"/>
  <c r="AI114" i="20" s="1"/>
  <c r="K43" i="11"/>
  <c r="AM42" i="11"/>
  <c r="AM65" i="11" s="1"/>
  <c r="AN38" i="11"/>
  <c r="AN61" i="11" s="1"/>
  <c r="BN391" i="9"/>
  <c r="BN408" i="9" s="1"/>
  <c r="BC408" i="9"/>
  <c r="BN439" i="9"/>
  <c r="BC456" i="9"/>
  <c r="BP393" i="9"/>
  <c r="BP408" i="9" s="1"/>
  <c r="BE408" i="9"/>
  <c r="BL441" i="9"/>
  <c r="BQ441" i="9" s="1"/>
  <c r="BA456" i="9"/>
  <c r="BL69" i="9"/>
  <c r="BB528" i="9"/>
  <c r="BB560" i="9" s="1"/>
  <c r="BB572" i="9" s="1"/>
  <c r="BN502" i="9"/>
  <c r="D81" i="11"/>
  <c r="AX288" i="9"/>
  <c r="BI271" i="9"/>
  <c r="BI288" i="9" s="1"/>
  <c r="AW43" i="21"/>
  <c r="AT43" i="21"/>
  <c r="BQ466" i="9"/>
  <c r="BQ471" i="9"/>
  <c r="BQ472" i="9"/>
  <c r="D19" i="32"/>
  <c r="D20" i="32"/>
  <c r="D68" i="32" s="1"/>
  <c r="BI408" i="9"/>
  <c r="BE456" i="9"/>
  <c r="BM439" i="9"/>
  <c r="BM456" i="9" s="1"/>
  <c r="BB456" i="9"/>
  <c r="R185" i="21"/>
  <c r="BQ207" i="9"/>
  <c r="Y122" i="16"/>
  <c r="Y6" i="10" s="1"/>
  <c r="Y30" i="10" s="1"/>
  <c r="Y54" i="10" s="1"/>
  <c r="AL29" i="11"/>
  <c r="AL52" i="11" s="1"/>
  <c r="AQ81" i="11"/>
  <c r="AO552" i="9"/>
  <c r="AG31" i="11"/>
  <c r="AG54" i="11" s="1"/>
  <c r="BQ43" i="9"/>
  <c r="BQ42" i="9"/>
  <c r="BQ261" i="9"/>
  <c r="K254" i="21"/>
  <c r="L254" i="21" s="1"/>
  <c r="M254" i="21" s="1"/>
  <c r="N254" i="21" s="1"/>
  <c r="O254" i="21" s="1"/>
  <c r="P254" i="21" s="1"/>
  <c r="Q254" i="21" s="1"/>
  <c r="R254" i="21" s="1"/>
  <c r="S254" i="21" s="1"/>
  <c r="T254" i="21" s="1"/>
  <c r="U254" i="21" s="1"/>
  <c r="V254" i="21" s="1"/>
  <c r="BP432" i="9"/>
  <c r="AR432" i="9"/>
  <c r="H6" i="14"/>
  <c r="I95" i="9"/>
  <c r="J4" i="12" s="1"/>
  <c r="J16" i="12" s="1"/>
  <c r="I77" i="10" s="1"/>
  <c r="BL432" i="9"/>
  <c r="G29" i="11"/>
  <c r="G30" i="32" s="1"/>
  <c r="G6" i="32"/>
  <c r="E44" i="11"/>
  <c r="E45" i="32" s="1"/>
  <c r="E21" i="32"/>
  <c r="H92" i="9"/>
  <c r="BQ117" i="9"/>
  <c r="E42" i="11"/>
  <c r="E43" i="32" s="1"/>
  <c r="E19" i="32"/>
  <c r="H14" i="32"/>
  <c r="H37" i="11"/>
  <c r="H60" i="11" s="1"/>
  <c r="G243" i="9"/>
  <c r="G242" i="9"/>
  <c r="G554" i="9" s="1"/>
  <c r="AO92" i="9"/>
  <c r="AQ33" i="32"/>
  <c r="AQ57" i="32" s="1"/>
  <c r="Y92" i="16"/>
  <c r="AL19" i="32"/>
  <c r="D433" i="21"/>
  <c r="D18" i="11" s="1"/>
  <c r="Z149" i="20"/>
  <c r="AG92" i="9"/>
  <c r="AF6" i="14" s="1"/>
  <c r="AF6" i="37" s="1"/>
  <c r="AT354" i="21"/>
  <c r="BH46" i="9"/>
  <c r="AE29" i="11"/>
  <c r="AE52" i="11" s="1"/>
  <c r="AM6" i="32"/>
  <c r="AY408" i="9"/>
  <c r="AV408" i="9"/>
  <c r="AV409" i="9" s="1"/>
  <c r="AW409" i="9" s="1"/>
  <c r="AX409" i="9" s="1"/>
  <c r="AY409" i="9" s="1"/>
  <c r="BG390" i="9"/>
  <c r="BG408" i="9" s="1"/>
  <c r="BP417" i="9"/>
  <c r="BE432" i="9"/>
  <c r="G31" i="11"/>
  <c r="G54" i="11"/>
  <c r="BM288" i="9"/>
  <c r="AT154" i="21"/>
  <c r="AR368" i="21"/>
  <c r="AN29" i="11"/>
  <c r="D420" i="21"/>
  <c r="D5" i="11" s="1"/>
  <c r="AQ28" i="11"/>
  <c r="AQ51" i="11" s="1"/>
  <c r="E300" i="21"/>
  <c r="F300" i="21" s="1"/>
  <c r="G300" i="21" s="1"/>
  <c r="H300" i="21" s="1"/>
  <c r="I300" i="21" s="1"/>
  <c r="J300" i="21" s="1"/>
  <c r="K300" i="21" s="1"/>
  <c r="L300" i="21" s="1"/>
  <c r="M300" i="21" s="1"/>
  <c r="N300" i="21" s="1"/>
  <c r="O300" i="21" s="1"/>
  <c r="P300" i="21" s="1"/>
  <c r="Q300" i="21" s="1"/>
  <c r="R300" i="21" s="1"/>
  <c r="S300" i="21" s="1"/>
  <c r="T300" i="21" s="1"/>
  <c r="U300" i="21" s="1"/>
  <c r="V300" i="21" s="1"/>
  <c r="W300" i="21" s="1"/>
  <c r="X300" i="21" s="1"/>
  <c r="Y300" i="21" s="1"/>
  <c r="Z300" i="21" s="1"/>
  <c r="AA300" i="21" s="1"/>
  <c r="AB300" i="21" s="1"/>
  <c r="AC300" i="21" s="1"/>
  <c r="AD300" i="21" s="1"/>
  <c r="AE300" i="21" s="1"/>
  <c r="AF300" i="21" s="1"/>
  <c r="AG300" i="21" s="1"/>
  <c r="AH300" i="21" s="1"/>
  <c r="AI300" i="21" s="1"/>
  <c r="AJ300" i="21" s="1"/>
  <c r="AK300" i="21" s="1"/>
  <c r="AL300" i="21" s="1"/>
  <c r="AM300" i="21" s="1"/>
  <c r="AN300" i="21" s="1"/>
  <c r="AO300" i="21" s="1"/>
  <c r="AP300" i="21" s="1"/>
  <c r="AQ300" i="21" s="1"/>
  <c r="BH432" i="9"/>
  <c r="BQ392" i="9"/>
  <c r="F92" i="9"/>
  <c r="AN92" i="9"/>
  <c r="BQ284" i="9"/>
  <c r="AO29" i="11"/>
  <c r="AO52" i="11" s="1"/>
  <c r="BQ237" i="9"/>
  <c r="BE240" i="9"/>
  <c r="BE557" i="9" s="1"/>
  <c r="K420" i="21"/>
  <c r="K5" i="11" s="1"/>
  <c r="BO390" i="9"/>
  <c r="BO408" i="9" s="1"/>
  <c r="BK432" i="9"/>
  <c r="BL456" i="9"/>
  <c r="AR456" i="9"/>
  <c r="BJ415" i="9"/>
  <c r="BQ415" i="9" s="1"/>
  <c r="AY432" i="9"/>
  <c r="BQ407" i="9"/>
  <c r="AL92" i="9"/>
  <c r="AK6" i="14" s="1"/>
  <c r="AK6" i="37" s="1"/>
  <c r="BC288" i="9"/>
  <c r="BC556" i="9" s="1"/>
  <c r="BC566" i="9" s="1"/>
  <c r="BC535" i="9"/>
  <c r="AN15" i="32"/>
  <c r="AT124" i="21"/>
  <c r="AT148" i="21"/>
  <c r="BH264" i="9"/>
  <c r="AO31" i="11"/>
  <c r="BQ275" i="9"/>
  <c r="AK28" i="11"/>
  <c r="AK51" i="11" s="1"/>
  <c r="AO81" i="11"/>
  <c r="BM408" i="9"/>
  <c r="AW408" i="9"/>
  <c r="BH390" i="9"/>
  <c r="BH408" i="9" s="1"/>
  <c r="BG413" i="9"/>
  <c r="BG432" i="9" s="1"/>
  <c r="AV432" i="9"/>
  <c r="AV433" i="9" s="1"/>
  <c r="AW433" i="9" s="1"/>
  <c r="AX433" i="9" s="1"/>
  <c r="I436" i="21"/>
  <c r="I21" i="11" s="1"/>
  <c r="BD77" i="9"/>
  <c r="BD535" i="9"/>
  <c r="AH20" i="32"/>
  <c r="AT176" i="21"/>
  <c r="AI29" i="11"/>
  <c r="AI52" i="11" s="1"/>
  <c r="BQ204" i="9"/>
  <c r="BQ213" i="9"/>
  <c r="BQ320" i="9"/>
  <c r="BQ329" i="9"/>
  <c r="BQ164" i="9"/>
  <c r="BN432" i="9"/>
  <c r="BJ408" i="9"/>
  <c r="AZ456" i="9"/>
  <c r="BD432" i="9"/>
  <c r="AV456" i="9"/>
  <c r="AV457" i="9" s="1"/>
  <c r="BG437" i="9"/>
  <c r="BG456" i="9" s="1"/>
  <c r="BB432" i="9"/>
  <c r="BM417" i="9"/>
  <c r="BM432" i="9" s="1"/>
  <c r="I555" i="9"/>
  <c r="J5" i="12" s="1"/>
  <c r="J17" i="12" s="1"/>
  <c r="I73" i="11" s="1"/>
  <c r="H29" i="11"/>
  <c r="H30" i="32" s="1"/>
  <c r="F29" i="11"/>
  <c r="F52" i="11" s="1"/>
  <c r="BQ437" i="9"/>
  <c r="BH456" i="9"/>
  <c r="BQ402" i="9"/>
  <c r="AC391" i="21"/>
  <c r="AO41" i="11"/>
  <c r="AO64" i="11" s="1"/>
  <c r="I433" i="21"/>
  <c r="I18" i="11" s="1"/>
  <c r="F555" i="9"/>
  <c r="G5" i="12" s="1"/>
  <c r="G17" i="12" s="1"/>
  <c r="F73" i="11" s="1"/>
  <c r="F81" i="11" s="1"/>
  <c r="BQ413" i="9"/>
  <c r="J421" i="21"/>
  <c r="J6" i="11" s="1"/>
  <c r="J391" i="21"/>
  <c r="BQ20" i="9"/>
  <c r="BB88" i="9"/>
  <c r="BG34" i="9"/>
  <c r="BQ34" i="9" s="1"/>
  <c r="AV80" i="9"/>
  <c r="BG60" i="9"/>
  <c r="BQ60" i="9" s="1"/>
  <c r="AV83" i="9"/>
  <c r="AV91" i="9"/>
  <c r="BG68" i="9"/>
  <c r="BQ156" i="9"/>
  <c r="BQ189" i="9"/>
  <c r="F39" i="11"/>
  <c r="F62" i="11" s="1"/>
  <c r="F16" i="32"/>
  <c r="BQ325" i="9"/>
  <c r="AD28" i="11"/>
  <c r="AD51" i="11" s="1"/>
  <c r="AL28" i="11"/>
  <c r="AL51" i="11" s="1"/>
  <c r="AT216" i="21"/>
  <c r="AT238" i="21"/>
  <c r="BI414" i="9"/>
  <c r="BO414" i="9"/>
  <c r="BO432" i="9" s="1"/>
  <c r="AR276" i="21"/>
  <c r="AT276" i="21" s="1"/>
  <c r="K68" i="11"/>
  <c r="AQ17" i="32"/>
  <c r="AQ37" i="32"/>
  <c r="E36" i="14"/>
  <c r="E109" i="14" s="1"/>
  <c r="BQ403" i="9"/>
  <c r="H436" i="21"/>
  <c r="H21" i="11" s="1"/>
  <c r="H21" i="32" s="1"/>
  <c r="AM41" i="11"/>
  <c r="AM64" i="11" s="1"/>
  <c r="AE41" i="11"/>
  <c r="AE64" i="11" s="1"/>
  <c r="E92" i="9"/>
  <c r="BQ116" i="9"/>
  <c r="BQ418" i="9"/>
  <c r="H43" i="11"/>
  <c r="H66" i="11" s="1"/>
  <c r="J65" i="11"/>
  <c r="BQ328" i="9"/>
  <c r="AM28" i="11"/>
  <c r="AM51" i="11" s="1"/>
  <c r="AP81" i="11"/>
  <c r="BP438" i="9"/>
  <c r="BP456" i="9" s="1"/>
  <c r="E40" i="32"/>
  <c r="E64" i="32" s="1"/>
  <c r="E62" i="11"/>
  <c r="G420" i="21"/>
  <c r="G5" i="11" s="1"/>
  <c r="G28" i="11" s="1"/>
  <c r="G51" i="11" s="1"/>
  <c r="J92" i="9"/>
  <c r="BD546" i="9"/>
  <c r="BC542" i="9"/>
  <c r="BD538" i="9"/>
  <c r="G202" i="20"/>
  <c r="AV78" i="9"/>
  <c r="BG32" i="9"/>
  <c r="BG46" i="9" s="1"/>
  <c r="BQ453" i="9"/>
  <c r="E68" i="11"/>
  <c r="J10" i="32"/>
  <c r="J33" i="11"/>
  <c r="J34" i="32" s="1"/>
  <c r="F32" i="11"/>
  <c r="F55" i="11" s="1"/>
  <c r="I422" i="21"/>
  <c r="I7" i="11" s="1"/>
  <c r="I391" i="21"/>
  <c r="AK60" i="11"/>
  <c r="AL57" i="11"/>
  <c r="F554" i="9"/>
  <c r="H555" i="9"/>
  <c r="I5" i="12" s="1"/>
  <c r="I17" i="12" s="1"/>
  <c r="H73" i="11" s="1"/>
  <c r="H81" i="11" s="1"/>
  <c r="G391" i="21"/>
  <c r="E6" i="32"/>
  <c r="E29" i="11"/>
  <c r="AW549" i="9"/>
  <c r="BQ108" i="9"/>
  <c r="BQ110" i="9"/>
  <c r="E56" i="11"/>
  <c r="E10" i="32"/>
  <c r="E58" i="32" s="1"/>
  <c r="H53" i="11"/>
  <c r="E194" i="9"/>
  <c r="E195" i="9"/>
  <c r="E555" i="9" s="1"/>
  <c r="F5" i="12" s="1"/>
  <c r="F17" i="12" s="1"/>
  <c r="E73" i="11" s="1"/>
  <c r="E81" i="11" s="1"/>
  <c r="E219" i="9"/>
  <c r="E556" i="9" s="1"/>
  <c r="F6" i="12" s="1"/>
  <c r="F18" i="12" s="1"/>
  <c r="E218" i="9"/>
  <c r="D36" i="14" s="1"/>
  <c r="D47" i="14" s="1"/>
  <c r="O218" i="9"/>
  <c r="O219" i="9"/>
  <c r="O556" i="9" s="1"/>
  <c r="P6" i="12" s="1"/>
  <c r="J483" i="9"/>
  <c r="J482" i="9"/>
  <c r="J506" i="9"/>
  <c r="AR506" i="9" s="1"/>
  <c r="J507" i="9"/>
  <c r="J530" i="9"/>
  <c r="AR530" i="9" s="1"/>
  <c r="J531" i="9"/>
  <c r="AN81" i="11"/>
  <c r="BK438" i="9"/>
  <c r="BK456" i="9" s="1"/>
  <c r="AT246" i="21"/>
  <c r="E552" i="9"/>
  <c r="E553" i="9" s="1"/>
  <c r="H391" i="21"/>
  <c r="AV81" i="9"/>
  <c r="BG15" i="9"/>
  <c r="BG23" i="9" s="1"/>
  <c r="AV84" i="9"/>
  <c r="BA82" i="9"/>
  <c r="G32" i="13" s="1"/>
  <c r="BQ420" i="9"/>
  <c r="BQ425" i="9"/>
  <c r="BQ446" i="9"/>
  <c r="BQ447" i="9"/>
  <c r="BQ448" i="9"/>
  <c r="J43" i="11"/>
  <c r="J44" i="32" s="1"/>
  <c r="F14" i="32"/>
  <c r="F37" i="11"/>
  <c r="F60" i="11" s="1"/>
  <c r="E32" i="11"/>
  <c r="E33" i="32" s="1"/>
  <c r="E9" i="32"/>
  <c r="N24" i="35"/>
  <c r="N57" i="35" s="1"/>
  <c r="AN31" i="11"/>
  <c r="BQ236" i="9"/>
  <c r="AP28" i="11"/>
  <c r="AP51" i="11" s="1"/>
  <c r="BQ154" i="9"/>
  <c r="BQ165" i="9"/>
  <c r="BQ393" i="9"/>
  <c r="BQ397" i="9"/>
  <c r="BQ429" i="9"/>
  <c r="H33" i="11"/>
  <c r="H56" i="11" s="1"/>
  <c r="AM81" i="11"/>
  <c r="AN41" i="11"/>
  <c r="AN64" i="11" s="1"/>
  <c r="H433" i="21"/>
  <c r="H18" i="11" s="1"/>
  <c r="J423" i="21"/>
  <c r="J8" i="11" s="1"/>
  <c r="J31" i="11" s="1"/>
  <c r="J54" i="11" s="1"/>
  <c r="H420" i="21"/>
  <c r="H5" i="11" s="1"/>
  <c r="H28" i="11" s="1"/>
  <c r="H51" i="11" s="1"/>
  <c r="BA548" i="9"/>
  <c r="AW546" i="9"/>
  <c r="BD545" i="9"/>
  <c r="AV545" i="9"/>
  <c r="BC543" i="9"/>
  <c r="BC91" i="9"/>
  <c r="AY85" i="9"/>
  <c r="BQ212" i="9"/>
  <c r="BQ428" i="9"/>
  <c r="D202" i="20"/>
  <c r="F39" i="32"/>
  <c r="BQ451" i="9"/>
  <c r="H423" i="21"/>
  <c r="H8" i="11" s="1"/>
  <c r="F420" i="21"/>
  <c r="F5" i="11" s="1"/>
  <c r="F28" i="11" s="1"/>
  <c r="F51" i="11" s="1"/>
  <c r="I552" i="9"/>
  <c r="BD548" i="9"/>
  <c r="AV548" i="9"/>
  <c r="AW540" i="9"/>
  <c r="BD539" i="9"/>
  <c r="AV539" i="9"/>
  <c r="BA91" i="9"/>
  <c r="BQ53" i="9"/>
  <c r="F43" i="11"/>
  <c r="F44" i="32" s="1"/>
  <c r="F68" i="32" s="1"/>
  <c r="E22" i="32"/>
  <c r="BH144" i="9"/>
  <c r="L242" i="9"/>
  <c r="L243" i="9"/>
  <c r="AB242" i="9"/>
  <c r="AB243" i="9"/>
  <c r="AB556" i="9" s="1"/>
  <c r="AC6" i="12" s="1"/>
  <c r="AC18" i="12" s="1"/>
  <c r="AK35" i="11"/>
  <c r="AK58" i="11" s="1"/>
  <c r="R162" i="21"/>
  <c r="H419" i="21"/>
  <c r="F433" i="21"/>
  <c r="F18" i="11" s="1"/>
  <c r="F18" i="32" s="1"/>
  <c r="AQ552" i="9"/>
  <c r="E420" i="21"/>
  <c r="E5" i="11" s="1"/>
  <c r="E5" i="32" s="1"/>
  <c r="BM120" i="9"/>
  <c r="BD549" i="9"/>
  <c r="AV549" i="9"/>
  <c r="BD540" i="9"/>
  <c r="AV540" i="9"/>
  <c r="BQ301" i="9"/>
  <c r="I19" i="32"/>
  <c r="BC144" i="9"/>
  <c r="AW144" i="9"/>
  <c r="E61" i="11"/>
  <c r="AJ18" i="32"/>
  <c r="E433" i="21"/>
  <c r="E18" i="11" s="1"/>
  <c r="BD551" i="9"/>
  <c r="AV551" i="9"/>
  <c r="BD541" i="9"/>
  <c r="AV541" i="9"/>
  <c r="BA168" i="9"/>
  <c r="C31" i="35"/>
  <c r="C38" i="35" s="1"/>
  <c r="C51" i="35" s="1"/>
  <c r="BG144" i="9"/>
  <c r="H43" i="32"/>
  <c r="AQ18" i="32"/>
  <c r="K18" i="11"/>
  <c r="BD542" i="9"/>
  <c r="AV542" i="9"/>
  <c r="BQ231" i="9"/>
  <c r="BQ253" i="9"/>
  <c r="BQ258" i="9"/>
  <c r="BQ260" i="9"/>
  <c r="BB288" i="9"/>
  <c r="BQ282" i="9"/>
  <c r="BQ285" i="9"/>
  <c r="BQ299" i="9"/>
  <c r="BQ308" i="9"/>
  <c r="AV144" i="9"/>
  <c r="AV145" i="9" s="1"/>
  <c r="F43" i="32"/>
  <c r="AQ38" i="32"/>
  <c r="AQ62" i="32" s="1"/>
  <c r="AP41" i="11"/>
  <c r="AP64" i="11" s="1"/>
  <c r="J433" i="21"/>
  <c r="J18" i="11" s="1"/>
  <c r="BQ389" i="9"/>
  <c r="J420" i="21"/>
  <c r="J5" i="11" s="1"/>
  <c r="J5" i="32" s="1"/>
  <c r="AW548" i="9"/>
  <c r="BD543" i="9"/>
  <c r="AV543" i="9"/>
  <c r="I202" i="20"/>
  <c r="BQ185" i="9"/>
  <c r="BQ230" i="9"/>
  <c r="BQ332" i="9"/>
  <c r="BQ368" i="9"/>
  <c r="BQ377" i="9"/>
  <c r="BQ381" i="9"/>
  <c r="BQ396" i="9"/>
  <c r="BQ405" i="9"/>
  <c r="BQ431" i="9"/>
  <c r="H19" i="32"/>
  <c r="I81" i="11"/>
  <c r="Q218" i="9"/>
  <c r="Q219" i="9"/>
  <c r="AE35" i="11"/>
  <c r="AE58" i="11" s="1"/>
  <c r="AL35" i="11"/>
  <c r="AL58" i="11" s="1"/>
  <c r="G43" i="32"/>
  <c r="E24" i="35"/>
  <c r="E57" i="35" s="1"/>
  <c r="F202" i="20" s="1"/>
  <c r="AD242" i="9"/>
  <c r="AD243" i="9"/>
  <c r="J427" i="21"/>
  <c r="J12" i="11" s="1"/>
  <c r="J12" i="32" s="1"/>
  <c r="AF35" i="11"/>
  <c r="AM35" i="11"/>
  <c r="F22" i="32"/>
  <c r="G81" i="11"/>
  <c r="J202" i="20"/>
  <c r="O33" i="35"/>
  <c r="K218" i="9"/>
  <c r="K219" i="9"/>
  <c r="AA218" i="9"/>
  <c r="AA219" i="9"/>
  <c r="O242" i="9"/>
  <c r="O243" i="9"/>
  <c r="K12" i="11"/>
  <c r="AU231" i="9"/>
  <c r="J218" i="9"/>
  <c r="J219" i="9"/>
  <c r="J556" i="9" s="1"/>
  <c r="K6" i="12" s="1"/>
  <c r="BQ327" i="9"/>
  <c r="BQ452" i="9"/>
  <c r="BQ132" i="9"/>
  <c r="AH555" i="9"/>
  <c r="AI5" i="12" s="1"/>
  <c r="AI17" i="12" s="1"/>
  <c r="AH73" i="11" s="1"/>
  <c r="L218" i="9"/>
  <c r="L219" i="9"/>
  <c r="AK218" i="9"/>
  <c r="AK219" i="9"/>
  <c r="AK556" i="9" s="1"/>
  <c r="AL6" i="12" s="1"/>
  <c r="AL18" i="12" s="1"/>
  <c r="AN243" i="9"/>
  <c r="AN556" i="9" s="1"/>
  <c r="AO6" i="12" s="1"/>
  <c r="F427" i="21"/>
  <c r="F12" i="11" s="1"/>
  <c r="AN35" i="11"/>
  <c r="AN58" i="11" s="1"/>
  <c r="G46" i="32"/>
  <c r="I16" i="32"/>
  <c r="I10" i="32"/>
  <c r="E31" i="35"/>
  <c r="E38" i="35" s="1"/>
  <c r="E51" i="35" s="1"/>
  <c r="BQ141" i="9"/>
  <c r="BQ140" i="9"/>
  <c r="M218" i="9"/>
  <c r="M219" i="9"/>
  <c r="M556" i="9" s="1"/>
  <c r="N6" i="12" s="1"/>
  <c r="N18" i="12" s="1"/>
  <c r="Q242" i="9"/>
  <c r="Q243" i="9"/>
  <c r="G427" i="21"/>
  <c r="G12" i="11" s="1"/>
  <c r="AO35" i="11"/>
  <c r="AO36" i="32" s="1"/>
  <c r="AU20" i="9"/>
  <c r="AU116" i="9"/>
  <c r="AU164" i="9"/>
  <c r="H218" i="9"/>
  <c r="H219" i="9"/>
  <c r="K121" i="9"/>
  <c r="L121" i="9" s="1"/>
  <c r="AJ555" i="9"/>
  <c r="AK5" i="12" s="1"/>
  <c r="AK17" i="12" s="1"/>
  <c r="AJ73" i="11" s="1"/>
  <c r="AP242" i="9"/>
  <c r="AP243" i="9"/>
  <c r="R313" i="9"/>
  <c r="H242" i="9"/>
  <c r="H243" i="9"/>
  <c r="AR77" i="33"/>
  <c r="V6" i="32"/>
  <c r="W123" i="9"/>
  <c r="W218" i="9"/>
  <c r="W554" i="9" s="1"/>
  <c r="W219" i="9"/>
  <c r="BQ401" i="9"/>
  <c r="BQ394" i="9"/>
  <c r="AT223" i="21"/>
  <c r="AT211" i="21"/>
  <c r="U31" i="11"/>
  <c r="U54" i="11" s="1"/>
  <c r="AT82" i="21"/>
  <c r="V387" i="9"/>
  <c r="BQ335" i="9"/>
  <c r="AZ86" i="9"/>
  <c r="AZ85" i="9"/>
  <c r="V266" i="9"/>
  <c r="AT109" i="21"/>
  <c r="V290" i="9"/>
  <c r="BQ183" i="9"/>
  <c r="V195" i="9"/>
  <c r="AT179" i="21"/>
  <c r="BQ326" i="9"/>
  <c r="V339" i="9"/>
  <c r="U69" i="33"/>
  <c r="AU235" i="9"/>
  <c r="Q267" i="9"/>
  <c r="BK312" i="9"/>
  <c r="BQ311" i="9"/>
  <c r="AZ69" i="9"/>
  <c r="AZ78" i="9"/>
  <c r="AZ90" i="9"/>
  <c r="AZ74" i="9"/>
  <c r="BK28" i="9"/>
  <c r="AZ81" i="9"/>
  <c r="N146" i="9"/>
  <c r="AT28" i="21"/>
  <c r="AZ264" i="9"/>
  <c r="AT96" i="21"/>
  <c r="AT133" i="21"/>
  <c r="U291" i="9"/>
  <c r="BQ279" i="9"/>
  <c r="AT136" i="21"/>
  <c r="BQ273" i="9"/>
  <c r="BQ270" i="9"/>
  <c r="U385" i="9"/>
  <c r="V385" i="9" s="1"/>
  <c r="W385" i="9" s="1"/>
  <c r="X385" i="9" s="1"/>
  <c r="Y385" i="9" s="1"/>
  <c r="Z385" i="9" s="1"/>
  <c r="AA385" i="9" s="1"/>
  <c r="AB385" i="9" s="1"/>
  <c r="AC385" i="9" s="1"/>
  <c r="AD385" i="9" s="1"/>
  <c r="AE385" i="9" s="1"/>
  <c r="AF385" i="9" s="1"/>
  <c r="AG385" i="9" s="1"/>
  <c r="AH385" i="9" s="1"/>
  <c r="AI385" i="9" s="1"/>
  <c r="AJ385" i="9" s="1"/>
  <c r="AK385" i="9" s="1"/>
  <c r="AL385" i="9" s="1"/>
  <c r="AM385" i="9" s="1"/>
  <c r="AN385" i="9" s="1"/>
  <c r="AO385" i="9" s="1"/>
  <c r="AP385" i="9" s="1"/>
  <c r="AQ385" i="9" s="1"/>
  <c r="U387" i="9"/>
  <c r="AZ192" i="9"/>
  <c r="V83" i="12"/>
  <c r="V46" i="12" s="1"/>
  <c r="S99" i="33"/>
  <c r="S6" i="34" s="1"/>
  <c r="T29" i="11"/>
  <c r="BQ37" i="9"/>
  <c r="T171" i="9"/>
  <c r="AT128" i="21"/>
  <c r="BQ274" i="9"/>
  <c r="BQ277" i="9"/>
  <c r="AT159" i="21"/>
  <c r="AT182" i="21"/>
  <c r="AT85" i="21"/>
  <c r="AT78" i="21"/>
  <c r="AT73" i="21"/>
  <c r="E17" i="13"/>
  <c r="P17" i="13" s="1"/>
  <c r="BJ13" i="9"/>
  <c r="AY76" i="9"/>
  <c r="E9" i="13"/>
  <c r="P9" i="13" s="1"/>
  <c r="AY82" i="9"/>
  <c r="E32" i="13" s="1"/>
  <c r="S122" i="9"/>
  <c r="AT107" i="21"/>
  <c r="AT100" i="21"/>
  <c r="S218" i="9"/>
  <c r="Q122" i="16"/>
  <c r="Q6" i="10" s="1"/>
  <c r="Q30" i="10" s="1"/>
  <c r="Q54" i="10" s="1"/>
  <c r="Q29" i="11"/>
  <c r="Q52" i="11" s="1"/>
  <c r="P31" i="10"/>
  <c r="R35" i="11"/>
  <c r="R58" i="11" s="1"/>
  <c r="AY79" i="9"/>
  <c r="Q24" i="35"/>
  <c r="Q57" i="35" s="1"/>
  <c r="R290" i="9"/>
  <c r="R289" i="9"/>
  <c r="S289" i="9" s="1"/>
  <c r="T289" i="9" s="1"/>
  <c r="U289" i="9" s="1"/>
  <c r="V289" i="9" s="1"/>
  <c r="W289" i="9" s="1"/>
  <c r="X289" i="9" s="1"/>
  <c r="Y289" i="9" s="1"/>
  <c r="Z289" i="9" s="1"/>
  <c r="AA289" i="9" s="1"/>
  <c r="AB289" i="9" s="1"/>
  <c r="AC289" i="9" s="1"/>
  <c r="AD289" i="9" s="1"/>
  <c r="AE289" i="9" s="1"/>
  <c r="AF289" i="9" s="1"/>
  <c r="AG289" i="9" s="1"/>
  <c r="AH289" i="9" s="1"/>
  <c r="AI289" i="9" s="1"/>
  <c r="AJ289" i="9" s="1"/>
  <c r="AK289" i="9" s="1"/>
  <c r="AL289" i="9" s="1"/>
  <c r="AM289" i="9" s="1"/>
  <c r="AN289" i="9" s="1"/>
  <c r="AO289" i="9" s="1"/>
  <c r="AP289" i="9" s="1"/>
  <c r="AQ289" i="9" s="1"/>
  <c r="E42" i="12"/>
  <c r="D200" i="20"/>
  <c r="E18" i="12"/>
  <c r="E35" i="12"/>
  <c r="AT63" i="21"/>
  <c r="AT17" i="33"/>
  <c r="AT35" i="33"/>
  <c r="Q105" i="33"/>
  <c r="Q12" i="34" s="1"/>
  <c r="AT81" i="21"/>
  <c r="AT6" i="33"/>
  <c r="AU183" i="9"/>
  <c r="P31" i="11"/>
  <c r="P54" i="11" s="1"/>
  <c r="P105" i="33"/>
  <c r="P12" i="34" s="1"/>
  <c r="AT367" i="21"/>
  <c r="P99" i="33"/>
  <c r="P6" i="34" s="1"/>
  <c r="AT32" i="21"/>
  <c r="BI528" i="9"/>
  <c r="BQ510" i="9"/>
  <c r="AX572" i="9"/>
  <c r="BF572" i="9" s="1"/>
  <c r="BF560" i="9"/>
  <c r="O122" i="16"/>
  <c r="O6" i="10" s="1"/>
  <c r="O30" i="10" s="1"/>
  <c r="O54" i="10" s="1"/>
  <c r="O31" i="11"/>
  <c r="I41" i="12"/>
  <c r="J41" i="12" s="1"/>
  <c r="O146" i="9"/>
  <c r="O122" i="9"/>
  <c r="AT106" i="21"/>
  <c r="AT113" i="21"/>
  <c r="O266" i="9"/>
  <c r="O171" i="9"/>
  <c r="AT32" i="33"/>
  <c r="Q84" i="12"/>
  <c r="Q47" i="12" s="1"/>
  <c r="P74" i="11" s="1"/>
  <c r="M122" i="16"/>
  <c r="M6" i="10" s="1"/>
  <c r="M30" i="10" s="1"/>
  <c r="M54" i="10" s="1"/>
  <c r="N122" i="9"/>
  <c r="BQ256" i="9"/>
  <c r="N218" i="9"/>
  <c r="M149" i="20"/>
  <c r="M44" i="11"/>
  <c r="M67" i="11" s="1"/>
  <c r="M114" i="33"/>
  <c r="M21" i="34" s="1"/>
  <c r="AX83" i="9"/>
  <c r="M47" i="9"/>
  <c r="N47" i="9" s="1"/>
  <c r="O47" i="9" s="1"/>
  <c r="P47" i="9" s="1"/>
  <c r="Q47" i="9" s="1"/>
  <c r="R47" i="9" s="1"/>
  <c r="S47" i="9" s="1"/>
  <c r="T47" i="9" s="1"/>
  <c r="U47" i="9" s="1"/>
  <c r="V47" i="9" s="1"/>
  <c r="W47" i="9" s="1"/>
  <c r="X47" i="9" s="1"/>
  <c r="Y47" i="9" s="1"/>
  <c r="Z47" i="9" s="1"/>
  <c r="AA47" i="9" s="1"/>
  <c r="AB47" i="9" s="1"/>
  <c r="AC47" i="9" s="1"/>
  <c r="AD47" i="9" s="1"/>
  <c r="AE47" i="9" s="1"/>
  <c r="AF47" i="9" s="1"/>
  <c r="AG47" i="9" s="1"/>
  <c r="AH47" i="9" s="1"/>
  <c r="AI47" i="9" s="1"/>
  <c r="AJ47" i="9" s="1"/>
  <c r="AK47" i="9" s="1"/>
  <c r="AL47" i="9" s="1"/>
  <c r="AM47" i="9" s="1"/>
  <c r="AN47" i="9" s="1"/>
  <c r="AO47" i="9" s="1"/>
  <c r="AP47" i="9" s="1"/>
  <c r="AQ47" i="9" s="1"/>
  <c r="M267" i="9"/>
  <c r="M242" i="9"/>
  <c r="L36" i="14" s="1"/>
  <c r="M103" i="20" s="1"/>
  <c r="L99" i="33"/>
  <c r="L6" i="34" s="1"/>
  <c r="BI14" i="9"/>
  <c r="BQ162" i="9"/>
  <c r="AU162" i="9"/>
  <c r="K24" i="35"/>
  <c r="K57" i="35" s="1"/>
  <c r="I114" i="33"/>
  <c r="I21" i="34" s="1"/>
  <c r="H44" i="34"/>
  <c r="AW544" i="9"/>
  <c r="C17" i="14"/>
  <c r="C7" i="14"/>
  <c r="C8" i="14" s="1"/>
  <c r="C62" i="14"/>
  <c r="H78" i="14"/>
  <c r="D13" i="20"/>
  <c r="C37" i="14"/>
  <c r="C38" i="14" s="1"/>
  <c r="C21" i="14"/>
  <c r="C32" i="14" s="1"/>
  <c r="H17" i="14"/>
  <c r="C109" i="14"/>
  <c r="J24" i="33"/>
  <c r="K24" i="33" s="1"/>
  <c r="L24" i="33" s="1"/>
  <c r="J69" i="33"/>
  <c r="J241" i="9"/>
  <c r="I199" i="20"/>
  <c r="AT16" i="33"/>
  <c r="I32" i="34"/>
  <c r="I9" i="32"/>
  <c r="I69" i="33"/>
  <c r="I217" i="9"/>
  <c r="J217" i="9" s="1"/>
  <c r="K217" i="9" s="1"/>
  <c r="L217" i="9" s="1"/>
  <c r="M217" i="9" s="1"/>
  <c r="N217" i="9" s="1"/>
  <c r="O217" i="9" s="1"/>
  <c r="P217" i="9" s="1"/>
  <c r="Q217" i="9" s="1"/>
  <c r="R217" i="9" s="1"/>
  <c r="S217" i="9" s="1"/>
  <c r="T217" i="9" s="1"/>
  <c r="U217" i="9" s="1"/>
  <c r="V217" i="9" s="1"/>
  <c r="W217" i="9" s="1"/>
  <c r="X217" i="9" s="1"/>
  <c r="Y217" i="9" s="1"/>
  <c r="Z217" i="9" s="1"/>
  <c r="AA217" i="9" s="1"/>
  <c r="AB217" i="9" s="1"/>
  <c r="AC217" i="9" s="1"/>
  <c r="AD217" i="9" s="1"/>
  <c r="AE217" i="9" s="1"/>
  <c r="AF217" i="9" s="1"/>
  <c r="AG217" i="9" s="1"/>
  <c r="AH217" i="9" s="1"/>
  <c r="AI217" i="9" s="1"/>
  <c r="AJ217" i="9" s="1"/>
  <c r="AK217" i="9" s="1"/>
  <c r="AL217" i="9" s="1"/>
  <c r="AM217" i="9" s="1"/>
  <c r="AN217" i="9" s="1"/>
  <c r="AO217" i="9" s="1"/>
  <c r="AP217" i="9" s="1"/>
  <c r="AQ217" i="9" s="1"/>
  <c r="I218" i="9"/>
  <c r="H36" i="14" s="1"/>
  <c r="AW538" i="9"/>
  <c r="F51" i="35"/>
  <c r="BL167" i="9"/>
  <c r="BL168" i="9" s="1"/>
  <c r="Z170" i="9"/>
  <c r="AC25" i="20"/>
  <c r="AC559" i="9" s="1"/>
  <c r="AB149" i="20"/>
  <c r="AF56" i="20"/>
  <c r="AE57" i="14" s="1"/>
  <c r="X56" i="20"/>
  <c r="W57" i="14" s="1"/>
  <c r="AU43" i="9"/>
  <c r="F36" i="14"/>
  <c r="F109" i="14" s="1"/>
  <c r="F24" i="35"/>
  <c r="AV536" i="9"/>
  <c r="AV533" i="9"/>
  <c r="AV550" i="9"/>
  <c r="G556" i="9"/>
  <c r="H6" i="12" s="1"/>
  <c r="H35" i="12" s="1"/>
  <c r="AE41" i="14"/>
  <c r="AG41" i="14"/>
  <c r="AO41" i="14"/>
  <c r="AI41" i="14"/>
  <c r="AH41" i="14"/>
  <c r="X36" i="34"/>
  <c r="X59" i="34" s="1"/>
  <c r="AQ61" i="34"/>
  <c r="AQ39" i="32"/>
  <c r="AP61" i="34"/>
  <c r="AQ15" i="32"/>
  <c r="AO37" i="32"/>
  <c r="U36" i="34"/>
  <c r="U59" i="34" s="1"/>
  <c r="O59" i="34"/>
  <c r="AD63" i="34"/>
  <c r="AH34" i="34"/>
  <c r="AH57" i="34"/>
  <c r="AP35" i="32"/>
  <c r="AP57" i="34"/>
  <c r="W34" i="34"/>
  <c r="W57" i="34" s="1"/>
  <c r="AA57" i="34"/>
  <c r="J58" i="32"/>
  <c r="AF39" i="11"/>
  <c r="AF62" i="11" s="1"/>
  <c r="J36" i="11"/>
  <c r="J37" i="32" s="1"/>
  <c r="J13" i="32"/>
  <c r="AM38" i="11"/>
  <c r="AM61" i="11" s="1"/>
  <c r="AF38" i="11"/>
  <c r="AF61" i="11" s="1"/>
  <c r="AN37" i="11"/>
  <c r="AN60" i="11" s="1"/>
  <c r="AP36" i="11"/>
  <c r="AP37" i="32" s="1"/>
  <c r="AF36" i="11"/>
  <c r="AF59" i="11" s="1"/>
  <c r="J39" i="11"/>
  <c r="J62" i="11" s="1"/>
  <c r="AG38" i="11"/>
  <c r="AG61" i="11" s="1"/>
  <c r="J38" i="11"/>
  <c r="J61" i="11" s="1"/>
  <c r="K40" i="11"/>
  <c r="AM40" i="11"/>
  <c r="AM63" i="11" s="1"/>
  <c r="AK39" i="11"/>
  <c r="AK62" i="11" s="1"/>
  <c r="AL38" i="11"/>
  <c r="AL61" i="11" s="1"/>
  <c r="AE38" i="11"/>
  <c r="AE61" i="11"/>
  <c r="AM37" i="11"/>
  <c r="AM60" i="11" s="1"/>
  <c r="K36" i="11"/>
  <c r="J40" i="11"/>
  <c r="J63" i="11" s="1"/>
  <c r="AF40" i="11"/>
  <c r="AF63" i="11" s="1"/>
  <c r="AL40" i="11"/>
  <c r="AL63" i="11" s="1"/>
  <c r="AJ39" i="11"/>
  <c r="AJ62" i="11" s="1"/>
  <c r="AK38" i="11"/>
  <c r="AK61" i="11" s="1"/>
  <c r="K38" i="11"/>
  <c r="AL37" i="11"/>
  <c r="AL38" i="32" s="1"/>
  <c r="AH40" i="11"/>
  <c r="AH63" i="11" s="1"/>
  <c r="G39" i="11"/>
  <c r="G62" i="11" s="1"/>
  <c r="AK40" i="11"/>
  <c r="AK63" i="11" s="1"/>
  <c r="AI39" i="11"/>
  <c r="AI62" i="11" s="1"/>
  <c r="AN36" i="11"/>
  <c r="AN37" i="32" s="1"/>
  <c r="I40" i="11"/>
  <c r="I41" i="32" s="1"/>
  <c r="AD36" i="11"/>
  <c r="AD59" i="11" s="1"/>
  <c r="AO39" i="11"/>
  <c r="AO40" i="32" s="1"/>
  <c r="AP15" i="32"/>
  <c r="AP38" i="11"/>
  <c r="AP61" i="11" s="1"/>
  <c r="AI38" i="11"/>
  <c r="AI61" i="11" s="1"/>
  <c r="AM36" i="11"/>
  <c r="AM59" i="11" s="1"/>
  <c r="H36" i="11"/>
  <c r="H59" i="11" s="1"/>
  <c r="AD40" i="11"/>
  <c r="AD63" i="11" s="1"/>
  <c r="AE37" i="11"/>
  <c r="AE60" i="11" s="1"/>
  <c r="AI36" i="11"/>
  <c r="AI59" i="11" s="1"/>
  <c r="AP40" i="11"/>
  <c r="AP63" i="11" s="1"/>
  <c r="AN39" i="11"/>
  <c r="AN62" i="11" s="1"/>
  <c r="AO38" i="11"/>
  <c r="AO61" i="11" s="1"/>
  <c r="AP14" i="32"/>
  <c r="AP37" i="11"/>
  <c r="AP60" i="11" s="1"/>
  <c r="AJ37" i="11"/>
  <c r="AJ60" i="11" s="1"/>
  <c r="K37" i="11"/>
  <c r="AK36" i="11"/>
  <c r="AK59" i="11" s="1"/>
  <c r="H40" i="11"/>
  <c r="H39" i="11"/>
  <c r="H62" i="11" s="1"/>
  <c r="AH37" i="11"/>
  <c r="AH60" i="11" s="1"/>
  <c r="AO40" i="11"/>
  <c r="AO63" i="11" s="1"/>
  <c r="AI40" i="11"/>
  <c r="AI63" i="11" s="1"/>
  <c r="AM39" i="11"/>
  <c r="AM62" i="11" s="1"/>
  <c r="AG39" i="11"/>
  <c r="AG62" i="11" s="1"/>
  <c r="AI37" i="11"/>
  <c r="AI60" i="11" s="1"/>
  <c r="J37" i="11"/>
  <c r="J60" i="11" s="1"/>
  <c r="G36" i="11"/>
  <c r="G59" i="11" s="1"/>
  <c r="AG60" i="11"/>
  <c r="AP13" i="32"/>
  <c r="AH38" i="11"/>
  <c r="AH61" i="11" s="1"/>
  <c r="AE40" i="11"/>
  <c r="AE63" i="11" s="1"/>
  <c r="AO17" i="32"/>
  <c r="K62" i="11"/>
  <c r="AO16" i="32"/>
  <c r="AI15" i="32"/>
  <c r="AO37" i="11"/>
  <c r="AO60" i="11" s="1"/>
  <c r="I59" i="11"/>
  <c r="AH15" i="32"/>
  <c r="AI34" i="11"/>
  <c r="AI57" i="11" s="1"/>
  <c r="AE32" i="11"/>
  <c r="AE33" i="32" s="1"/>
  <c r="AO34" i="11"/>
  <c r="AO57" i="11" s="1"/>
  <c r="AO11" i="32"/>
  <c r="AJ32" i="11"/>
  <c r="AJ55" i="11" s="1"/>
  <c r="AN34" i="11"/>
  <c r="AN57" i="11" s="1"/>
  <c r="AN32" i="11"/>
  <c r="AN55" i="11" s="1"/>
  <c r="AM34" i="11"/>
  <c r="AM57" i="11" s="1"/>
  <c r="AG34" i="11"/>
  <c r="AG57" i="11" s="1"/>
  <c r="AG33" i="11"/>
  <c r="AG56" i="11" s="1"/>
  <c r="AE33" i="11"/>
  <c r="AE56" i="11" s="1"/>
  <c r="AF32" i="11"/>
  <c r="AF55" i="11" s="1"/>
  <c r="AF34" i="11"/>
  <c r="AF57" i="11" s="1"/>
  <c r="AK33" i="11"/>
  <c r="AK56" i="11" s="1"/>
  <c r="AJ34" i="11"/>
  <c r="AJ57" i="11" s="1"/>
  <c r="AK34" i="11"/>
  <c r="AK57" i="11" s="1"/>
  <c r="AO33" i="11"/>
  <c r="AO56" i="11" s="1"/>
  <c r="AD33" i="11"/>
  <c r="AD56" i="11" s="1"/>
  <c r="AF33" i="11"/>
  <c r="AF56" i="11" s="1"/>
  <c r="AH57" i="11"/>
  <c r="AL11" i="32"/>
  <c r="AO10" i="32"/>
  <c r="AE9" i="32"/>
  <c r="AP65" i="10"/>
  <c r="AO39" i="10"/>
  <c r="AO63" i="10" s="1"/>
  <c r="AO15" i="32"/>
  <c r="I39" i="32"/>
  <c r="I63" i="10"/>
  <c r="AI64" i="10"/>
  <c r="AM15" i="32"/>
  <c r="AM39" i="10"/>
  <c r="AM63" i="10" s="1"/>
  <c r="AP61" i="10"/>
  <c r="AI16" i="32"/>
  <c r="G41" i="32"/>
  <c r="G38" i="32"/>
  <c r="H17" i="32"/>
  <c r="I15" i="32"/>
  <c r="AP64" i="10"/>
  <c r="H16" i="32"/>
  <c r="G25" i="10"/>
  <c r="H25" i="10" s="1"/>
  <c r="I25" i="10" s="1"/>
  <c r="J25" i="10" s="1"/>
  <c r="K25" i="10" s="1"/>
  <c r="H38" i="32"/>
  <c r="J15" i="32"/>
  <c r="AQ11" i="32"/>
  <c r="AQ35" i="10"/>
  <c r="AO34" i="10"/>
  <c r="AJ105" i="33"/>
  <c r="AJ12" i="34" s="1"/>
  <c r="AF105" i="33"/>
  <c r="AF12" i="34" s="1"/>
  <c r="AF35" i="34" s="1"/>
  <c r="AF58" i="34" s="1"/>
  <c r="AI35" i="34"/>
  <c r="AI58" i="34" s="1"/>
  <c r="AP105" i="33"/>
  <c r="AP12" i="34" s="1"/>
  <c r="AP35" i="34" s="1"/>
  <c r="AG105" i="33"/>
  <c r="AG12" i="34" s="1"/>
  <c r="AG12" i="32" s="1"/>
  <c r="AP35" i="11"/>
  <c r="K35" i="11"/>
  <c r="G35" i="11"/>
  <c r="G58" i="11" s="1"/>
  <c r="AI35" i="11"/>
  <c r="AI58" i="11" s="1"/>
  <c r="AG35" i="11"/>
  <c r="AG58" i="11" s="1"/>
  <c r="AJ35" i="11"/>
  <c r="AJ58" i="11" s="1"/>
  <c r="H36" i="32"/>
  <c r="H60" i="32" s="1"/>
  <c r="M12" i="32"/>
  <c r="AL128" i="16"/>
  <c r="AL12" i="10" s="1"/>
  <c r="P128" i="16"/>
  <c r="P12" i="10" s="1"/>
  <c r="P36" i="10" s="1"/>
  <c r="P60" i="10" s="1"/>
  <c r="AK128" i="16"/>
  <c r="AK12" i="10" s="1"/>
  <c r="O128" i="16"/>
  <c r="O12" i="10" s="1"/>
  <c r="O36" i="10" s="1"/>
  <c r="O60" i="10" s="1"/>
  <c r="AJ128" i="16"/>
  <c r="AJ12" i="10" s="1"/>
  <c r="AJ36" i="10" s="1"/>
  <c r="AJ60" i="10" s="1"/>
  <c r="AD128" i="16"/>
  <c r="AD12" i="10" s="1"/>
  <c r="AD36" i="10" s="1"/>
  <c r="AD60" i="10" s="1"/>
  <c r="V128" i="16"/>
  <c r="N128" i="16"/>
  <c r="N12" i="10" s="1"/>
  <c r="AC128" i="16"/>
  <c r="AC12" i="10" s="1"/>
  <c r="AC36" i="10" s="1"/>
  <c r="AC60" i="10" s="1"/>
  <c r="U128" i="16"/>
  <c r="U12" i="10" s="1"/>
  <c r="U36" i="10" s="1"/>
  <c r="U60" i="10" s="1"/>
  <c r="AB128" i="16"/>
  <c r="AB12" i="10" s="1"/>
  <c r="AB36" i="10" s="1"/>
  <c r="AB60" i="10" s="1"/>
  <c r="T128" i="16"/>
  <c r="AN128" i="16"/>
  <c r="AN12" i="10" s="1"/>
  <c r="AH128" i="16"/>
  <c r="AH12" i="10" s="1"/>
  <c r="AH36" i="10" s="1"/>
  <c r="AH60" i="10" s="1"/>
  <c r="S128" i="16"/>
  <c r="S12" i="10" s="1"/>
  <c r="S36" i="10" s="1"/>
  <c r="S60" i="10" s="1"/>
  <c r="AG128" i="16"/>
  <c r="AG12" i="10" s="1"/>
  <c r="R128" i="16"/>
  <c r="AF128" i="16"/>
  <c r="AF12" i="10" s="1"/>
  <c r="Q128" i="16"/>
  <c r="Q12" i="10" s="1"/>
  <c r="Q36" i="10" s="1"/>
  <c r="Q60" i="10" s="1"/>
  <c r="Y101" i="33"/>
  <c r="Y8" i="34" s="1"/>
  <c r="O101" i="33"/>
  <c r="O8" i="34" s="1"/>
  <c r="S101" i="33"/>
  <c r="S8" i="34" s="1"/>
  <c r="AO101" i="33"/>
  <c r="AO8" i="34" s="1"/>
  <c r="AC101" i="33"/>
  <c r="AC8" i="34" s="1"/>
  <c r="U101" i="33"/>
  <c r="U8" i="34" s="1"/>
  <c r="AI101" i="33"/>
  <c r="AI8" i="34" s="1"/>
  <c r="AG101" i="33"/>
  <c r="AG8" i="34" s="1"/>
  <c r="AN101" i="33"/>
  <c r="AN8" i="34" s="1"/>
  <c r="AN31" i="34" s="1"/>
  <c r="AL101" i="33"/>
  <c r="AL8" i="34" s="1"/>
  <c r="AP101" i="33"/>
  <c r="AP8" i="34" s="1"/>
  <c r="Z101" i="33"/>
  <c r="Z8" i="34" s="1"/>
  <c r="J101" i="33"/>
  <c r="J8" i="34" s="1"/>
  <c r="Q101" i="33"/>
  <c r="Q8" i="34" s="1"/>
  <c r="R101" i="33"/>
  <c r="R8" i="34" s="1"/>
  <c r="AH101" i="33"/>
  <c r="AH8" i="34" s="1"/>
  <c r="K101" i="33"/>
  <c r="K8" i="34" s="1"/>
  <c r="K31" i="34" s="1"/>
  <c r="AA101" i="33"/>
  <c r="AA8" i="34" s="1"/>
  <c r="V101" i="33"/>
  <c r="V8" i="34" s="1"/>
  <c r="AD101" i="33"/>
  <c r="AD8" i="34" s="1"/>
  <c r="W101" i="33"/>
  <c r="W8" i="34" s="1"/>
  <c r="I101" i="33"/>
  <c r="I8" i="34" s="1"/>
  <c r="AH31" i="11"/>
  <c r="AH54" i="11" s="1"/>
  <c r="AP31" i="11"/>
  <c r="AP54" i="11" s="1"/>
  <c r="AK31" i="11"/>
  <c r="AK54" i="11"/>
  <c r="H8" i="32"/>
  <c r="H31" i="11"/>
  <c r="H54" i="11" s="1"/>
  <c r="AF8" i="32"/>
  <c r="AF31" i="11"/>
  <c r="AF54" i="11" s="1"/>
  <c r="I31" i="11"/>
  <c r="I54" i="11" s="1"/>
  <c r="Q31" i="11"/>
  <c r="L31" i="11"/>
  <c r="AC31" i="11"/>
  <c r="AC54" i="11" s="1"/>
  <c r="P124" i="16"/>
  <c r="P8" i="10" s="1"/>
  <c r="P32" i="10" s="1"/>
  <c r="P56" i="10" s="1"/>
  <c r="W124" i="16"/>
  <c r="W8" i="10" s="1"/>
  <c r="W32" i="10" s="1"/>
  <c r="W56" i="10" s="1"/>
  <c r="AA124" i="16"/>
  <c r="AA8" i="10" s="1"/>
  <c r="AA32" i="10" s="1"/>
  <c r="AA56" i="10" s="1"/>
  <c r="X124" i="16"/>
  <c r="X8" i="10" s="1"/>
  <c r="X32" i="10" s="1"/>
  <c r="X56" i="10" s="1"/>
  <c r="O124" i="16"/>
  <c r="O8" i="10" s="1"/>
  <c r="O32" i="10" s="1"/>
  <c r="O56" i="10" s="1"/>
  <c r="L124" i="16"/>
  <c r="Z124" i="16"/>
  <c r="Z8" i="10" s="1"/>
  <c r="Z32" i="10" s="1"/>
  <c r="Z56" i="10" s="1"/>
  <c r="V124" i="16"/>
  <c r="V8" i="10" s="1"/>
  <c r="V32" i="10" s="1"/>
  <c r="V56" i="10" s="1"/>
  <c r="T124" i="16"/>
  <c r="T8" i="10" s="1"/>
  <c r="T32" i="10" s="1"/>
  <c r="T56" i="10" s="1"/>
  <c r="AB124" i="16"/>
  <c r="AB8" i="10" s="1"/>
  <c r="AB32" i="10" s="1"/>
  <c r="AB56" i="10" s="1"/>
  <c r="U124" i="16"/>
  <c r="U8" i="10" s="1"/>
  <c r="U32" i="10" s="1"/>
  <c r="U56" i="10" s="1"/>
  <c r="AH124" i="16"/>
  <c r="AH8" i="10" s="1"/>
  <c r="AL124" i="16"/>
  <c r="AL8" i="10" s="1"/>
  <c r="AL32" i="10" s="1"/>
  <c r="AL56" i="10" s="1"/>
  <c r="Q124" i="16"/>
  <c r="Q8" i="10" s="1"/>
  <c r="Q32" i="10" s="1"/>
  <c r="Q56" i="10" s="1"/>
  <c r="K124" i="16"/>
  <c r="K8" i="10" s="1"/>
  <c r="K32" i="10" s="1"/>
  <c r="K56" i="10" s="1"/>
  <c r="AQ114" i="33"/>
  <c r="AQ21" i="34" s="1"/>
  <c r="AQ21" i="32" s="1"/>
  <c r="AM114" i="33"/>
  <c r="AM21" i="34" s="1"/>
  <c r="V114" i="33"/>
  <c r="V21" i="34" s="1"/>
  <c r="AN114" i="33"/>
  <c r="AN21" i="34" s="1"/>
  <c r="AO114" i="33"/>
  <c r="AO21" i="34" s="1"/>
  <c r="O114" i="33"/>
  <c r="O21" i="34" s="1"/>
  <c r="Y114" i="33"/>
  <c r="Y21" i="34" s="1"/>
  <c r="Y44" i="34" s="1"/>
  <c r="AB114" i="33"/>
  <c r="AB21" i="34" s="1"/>
  <c r="Q114" i="33"/>
  <c r="Q21" i="34" s="1"/>
  <c r="Q44" i="34" s="1"/>
  <c r="X114" i="33"/>
  <c r="X21" i="34" s="1"/>
  <c r="AH114" i="33"/>
  <c r="AH21" i="34" s="1"/>
  <c r="P114" i="33"/>
  <c r="P21" i="34" s="1"/>
  <c r="P44" i="34" s="1"/>
  <c r="AR49" i="27"/>
  <c r="N114" i="33"/>
  <c r="N21" i="34" s="1"/>
  <c r="R114" i="33"/>
  <c r="R21" i="34" s="1"/>
  <c r="R44" i="34" s="1"/>
  <c r="R67" i="34" s="1"/>
  <c r="Z114" i="33"/>
  <c r="Z21" i="34" s="1"/>
  <c r="AG114" i="33"/>
  <c r="AG21" i="34" s="1"/>
  <c r="U114" i="33"/>
  <c r="U21" i="34" s="1"/>
  <c r="AA114" i="33"/>
  <c r="AA21" i="34" s="1"/>
  <c r="AD114" i="33"/>
  <c r="AD21" i="34" s="1"/>
  <c r="AD44" i="34" s="1"/>
  <c r="AD67" i="34" s="1"/>
  <c r="AC114" i="33"/>
  <c r="AC21" i="34" s="1"/>
  <c r="AC44" i="34" s="1"/>
  <c r="AC67" i="34" s="1"/>
  <c r="AF114" i="33"/>
  <c r="AF21" i="34" s="1"/>
  <c r="S114" i="33"/>
  <c r="S21" i="34" s="1"/>
  <c r="AI44" i="11"/>
  <c r="AI67" i="11" s="1"/>
  <c r="AG44" i="11"/>
  <c r="AG67" i="11" s="1"/>
  <c r="AF44" i="11"/>
  <c r="AF67" i="11" s="1"/>
  <c r="AH44" i="11"/>
  <c r="AH67" i="11" s="1"/>
  <c r="Y44" i="11"/>
  <c r="Y67" i="11" s="1"/>
  <c r="S44" i="11"/>
  <c r="V21" i="32"/>
  <c r="N137" i="16"/>
  <c r="N21" i="10" s="1"/>
  <c r="N45" i="10" s="1"/>
  <c r="N69" i="10" s="1"/>
  <c r="AC137" i="16"/>
  <c r="AC21" i="10" s="1"/>
  <c r="P137" i="16"/>
  <c r="P21" i="10" s="1"/>
  <c r="P45" i="10" s="1"/>
  <c r="P69" i="10" s="1"/>
  <c r="Y137" i="16"/>
  <c r="Y21" i="10" s="1"/>
  <c r="Y45" i="10" s="1"/>
  <c r="Y69" i="10" s="1"/>
  <c r="Q137" i="16"/>
  <c r="Q21" i="10" s="1"/>
  <c r="Q45" i="10" s="1"/>
  <c r="Q69" i="10" s="1"/>
  <c r="AM137" i="16"/>
  <c r="AM21" i="10" s="1"/>
  <c r="AM45" i="10" s="1"/>
  <c r="AM69" i="10" s="1"/>
  <c r="U137" i="16"/>
  <c r="U21" i="10" s="1"/>
  <c r="U45" i="10" s="1"/>
  <c r="U69" i="10" s="1"/>
  <c r="AJ137" i="16"/>
  <c r="AJ21" i="10" s="1"/>
  <c r="AH137" i="16"/>
  <c r="AH21" i="10" s="1"/>
  <c r="AH45" i="10" s="1"/>
  <c r="AH69" i="10" s="1"/>
  <c r="AL137" i="16"/>
  <c r="AL21" i="10" s="1"/>
  <c r="AL45" i="10" s="1"/>
  <c r="AL69" i="10" s="1"/>
  <c r="AK137" i="16"/>
  <c r="AK21" i="10" s="1"/>
  <c r="AN137" i="16"/>
  <c r="AN21" i="10" s="1"/>
  <c r="AN45" i="10" s="1"/>
  <c r="AN69" i="10" s="1"/>
  <c r="O137" i="16"/>
  <c r="O21" i="10" s="1"/>
  <c r="O45" i="10" s="1"/>
  <c r="O69" i="10" s="1"/>
  <c r="M137" i="16"/>
  <c r="M21" i="10" s="1"/>
  <c r="M45" i="10" s="1"/>
  <c r="M69" i="10" s="1"/>
  <c r="V137" i="16"/>
  <c r="V21" i="10" s="1"/>
  <c r="V45" i="10" s="1"/>
  <c r="V69" i="10" s="1"/>
  <c r="AA137" i="16"/>
  <c r="AA21" i="10" s="1"/>
  <c r="AA45" i="10" s="1"/>
  <c r="AA69" i="10" s="1"/>
  <c r="T137" i="16"/>
  <c r="T21" i="10" s="1"/>
  <c r="T45" i="10" s="1"/>
  <c r="T69" i="10" s="1"/>
  <c r="S137" i="16"/>
  <c r="S21" i="10" s="1"/>
  <c r="S45" i="10" s="1"/>
  <c r="S69" i="10" s="1"/>
  <c r="AR17" i="27"/>
  <c r="AB99" i="33"/>
  <c r="AB6" i="34" s="1"/>
  <c r="AB29" i="34" s="1"/>
  <c r="V99" i="33"/>
  <c r="V6" i="34" s="1"/>
  <c r="AK99" i="33"/>
  <c r="AK6" i="34" s="1"/>
  <c r="AK29" i="34" s="1"/>
  <c r="AK52" i="34" s="1"/>
  <c r="Z99" i="33"/>
  <c r="Z6" i="34" s="1"/>
  <c r="AG99" i="33"/>
  <c r="AG6" i="34" s="1"/>
  <c r="AC99" i="33"/>
  <c r="AC6" i="34" s="1"/>
  <c r="AO99" i="33"/>
  <c r="AO6" i="34" s="1"/>
  <c r="AO29" i="34" s="1"/>
  <c r="AD99" i="33"/>
  <c r="AD6" i="34" s="1"/>
  <c r="T99" i="33"/>
  <c r="T6" i="34" s="1"/>
  <c r="X99" i="33"/>
  <c r="X6" i="34" s="1"/>
  <c r="AL99" i="33"/>
  <c r="AL6" i="34" s="1"/>
  <c r="AA99" i="33"/>
  <c r="AA6" i="34" s="1"/>
  <c r="Y99" i="33"/>
  <c r="Y6" i="34" s="1"/>
  <c r="Y29" i="34" s="1"/>
  <c r="Y52" i="34" s="1"/>
  <c r="AN99" i="33"/>
  <c r="AN6" i="34" s="1"/>
  <c r="AR49" i="29"/>
  <c r="AF29" i="11"/>
  <c r="AF52" i="11" s="1"/>
  <c r="AG29" i="11"/>
  <c r="AG52" i="11" s="1"/>
  <c r="AH29" i="11"/>
  <c r="AH52" i="11" s="1"/>
  <c r="AP29" i="11"/>
  <c r="AP52" i="11" s="1"/>
  <c r="AQ29" i="11"/>
  <c r="AQ52" i="11" s="1"/>
  <c r="AJ29" i="11"/>
  <c r="AJ52" i="11" s="1"/>
  <c r="AK29" i="11"/>
  <c r="AK52" i="11" s="1"/>
  <c r="Y6" i="32"/>
  <c r="AD29" i="11"/>
  <c r="AD52" i="11" s="1"/>
  <c r="AA29" i="11"/>
  <c r="AB29" i="11"/>
  <c r="AB52" i="11" s="1"/>
  <c r="R122" i="16"/>
  <c r="R6" i="10" s="1"/>
  <c r="R30" i="10" s="1"/>
  <c r="R54" i="10" s="1"/>
  <c r="S122" i="16"/>
  <c r="S6" i="10" s="1"/>
  <c r="S30" i="10" s="1"/>
  <c r="S54" i="10" s="1"/>
  <c r="V122" i="16"/>
  <c r="V6" i="10" s="1"/>
  <c r="V30" i="10" s="1"/>
  <c r="V54" i="10" s="1"/>
  <c r="U122" i="16"/>
  <c r="U6" i="10" s="1"/>
  <c r="U30" i="10" s="1"/>
  <c r="U54" i="10" s="1"/>
  <c r="AM122" i="16"/>
  <c r="AM6" i="10" s="1"/>
  <c r="AM30" i="10" s="1"/>
  <c r="AM54" i="10" s="1"/>
  <c r="AU50" i="17"/>
  <c r="AU59" i="17"/>
  <c r="AU57" i="17"/>
  <c r="AU53" i="17"/>
  <c r="AH134" i="16"/>
  <c r="AH18" i="10" s="1"/>
  <c r="AQ46" i="32"/>
  <c r="AQ70" i="10"/>
  <c r="J22" i="32"/>
  <c r="I22" i="32"/>
  <c r="E45" i="34"/>
  <c r="E46" i="32" s="1"/>
  <c r="E70" i="32" s="1"/>
  <c r="F11" i="32"/>
  <c r="F57" i="34"/>
  <c r="F34" i="34"/>
  <c r="F35" i="32" s="1"/>
  <c r="F40" i="34"/>
  <c r="F41" i="32" s="1"/>
  <c r="F17" i="32"/>
  <c r="F63" i="34"/>
  <c r="AF29" i="34"/>
  <c r="AF52" i="34" s="1"/>
  <c r="V36" i="34"/>
  <c r="V59" i="34" s="1"/>
  <c r="AP43" i="34"/>
  <c r="AP44" i="32" s="1"/>
  <c r="AN58" i="34"/>
  <c r="AI31" i="32"/>
  <c r="AI55" i="32" s="1"/>
  <c r="N57" i="34"/>
  <c r="W69" i="33"/>
  <c r="AO59" i="34"/>
  <c r="AO13" i="32"/>
  <c r="AO61" i="32" s="1"/>
  <c r="AE55" i="34"/>
  <c r="AD42" i="34"/>
  <c r="AD43" i="32" s="1"/>
  <c r="AD67" i="32" s="1"/>
  <c r="AD65" i="34"/>
  <c r="Q40" i="34"/>
  <c r="Q63" i="34" s="1"/>
  <c r="AA36" i="34"/>
  <c r="AA59" i="34" s="1"/>
  <c r="F67" i="34"/>
  <c r="F21" i="32"/>
  <c r="F44" i="34"/>
  <c r="F69" i="33"/>
  <c r="F70" i="33" s="1"/>
  <c r="I63" i="34"/>
  <c r="F7" i="32"/>
  <c r="F30" i="34"/>
  <c r="F31" i="32" s="1"/>
  <c r="AL14" i="32"/>
  <c r="I47" i="33"/>
  <c r="J47" i="33" s="1"/>
  <c r="K47" i="33" s="1"/>
  <c r="L47" i="33" s="1"/>
  <c r="M47" i="33" s="1"/>
  <c r="N47" i="33" s="1"/>
  <c r="O47" i="33" s="1"/>
  <c r="P47" i="33" s="1"/>
  <c r="Q47" i="33" s="1"/>
  <c r="R47" i="33" s="1"/>
  <c r="S47" i="33" s="1"/>
  <c r="T47" i="33" s="1"/>
  <c r="U47" i="33" s="1"/>
  <c r="V47" i="33" s="1"/>
  <c r="W47" i="33" s="1"/>
  <c r="X47" i="33" s="1"/>
  <c r="Y47" i="33" s="1"/>
  <c r="Z47" i="33" s="1"/>
  <c r="AA47" i="33" s="1"/>
  <c r="AB47" i="33" s="1"/>
  <c r="AC47" i="33" s="1"/>
  <c r="AD47" i="33" s="1"/>
  <c r="AE47" i="33" s="1"/>
  <c r="AF47" i="33" s="1"/>
  <c r="AG47" i="33" s="1"/>
  <c r="AH47" i="33" s="1"/>
  <c r="AI47" i="33" s="1"/>
  <c r="AJ47" i="33" s="1"/>
  <c r="AK47" i="33" s="1"/>
  <c r="AL47" i="33" s="1"/>
  <c r="AM47" i="33" s="1"/>
  <c r="AN47" i="33" s="1"/>
  <c r="AO47" i="33" s="1"/>
  <c r="AP47" i="33" s="1"/>
  <c r="AQ47" i="33" s="1"/>
  <c r="Q34" i="34"/>
  <c r="Q57" i="34" s="1"/>
  <c r="T43" i="34"/>
  <c r="T66" i="34" s="1"/>
  <c r="AN42" i="34"/>
  <c r="AN65" i="34" s="1"/>
  <c r="AI42" i="34"/>
  <c r="AI19" i="32"/>
  <c r="L57" i="34"/>
  <c r="J44" i="34"/>
  <c r="F31" i="34"/>
  <c r="H11" i="32"/>
  <c r="H34" i="34"/>
  <c r="F19" i="32"/>
  <c r="F67" i="32" s="1"/>
  <c r="F65" i="34"/>
  <c r="I36" i="34"/>
  <c r="I13" i="32"/>
  <c r="F32" i="34"/>
  <c r="F9" i="32"/>
  <c r="N35" i="34"/>
  <c r="N58" i="34" s="1"/>
  <c r="G31" i="32"/>
  <c r="G53" i="34"/>
  <c r="I56" i="34"/>
  <c r="I34" i="32"/>
  <c r="AP37" i="34"/>
  <c r="M34" i="34"/>
  <c r="M57" i="34" s="1"/>
  <c r="AN43" i="34"/>
  <c r="AN44" i="32" s="1"/>
  <c r="AN66" i="34"/>
  <c r="Z43" i="34"/>
  <c r="Z66" i="34" s="1"/>
  <c r="S43" i="34"/>
  <c r="S66" i="34" s="1"/>
  <c r="M43" i="34"/>
  <c r="M66" i="34"/>
  <c r="AN38" i="34"/>
  <c r="AG13" i="32"/>
  <c r="AG36" i="34"/>
  <c r="AG37" i="32" s="1"/>
  <c r="S34" i="34"/>
  <c r="S57" i="34" s="1"/>
  <c r="J31" i="34"/>
  <c r="F33" i="34"/>
  <c r="F34" i="32" s="1"/>
  <c r="F10" i="32"/>
  <c r="H22" i="32"/>
  <c r="H45" i="34"/>
  <c r="AP20" i="32"/>
  <c r="W65" i="34"/>
  <c r="AP32" i="34"/>
  <c r="AP33" i="32" s="1"/>
  <c r="AP57" i="32" s="1"/>
  <c r="P34" i="34"/>
  <c r="P57" i="34"/>
  <c r="N42" i="34"/>
  <c r="N65" i="34"/>
  <c r="L35" i="34"/>
  <c r="L58" i="34" s="1"/>
  <c r="AM43" i="34"/>
  <c r="AM66" i="34" s="1"/>
  <c r="AF43" i="34"/>
  <c r="AF44" i="32" s="1"/>
  <c r="AF68" i="32" s="1"/>
  <c r="AF66" i="34"/>
  <c r="AM42" i="34"/>
  <c r="AM65" i="34" s="1"/>
  <c r="AH42" i="34"/>
  <c r="AH65" i="34" s="1"/>
  <c r="AM36" i="34"/>
  <c r="AM59" i="34" s="1"/>
  <c r="M35" i="34"/>
  <c r="M58" i="34" s="1"/>
  <c r="AN34" i="34"/>
  <c r="AN57" i="34" s="1"/>
  <c r="J16" i="32"/>
  <c r="J39" i="34"/>
  <c r="J62" i="34" s="1"/>
  <c r="X43" i="34"/>
  <c r="X66" i="34"/>
  <c r="AO37" i="34"/>
  <c r="M37" i="34"/>
  <c r="M60" i="34" s="1"/>
  <c r="AM34" i="34"/>
  <c r="AM57" i="34" s="1"/>
  <c r="X34" i="34"/>
  <c r="X57" i="34" s="1"/>
  <c r="L56" i="34"/>
  <c r="AD32" i="34"/>
  <c r="AD55" i="34" s="1"/>
  <c r="J14" i="32"/>
  <c r="J37" i="34"/>
  <c r="J38" i="32" s="1"/>
  <c r="J52" i="34"/>
  <c r="J39" i="32"/>
  <c r="J61" i="34"/>
  <c r="F40" i="32"/>
  <c r="F64" i="32" s="1"/>
  <c r="F62" i="34"/>
  <c r="W43" i="34"/>
  <c r="W66" i="34" s="1"/>
  <c r="AK63" i="34"/>
  <c r="L60" i="34"/>
  <c r="I14" i="32"/>
  <c r="I37" i="34"/>
  <c r="F36" i="34"/>
  <c r="F37" i="32" s="1"/>
  <c r="F59" i="34"/>
  <c r="F13" i="32"/>
  <c r="I30" i="34"/>
  <c r="AP17" i="32"/>
  <c r="U60" i="34"/>
  <c r="Z34" i="34"/>
  <c r="Z57" i="34" s="1"/>
  <c r="AE35" i="34"/>
  <c r="Z37" i="34"/>
  <c r="Z60" i="34" s="1"/>
  <c r="AG42" i="34"/>
  <c r="AG65" i="34" s="1"/>
  <c r="AK43" i="34"/>
  <c r="AK66" i="34"/>
  <c r="X37" i="34"/>
  <c r="X60" i="34" s="1"/>
  <c r="AC36" i="34"/>
  <c r="AC59" i="34" s="1"/>
  <c r="G21" i="32"/>
  <c r="G44" i="34"/>
  <c r="G45" i="32" s="1"/>
  <c r="G69" i="32" s="1"/>
  <c r="J17" i="32"/>
  <c r="J40" i="34"/>
  <c r="G39" i="34"/>
  <c r="G16" i="32"/>
  <c r="F61" i="34"/>
  <c r="H7" i="32"/>
  <c r="H30" i="34"/>
  <c r="H31" i="32" s="1"/>
  <c r="AM16" i="32"/>
  <c r="AM20" i="32"/>
  <c r="H54" i="34"/>
  <c r="G69" i="33"/>
  <c r="H6" i="32"/>
  <c r="H54" i="32" s="1"/>
  <c r="F99" i="33"/>
  <c r="F6" i="34" s="1"/>
  <c r="F97" i="33"/>
  <c r="F4" i="34" s="1"/>
  <c r="F27" i="34" s="1"/>
  <c r="AH19" i="32"/>
  <c r="F45" i="34"/>
  <c r="F46" i="32" s="1"/>
  <c r="K58" i="34"/>
  <c r="F15" i="32"/>
  <c r="F63" i="32" s="1"/>
  <c r="I98" i="33"/>
  <c r="I5" i="34" s="1"/>
  <c r="I28" i="34" s="1"/>
  <c r="I51" i="34" s="1"/>
  <c r="AB105" i="33"/>
  <c r="AB12" i="34" s="1"/>
  <c r="AH11" i="32"/>
  <c r="H41" i="32"/>
  <c r="AD57" i="34"/>
  <c r="I17" i="32"/>
  <c r="F111" i="33"/>
  <c r="F18" i="34" s="1"/>
  <c r="O65" i="34"/>
  <c r="P60" i="34"/>
  <c r="K60" i="34"/>
  <c r="H52" i="34"/>
  <c r="AH105" i="33"/>
  <c r="AH12" i="34" s="1"/>
  <c r="AF19" i="32"/>
  <c r="AF61" i="34"/>
  <c r="S11" i="32"/>
  <c r="AI63" i="34"/>
  <c r="I45" i="34"/>
  <c r="G33" i="34"/>
  <c r="H69" i="33"/>
  <c r="AQ44" i="34"/>
  <c r="AP6" i="32"/>
  <c r="AP29" i="34"/>
  <c r="AO21" i="32"/>
  <c r="AO44" i="34"/>
  <c r="AO45" i="32" s="1"/>
  <c r="AO31" i="34"/>
  <c r="AQ31" i="34"/>
  <c r="AQ54" i="34" s="1"/>
  <c r="L31" i="34"/>
  <c r="L54" i="34" s="1"/>
  <c r="AM29" i="34"/>
  <c r="AK31" i="34"/>
  <c r="AK54" i="34" s="1"/>
  <c r="AM8" i="32"/>
  <c r="AM31" i="34"/>
  <c r="AM54" i="34"/>
  <c r="G37" i="32"/>
  <c r="M31" i="34"/>
  <c r="M54" i="34" s="1"/>
  <c r="O29" i="34"/>
  <c r="O52" i="34" s="1"/>
  <c r="AN29" i="34"/>
  <c r="AN52" i="34" s="1"/>
  <c r="AK44" i="34"/>
  <c r="AK67" i="34" s="1"/>
  <c r="AQ29" i="34"/>
  <c r="AQ52" i="34" s="1"/>
  <c r="K44" i="34"/>
  <c r="K45" i="32" s="1"/>
  <c r="N29" i="34"/>
  <c r="N52" i="34" s="1"/>
  <c r="Z44" i="34"/>
  <c r="Z67" i="34" s="1"/>
  <c r="AD31" i="34"/>
  <c r="AD54" i="34"/>
  <c r="AG44" i="34"/>
  <c r="AG67" i="34" s="1"/>
  <c r="K29" i="34"/>
  <c r="K52" i="34" s="1"/>
  <c r="AE31" i="34"/>
  <c r="AE54" i="34"/>
  <c r="AP31" i="34"/>
  <c r="AP32" i="32" s="1"/>
  <c r="AP8" i="32"/>
  <c r="AP44" i="34"/>
  <c r="AP45" i="32" s="1"/>
  <c r="AH31" i="34"/>
  <c r="AH54" i="34" s="1"/>
  <c r="O31" i="34"/>
  <c r="O54" i="34" s="1"/>
  <c r="L29" i="34"/>
  <c r="L52" i="34" s="1"/>
  <c r="AD29" i="34"/>
  <c r="AD52" i="34" s="1"/>
  <c r="AF44" i="34"/>
  <c r="AF67" i="34" s="1"/>
  <c r="S44" i="34"/>
  <c r="S67" i="34" s="1"/>
  <c r="AO42" i="34"/>
  <c r="AO43" i="32" s="1"/>
  <c r="AO19" i="32"/>
  <c r="AO65" i="34"/>
  <c r="P36" i="34"/>
  <c r="P59" i="34" s="1"/>
  <c r="AA42" i="34"/>
  <c r="AA65" i="34" s="1"/>
  <c r="Y43" i="34"/>
  <c r="Y66" i="34" s="1"/>
  <c r="AK36" i="34"/>
  <c r="AK59" i="34"/>
  <c r="AE36" i="34"/>
  <c r="AE59" i="34" s="1"/>
  <c r="G8" i="32"/>
  <c r="J9" i="32"/>
  <c r="J32" i="34"/>
  <c r="J33" i="32" s="1"/>
  <c r="AJ69" i="33"/>
  <c r="AJ71" i="33" s="1"/>
  <c r="AM14" i="32"/>
  <c r="AQ16" i="32"/>
  <c r="N31" i="34"/>
  <c r="N54" i="34" s="1"/>
  <c r="H40" i="32"/>
  <c r="AE57" i="34"/>
  <c r="Q60" i="34"/>
  <c r="G31" i="34"/>
  <c r="J68" i="34"/>
  <c r="J46" i="32"/>
  <c r="AB42" i="34"/>
  <c r="AB65" i="34" s="1"/>
  <c r="G55" i="34"/>
  <c r="AO38" i="34"/>
  <c r="AO39" i="32" s="1"/>
  <c r="AQ42" i="34"/>
  <c r="AQ43" i="32" s="1"/>
  <c r="AQ67" i="32" s="1"/>
  <c r="AQ65" i="34"/>
  <c r="AO40" i="34"/>
  <c r="AO63" i="34"/>
  <c r="K63" i="34"/>
  <c r="Z59" i="34"/>
  <c r="K57" i="34"/>
  <c r="H10" i="32"/>
  <c r="H33" i="34"/>
  <c r="H34" i="32" s="1"/>
  <c r="G63" i="34"/>
  <c r="AF65" i="34"/>
  <c r="AN37" i="34"/>
  <c r="AN60" i="34"/>
  <c r="K21" i="32"/>
  <c r="AI12" i="32"/>
  <c r="AO66" i="34"/>
  <c r="AQ59" i="34"/>
  <c r="R60" i="34"/>
  <c r="AK37" i="34"/>
  <c r="AK60" i="34" s="1"/>
  <c r="K62" i="34"/>
  <c r="Y34" i="34"/>
  <c r="Y57" i="34" s="1"/>
  <c r="AI43" i="34"/>
  <c r="AI66" i="34" s="1"/>
  <c r="Y42" i="34"/>
  <c r="Y65" i="34" s="1"/>
  <c r="AH63" i="34"/>
  <c r="AB63" i="34"/>
  <c r="AG37" i="34"/>
  <c r="AG60" i="34" s="1"/>
  <c r="T59" i="34"/>
  <c r="AB34" i="34"/>
  <c r="AB57" i="34" s="1"/>
  <c r="V34" i="34"/>
  <c r="V57" i="34" s="1"/>
  <c r="J104" i="33"/>
  <c r="J11" i="34" s="1"/>
  <c r="AR57" i="33"/>
  <c r="AR104" i="33" s="1"/>
  <c r="AT104" i="33" s="1"/>
  <c r="AK33" i="34"/>
  <c r="AK56" i="34" s="1"/>
  <c r="K43" i="34"/>
  <c r="K66" i="34" s="1"/>
  <c r="K6" i="32"/>
  <c r="K20" i="32"/>
  <c r="AD43" i="34"/>
  <c r="AD66" i="34" s="1"/>
  <c r="R57" i="34"/>
  <c r="L66" i="34"/>
  <c r="AF59" i="34"/>
  <c r="K65" i="34"/>
  <c r="AP59" i="34"/>
  <c r="AQ55" i="34"/>
  <c r="AH66" i="34"/>
  <c r="V66" i="34"/>
  <c r="R66" i="34"/>
  <c r="N66" i="34"/>
  <c r="P40" i="34"/>
  <c r="P63" i="34" s="1"/>
  <c r="AC38" i="34"/>
  <c r="AC61" i="34" s="1"/>
  <c r="N60" i="34"/>
  <c r="AI34" i="34"/>
  <c r="AI57" i="34"/>
  <c r="J19" i="32"/>
  <c r="J42" i="34"/>
  <c r="J43" i="32" s="1"/>
  <c r="H58" i="34"/>
  <c r="AC65" i="34"/>
  <c r="AQ13" i="32"/>
  <c r="AO9" i="32"/>
  <c r="AP10" i="32"/>
  <c r="G33" i="32"/>
  <c r="AK57" i="34"/>
  <c r="S59" i="34"/>
  <c r="S63" i="34"/>
  <c r="I60" i="34"/>
  <c r="G68" i="34"/>
  <c r="J35" i="34"/>
  <c r="I40" i="32"/>
  <c r="I62" i="34"/>
  <c r="G65" i="34"/>
  <c r="H67" i="34"/>
  <c r="I55" i="34"/>
  <c r="I33" i="32"/>
  <c r="AQ33" i="34"/>
  <c r="AQ34" i="32" s="1"/>
  <c r="AQ58" i="32" s="1"/>
  <c r="AM58" i="34"/>
  <c r="AF62" i="34"/>
  <c r="AQ68" i="34"/>
  <c r="N39" i="34"/>
  <c r="N62" i="34" s="1"/>
  <c r="AO34" i="34"/>
  <c r="AO35" i="32" s="1"/>
  <c r="AN56" i="34"/>
  <c r="I31" i="34"/>
  <c r="I8" i="32"/>
  <c r="H13" i="32"/>
  <c r="H36" i="34"/>
  <c r="G57" i="34"/>
  <c r="AM60" i="34"/>
  <c r="AP33" i="34"/>
  <c r="T65" i="34"/>
  <c r="G59" i="34"/>
  <c r="G54" i="34"/>
  <c r="AA60" i="34"/>
  <c r="G60" i="34"/>
  <c r="AN59" i="34"/>
  <c r="Y60" i="34"/>
  <c r="AQ60" i="34"/>
  <c r="AL42" i="34"/>
  <c r="AL43" i="32" s="1"/>
  <c r="AL67" i="32" s="1"/>
  <c r="AC43" i="34"/>
  <c r="AC66" i="34" s="1"/>
  <c r="AQ40" i="34"/>
  <c r="AQ41" i="32" s="1"/>
  <c r="T37" i="34"/>
  <c r="T60" i="34" s="1"/>
  <c r="AL66" i="34"/>
  <c r="U113" i="33"/>
  <c r="U20" i="34" s="1"/>
  <c r="AR66" i="33"/>
  <c r="Z40" i="34"/>
  <c r="Z63" i="34" s="1"/>
  <c r="T63" i="34"/>
  <c r="AH62" i="34"/>
  <c r="O57" i="34"/>
  <c r="I43" i="32"/>
  <c r="I67" i="32" s="1"/>
  <c r="L61" i="34"/>
  <c r="AF55" i="34"/>
  <c r="AO32" i="34"/>
  <c r="AO33" i="32" s="1"/>
  <c r="AB43" i="34"/>
  <c r="AB66" i="34" s="1"/>
  <c r="L42" i="34"/>
  <c r="L65" i="34" s="1"/>
  <c r="AQ62" i="34"/>
  <c r="AD36" i="34"/>
  <c r="AD59" i="34" s="1"/>
  <c r="P65" i="34"/>
  <c r="G58" i="34"/>
  <c r="V42" i="34"/>
  <c r="V65" i="34" s="1"/>
  <c r="AE43" i="34"/>
  <c r="AE66" i="34" s="1"/>
  <c r="AM39" i="34"/>
  <c r="AP58" i="34"/>
  <c r="G13" i="32"/>
  <c r="AH69" i="33"/>
  <c r="G43" i="34"/>
  <c r="G20" i="32"/>
  <c r="G66" i="34"/>
  <c r="G22" i="32"/>
  <c r="G70" i="32" s="1"/>
  <c r="J66" i="34"/>
  <c r="J20" i="32"/>
  <c r="G12" i="32"/>
  <c r="G9" i="32"/>
  <c r="AE99" i="33"/>
  <c r="AE6" i="34" s="1"/>
  <c r="G7" i="32"/>
  <c r="I43" i="34"/>
  <c r="I44" i="32" s="1"/>
  <c r="I20" i="32"/>
  <c r="G17" i="32"/>
  <c r="G14" i="32"/>
  <c r="AN69" i="33"/>
  <c r="AN71" i="33" s="1"/>
  <c r="G19" i="32"/>
  <c r="G67" i="32" s="1"/>
  <c r="G11" i="32"/>
  <c r="G111" i="33"/>
  <c r="G18" i="34" s="1"/>
  <c r="X111" i="33"/>
  <c r="X18" i="34" s="1"/>
  <c r="AF111" i="33"/>
  <c r="AF18" i="34" s="1"/>
  <c r="AF41" i="34" s="1"/>
  <c r="AF64" i="34" s="1"/>
  <c r="K98" i="33"/>
  <c r="K5" i="34" s="1"/>
  <c r="K28" i="34" s="1"/>
  <c r="K51" i="34" s="1"/>
  <c r="AA98" i="33"/>
  <c r="AA5" i="34" s="1"/>
  <c r="AA28" i="34" s="1"/>
  <c r="AA51" i="34" s="1"/>
  <c r="AQ98" i="33"/>
  <c r="AQ5" i="34" s="1"/>
  <c r="O66" i="34"/>
  <c r="H20" i="32"/>
  <c r="H43" i="34"/>
  <c r="H38" i="34"/>
  <c r="H15" i="32"/>
  <c r="H32" i="34"/>
  <c r="H9" i="32"/>
  <c r="G38" i="34"/>
  <c r="J7" i="32"/>
  <c r="J30" i="34"/>
  <c r="AG98" i="33"/>
  <c r="AG5" i="34" s="1"/>
  <c r="AG28" i="34" s="1"/>
  <c r="AG51" i="34" s="1"/>
  <c r="AO98" i="33"/>
  <c r="AO5" i="34" s="1"/>
  <c r="R97" i="33"/>
  <c r="R4" i="34" s="1"/>
  <c r="R27" i="34" s="1"/>
  <c r="AP97" i="33"/>
  <c r="AR65" i="33"/>
  <c r="AT65" i="33" s="1"/>
  <c r="O111" i="33"/>
  <c r="O18" i="34" s="1"/>
  <c r="O41" i="34" s="1"/>
  <c r="AE114" i="33"/>
  <c r="AE21" i="34" s="1"/>
  <c r="J98" i="33"/>
  <c r="J5" i="34" s="1"/>
  <c r="AP98" i="33"/>
  <c r="AP5" i="34" s="1"/>
  <c r="W105" i="33"/>
  <c r="W12" i="34" s="1"/>
  <c r="W35" i="34" s="1"/>
  <c r="W58" i="34" s="1"/>
  <c r="M97" i="33"/>
  <c r="M4" i="34" s="1"/>
  <c r="T97" i="33"/>
  <c r="T4" i="34" s="1"/>
  <c r="T27" i="34" s="1"/>
  <c r="T50" i="34" s="1"/>
  <c r="AC105" i="33"/>
  <c r="AC12" i="34" s="1"/>
  <c r="AC35" i="34" s="1"/>
  <c r="H111" i="33"/>
  <c r="H18" i="34" s="1"/>
  <c r="H41" i="34" s="1"/>
  <c r="H64" i="34" s="1"/>
  <c r="AO111" i="33"/>
  <c r="AO18" i="34" s="1"/>
  <c r="L98" i="33"/>
  <c r="L5" i="34" s="1"/>
  <c r="L28" i="34" s="1"/>
  <c r="T98" i="33"/>
  <c r="T5" i="34" s="1"/>
  <c r="T28" i="34" s="1"/>
  <c r="T51" i="34" s="1"/>
  <c r="U97" i="33"/>
  <c r="U4" i="34" s="1"/>
  <c r="U27" i="34" s="1"/>
  <c r="U50" i="34" s="1"/>
  <c r="AD105" i="33"/>
  <c r="AD12" i="34" s="1"/>
  <c r="AD12" i="32" s="1"/>
  <c r="AR59" i="33"/>
  <c r="AT59" i="33" s="1"/>
  <c r="K111" i="33"/>
  <c r="K18" i="34" s="1"/>
  <c r="K41" i="34" s="1"/>
  <c r="M98" i="33"/>
  <c r="M5" i="34" s="1"/>
  <c r="M28" i="34" s="1"/>
  <c r="M51" i="34" s="1"/>
  <c r="AK98" i="33"/>
  <c r="AK5" i="34" s="1"/>
  <c r="V97" i="33"/>
  <c r="V4" i="34" s="1"/>
  <c r="V27" i="34" s="1"/>
  <c r="V50" i="34" s="1"/>
  <c r="Y105" i="33"/>
  <c r="Y12" i="34" s="1"/>
  <c r="Y35" i="34" s="1"/>
  <c r="Y58" i="34" s="1"/>
  <c r="J97" i="33"/>
  <c r="J4" i="34" s="1"/>
  <c r="J27" i="34" s="1"/>
  <c r="L111" i="33"/>
  <c r="L18" i="34" s="1"/>
  <c r="AQ111" i="33"/>
  <c r="AQ18" i="34" s="1"/>
  <c r="N98" i="33"/>
  <c r="N5" i="34" s="1"/>
  <c r="N28" i="34" s="1"/>
  <c r="V98" i="33"/>
  <c r="V5" i="34" s="1"/>
  <c r="V28" i="34" s="1"/>
  <c r="V51" i="34" s="1"/>
  <c r="AD98" i="33"/>
  <c r="AD5" i="34" s="1"/>
  <c r="G98" i="33"/>
  <c r="G5" i="34" s="1"/>
  <c r="W98" i="33"/>
  <c r="W5" i="34" s="1"/>
  <c r="W28" i="34" s="1"/>
  <c r="W51" i="34" s="1"/>
  <c r="AE98" i="33"/>
  <c r="AE5" i="34" s="1"/>
  <c r="X97" i="33"/>
  <c r="X4" i="34" s="1"/>
  <c r="X27" i="34" s="1"/>
  <c r="T105" i="33"/>
  <c r="T12" i="34" s="1"/>
  <c r="T35" i="34" s="1"/>
  <c r="AA105" i="33"/>
  <c r="AA12" i="34" s="1"/>
  <c r="AA35" i="34" s="1"/>
  <c r="AA58" i="34" s="1"/>
  <c r="N111" i="33"/>
  <c r="N18" i="34" s="1"/>
  <c r="N41" i="34" s="1"/>
  <c r="N64" i="34" s="1"/>
  <c r="AK111" i="33"/>
  <c r="AK18" i="34" s="1"/>
  <c r="AK41" i="34" s="1"/>
  <c r="AK64" i="34" s="1"/>
  <c r="H98" i="33"/>
  <c r="H5" i="34" s="1"/>
  <c r="X98" i="33"/>
  <c r="X5" i="34" s="1"/>
  <c r="X28" i="34" s="1"/>
  <c r="AF98" i="33"/>
  <c r="AF5" i="34" s="1"/>
  <c r="AN98" i="33"/>
  <c r="AN5" i="34" s="1"/>
  <c r="AN28" i="34" s="1"/>
  <c r="AN51" i="34" s="1"/>
  <c r="AK68" i="11"/>
  <c r="AT294" i="21"/>
  <c r="AT282" i="21"/>
  <c r="AT281" i="21"/>
  <c r="AT260" i="21"/>
  <c r="W254" i="21"/>
  <c r="X254" i="21" s="1"/>
  <c r="Y254" i="21" s="1"/>
  <c r="Z254" i="21" s="1"/>
  <c r="AA254" i="21" s="1"/>
  <c r="AB254" i="21" s="1"/>
  <c r="AC254" i="21" s="1"/>
  <c r="AD254" i="21" s="1"/>
  <c r="AE254" i="21" s="1"/>
  <c r="AF254" i="21" s="1"/>
  <c r="AG254" i="21" s="1"/>
  <c r="AH254" i="21" s="1"/>
  <c r="AI254" i="21" s="1"/>
  <c r="AJ254" i="21" s="1"/>
  <c r="AK254" i="21" s="1"/>
  <c r="AL254" i="21" s="1"/>
  <c r="AM254" i="21" s="1"/>
  <c r="AN254" i="21" s="1"/>
  <c r="AO254" i="21" s="1"/>
  <c r="AP254" i="21" s="1"/>
  <c r="AQ254" i="21" s="1"/>
  <c r="S185" i="21"/>
  <c r="T185" i="21" s="1"/>
  <c r="U185" i="21" s="1"/>
  <c r="V185" i="21" s="1"/>
  <c r="W185" i="21" s="1"/>
  <c r="X185" i="21" s="1"/>
  <c r="Y185" i="21" s="1"/>
  <c r="Z185" i="21" s="1"/>
  <c r="AA185" i="21" s="1"/>
  <c r="AB185" i="21" s="1"/>
  <c r="AC185" i="21" s="1"/>
  <c r="AD185" i="21" s="1"/>
  <c r="AE185" i="21" s="1"/>
  <c r="AF185" i="21" s="1"/>
  <c r="AG185" i="21" s="1"/>
  <c r="AH185" i="21" s="1"/>
  <c r="AI185" i="21" s="1"/>
  <c r="AJ185" i="21" s="1"/>
  <c r="AK185" i="21" s="1"/>
  <c r="AL185" i="21" s="1"/>
  <c r="AM185" i="21" s="1"/>
  <c r="AN185" i="21" s="1"/>
  <c r="AO185" i="21" s="1"/>
  <c r="AP185" i="21" s="1"/>
  <c r="AQ185" i="21" s="1"/>
  <c r="Z34" i="11"/>
  <c r="Z35" i="32" s="1"/>
  <c r="N14" i="32"/>
  <c r="Z11" i="32"/>
  <c r="W43" i="11"/>
  <c r="W66" i="11" s="1"/>
  <c r="W20" i="32"/>
  <c r="AT75" i="21"/>
  <c r="AT74" i="21"/>
  <c r="S43" i="11"/>
  <c r="S66" i="11" s="1"/>
  <c r="Z43" i="11"/>
  <c r="Z66" i="11" s="1"/>
  <c r="Z36" i="11"/>
  <c r="Z59" i="11" s="1"/>
  <c r="O43" i="11"/>
  <c r="O66" i="11" s="1"/>
  <c r="L37" i="11"/>
  <c r="L60" i="11" s="1"/>
  <c r="AR379" i="21"/>
  <c r="AT426" i="21" s="1"/>
  <c r="L35" i="11"/>
  <c r="L58" i="11" s="1"/>
  <c r="M19" i="32"/>
  <c r="AT50" i="21"/>
  <c r="X42" i="11"/>
  <c r="X65" i="11" s="1"/>
  <c r="AD37" i="11"/>
  <c r="AD60" i="11" s="1"/>
  <c r="AD43" i="11"/>
  <c r="AD66" i="11" s="1"/>
  <c r="AD34" i="11"/>
  <c r="AD57" i="11" s="1"/>
  <c r="AC37" i="11"/>
  <c r="AC60" i="11" s="1"/>
  <c r="O36" i="11"/>
  <c r="O59" i="11" s="1"/>
  <c r="AD32" i="11"/>
  <c r="AD55" i="11" s="1"/>
  <c r="AD44" i="11"/>
  <c r="AD67" i="11" s="1"/>
  <c r="R43" i="11"/>
  <c r="R66" i="11" s="1"/>
  <c r="AD31" i="11"/>
  <c r="AD8" i="32"/>
  <c r="R42" i="11"/>
  <c r="R65" i="11" s="1"/>
  <c r="AB42" i="11"/>
  <c r="AB65" i="11" s="1"/>
  <c r="AD39" i="11"/>
  <c r="AD62" i="11" s="1"/>
  <c r="AD45" i="11"/>
  <c r="AD68" i="11" s="1"/>
  <c r="AC45" i="11"/>
  <c r="AD61" i="11"/>
  <c r="AB43" i="11"/>
  <c r="AB66" i="11" s="1"/>
  <c r="R34" i="11"/>
  <c r="R57" i="11" s="1"/>
  <c r="X391" i="21"/>
  <c r="N37" i="11"/>
  <c r="N60" i="11" s="1"/>
  <c r="AT34" i="21"/>
  <c r="W57" i="11"/>
  <c r="AD41" i="11"/>
  <c r="AD64" i="11" s="1"/>
  <c r="AT42" i="21"/>
  <c r="AB20" i="32"/>
  <c r="X19" i="32"/>
  <c r="AB19" i="32"/>
  <c r="S31" i="11"/>
  <c r="U43" i="11"/>
  <c r="U66" i="11" s="1"/>
  <c r="Y34" i="11"/>
  <c r="Y11" i="32"/>
  <c r="N42" i="11"/>
  <c r="N65" i="11" s="1"/>
  <c r="V43" i="11"/>
  <c r="V66" i="11" s="1"/>
  <c r="N43" i="11"/>
  <c r="N66" i="11" s="1"/>
  <c r="W42" i="11"/>
  <c r="W65" i="11" s="1"/>
  <c r="O42" i="11"/>
  <c r="O65" i="11" s="1"/>
  <c r="AB36" i="11"/>
  <c r="AB59" i="11" s="1"/>
  <c r="L36" i="11"/>
  <c r="V34" i="11"/>
  <c r="V57" i="11" s="1"/>
  <c r="AC44" i="11"/>
  <c r="AC67" i="11" s="1"/>
  <c r="T43" i="11"/>
  <c r="T66" i="11" s="1"/>
  <c r="AA42" i="11"/>
  <c r="AA65" i="11" s="1"/>
  <c r="AA36" i="11"/>
  <c r="AA59" i="11" s="1"/>
  <c r="N36" i="11"/>
  <c r="N59" i="11" s="1"/>
  <c r="X34" i="11"/>
  <c r="X57" i="11" s="1"/>
  <c r="X11" i="32"/>
  <c r="M43" i="11"/>
  <c r="M66" i="11" s="1"/>
  <c r="Y42" i="11"/>
  <c r="Y65" i="11" s="1"/>
  <c r="AC38" i="11"/>
  <c r="AC61" i="11" s="1"/>
  <c r="M37" i="11"/>
  <c r="M60" i="11" s="1"/>
  <c r="M36" i="11"/>
  <c r="M59" i="11" s="1"/>
  <c r="AC34" i="11"/>
  <c r="AC57" i="11" s="1"/>
  <c r="Q34" i="11"/>
  <c r="Q57" i="11" s="1"/>
  <c r="AA33" i="11"/>
  <c r="AA56" i="11" s="1"/>
  <c r="L34" i="11"/>
  <c r="Q42" i="11"/>
  <c r="Q65" i="11" s="1"/>
  <c r="S36" i="11"/>
  <c r="S59" i="11" s="1"/>
  <c r="AB11" i="32"/>
  <c r="AB34" i="11"/>
  <c r="P34" i="11"/>
  <c r="P35" i="32" s="1"/>
  <c r="P11" i="32"/>
  <c r="Y20" i="32"/>
  <c r="Y43" i="11"/>
  <c r="Y44" i="32" s="1"/>
  <c r="P42" i="11"/>
  <c r="P65" i="11" s="1"/>
  <c r="Q36" i="11"/>
  <c r="Q59" i="11" s="1"/>
  <c r="U34" i="11"/>
  <c r="U57" i="11" s="1"/>
  <c r="X43" i="11"/>
  <c r="X44" i="32" s="1"/>
  <c r="U42" i="11"/>
  <c r="U43" i="32" s="1"/>
  <c r="AC39" i="11"/>
  <c r="AC62" i="11" s="1"/>
  <c r="T11" i="32"/>
  <c r="T34" i="11"/>
  <c r="T35" i="32" s="1"/>
  <c r="AC30" i="11"/>
  <c r="Z42" i="11"/>
  <c r="Z43" i="32" s="1"/>
  <c r="Q43" i="11"/>
  <c r="Q66" i="11" s="1"/>
  <c r="T42" i="11"/>
  <c r="T65" i="11" s="1"/>
  <c r="Y38" i="11"/>
  <c r="Y61" i="11" s="1"/>
  <c r="M34" i="11"/>
  <c r="AA43" i="11"/>
  <c r="AA66" i="11" s="1"/>
  <c r="AC43" i="11"/>
  <c r="AC66" i="11" s="1"/>
  <c r="AC20" i="32"/>
  <c r="P43" i="11"/>
  <c r="P66" i="11" s="1"/>
  <c r="AR19" i="11"/>
  <c r="L42" i="11"/>
  <c r="L65" i="11" s="1"/>
  <c r="O57" i="11"/>
  <c r="U40" i="11"/>
  <c r="U63" i="11" s="1"/>
  <c r="O37" i="11"/>
  <c r="O38" i="32" s="1"/>
  <c r="W11" i="32"/>
  <c r="AR387" i="21"/>
  <c r="Y36" i="11"/>
  <c r="Y59" i="11" s="1"/>
  <c r="T20" i="32"/>
  <c r="U19" i="32"/>
  <c r="S34" i="11"/>
  <c r="S35" i="32" s="1"/>
  <c r="S59" i="32" s="1"/>
  <c r="AA19" i="32"/>
  <c r="Y27" i="11"/>
  <c r="AR11" i="11"/>
  <c r="W391" i="21"/>
  <c r="AC32" i="11"/>
  <c r="AC33" i="32" s="1"/>
  <c r="AR388" i="21"/>
  <c r="Z19" i="32"/>
  <c r="AC41" i="11"/>
  <c r="AC64" i="11" s="1"/>
  <c r="O19" i="32"/>
  <c r="Y391" i="21"/>
  <c r="AC9" i="32"/>
  <c r="AR20" i="11"/>
  <c r="AA57" i="11"/>
  <c r="AR381" i="21"/>
  <c r="X20" i="32"/>
  <c r="AA11" i="32"/>
  <c r="P28" i="11"/>
  <c r="P51" i="11" s="1"/>
  <c r="X28" i="11"/>
  <c r="X51" i="11" s="1"/>
  <c r="W19" i="32"/>
  <c r="M11" i="32"/>
  <c r="U35" i="11"/>
  <c r="U58" i="11" s="1"/>
  <c r="AB35" i="11"/>
  <c r="L43" i="11"/>
  <c r="L66" i="11" s="1"/>
  <c r="AA35" i="32"/>
  <c r="AC35" i="11"/>
  <c r="AR480" i="9"/>
  <c r="AT480" i="9" s="1"/>
  <c r="V482" i="9"/>
  <c r="AR482" i="9" s="1"/>
  <c r="V481" i="9"/>
  <c r="BQ455" i="9"/>
  <c r="AY549" i="9"/>
  <c r="AY540" i="9"/>
  <c r="X411" i="9"/>
  <c r="BQ406" i="9"/>
  <c r="AT244" i="21"/>
  <c r="BQ374" i="9"/>
  <c r="BL384" i="9"/>
  <c r="BJ384" i="9"/>
  <c r="BQ372" i="9"/>
  <c r="BA384" i="9"/>
  <c r="X387" i="9"/>
  <c r="BQ382" i="9"/>
  <c r="BA550" i="9"/>
  <c r="BQ383" i="9"/>
  <c r="AY384" i="9"/>
  <c r="AT224" i="21"/>
  <c r="BQ371" i="9"/>
  <c r="BQ321" i="9"/>
  <c r="AZ336" i="9"/>
  <c r="BQ323" i="9"/>
  <c r="BQ322" i="9"/>
  <c r="AT183" i="21"/>
  <c r="AT171" i="21"/>
  <c r="AT174" i="21"/>
  <c r="BQ306" i="9"/>
  <c r="AZ312" i="9"/>
  <c r="AZ567" i="9" s="1"/>
  <c r="BQ294" i="9"/>
  <c r="BQ310" i="9"/>
  <c r="BQ304" i="9"/>
  <c r="BQ297" i="9"/>
  <c r="BQ296" i="9"/>
  <c r="BQ303" i="9"/>
  <c r="BQ298" i="9"/>
  <c r="BQ295" i="9"/>
  <c r="BQ307" i="9"/>
  <c r="BN288" i="9"/>
  <c r="BQ276" i="9"/>
  <c r="AD552" i="9"/>
  <c r="BC544" i="9"/>
  <c r="AF291" i="9"/>
  <c r="AF555" i="9" s="1"/>
  <c r="AG5" i="12" s="1"/>
  <c r="AG17" i="12" s="1"/>
  <c r="AF73" i="11" s="1"/>
  <c r="AF81" i="11" s="1"/>
  <c r="BL288" i="9"/>
  <c r="BC546" i="9"/>
  <c r="BC538" i="9"/>
  <c r="X290" i="9"/>
  <c r="BC548" i="9"/>
  <c r="BC539" i="9"/>
  <c r="BC549" i="9"/>
  <c r="BA549" i="9"/>
  <c r="BC540" i="9"/>
  <c r="BA540" i="9"/>
  <c r="BC541" i="9"/>
  <c r="BA288" i="9"/>
  <c r="BA542" i="9"/>
  <c r="X267" i="9"/>
  <c r="AW539" i="9"/>
  <c r="K552" i="9"/>
  <c r="P267" i="9"/>
  <c r="BK245" i="9"/>
  <c r="BK264" i="9" s="1"/>
  <c r="AW551" i="9"/>
  <c r="AW541" i="9"/>
  <c r="BQ249" i="9"/>
  <c r="AW542" i="9"/>
  <c r="AW264" i="9"/>
  <c r="AW265" i="9" s="1"/>
  <c r="AW543" i="9"/>
  <c r="BQ257" i="9"/>
  <c r="AW545" i="9"/>
  <c r="BQ250" i="9"/>
  <c r="AP47" i="14"/>
  <c r="AP109" i="14"/>
  <c r="BG240" i="9"/>
  <c r="BP240" i="9"/>
  <c r="BQ229" i="9"/>
  <c r="AR18" i="12"/>
  <c r="AR35" i="12"/>
  <c r="BQ228" i="9"/>
  <c r="BQ234" i="9"/>
  <c r="BE569" i="9"/>
  <c r="G552" i="9"/>
  <c r="AV240" i="9"/>
  <c r="AK552" i="9"/>
  <c r="V242" i="9"/>
  <c r="F556" i="9"/>
  <c r="G6" i="12" s="1"/>
  <c r="BE533" i="9"/>
  <c r="BE552" i="9" s="1"/>
  <c r="J242" i="9"/>
  <c r="AE554" i="9"/>
  <c r="AD21" i="14" s="1"/>
  <c r="AD32" i="14" s="1"/>
  <c r="AJ556" i="9"/>
  <c r="AK6" i="12" s="1"/>
  <c r="AK18" i="12" s="1"/>
  <c r="AJ73" i="34" s="1"/>
  <c r="AJ81" i="34" s="1"/>
  <c r="AJ242" i="9"/>
  <c r="AI36" i="14" s="1"/>
  <c r="AJ552" i="9"/>
  <c r="AM554" i="9"/>
  <c r="AW547" i="9"/>
  <c r="I556" i="9"/>
  <c r="J6" i="12" s="1"/>
  <c r="J18" i="12" s="1"/>
  <c r="H552" i="9"/>
  <c r="AW240" i="9"/>
  <c r="AW557" i="9" s="1"/>
  <c r="AU230" i="9"/>
  <c r="AP37" i="14"/>
  <c r="AP552" i="9"/>
  <c r="AP21" i="14"/>
  <c r="AQ139" i="20" s="1"/>
  <c r="AF556" i="9"/>
  <c r="AG6" i="12" s="1"/>
  <c r="AG18" i="12" s="1"/>
  <c r="AF73" i="34" s="1"/>
  <c r="AF81" i="34" s="1"/>
  <c r="BB537" i="9"/>
  <c r="AV538" i="9"/>
  <c r="G39" i="35"/>
  <c r="G57" i="35" s="1"/>
  <c r="H202" i="20" s="1"/>
  <c r="T556" i="9"/>
  <c r="U6" i="12" s="1"/>
  <c r="U18" i="12" s="1"/>
  <c r="T73" i="34" s="1"/>
  <c r="AU237" i="9"/>
  <c r="BH240" i="9"/>
  <c r="AL242" i="9"/>
  <c r="AT40" i="33"/>
  <c r="AU236" i="9"/>
  <c r="AU228" i="9"/>
  <c r="E21" i="14"/>
  <c r="E22" i="14" s="1"/>
  <c r="N242" i="9"/>
  <c r="AW534" i="9"/>
  <c r="AG552" i="9"/>
  <c r="F552" i="9"/>
  <c r="BD533" i="9"/>
  <c r="J552" i="9"/>
  <c r="AZ549" i="9"/>
  <c r="BB545" i="9"/>
  <c r="AX543" i="9"/>
  <c r="K241" i="9"/>
  <c r="L241" i="9" s="1"/>
  <c r="M241" i="9" s="1"/>
  <c r="N241" i="9" s="1"/>
  <c r="O241" i="9" s="1"/>
  <c r="P241" i="9" s="1"/>
  <c r="Q241" i="9" s="1"/>
  <c r="R241" i="9" s="1"/>
  <c r="S241" i="9" s="1"/>
  <c r="T241" i="9" s="1"/>
  <c r="U241" i="9" s="1"/>
  <c r="V241" i="9" s="1"/>
  <c r="W241" i="9" s="1"/>
  <c r="X241" i="9" s="1"/>
  <c r="Y241" i="9" s="1"/>
  <c r="Z241" i="9" s="1"/>
  <c r="AA241" i="9" s="1"/>
  <c r="AB241" i="9" s="1"/>
  <c r="AC241" i="9" s="1"/>
  <c r="AD241" i="9" s="1"/>
  <c r="AE241" i="9" s="1"/>
  <c r="AF241" i="9" s="1"/>
  <c r="AG241" i="9" s="1"/>
  <c r="AH241" i="9" s="1"/>
  <c r="AI241" i="9" s="1"/>
  <c r="AJ241" i="9" s="1"/>
  <c r="AK241" i="9" s="1"/>
  <c r="AL241" i="9" s="1"/>
  <c r="AM241" i="9" s="1"/>
  <c r="AN241" i="9" s="1"/>
  <c r="AO241" i="9" s="1"/>
  <c r="AP241" i="9" s="1"/>
  <c r="AQ241" i="9" s="1"/>
  <c r="BG216" i="9"/>
  <c r="AW533" i="9"/>
  <c r="T218" i="9"/>
  <c r="AB218" i="9"/>
  <c r="AW535" i="9"/>
  <c r="BB535" i="9"/>
  <c r="BC550" i="9"/>
  <c r="AL552" i="9"/>
  <c r="BB551" i="9"/>
  <c r="BB549" i="9"/>
  <c r="BB548" i="9"/>
  <c r="BB546" i="9"/>
  <c r="BB544" i="9"/>
  <c r="BB543" i="9"/>
  <c r="BB542" i="9"/>
  <c r="BB541" i="9"/>
  <c r="BB540" i="9"/>
  <c r="BB539" i="9"/>
  <c r="BB538" i="9"/>
  <c r="BB536" i="9"/>
  <c r="BD534" i="9"/>
  <c r="AF552" i="9"/>
  <c r="AW216" i="9"/>
  <c r="AW537" i="9"/>
  <c r="AW536" i="9"/>
  <c r="E39" i="35"/>
  <c r="E52" i="35" s="1"/>
  <c r="AU207" i="9"/>
  <c r="E47" i="14"/>
  <c r="AV216" i="9"/>
  <c r="AE552" i="9"/>
  <c r="AU206" i="9"/>
  <c r="BB547" i="9"/>
  <c r="BB533" i="9"/>
  <c r="AU213" i="9"/>
  <c r="AR540" i="9"/>
  <c r="BC537" i="9"/>
  <c r="BB550" i="9"/>
  <c r="AU212" i="9"/>
  <c r="AU204" i="9"/>
  <c r="S24" i="35"/>
  <c r="S57" i="35" s="1"/>
  <c r="BD537" i="9"/>
  <c r="BI192" i="9"/>
  <c r="BL192" i="9"/>
  <c r="BK180" i="9"/>
  <c r="BQ180" i="9" s="1"/>
  <c r="R194" i="9"/>
  <c r="BA192" i="9"/>
  <c r="AU189" i="9"/>
  <c r="BQ177" i="9"/>
  <c r="AU188" i="9"/>
  <c r="AU180" i="9"/>
  <c r="BQ186" i="9"/>
  <c r="R193" i="9"/>
  <c r="S193" i="9" s="1"/>
  <c r="T193" i="9" s="1"/>
  <c r="U193" i="9" s="1"/>
  <c r="V193" i="9" s="1"/>
  <c r="W193" i="9" s="1"/>
  <c r="X193" i="9" s="1"/>
  <c r="Y193" i="9" s="1"/>
  <c r="Z193" i="9" s="1"/>
  <c r="AA193" i="9" s="1"/>
  <c r="AB193" i="9" s="1"/>
  <c r="AC193" i="9" s="1"/>
  <c r="AD193" i="9" s="1"/>
  <c r="AE193" i="9" s="1"/>
  <c r="AF193" i="9" s="1"/>
  <c r="AG193" i="9" s="1"/>
  <c r="AH193" i="9" s="1"/>
  <c r="AI193" i="9" s="1"/>
  <c r="AJ193" i="9" s="1"/>
  <c r="AK193" i="9" s="1"/>
  <c r="AL193" i="9" s="1"/>
  <c r="AM193" i="9" s="1"/>
  <c r="AN193" i="9" s="1"/>
  <c r="AO193" i="9" s="1"/>
  <c r="AP193" i="9" s="1"/>
  <c r="AQ193" i="9" s="1"/>
  <c r="BQ176" i="9"/>
  <c r="BQ181" i="9"/>
  <c r="BQ152" i="9"/>
  <c r="AU156" i="9"/>
  <c r="AR548" i="9"/>
  <c r="AZ540" i="9"/>
  <c r="AX540" i="9"/>
  <c r="AZ535" i="9"/>
  <c r="AU152" i="9"/>
  <c r="AU158" i="9"/>
  <c r="AU165" i="9"/>
  <c r="Y552" i="9"/>
  <c r="AA146" i="9"/>
  <c r="AX549" i="9"/>
  <c r="AZ548" i="9"/>
  <c r="AX548" i="9"/>
  <c r="AX542" i="9"/>
  <c r="AU134" i="9"/>
  <c r="BA535" i="9"/>
  <c r="AU141" i="9"/>
  <c r="AU140" i="9"/>
  <c r="AU132" i="9"/>
  <c r="AT35" i="21"/>
  <c r="BH120" i="9"/>
  <c r="K123" i="9"/>
  <c r="K555" i="9" s="1"/>
  <c r="L5" i="12" s="1"/>
  <c r="L17" i="12" s="1"/>
  <c r="K73" i="11" s="1"/>
  <c r="AE81" i="11"/>
  <c r="BB534" i="9"/>
  <c r="AU117" i="9"/>
  <c r="T123" i="9"/>
  <c r="AR549" i="9"/>
  <c r="AX537" i="9"/>
  <c r="AU110" i="9"/>
  <c r="AF554" i="9"/>
  <c r="AU108" i="9"/>
  <c r="BC120" i="9"/>
  <c r="AZ550" i="9"/>
  <c r="BA541" i="9"/>
  <c r="BA538" i="9"/>
  <c r="Y554" i="9"/>
  <c r="BK66" i="9"/>
  <c r="BQ66" i="9" s="1"/>
  <c r="D19" i="13"/>
  <c r="O19" i="13" s="1"/>
  <c r="BA69" i="9"/>
  <c r="G21" i="13" s="1"/>
  <c r="R21" i="13" s="1"/>
  <c r="R22" i="13" s="1"/>
  <c r="BA85" i="9"/>
  <c r="AW69" i="9"/>
  <c r="AW70" i="9" s="1"/>
  <c r="BK57" i="9"/>
  <c r="BQ57" i="9" s="1"/>
  <c r="Y92" i="9"/>
  <c r="X6" i="14" s="1"/>
  <c r="BA73" i="9"/>
  <c r="BA76" i="9"/>
  <c r="AU53" i="9"/>
  <c r="S30" i="35"/>
  <c r="S37" i="35" s="1"/>
  <c r="S50" i="35" s="1"/>
  <c r="L70" i="9"/>
  <c r="AU59" i="9"/>
  <c r="AU66" i="9"/>
  <c r="BQ54" i="9"/>
  <c r="AU65" i="9"/>
  <c r="AU57" i="9"/>
  <c r="C16" i="13"/>
  <c r="AR89" i="9"/>
  <c r="AW73" i="9"/>
  <c r="K92" i="9"/>
  <c r="AZ80" i="9"/>
  <c r="BI32" i="9"/>
  <c r="AY83" i="9"/>
  <c r="AU34" i="9"/>
  <c r="AW91" i="9"/>
  <c r="AW74" i="9"/>
  <c r="AU42" i="9"/>
  <c r="AR80" i="9"/>
  <c r="BQ40" i="9"/>
  <c r="AW81" i="9"/>
  <c r="AR88" i="9"/>
  <c r="AN95" i="9"/>
  <c r="AO4" i="12" s="1"/>
  <c r="AO16" i="12" s="1"/>
  <c r="AN77" i="10" s="1"/>
  <c r="AM6" i="14"/>
  <c r="AN6" i="14"/>
  <c r="AN6" i="37" s="1"/>
  <c r="AO95" i="9"/>
  <c r="AP4" i="12" s="1"/>
  <c r="AP16" i="12" s="1"/>
  <c r="AO77" i="10" s="1"/>
  <c r="AY89" i="9"/>
  <c r="AD92" i="9"/>
  <c r="BH9" i="9"/>
  <c r="C11" i="13"/>
  <c r="N11" i="13" s="1"/>
  <c r="BA74" i="9"/>
  <c r="W92" i="9"/>
  <c r="V6" i="14" s="1"/>
  <c r="BA80" i="9"/>
  <c r="BO8" i="9"/>
  <c r="AX81" i="9"/>
  <c r="AZ76" i="9"/>
  <c r="AI56" i="20"/>
  <c r="AH57" i="14" s="1"/>
  <c r="L24" i="9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Z24" i="9" s="1"/>
  <c r="AA24" i="9" s="1"/>
  <c r="AB24" i="9" s="1"/>
  <c r="AC24" i="9" s="1"/>
  <c r="AD24" i="9" s="1"/>
  <c r="AE24" i="9" s="1"/>
  <c r="AF24" i="9" s="1"/>
  <c r="AG24" i="9" s="1"/>
  <c r="AH24" i="9" s="1"/>
  <c r="AI24" i="9" s="1"/>
  <c r="AJ24" i="9" s="1"/>
  <c r="AK24" i="9" s="1"/>
  <c r="AL24" i="9" s="1"/>
  <c r="AM24" i="9" s="1"/>
  <c r="AN24" i="9" s="1"/>
  <c r="AO24" i="9" s="1"/>
  <c r="AP24" i="9" s="1"/>
  <c r="AQ24" i="9" s="1"/>
  <c r="AU19" i="9"/>
  <c r="AU11" i="9"/>
  <c r="AB56" i="20"/>
  <c r="AA57" i="14" s="1"/>
  <c r="AZ83" i="9"/>
  <c r="F9" i="13"/>
  <c r="Q9" i="13" s="1"/>
  <c r="BH15" i="9"/>
  <c r="BJ11" i="9"/>
  <c r="BQ11" i="9" s="1"/>
  <c r="BN13" i="9"/>
  <c r="Z92" i="9"/>
  <c r="Y6" i="14" s="1"/>
  <c r="Y78" i="14" s="1"/>
  <c r="AJ92" i="9"/>
  <c r="AJ95" i="9" s="1"/>
  <c r="AK4" i="12" s="1"/>
  <c r="BM19" i="9"/>
  <c r="BQ19" i="9" s="1"/>
  <c r="BC82" i="9"/>
  <c r="I32" i="13" s="1"/>
  <c r="BH5" i="9"/>
  <c r="BC75" i="9"/>
  <c r="BD87" i="9"/>
  <c r="U92" i="9"/>
  <c r="U95" i="9" s="1"/>
  <c r="V4" i="12" s="1"/>
  <c r="V16" i="12" s="1"/>
  <c r="U77" i="10" s="1"/>
  <c r="BC84" i="9"/>
  <c r="AW86" i="9"/>
  <c r="AF92" i="9"/>
  <c r="AE6" i="14" s="1"/>
  <c r="AB92" i="9"/>
  <c r="AA6" i="14" s="1"/>
  <c r="BD88" i="9"/>
  <c r="AF11" i="32"/>
  <c r="X92" i="16"/>
  <c r="Q44" i="10"/>
  <c r="Q20" i="32"/>
  <c r="R19" i="32"/>
  <c r="R43" i="10"/>
  <c r="Q35" i="10"/>
  <c r="Q11" i="32"/>
  <c r="V35" i="10"/>
  <c r="V11" i="32"/>
  <c r="V19" i="32"/>
  <c r="V43" i="10"/>
  <c r="U35" i="10"/>
  <c r="U11" i="32"/>
  <c r="M44" i="10"/>
  <c r="M20" i="32"/>
  <c r="M36" i="10"/>
  <c r="S43" i="10"/>
  <c r="S19" i="32"/>
  <c r="M14" i="32"/>
  <c r="M38" i="10"/>
  <c r="R11" i="32"/>
  <c r="R35" i="10"/>
  <c r="T44" i="10"/>
  <c r="U92" i="16"/>
  <c r="T19" i="32"/>
  <c r="W44" i="10"/>
  <c r="W68" i="10" s="1"/>
  <c r="W122" i="16"/>
  <c r="W6" i="10" s="1"/>
  <c r="W30" i="10" s="1"/>
  <c r="W54" i="10" s="1"/>
  <c r="M43" i="10"/>
  <c r="N59" i="10"/>
  <c r="O14" i="32"/>
  <c r="AK20" i="32"/>
  <c r="AK44" i="10"/>
  <c r="AK11" i="32"/>
  <c r="AK35" i="10"/>
  <c r="AE32" i="10"/>
  <c r="AE8" i="32"/>
  <c r="AL35" i="32"/>
  <c r="AL59" i="32" s="1"/>
  <c r="AL59" i="10"/>
  <c r="AH35" i="32"/>
  <c r="AH59" i="10"/>
  <c r="AG36" i="10"/>
  <c r="AM37" i="10"/>
  <c r="AM13" i="32"/>
  <c r="AG56" i="10"/>
  <c r="AA67" i="10"/>
  <c r="AG40" i="10"/>
  <c r="AG16" i="32"/>
  <c r="W67" i="10"/>
  <c r="W43" i="32"/>
  <c r="X67" i="10"/>
  <c r="AD44" i="10"/>
  <c r="AD20" i="32"/>
  <c r="AF32" i="32"/>
  <c r="AF56" i="10"/>
  <c r="AE20" i="32"/>
  <c r="AE44" i="10"/>
  <c r="K30" i="10"/>
  <c r="Z68" i="10"/>
  <c r="Z44" i="32"/>
  <c r="AN54" i="10"/>
  <c r="V68" i="10"/>
  <c r="AN17" i="32"/>
  <c r="AN41" i="10"/>
  <c r="AC19" i="32"/>
  <c r="AC43" i="10"/>
  <c r="K11" i="32"/>
  <c r="K35" i="10"/>
  <c r="AD13" i="32"/>
  <c r="AD37" i="10"/>
  <c r="AN67" i="10"/>
  <c r="AN43" i="32"/>
  <c r="AN67" i="32" s="1"/>
  <c r="AI13" i="32"/>
  <c r="AI37" i="10"/>
  <c r="K13" i="32"/>
  <c r="AR80" i="16"/>
  <c r="AT80" i="16" s="1"/>
  <c r="O127" i="16"/>
  <c r="O11" i="10" s="1"/>
  <c r="K31" i="10"/>
  <c r="AD134" i="16"/>
  <c r="AD18" i="10" s="1"/>
  <c r="AD42" i="10" s="1"/>
  <c r="AD66" i="10" s="1"/>
  <c r="AI44" i="10"/>
  <c r="AI20" i="32"/>
  <c r="AF92" i="16"/>
  <c r="K92" i="16"/>
  <c r="K93" i="16" s="1"/>
  <c r="AA59" i="10"/>
  <c r="V20" i="32"/>
  <c r="K37" i="10"/>
  <c r="N13" i="32"/>
  <c r="N37" i="10"/>
  <c r="AF59" i="10"/>
  <c r="AN13" i="32"/>
  <c r="P44" i="10"/>
  <c r="P20" i="32"/>
  <c r="AM43" i="10"/>
  <c r="AM19" i="32"/>
  <c r="AG19" i="32"/>
  <c r="AG43" i="10"/>
  <c r="AN16" i="32"/>
  <c r="AN40" i="10"/>
  <c r="K39" i="10"/>
  <c r="AN38" i="10"/>
  <c r="AN14" i="32"/>
  <c r="K12" i="32"/>
  <c r="AD11" i="32"/>
  <c r="AD35" i="10"/>
  <c r="O43" i="10"/>
  <c r="AI39" i="32"/>
  <c r="AI63" i="32" s="1"/>
  <c r="AR89" i="16"/>
  <c r="AT89" i="16" s="1"/>
  <c r="AN20" i="32"/>
  <c r="K38" i="10"/>
  <c r="K14" i="32"/>
  <c r="AL20" i="32"/>
  <c r="AL44" i="10"/>
  <c r="AG44" i="10"/>
  <c r="AG20" i="32"/>
  <c r="O44" i="10"/>
  <c r="O20" i="32"/>
  <c r="K17" i="32"/>
  <c r="K41" i="10"/>
  <c r="AL36" i="10"/>
  <c r="AI35" i="10"/>
  <c r="AI11" i="32"/>
  <c r="K34" i="10"/>
  <c r="K10" i="32"/>
  <c r="Z120" i="16"/>
  <c r="Z4" i="10" s="1"/>
  <c r="Z28" i="10" s="1"/>
  <c r="Z52" i="10" s="1"/>
  <c r="AB121" i="16"/>
  <c r="AB5" i="10" s="1"/>
  <c r="AE92" i="16"/>
  <c r="AH43" i="10"/>
  <c r="AM44" i="10"/>
  <c r="X13" i="32"/>
  <c r="X37" i="10"/>
  <c r="Q19" i="32"/>
  <c r="Q43" i="10"/>
  <c r="S20" i="32"/>
  <c r="S44" i="10"/>
  <c r="AE43" i="10"/>
  <c r="AE19" i="32"/>
  <c r="Y19" i="32"/>
  <c r="Y43" i="10"/>
  <c r="K16" i="32"/>
  <c r="K40" i="10"/>
  <c r="AN35" i="10"/>
  <c r="AN11" i="32"/>
  <c r="AC35" i="10"/>
  <c r="AC11" i="32"/>
  <c r="AL16" i="32"/>
  <c r="AL40" i="10"/>
  <c r="AF16" i="32"/>
  <c r="AF40" i="10"/>
  <c r="AF10" i="32"/>
  <c r="AF34" i="10"/>
  <c r="AF33" i="10"/>
  <c r="AF9" i="32"/>
  <c r="AB37" i="10"/>
  <c r="AB13" i="32"/>
  <c r="AG35" i="10"/>
  <c r="AG11" i="32"/>
  <c r="AK19" i="32"/>
  <c r="AK43" i="10"/>
  <c r="AE35" i="32"/>
  <c r="AE59" i="32" s="1"/>
  <c r="K44" i="10"/>
  <c r="Z20" i="32"/>
  <c r="AF43" i="10"/>
  <c r="AB44" i="10"/>
  <c r="AB43" i="10"/>
  <c r="K33" i="32"/>
  <c r="K57" i="32" s="1"/>
  <c r="AG33" i="10"/>
  <c r="AF13" i="32"/>
  <c r="AF37" i="10"/>
  <c r="N36" i="10"/>
  <c r="AA44" i="10"/>
  <c r="AA20" i="32"/>
  <c r="R20" i="32"/>
  <c r="R44" i="10"/>
  <c r="AR88" i="16"/>
  <c r="AT88" i="16" s="1"/>
  <c r="K135" i="16"/>
  <c r="K19" i="10" s="1"/>
  <c r="AK37" i="10"/>
  <c r="AK13" i="32"/>
  <c r="AM11" i="32"/>
  <c r="AM35" i="10"/>
  <c r="N43" i="10"/>
  <c r="N19" i="32"/>
  <c r="P19" i="32"/>
  <c r="P43" i="10"/>
  <c r="AD9" i="32"/>
  <c r="AD33" i="10"/>
  <c r="K121" i="16"/>
  <c r="K5" i="10" s="1"/>
  <c r="AA128" i="16"/>
  <c r="AA12" i="10" s="1"/>
  <c r="AA36" i="10" s="1"/>
  <c r="AA60" i="10" s="1"/>
  <c r="K120" i="16"/>
  <c r="K4" i="10" s="1"/>
  <c r="AG137" i="16"/>
  <c r="AG21" i="10" s="1"/>
  <c r="M121" i="16"/>
  <c r="M5" i="10" s="1"/>
  <c r="M29" i="10" s="1"/>
  <c r="M53" i="10" s="1"/>
  <c r="U121" i="16"/>
  <c r="U5" i="10" s="1"/>
  <c r="U29" i="10" s="1"/>
  <c r="U53" i="10" s="1"/>
  <c r="K134" i="16"/>
  <c r="K18" i="10" s="1"/>
  <c r="AN134" i="16"/>
  <c r="AN18" i="10" s="1"/>
  <c r="Z134" i="16"/>
  <c r="Z18" i="10" s="1"/>
  <c r="Z42" i="10" s="1"/>
  <c r="Z66" i="10" s="1"/>
  <c r="W121" i="16"/>
  <c r="W5" i="10" s="1"/>
  <c r="W29" i="10" s="1"/>
  <c r="W53" i="10" s="1"/>
  <c r="AM134" i="16"/>
  <c r="AM18" i="10" s="1"/>
  <c r="AF121" i="16"/>
  <c r="AF5" i="10" s="1"/>
  <c r="AF29" i="10" s="1"/>
  <c r="AN121" i="16"/>
  <c r="AN5" i="10" s="1"/>
  <c r="AA122" i="16"/>
  <c r="AA6" i="10" s="1"/>
  <c r="AA30" i="10" s="1"/>
  <c r="AA54" i="10" s="1"/>
  <c r="Y121" i="16"/>
  <c r="Y5" i="10" s="1"/>
  <c r="Y29" i="10" s="1"/>
  <c r="Y53" i="10" s="1"/>
  <c r="AG121" i="16"/>
  <c r="AG5" i="10" s="1"/>
  <c r="AG29" i="10" s="1"/>
  <c r="AJ11" i="32"/>
  <c r="AQ30" i="10"/>
  <c r="AQ6" i="32"/>
  <c r="AQ35" i="34"/>
  <c r="AQ58" i="34" s="1"/>
  <c r="AQ35" i="11"/>
  <c r="AQ12" i="32"/>
  <c r="J109" i="36"/>
  <c r="AP556" i="9"/>
  <c r="AQ6" i="12" s="1"/>
  <c r="AP69" i="33"/>
  <c r="AP71" i="33" s="1"/>
  <c r="AP22" i="32"/>
  <c r="AP45" i="34"/>
  <c r="AP46" i="32" s="1"/>
  <c r="AP554" i="9"/>
  <c r="AO36" i="14"/>
  <c r="AP103" i="20" s="1"/>
  <c r="AP7" i="32"/>
  <c r="AP30" i="34"/>
  <c r="AP31" i="32" s="1"/>
  <c r="AO45" i="34"/>
  <c r="AO22" i="32"/>
  <c r="AO30" i="34"/>
  <c r="AO31" i="32" s="1"/>
  <c r="AO7" i="32"/>
  <c r="AO556" i="9"/>
  <c r="AP6" i="12" s="1"/>
  <c r="AP18" i="12" s="1"/>
  <c r="AO73" i="34" s="1"/>
  <c r="AO81" i="34" s="1"/>
  <c r="AN21" i="14"/>
  <c r="AN22" i="14" s="1"/>
  <c r="AM17" i="32"/>
  <c r="AM40" i="34"/>
  <c r="AM25" i="20"/>
  <c r="AM559" i="9" s="1"/>
  <c r="AN46" i="32"/>
  <c r="AN34" i="10"/>
  <c r="AN10" i="32"/>
  <c r="AN33" i="10"/>
  <c r="AN9" i="32"/>
  <c r="AN22" i="32"/>
  <c r="AN68" i="34"/>
  <c r="AN111" i="33"/>
  <c r="AN18" i="34" s="1"/>
  <c r="AN41" i="34" s="1"/>
  <c r="AN64" i="34" s="1"/>
  <c r="AN30" i="34"/>
  <c r="AN7" i="32"/>
  <c r="AN242" i="9"/>
  <c r="AN552" i="9"/>
  <c r="F109" i="36"/>
  <c r="AU203" i="9"/>
  <c r="AL33" i="34"/>
  <c r="AL56" i="34" s="1"/>
  <c r="AK124" i="16"/>
  <c r="AK8" i="10" s="1"/>
  <c r="AK32" i="10" s="1"/>
  <c r="AL68" i="11"/>
  <c r="AL56" i="11"/>
  <c r="AL134" i="16"/>
  <c r="AL18" i="10" s="1"/>
  <c r="AL42" i="10" s="1"/>
  <c r="AL66" i="10" s="1"/>
  <c r="AL10" i="32"/>
  <c r="AL34" i="10"/>
  <c r="AL9" i="32"/>
  <c r="AL33" i="10"/>
  <c r="AL92" i="16"/>
  <c r="AM121" i="16"/>
  <c r="AM5" i="10" s="1"/>
  <c r="AM29" i="10" s="1"/>
  <c r="AM53" i="10" s="1"/>
  <c r="AL121" i="16"/>
  <c r="AL5" i="10" s="1"/>
  <c r="AM111" i="33"/>
  <c r="AM18" i="34" s="1"/>
  <c r="AL69" i="33"/>
  <c r="AL71" i="33" s="1"/>
  <c r="AM45" i="34"/>
  <c r="AM46" i="32" s="1"/>
  <c r="AM22" i="32"/>
  <c r="AL22" i="32"/>
  <c r="AL45" i="34"/>
  <c r="AL46" i="32" s="1"/>
  <c r="AL111" i="33"/>
  <c r="AL18" i="34" s="1"/>
  <c r="AL41" i="34" s="1"/>
  <c r="AL64" i="34" s="1"/>
  <c r="AL40" i="34"/>
  <c r="AL17" i="32"/>
  <c r="AR63" i="33"/>
  <c r="AT63" i="33" s="1"/>
  <c r="AL29" i="34"/>
  <c r="AL15" i="32"/>
  <c r="AL38" i="34"/>
  <c r="AL39" i="32" s="1"/>
  <c r="AM10" i="32"/>
  <c r="AM33" i="34"/>
  <c r="AM34" i="32" s="1"/>
  <c r="AM32" i="34"/>
  <c r="AM33" i="32" s="1"/>
  <c r="AM9" i="32"/>
  <c r="AM44" i="34"/>
  <c r="AL21" i="32"/>
  <c r="AL44" i="34"/>
  <c r="AL8" i="32"/>
  <c r="AL31" i="34"/>
  <c r="AL32" i="32" s="1"/>
  <c r="AM30" i="34"/>
  <c r="AM31" i="32" s="1"/>
  <c r="AM7" i="32"/>
  <c r="AL30" i="34"/>
  <c r="AL31" i="32" s="1"/>
  <c r="AL7" i="32"/>
  <c r="AM98" i="33"/>
  <c r="AM5" i="34" s="1"/>
  <c r="AL98" i="33"/>
  <c r="AL5" i="34" s="1"/>
  <c r="AL28" i="34" s="1"/>
  <c r="AL51" i="34" s="1"/>
  <c r="AM92" i="9"/>
  <c r="AL6" i="14" s="1"/>
  <c r="AL6" i="37" s="1"/>
  <c r="BD91" i="9"/>
  <c r="AL95" i="9"/>
  <c r="AM4" i="12" s="1"/>
  <c r="AM16" i="12" s="1"/>
  <c r="AL77" i="10" s="1"/>
  <c r="BD73" i="9"/>
  <c r="BO4" i="9"/>
  <c r="BD23" i="9"/>
  <c r="J13" i="13" s="1"/>
  <c r="U13" i="13" s="1"/>
  <c r="U14" i="13" s="1"/>
  <c r="AK62" i="14"/>
  <c r="AK78" i="14"/>
  <c r="AL36" i="14"/>
  <c r="AL109" i="14" s="1"/>
  <c r="BD547" i="9"/>
  <c r="BD216" i="9"/>
  <c r="BO216" i="9"/>
  <c r="BD536" i="9"/>
  <c r="AM552" i="9"/>
  <c r="AL556" i="9"/>
  <c r="AM6" i="12" s="1"/>
  <c r="AM18" i="12" s="1"/>
  <c r="AL73" i="34" s="1"/>
  <c r="AL81" i="34" s="1"/>
  <c r="AL218" i="9"/>
  <c r="BO240" i="9"/>
  <c r="BD550" i="9"/>
  <c r="BD240" i="9"/>
  <c r="BD557" i="9" s="1"/>
  <c r="BD569" i="9" s="1"/>
  <c r="AN18" i="12"/>
  <c r="AU199" i="9"/>
  <c r="AU226" i="9"/>
  <c r="AU234" i="9"/>
  <c r="AK134" i="16"/>
  <c r="AK18" i="10" s="1"/>
  <c r="AK42" i="10" s="1"/>
  <c r="AK17" i="32"/>
  <c r="AK41" i="10"/>
  <c r="AK14" i="32"/>
  <c r="AK38" i="10"/>
  <c r="AK40" i="10"/>
  <c r="AK16" i="32"/>
  <c r="AK15" i="32"/>
  <c r="AK39" i="10"/>
  <c r="AK34" i="10"/>
  <c r="AK10" i="32"/>
  <c r="AK45" i="10"/>
  <c r="AK21" i="32"/>
  <c r="AK92" i="16"/>
  <c r="AK121" i="16"/>
  <c r="AK5" i="10" s="1"/>
  <c r="AK45" i="34"/>
  <c r="AK46" i="32" s="1"/>
  <c r="AK22" i="32"/>
  <c r="AK9" i="32"/>
  <c r="AK32" i="34"/>
  <c r="AK33" i="32" s="1"/>
  <c r="AK7" i="32"/>
  <c r="AK30" i="34"/>
  <c r="AK31" i="32" s="1"/>
  <c r="AK92" i="9"/>
  <c r="AJ6" i="14" s="1"/>
  <c r="AJ6" i="37" s="1"/>
  <c r="BC73" i="9"/>
  <c r="AJ36" i="14"/>
  <c r="AJ109" i="14" s="1"/>
  <c r="BC551" i="9"/>
  <c r="AK554" i="9"/>
  <c r="BC547" i="9"/>
  <c r="BC536" i="9"/>
  <c r="AJ38" i="11"/>
  <c r="AJ61" i="11" s="1"/>
  <c r="AJ56" i="20"/>
  <c r="AI57" i="14" s="1"/>
  <c r="AH53" i="14"/>
  <c r="AI33" i="34"/>
  <c r="AI56" i="34" s="1"/>
  <c r="AI32" i="34"/>
  <c r="AI33" i="32" s="1"/>
  <c r="AI9" i="32"/>
  <c r="AI58" i="10"/>
  <c r="AI10" i="32"/>
  <c r="AI124" i="16"/>
  <c r="AI8" i="10" s="1"/>
  <c r="AI32" i="10" s="1"/>
  <c r="AI56" i="10" s="1"/>
  <c r="AJ32" i="34"/>
  <c r="AJ33" i="32" s="1"/>
  <c r="AJ9" i="32"/>
  <c r="AJ22" i="32"/>
  <c r="AJ46" i="10"/>
  <c r="AJ30" i="34"/>
  <c r="AJ31" i="32" s="1"/>
  <c r="AJ7" i="32"/>
  <c r="AJ44" i="34"/>
  <c r="AJ67" i="34" s="1"/>
  <c r="AJ37" i="34"/>
  <c r="AJ60" i="34" s="1"/>
  <c r="AJ30" i="10"/>
  <c r="AJ6" i="32"/>
  <c r="AJ35" i="34"/>
  <c r="AJ12" i="32"/>
  <c r="AJ45" i="34"/>
  <c r="AJ68" i="34" s="1"/>
  <c r="AJ38" i="34"/>
  <c r="AJ15" i="32"/>
  <c r="AJ33" i="34"/>
  <c r="AJ34" i="32" s="1"/>
  <c r="AJ10" i="32"/>
  <c r="AJ14" i="32"/>
  <c r="AJ38" i="10"/>
  <c r="AJ20" i="32"/>
  <c r="AJ43" i="34"/>
  <c r="AJ44" i="32" s="1"/>
  <c r="AJ45" i="10"/>
  <c r="AJ16" i="32"/>
  <c r="AJ39" i="34"/>
  <c r="AJ40" i="32" s="1"/>
  <c r="AR106" i="33"/>
  <c r="AT106" i="33" s="1"/>
  <c r="AJ112" i="33"/>
  <c r="AJ19" i="34" s="1"/>
  <c r="BC533" i="9"/>
  <c r="AJ98" i="33"/>
  <c r="AJ5" i="34" s="1"/>
  <c r="AJ134" i="16"/>
  <c r="AJ18" i="10" s="1"/>
  <c r="AJ106" i="33"/>
  <c r="AJ13" i="34" s="1"/>
  <c r="AR60" i="33"/>
  <c r="AT60" i="33" s="1"/>
  <c r="AJ110" i="33"/>
  <c r="AJ17" i="34" s="1"/>
  <c r="AJ17" i="32" s="1"/>
  <c r="AJ111" i="33"/>
  <c r="AJ18" i="34" s="1"/>
  <c r="AJ52" i="34"/>
  <c r="AJ34" i="34"/>
  <c r="AJ121" i="16"/>
  <c r="AJ5" i="10" s="1"/>
  <c r="AJ29" i="10" s="1"/>
  <c r="AR11" i="34"/>
  <c r="AH35" i="34"/>
  <c r="AH58" i="34" s="1"/>
  <c r="AR193" i="26"/>
  <c r="AH122" i="16"/>
  <c r="AH6" i="10" s="1"/>
  <c r="AH30" i="10" s="1"/>
  <c r="AH54" i="10" s="1"/>
  <c r="AH10" i="32"/>
  <c r="AH33" i="11"/>
  <c r="AH34" i="32" s="1"/>
  <c r="AI134" i="16"/>
  <c r="AI18" i="10" s="1"/>
  <c r="AI42" i="10" s="1"/>
  <c r="AI17" i="32"/>
  <c r="AI41" i="10"/>
  <c r="AI38" i="10"/>
  <c r="AI14" i="32"/>
  <c r="AI92" i="16"/>
  <c r="AI121" i="16"/>
  <c r="AI5" i="10" s="1"/>
  <c r="AI69" i="33"/>
  <c r="AI71" i="33" s="1"/>
  <c r="AI22" i="32"/>
  <c r="AI45" i="34"/>
  <c r="AI46" i="32" s="1"/>
  <c r="AI111" i="33"/>
  <c r="AI18" i="34" s="1"/>
  <c r="AI41" i="34" s="1"/>
  <c r="AI64" i="34" s="1"/>
  <c r="AI29" i="34"/>
  <c r="AI21" i="32"/>
  <c r="AI44" i="34"/>
  <c r="AI45" i="32" s="1"/>
  <c r="AI31" i="34"/>
  <c r="AI98" i="33"/>
  <c r="AI5" i="34" s="1"/>
  <c r="AI28" i="34" s="1"/>
  <c r="AI51" i="34" s="1"/>
  <c r="BN22" i="9"/>
  <c r="BC23" i="9"/>
  <c r="I13" i="13" s="1"/>
  <c r="T13" i="13" s="1"/>
  <c r="T14" i="13" s="1"/>
  <c r="BC90" i="9"/>
  <c r="AI92" i="9"/>
  <c r="AH6" i="14" s="1"/>
  <c r="AI552" i="9"/>
  <c r="BC216" i="9"/>
  <c r="AI556" i="9"/>
  <c r="AJ6" i="12" s="1"/>
  <c r="AJ18" i="12" s="1"/>
  <c r="AH36" i="14"/>
  <c r="AI103" i="20" s="1"/>
  <c r="AH81" i="11"/>
  <c r="AU67" i="9"/>
  <c r="AU151" i="9"/>
  <c r="AU232" i="9"/>
  <c r="AG81" i="11"/>
  <c r="AU51" i="9"/>
  <c r="AU41" i="9"/>
  <c r="AU29" i="9"/>
  <c r="AU224" i="9"/>
  <c r="AU221" i="9"/>
  <c r="AU7" i="9"/>
  <c r="AU4" i="9"/>
  <c r="AU15" i="9"/>
  <c r="AU167" i="9"/>
  <c r="AU178" i="9"/>
  <c r="AU186" i="9"/>
  <c r="AU205" i="9"/>
  <c r="AH17" i="32"/>
  <c r="AH41" i="10"/>
  <c r="AH14" i="32"/>
  <c r="AH38" i="10"/>
  <c r="AH16" i="32"/>
  <c r="AH40" i="10"/>
  <c r="AH37" i="10"/>
  <c r="AH13" i="32"/>
  <c r="AH92" i="16"/>
  <c r="AH32" i="10"/>
  <c r="AH121" i="16"/>
  <c r="AH5" i="10" s="1"/>
  <c r="AH120" i="16"/>
  <c r="AH4" i="10" s="1"/>
  <c r="AH22" i="32"/>
  <c r="AH45" i="34"/>
  <c r="AH46" i="32" s="1"/>
  <c r="AH111" i="33"/>
  <c r="AH18" i="34" s="1"/>
  <c r="AH18" i="32" s="1"/>
  <c r="AH29" i="34"/>
  <c r="AH32" i="34"/>
  <c r="AH9" i="32"/>
  <c r="AH44" i="34"/>
  <c r="AH7" i="32"/>
  <c r="AH30" i="34"/>
  <c r="AH31" i="32" s="1"/>
  <c r="AH98" i="33"/>
  <c r="AH5" i="34" s="1"/>
  <c r="AH28" i="34" s="1"/>
  <c r="AH51" i="34" s="1"/>
  <c r="AH92" i="9"/>
  <c r="AG6" i="14" s="1"/>
  <c r="AG6" i="37" s="1"/>
  <c r="BN216" i="9"/>
  <c r="AH556" i="9"/>
  <c r="AI6" i="12" s="1"/>
  <c r="AH218" i="9"/>
  <c r="AH554" i="9" s="1"/>
  <c r="BN240" i="9"/>
  <c r="BC240" i="9"/>
  <c r="BC557" i="9" s="1"/>
  <c r="BC569" i="9" s="1"/>
  <c r="AH552" i="9"/>
  <c r="AG33" i="34"/>
  <c r="AG56" i="34"/>
  <c r="AG10" i="32"/>
  <c r="AG34" i="10"/>
  <c r="AG122" i="16"/>
  <c r="AG6" i="10" s="1"/>
  <c r="AG30" i="10" s="1"/>
  <c r="AG54" i="10" s="1"/>
  <c r="AF122" i="16"/>
  <c r="AF6" i="10" s="1"/>
  <c r="AF6" i="32" s="1"/>
  <c r="AF137" i="16"/>
  <c r="AF21" i="10" s="1"/>
  <c r="AF45" i="10" s="1"/>
  <c r="AG134" i="16"/>
  <c r="AG18" i="10" s="1"/>
  <c r="AG17" i="32"/>
  <c r="AG41" i="10"/>
  <c r="AG14" i="32"/>
  <c r="AG38" i="10"/>
  <c r="AG92" i="16"/>
  <c r="AG45" i="10"/>
  <c r="AG29" i="34"/>
  <c r="AG69" i="33"/>
  <c r="AG22" i="32"/>
  <c r="AG45" i="34"/>
  <c r="AG46" i="32" s="1"/>
  <c r="AG111" i="33"/>
  <c r="AG18" i="34" s="1"/>
  <c r="AG41" i="34" s="1"/>
  <c r="AG64" i="34" s="1"/>
  <c r="AG38" i="34"/>
  <c r="AG15" i="32"/>
  <c r="AG30" i="34"/>
  <c r="AG31" i="32" s="1"/>
  <c r="AG7" i="32"/>
  <c r="BB216" i="9"/>
  <c r="AF36" i="14"/>
  <c r="AF109" i="14" s="1"/>
  <c r="AG73" i="34"/>
  <c r="AG81" i="34" s="1"/>
  <c r="O109" i="36"/>
  <c r="O41" i="14" s="1"/>
  <c r="AE96" i="36"/>
  <c r="AA96" i="36"/>
  <c r="AA35" i="14" s="1"/>
  <c r="W96" i="36"/>
  <c r="K96" i="36"/>
  <c r="G96" i="36"/>
  <c r="AE122" i="16"/>
  <c r="AE6" i="10" s="1"/>
  <c r="AE30" i="10" s="1"/>
  <c r="AE137" i="16"/>
  <c r="AE21" i="10" s="1"/>
  <c r="AE45" i="10" s="1"/>
  <c r="AE40" i="34"/>
  <c r="AE63" i="34" s="1"/>
  <c r="AR110" i="33"/>
  <c r="AE38" i="34"/>
  <c r="AE61" i="34" s="1"/>
  <c r="AE29" i="34"/>
  <c r="AE52" i="34" s="1"/>
  <c r="AR75" i="33"/>
  <c r="AE14" i="32"/>
  <c r="AR14" i="34"/>
  <c r="AE37" i="34"/>
  <c r="AE60" i="34" s="1"/>
  <c r="AE33" i="34"/>
  <c r="AE34" i="32" s="1"/>
  <c r="AE10" i="32"/>
  <c r="AE44" i="34"/>
  <c r="AE67" i="34" s="1"/>
  <c r="AF45" i="34"/>
  <c r="AF68" i="34" s="1"/>
  <c r="AF22" i="32"/>
  <c r="AF46" i="10"/>
  <c r="AF134" i="16"/>
  <c r="AF18" i="10" s="1"/>
  <c r="AF42" i="10" s="1"/>
  <c r="AF41" i="10"/>
  <c r="AF17" i="32"/>
  <c r="AF14" i="32"/>
  <c r="AF38" i="10"/>
  <c r="AF39" i="10"/>
  <c r="AF15" i="32"/>
  <c r="AF69" i="33"/>
  <c r="AF30" i="34"/>
  <c r="AF31" i="32" s="1"/>
  <c r="AF7" i="32"/>
  <c r="AE36" i="14"/>
  <c r="AE109" i="14" s="1"/>
  <c r="AD39" i="34"/>
  <c r="AD16" i="32"/>
  <c r="AD33" i="34"/>
  <c r="AD56" i="34" s="1"/>
  <c r="AA40" i="10"/>
  <c r="AD137" i="16"/>
  <c r="AD21" i="10" s="1"/>
  <c r="AD45" i="10" s="1"/>
  <c r="AD122" i="16"/>
  <c r="AD6" i="10" s="1"/>
  <c r="AD30" i="10" s="1"/>
  <c r="AD35" i="11"/>
  <c r="AE120" i="16"/>
  <c r="AE4" i="10" s="1"/>
  <c r="AE13" i="32"/>
  <c r="AE37" i="10"/>
  <c r="AE134" i="16"/>
  <c r="AE18" i="10" s="1"/>
  <c r="AE121" i="16"/>
  <c r="AE5" i="10" s="1"/>
  <c r="AE29" i="10" s="1"/>
  <c r="AE41" i="10"/>
  <c r="AE17" i="32"/>
  <c r="AE15" i="32"/>
  <c r="AE39" i="10"/>
  <c r="AE111" i="33"/>
  <c r="AE18" i="34" s="1"/>
  <c r="AE22" i="32"/>
  <c r="AE45" i="34"/>
  <c r="AE46" i="32" s="1"/>
  <c r="AE7" i="32"/>
  <c r="AE30" i="34"/>
  <c r="AE31" i="32" s="1"/>
  <c r="AE39" i="34"/>
  <c r="AE16" i="32"/>
  <c r="AE92" i="9"/>
  <c r="AD6" i="14" s="1"/>
  <c r="BM216" i="9"/>
  <c r="AD109" i="14"/>
  <c r="AE81" i="34"/>
  <c r="C49" i="14"/>
  <c r="AQ43" i="36"/>
  <c r="G109" i="36"/>
  <c r="J96" i="36"/>
  <c r="E109" i="36"/>
  <c r="E41" i="14" s="1"/>
  <c r="AK96" i="36"/>
  <c r="AU225" i="9"/>
  <c r="Y5" i="36"/>
  <c r="AB24" i="36"/>
  <c r="AB11" i="14" s="1"/>
  <c r="AC11" i="37" s="1"/>
  <c r="AQ80" i="36"/>
  <c r="AU40" i="9"/>
  <c r="AU185" i="9"/>
  <c r="AU106" i="9"/>
  <c r="AU177" i="9"/>
  <c r="AC15" i="32"/>
  <c r="AC39" i="10"/>
  <c r="AC122" i="16"/>
  <c r="AC6" i="10" s="1"/>
  <c r="AC30" i="10" s="1"/>
  <c r="AC54" i="10" s="1"/>
  <c r="AC124" i="16"/>
  <c r="AC8" i="10" s="1"/>
  <c r="AC32" i="10" s="1"/>
  <c r="AC56" i="10" s="1"/>
  <c r="AC40" i="11"/>
  <c r="AC63" i="11" s="1"/>
  <c r="AC33" i="11"/>
  <c r="AC56" i="11" s="1"/>
  <c r="AD17" i="32"/>
  <c r="AD41" i="10"/>
  <c r="AD38" i="10"/>
  <c r="AD14" i="32"/>
  <c r="AD92" i="16"/>
  <c r="AD126" i="16"/>
  <c r="AD10" i="10" s="1"/>
  <c r="AD121" i="16"/>
  <c r="AD5" i="10" s="1"/>
  <c r="AD45" i="34"/>
  <c r="AD46" i="32" s="1"/>
  <c r="AD22" i="32"/>
  <c r="AD111" i="33"/>
  <c r="AD18" i="34" s="1"/>
  <c r="AD38" i="34"/>
  <c r="AD39" i="32" s="1"/>
  <c r="AD15" i="32"/>
  <c r="AD30" i="34"/>
  <c r="AD31" i="32" s="1"/>
  <c r="AD7" i="32"/>
  <c r="AD69" i="33"/>
  <c r="BM240" i="9"/>
  <c r="AC6" i="14"/>
  <c r="AD95" i="9"/>
  <c r="AE4" i="12" s="1"/>
  <c r="AE16" i="12" s="1"/>
  <c r="AD77" i="10" s="1"/>
  <c r="BB84" i="9"/>
  <c r="BB23" i="9"/>
  <c r="H11" i="13"/>
  <c r="S11" i="13" s="1"/>
  <c r="H12" i="13"/>
  <c r="S12" i="13" s="1"/>
  <c r="BB73" i="9"/>
  <c r="BM4" i="9"/>
  <c r="BM23" i="9" s="1"/>
  <c r="AD556" i="9"/>
  <c r="AE6" i="12" s="1"/>
  <c r="AE18" i="12" s="1"/>
  <c r="BB240" i="9"/>
  <c r="BB557" i="9" s="1"/>
  <c r="AC36" i="14"/>
  <c r="AD103" i="20" s="1"/>
  <c r="AD554" i="9"/>
  <c r="AB35" i="34"/>
  <c r="AB58" i="34" s="1"/>
  <c r="AB32" i="34"/>
  <c r="AB33" i="32" s="1"/>
  <c r="AB9" i="32"/>
  <c r="AB137" i="16"/>
  <c r="AB21" i="10" s="1"/>
  <c r="AB45" i="10" s="1"/>
  <c r="AB69" i="10" s="1"/>
  <c r="AB122" i="16"/>
  <c r="AB6" i="10" s="1"/>
  <c r="AB30" i="10" s="1"/>
  <c r="AB54" i="10" s="1"/>
  <c r="AR17" i="29"/>
  <c r="AU64" i="17"/>
  <c r="AC45" i="34"/>
  <c r="AC46" i="10"/>
  <c r="AC22" i="32"/>
  <c r="AC92" i="16"/>
  <c r="AC41" i="10"/>
  <c r="AC17" i="32"/>
  <c r="AC38" i="10"/>
  <c r="AC14" i="32"/>
  <c r="AC37" i="10"/>
  <c r="AC13" i="32"/>
  <c r="AC45" i="10"/>
  <c r="AC121" i="16"/>
  <c r="AC5" i="10" s="1"/>
  <c r="AC29" i="10" s="1"/>
  <c r="AC120" i="16"/>
  <c r="AC111" i="33"/>
  <c r="AC18" i="34" s="1"/>
  <c r="AC41" i="34" s="1"/>
  <c r="AC64" i="34" s="1"/>
  <c r="AC39" i="34"/>
  <c r="AC16" i="32"/>
  <c r="AC29" i="34"/>
  <c r="AC52" i="34" s="1"/>
  <c r="AC69" i="33"/>
  <c r="AC10" i="32"/>
  <c r="AC33" i="34"/>
  <c r="AC31" i="34"/>
  <c r="AC30" i="34"/>
  <c r="AC7" i="32"/>
  <c r="AC98" i="33"/>
  <c r="AC5" i="34" s="1"/>
  <c r="G8" i="13"/>
  <c r="R8" i="13" s="1"/>
  <c r="BL13" i="9"/>
  <c r="AB62" i="14"/>
  <c r="AB78" i="14"/>
  <c r="AC95" i="9"/>
  <c r="AD4" i="12" s="1"/>
  <c r="AD16" i="12" s="1"/>
  <c r="AC77" i="10" s="1"/>
  <c r="AC13" i="20"/>
  <c r="AC556" i="9"/>
  <c r="AD6" i="12" s="1"/>
  <c r="AD18" i="12" s="1"/>
  <c r="AC552" i="9"/>
  <c r="AC242" i="9"/>
  <c r="AA35" i="11"/>
  <c r="AB45" i="34"/>
  <c r="AB68" i="34" s="1"/>
  <c r="AB45" i="11"/>
  <c r="AB68" i="11" s="1"/>
  <c r="AB46" i="10"/>
  <c r="AB22" i="32"/>
  <c r="AB134" i="16"/>
  <c r="AB18" i="10" s="1"/>
  <c r="AB42" i="10" s="1"/>
  <c r="AB66" i="10" s="1"/>
  <c r="AB92" i="16"/>
  <c r="AB31" i="11"/>
  <c r="AB54" i="11" s="1"/>
  <c r="AB30" i="11"/>
  <c r="AB53" i="11" s="1"/>
  <c r="AB17" i="32"/>
  <c r="AB40" i="11"/>
  <c r="AB41" i="32" s="1"/>
  <c r="AB37" i="11"/>
  <c r="AB38" i="32" s="1"/>
  <c r="AB14" i="32"/>
  <c r="AB39" i="11"/>
  <c r="AB62" i="11" s="1"/>
  <c r="AB391" i="21"/>
  <c r="AB61" i="11"/>
  <c r="AB33" i="11"/>
  <c r="AB56" i="11" s="1"/>
  <c r="AB44" i="11"/>
  <c r="AB67" i="11" s="1"/>
  <c r="AB28" i="11"/>
  <c r="AB51" i="11" s="1"/>
  <c r="AB39" i="34"/>
  <c r="AB16" i="32"/>
  <c r="AB15" i="32"/>
  <c r="AB38" i="34"/>
  <c r="AB39" i="32" s="1"/>
  <c r="AB33" i="34"/>
  <c r="AB10" i="32"/>
  <c r="AB44" i="34"/>
  <c r="AB69" i="33"/>
  <c r="AB8" i="32"/>
  <c r="AB31" i="34"/>
  <c r="AB7" i="32"/>
  <c r="AB30" i="34"/>
  <c r="AB98" i="33"/>
  <c r="AB5" i="34" s="1"/>
  <c r="AB28" i="34" s="1"/>
  <c r="AB51" i="34" s="1"/>
  <c r="AB97" i="33"/>
  <c r="AB4" i="34" s="1"/>
  <c r="AB27" i="34" s="1"/>
  <c r="BA551" i="9"/>
  <c r="BL6" i="9"/>
  <c r="BQ6" i="9" s="1"/>
  <c r="AB552" i="9"/>
  <c r="BA537" i="9"/>
  <c r="AB146" i="9"/>
  <c r="AB555" i="9"/>
  <c r="AC5" i="12" s="1"/>
  <c r="AC17" i="12" s="1"/>
  <c r="AB73" i="11" s="1"/>
  <c r="BA120" i="9"/>
  <c r="AB122" i="9"/>
  <c r="BL101" i="9"/>
  <c r="BL120" i="9" s="1"/>
  <c r="BA547" i="9"/>
  <c r="AA45" i="11"/>
  <c r="AA134" i="16"/>
  <c r="AA18" i="10" s="1"/>
  <c r="AA42" i="10" s="1"/>
  <c r="AA37" i="10"/>
  <c r="AA13" i="32"/>
  <c r="AA92" i="16"/>
  <c r="AA121" i="16"/>
  <c r="AA5" i="10" s="1"/>
  <c r="AA29" i="10" s="1"/>
  <c r="AA30" i="11"/>
  <c r="AA53" i="11" s="1"/>
  <c r="AA40" i="34"/>
  <c r="AA63" i="34" s="1"/>
  <c r="AA69" i="33"/>
  <c r="AA111" i="33"/>
  <c r="AA18" i="34" s="1"/>
  <c r="AA41" i="34" s="1"/>
  <c r="AA64" i="34" s="1"/>
  <c r="AA39" i="34"/>
  <c r="AA62" i="34" s="1"/>
  <c r="AA29" i="34"/>
  <c r="AA52" i="34" s="1"/>
  <c r="AA38" i="34"/>
  <c r="AA61" i="34" s="1"/>
  <c r="AA33" i="34"/>
  <c r="AA34" i="32" s="1"/>
  <c r="AA10" i="32"/>
  <c r="AA32" i="34"/>
  <c r="AA55" i="34" s="1"/>
  <c r="AA44" i="34"/>
  <c r="AA67" i="34" s="1"/>
  <c r="AA31" i="34"/>
  <c r="AA54" i="34" s="1"/>
  <c r="AA30" i="34"/>
  <c r="AA53" i="34" s="1"/>
  <c r="AA7" i="32"/>
  <c r="AA41" i="11"/>
  <c r="AA17" i="32"/>
  <c r="AA40" i="11"/>
  <c r="AA14" i="32"/>
  <c r="AA37" i="11"/>
  <c r="AA38" i="32" s="1"/>
  <c r="AA39" i="11"/>
  <c r="AA16" i="32"/>
  <c r="AA391" i="21"/>
  <c r="AA38" i="11"/>
  <c r="AA61" i="11" s="1"/>
  <c r="AA15" i="32"/>
  <c r="AA44" i="11"/>
  <c r="AA21" i="32"/>
  <c r="AA9" i="32"/>
  <c r="AA32" i="11"/>
  <c r="AA31" i="11"/>
  <c r="AA54" i="11" s="1"/>
  <c r="AA28" i="11"/>
  <c r="AA51" i="11" s="1"/>
  <c r="AA92" i="9"/>
  <c r="Z6" i="14" s="1"/>
  <c r="AA552" i="9"/>
  <c r="AA555" i="9"/>
  <c r="AB5" i="12" s="1"/>
  <c r="AB17" i="12" s="1"/>
  <c r="AA556" i="9"/>
  <c r="AB6" i="12" s="1"/>
  <c r="AB18" i="12" s="1"/>
  <c r="AA73" i="34" s="1"/>
  <c r="AA81" i="34" s="1"/>
  <c r="BA533" i="9"/>
  <c r="BA216" i="9"/>
  <c r="AT41" i="33"/>
  <c r="U242" i="9"/>
  <c r="U554" i="9" s="1"/>
  <c r="BQ283" i="9"/>
  <c r="BA546" i="9"/>
  <c r="AT129" i="21"/>
  <c r="BA543" i="9"/>
  <c r="BA545" i="9"/>
  <c r="BQ271" i="9"/>
  <c r="BA544" i="9"/>
  <c r="BA539" i="9"/>
  <c r="AT125" i="21"/>
  <c r="BQ286" i="9"/>
  <c r="BA534" i="9"/>
  <c r="AT120" i="21"/>
  <c r="Z105" i="33"/>
  <c r="Z12" i="34" s="1"/>
  <c r="V46" i="10"/>
  <c r="O28" i="11"/>
  <c r="O51" i="11" s="1"/>
  <c r="N28" i="11"/>
  <c r="N51" i="11" s="1"/>
  <c r="G28" i="34"/>
  <c r="J28" i="34"/>
  <c r="J51" i="34" s="1"/>
  <c r="E28" i="34"/>
  <c r="E51" i="34" s="1"/>
  <c r="AR89" i="31"/>
  <c r="AR133" i="31"/>
  <c r="R28" i="11"/>
  <c r="AH29" i="10"/>
  <c r="AE28" i="11"/>
  <c r="AE51" i="11" s="1"/>
  <c r="AE28" i="34"/>
  <c r="AE51" i="34" s="1"/>
  <c r="AK28" i="34"/>
  <c r="AK51" i="34" s="1"/>
  <c r="AB29" i="10"/>
  <c r="H28" i="34"/>
  <c r="H51" i="34" s="1"/>
  <c r="F28" i="34"/>
  <c r="F51" i="34" s="1"/>
  <c r="I29" i="10"/>
  <c r="D28" i="34"/>
  <c r="AF28" i="34"/>
  <c r="AF51" i="34" s="1"/>
  <c r="AO29" i="10"/>
  <c r="H29" i="10"/>
  <c r="D29" i="10"/>
  <c r="D5" i="32"/>
  <c r="AE5" i="32"/>
  <c r="AP29" i="10"/>
  <c r="AG28" i="11"/>
  <c r="AG51" i="11" s="1"/>
  <c r="I28" i="11"/>
  <c r="I51" i="11" s="1"/>
  <c r="G29" i="10"/>
  <c r="G5" i="32"/>
  <c r="AQ29" i="10"/>
  <c r="AH28" i="11"/>
  <c r="AH51" i="11" s="1"/>
  <c r="F29" i="10"/>
  <c r="AO28" i="34"/>
  <c r="AO51" i="34" s="1"/>
  <c r="D28" i="11"/>
  <c r="AI28" i="11"/>
  <c r="E29" i="10"/>
  <c r="AJ28" i="11"/>
  <c r="AJ51" i="11" s="1"/>
  <c r="AF28" i="11"/>
  <c r="AF51" i="11" s="1"/>
  <c r="AJ5" i="32"/>
  <c r="K28" i="11"/>
  <c r="K51" i="11" s="1"/>
  <c r="AD28" i="34"/>
  <c r="AD51" i="34" s="1"/>
  <c r="AJ28" i="34"/>
  <c r="AJ51" i="34" s="1"/>
  <c r="T28" i="11"/>
  <c r="AL415" i="21"/>
  <c r="P121" i="16"/>
  <c r="P5" i="10" s="1"/>
  <c r="P29" i="10" s="1"/>
  <c r="P53" i="10" s="1"/>
  <c r="Q28" i="11"/>
  <c r="P98" i="33"/>
  <c r="P5" i="34" s="1"/>
  <c r="P28" i="34" s="1"/>
  <c r="P51" i="34" s="1"/>
  <c r="S121" i="16"/>
  <c r="S5" i="10" s="1"/>
  <c r="S29" i="10" s="1"/>
  <c r="S53" i="10" s="1"/>
  <c r="V121" i="16"/>
  <c r="V5" i="10" s="1"/>
  <c r="V29" i="10" s="1"/>
  <c r="V53" i="10" s="1"/>
  <c r="AR45" i="31"/>
  <c r="AN29" i="10"/>
  <c r="Z121" i="16"/>
  <c r="Z5" i="10" s="1"/>
  <c r="Z29" i="10" s="1"/>
  <c r="Z53" i="10" s="1"/>
  <c r="Q121" i="16"/>
  <c r="Q5" i="10" s="1"/>
  <c r="Q29" i="10" s="1"/>
  <c r="Q53" i="10" s="1"/>
  <c r="T121" i="16"/>
  <c r="T5" i="10" s="1"/>
  <c r="T29" i="10" s="1"/>
  <c r="T53" i="10" s="1"/>
  <c r="Y98" i="33"/>
  <c r="Y5" i="34" s="1"/>
  <c r="Z28" i="11"/>
  <c r="Z51" i="11" s="1"/>
  <c r="Z98" i="33"/>
  <c r="Z5" i="34" s="1"/>
  <c r="Z28" i="34" s="1"/>
  <c r="O121" i="16"/>
  <c r="O5" i="10" s="1"/>
  <c r="O29" i="10" s="1"/>
  <c r="O53" i="10" s="1"/>
  <c r="L121" i="16"/>
  <c r="L5" i="10" s="1"/>
  <c r="AU69" i="17"/>
  <c r="AU62" i="17"/>
  <c r="AU52" i="17"/>
  <c r="AU67" i="17"/>
  <c r="G41" i="11"/>
  <c r="G64" i="11" s="1"/>
  <c r="J111" i="33"/>
  <c r="J18" i="34" s="1"/>
  <c r="J41" i="34" s="1"/>
  <c r="J64" i="34" s="1"/>
  <c r="J93" i="33"/>
  <c r="AU58" i="17"/>
  <c r="Q134" i="16"/>
  <c r="Q18" i="10" s="1"/>
  <c r="Q42" i="10" s="1"/>
  <c r="Q66" i="10" s="1"/>
  <c r="O116" i="16"/>
  <c r="P111" i="33"/>
  <c r="P18" i="34" s="1"/>
  <c r="P41" i="34" s="1"/>
  <c r="AU55" i="17"/>
  <c r="Q116" i="16"/>
  <c r="AR24" i="17"/>
  <c r="O134" i="16"/>
  <c r="O18" i="10" s="1"/>
  <c r="O42" i="10" s="1"/>
  <c r="O66" i="10" s="1"/>
  <c r="D24" i="10"/>
  <c r="AH42" i="10"/>
  <c r="AH41" i="11"/>
  <c r="AH64" i="11" s="1"/>
  <c r="AB415" i="21"/>
  <c r="AO42" i="10"/>
  <c r="E42" i="10"/>
  <c r="E18" i="32"/>
  <c r="D41" i="11"/>
  <c r="D18" i="32"/>
  <c r="AN42" i="10"/>
  <c r="AO41" i="34"/>
  <c r="AO64" i="34" s="1"/>
  <c r="AG41" i="11"/>
  <c r="AG64" i="11" s="1"/>
  <c r="AM42" i="10"/>
  <c r="AC134" i="16"/>
  <c r="AC18" i="10" s="1"/>
  <c r="AC116" i="16"/>
  <c r="AH41" i="34"/>
  <c r="AH64" i="34" s="1"/>
  <c r="AP111" i="33"/>
  <c r="AP18" i="34" s="1"/>
  <c r="AP93" i="33"/>
  <c r="F42" i="10"/>
  <c r="AF41" i="11"/>
  <c r="AF64" i="11" s="1"/>
  <c r="E41" i="11"/>
  <c r="E64" i="11" s="1"/>
  <c r="J42" i="10"/>
  <c r="D41" i="34"/>
  <c r="AQ41" i="34"/>
  <c r="AQ64" i="34" s="1"/>
  <c r="J41" i="11"/>
  <c r="J64" i="11" s="1"/>
  <c r="AQ42" i="10"/>
  <c r="I42" i="10"/>
  <c r="I18" i="32"/>
  <c r="E41" i="34"/>
  <c r="E64" i="34" s="1"/>
  <c r="AB93" i="33"/>
  <c r="AB111" i="33"/>
  <c r="AJ41" i="34"/>
  <c r="AJ64" i="34" s="1"/>
  <c r="AI41" i="11"/>
  <c r="AI64" i="11" s="1"/>
  <c r="AK41" i="11"/>
  <c r="AK64" i="11" s="1"/>
  <c r="I41" i="11"/>
  <c r="I64" i="11" s="1"/>
  <c r="H42" i="10"/>
  <c r="F41" i="34"/>
  <c r="F64" i="34" s="1"/>
  <c r="AJ42" i="10"/>
  <c r="AE42" i="10"/>
  <c r="G42" i="10"/>
  <c r="G18" i="32"/>
  <c r="G41" i="34"/>
  <c r="I41" i="34"/>
  <c r="I64" i="34" s="1"/>
  <c r="M134" i="16"/>
  <c r="M18" i="10" s="1"/>
  <c r="M42" i="10" s="1"/>
  <c r="M66" i="10" s="1"/>
  <c r="AI116" i="16"/>
  <c r="Q415" i="21"/>
  <c r="P93" i="33"/>
  <c r="AM93" i="33"/>
  <c r="G93" i="33"/>
  <c r="D66" i="10"/>
  <c r="AU66" i="17"/>
  <c r="J116" i="16"/>
  <c r="S134" i="16"/>
  <c r="S18" i="10" s="1"/>
  <c r="S42" i="10" s="1"/>
  <c r="S66" i="10" s="1"/>
  <c r="Q111" i="33"/>
  <c r="Q18" i="34" s="1"/>
  <c r="AD93" i="33"/>
  <c r="N134" i="16"/>
  <c r="N18" i="10" s="1"/>
  <c r="N42" i="10" s="1"/>
  <c r="N66" i="10" s="1"/>
  <c r="N116" i="16"/>
  <c r="L415" i="21"/>
  <c r="AK415" i="21"/>
  <c r="Y111" i="33"/>
  <c r="Y18" i="34" s="1"/>
  <c r="Y41" i="34" s="1"/>
  <c r="K93" i="33"/>
  <c r="Y134" i="16"/>
  <c r="Y18" i="10" s="1"/>
  <c r="Y42" i="10" s="1"/>
  <c r="Y66" i="10" s="1"/>
  <c r="Z111" i="33"/>
  <c r="Z18" i="34" s="1"/>
  <c r="Z41" i="34" s="1"/>
  <c r="P116" i="16"/>
  <c r="AN116" i="16"/>
  <c r="V111" i="33"/>
  <c r="V18" i="34" s="1"/>
  <c r="V41" i="34" s="1"/>
  <c r="V64" i="34" s="1"/>
  <c r="L134" i="16"/>
  <c r="O93" i="33"/>
  <c r="Q41" i="11"/>
  <c r="P134" i="16"/>
  <c r="P18" i="10" s="1"/>
  <c r="P42" i="10" s="1"/>
  <c r="P66" i="10" s="1"/>
  <c r="AU63" i="17"/>
  <c r="U111" i="33"/>
  <c r="U18" i="34" s="1"/>
  <c r="U41" i="34" s="1"/>
  <c r="U64" i="34" s="1"/>
  <c r="N93" i="33"/>
  <c r="AC93" i="33"/>
  <c r="AH116" i="16"/>
  <c r="K116" i="16"/>
  <c r="T27" i="11"/>
  <c r="AM27" i="11"/>
  <c r="AM415" i="21"/>
  <c r="S27" i="11"/>
  <c r="E97" i="33"/>
  <c r="E116" i="33" s="1"/>
  <c r="E93" i="33"/>
  <c r="AK93" i="33"/>
  <c r="AK97" i="33"/>
  <c r="D139" i="16"/>
  <c r="D116" i="16"/>
  <c r="D117" i="16" s="1"/>
  <c r="P27" i="11"/>
  <c r="P50" i="11" s="1"/>
  <c r="L419" i="21"/>
  <c r="L27" i="11" s="1"/>
  <c r="AA120" i="16"/>
  <c r="AA116" i="16"/>
  <c r="AA415" i="21"/>
  <c r="Y97" i="33"/>
  <c r="Y4" i="34" s="1"/>
  <c r="Y93" i="33"/>
  <c r="AI438" i="21"/>
  <c r="AI415" i="21"/>
  <c r="AG93" i="33"/>
  <c r="AG97" i="33"/>
  <c r="F415" i="21"/>
  <c r="F419" i="21"/>
  <c r="F4" i="11" s="1"/>
  <c r="AQ415" i="21"/>
  <c r="J419" i="21"/>
  <c r="J415" i="21"/>
  <c r="AO93" i="33"/>
  <c r="AO97" i="33"/>
  <c r="AP120" i="16"/>
  <c r="AP116" i="16"/>
  <c r="D93" i="33"/>
  <c r="D94" i="33" s="1"/>
  <c r="D97" i="33"/>
  <c r="D4" i="34" s="1"/>
  <c r="AM116" i="16"/>
  <c r="AM120" i="16"/>
  <c r="K415" i="21"/>
  <c r="K419" i="21"/>
  <c r="AN120" i="16"/>
  <c r="H415" i="21"/>
  <c r="F93" i="33"/>
  <c r="Q27" i="11"/>
  <c r="AE415" i="21"/>
  <c r="AE116" i="16"/>
  <c r="AI120" i="16"/>
  <c r="AC97" i="33"/>
  <c r="J120" i="16"/>
  <c r="J4" i="10" s="1"/>
  <c r="AD116" i="16"/>
  <c r="AD120" i="16"/>
  <c r="G120" i="16"/>
  <c r="G116" i="16"/>
  <c r="AJ116" i="16"/>
  <c r="AJ120" i="16"/>
  <c r="E419" i="21"/>
  <c r="E415" i="21"/>
  <c r="AD97" i="33"/>
  <c r="AO116" i="16"/>
  <c r="K97" i="33"/>
  <c r="K4" i="34" s="1"/>
  <c r="K27" i="34" s="1"/>
  <c r="AD415" i="21"/>
  <c r="AJ415" i="21"/>
  <c r="AI93" i="33"/>
  <c r="AI97" i="33"/>
  <c r="I93" i="33"/>
  <c r="I97" i="33"/>
  <c r="AQ93" i="33"/>
  <c r="AQ97" i="33"/>
  <c r="AF415" i="21"/>
  <c r="AM4" i="34"/>
  <c r="AC4" i="10"/>
  <c r="H116" i="16"/>
  <c r="H120" i="16"/>
  <c r="AJ93" i="33"/>
  <c r="AJ97" i="33"/>
  <c r="AP4" i="34"/>
  <c r="AO4" i="10"/>
  <c r="D28" i="10"/>
  <c r="AG415" i="21"/>
  <c r="I415" i="21"/>
  <c r="I419" i="21"/>
  <c r="E120" i="16"/>
  <c r="E116" i="16"/>
  <c r="AF97" i="33"/>
  <c r="AF93" i="33"/>
  <c r="AL97" i="33"/>
  <c r="AL93" i="33"/>
  <c r="AQ116" i="16"/>
  <c r="AQ120" i="16"/>
  <c r="G97" i="33"/>
  <c r="AF120" i="16"/>
  <c r="AF116" i="16"/>
  <c r="AK116" i="16"/>
  <c r="AK120" i="16"/>
  <c r="AH415" i="21"/>
  <c r="AN415" i="21"/>
  <c r="H4" i="11"/>
  <c r="Z93" i="33"/>
  <c r="Z97" i="33"/>
  <c r="Z4" i="34" s="1"/>
  <c r="Z27" i="34" s="1"/>
  <c r="AL120" i="16"/>
  <c r="AL116" i="16"/>
  <c r="AO415" i="21"/>
  <c r="AA97" i="33"/>
  <c r="AN93" i="33"/>
  <c r="AN97" i="33"/>
  <c r="H97" i="33"/>
  <c r="H93" i="33"/>
  <c r="F120" i="16"/>
  <c r="F116" i="16"/>
  <c r="AE93" i="33"/>
  <c r="AE97" i="33"/>
  <c r="AB116" i="16"/>
  <c r="AB120" i="16"/>
  <c r="AG116" i="16"/>
  <c r="AG120" i="16"/>
  <c r="D415" i="21"/>
  <c r="D416" i="21" s="1"/>
  <c r="D419" i="21"/>
  <c r="AC418" i="21"/>
  <c r="AR417" i="21" s="1"/>
  <c r="AP415" i="21"/>
  <c r="G419" i="21"/>
  <c r="G415" i="21"/>
  <c r="I120" i="16"/>
  <c r="I116" i="16"/>
  <c r="AH97" i="33"/>
  <c r="AH93" i="33"/>
  <c r="O27" i="11"/>
  <c r="U120" i="16"/>
  <c r="U116" i="16"/>
  <c r="Q97" i="33"/>
  <c r="Q4" i="34" s="1"/>
  <c r="Z122" i="16"/>
  <c r="Z6" i="10" s="1"/>
  <c r="Z30" i="10" s="1"/>
  <c r="Z54" i="10" s="1"/>
  <c r="Z13" i="32"/>
  <c r="Z37" i="10"/>
  <c r="Y124" i="16"/>
  <c r="Y8" i="10" s="1"/>
  <c r="Y32" i="10" s="1"/>
  <c r="Y56" i="10" s="1"/>
  <c r="Z137" i="16"/>
  <c r="Z21" i="10" s="1"/>
  <c r="Z45" i="10" s="1"/>
  <c r="Z69" i="10" s="1"/>
  <c r="Z116" i="16"/>
  <c r="Y120" i="16"/>
  <c r="Y4" i="10" s="1"/>
  <c r="Y28" i="10" s="1"/>
  <c r="Y52" i="10" s="1"/>
  <c r="Y116" i="16"/>
  <c r="Z128" i="16"/>
  <c r="Z12" i="10" s="1"/>
  <c r="Y128" i="16"/>
  <c r="Y12" i="10" s="1"/>
  <c r="Z44" i="11"/>
  <c r="Z41" i="11"/>
  <c r="Z64" i="11" s="1"/>
  <c r="Y31" i="11"/>
  <c r="Y54" i="11" s="1"/>
  <c r="Y41" i="11"/>
  <c r="Y64" i="11" s="1"/>
  <c r="Z29" i="11"/>
  <c r="Z52" i="11" s="1"/>
  <c r="Z27" i="11"/>
  <c r="Z50" i="11" s="1"/>
  <c r="Z35" i="11"/>
  <c r="Z415" i="21"/>
  <c r="Y415" i="21"/>
  <c r="Y416" i="21" s="1"/>
  <c r="Z416" i="21" s="1"/>
  <c r="AA416" i="21" s="1"/>
  <c r="AB416" i="21" s="1"/>
  <c r="AC416" i="21" s="1"/>
  <c r="AD416" i="21" s="1"/>
  <c r="AE416" i="21" s="1"/>
  <c r="AF416" i="21" s="1"/>
  <c r="AG416" i="21" s="1"/>
  <c r="AH416" i="21" s="1"/>
  <c r="AI416" i="21" s="1"/>
  <c r="AJ416" i="21" s="1"/>
  <c r="AK416" i="21" s="1"/>
  <c r="AL416" i="21" s="1"/>
  <c r="AM416" i="21" s="1"/>
  <c r="Y35" i="11"/>
  <c r="Z45" i="11"/>
  <c r="Z68" i="11" s="1"/>
  <c r="Z22" i="32"/>
  <c r="Z45" i="34"/>
  <c r="Z92" i="16"/>
  <c r="Z17" i="32"/>
  <c r="Z40" i="11"/>
  <c r="Z41" i="32" s="1"/>
  <c r="Z37" i="11"/>
  <c r="Z38" i="32" s="1"/>
  <c r="Z14" i="32"/>
  <c r="Z39" i="11"/>
  <c r="Z62" i="11" s="1"/>
  <c r="Z38" i="11"/>
  <c r="Z61" i="11" s="1"/>
  <c r="Z33" i="11"/>
  <c r="Z56" i="11" s="1"/>
  <c r="Z32" i="11"/>
  <c r="Z55" i="11" s="1"/>
  <c r="Z31" i="11"/>
  <c r="Z54" i="11" s="1"/>
  <c r="Z30" i="11"/>
  <c r="Z31" i="32" s="1"/>
  <c r="Z391" i="21"/>
  <c r="Z29" i="34"/>
  <c r="Z16" i="32"/>
  <c r="Z39" i="34"/>
  <c r="Z62" i="34" s="1"/>
  <c r="Z38" i="34"/>
  <c r="Z15" i="32"/>
  <c r="Z10" i="32"/>
  <c r="Z33" i="34"/>
  <c r="Z9" i="32"/>
  <c r="Z32" i="34"/>
  <c r="Z31" i="34"/>
  <c r="Z53" i="34"/>
  <c r="Z7" i="32"/>
  <c r="Z69" i="33"/>
  <c r="BL215" i="9"/>
  <c r="BL216" i="9" s="1"/>
  <c r="BA77" i="9"/>
  <c r="BL4" i="9"/>
  <c r="G12" i="13"/>
  <c r="R12" i="13" s="1"/>
  <c r="BA23" i="9"/>
  <c r="Z123" i="9"/>
  <c r="BQ203" i="9"/>
  <c r="Y36" i="14"/>
  <c r="Z554" i="9"/>
  <c r="BA240" i="9"/>
  <c r="Z552" i="9"/>
  <c r="BA536" i="9"/>
  <c r="Y39" i="35"/>
  <c r="Y52" i="35" s="1"/>
  <c r="AA18" i="12"/>
  <c r="Z73" i="34" s="1"/>
  <c r="AU30" i="9"/>
  <c r="Y45" i="11"/>
  <c r="Y22" i="32"/>
  <c r="Y45" i="34"/>
  <c r="Y37" i="10"/>
  <c r="Y13" i="32"/>
  <c r="Y14" i="32"/>
  <c r="Y37" i="11"/>
  <c r="Y38" i="32" s="1"/>
  <c r="Y39" i="11"/>
  <c r="Y62" i="11" s="1"/>
  <c r="Y30" i="11"/>
  <c r="Y53" i="11" s="1"/>
  <c r="Y40" i="11"/>
  <c r="Y41" i="32" s="1"/>
  <c r="Y17" i="32"/>
  <c r="Y33" i="11"/>
  <c r="Y56" i="11" s="1"/>
  <c r="Y32" i="11"/>
  <c r="Y55" i="11" s="1"/>
  <c r="Y39" i="34"/>
  <c r="Y16" i="32"/>
  <c r="Y38" i="34"/>
  <c r="Y15" i="32"/>
  <c r="Y33" i="34"/>
  <c r="Y56" i="34" s="1"/>
  <c r="Y10" i="32"/>
  <c r="Y9" i="32"/>
  <c r="Y32" i="34"/>
  <c r="Y31" i="34"/>
  <c r="Y54" i="34" s="1"/>
  <c r="Y30" i="34"/>
  <c r="Y53" i="34" s="1"/>
  <c r="Y7" i="32"/>
  <c r="Y555" i="9"/>
  <c r="Z5" i="12" s="1"/>
  <c r="Z17" i="12" s="1"/>
  <c r="Y73" i="11" s="1"/>
  <c r="Y81" i="11" s="1"/>
  <c r="BL144" i="9"/>
  <c r="BQ136" i="9"/>
  <c r="BA144" i="9"/>
  <c r="BQ199" i="9"/>
  <c r="AT8" i="33"/>
  <c r="X36" i="14"/>
  <c r="Y103" i="20" s="1"/>
  <c r="BA408" i="9"/>
  <c r="BQ391" i="9"/>
  <c r="BQ395" i="9"/>
  <c r="BL390" i="9"/>
  <c r="AR408" i="9"/>
  <c r="AR410" i="9" s="1"/>
  <c r="BL240" i="9"/>
  <c r="X39" i="35"/>
  <c r="X52" i="35" s="1"/>
  <c r="Z18" i="12"/>
  <c r="Y73" i="34" s="1"/>
  <c r="Y56" i="20"/>
  <c r="X57" i="14" s="1"/>
  <c r="Y149" i="20"/>
  <c r="X149" i="20"/>
  <c r="AA24" i="36"/>
  <c r="AA11" i="14" s="1"/>
  <c r="AB11" i="37" s="1"/>
  <c r="X24" i="36"/>
  <c r="X11" i="14" s="1"/>
  <c r="Y11" i="37" s="1"/>
  <c r="AC96" i="36"/>
  <c r="W111" i="33"/>
  <c r="W18" i="34" s="1"/>
  <c r="W41" i="34" s="1"/>
  <c r="W64" i="34" s="1"/>
  <c r="X93" i="33"/>
  <c r="X105" i="33"/>
  <c r="X12" i="34" s="1"/>
  <c r="W114" i="33"/>
  <c r="W21" i="34" s="1"/>
  <c r="W44" i="34" s="1"/>
  <c r="W93" i="33"/>
  <c r="W97" i="33"/>
  <c r="W4" i="34" s="1"/>
  <c r="W27" i="34" s="1"/>
  <c r="W50" i="34" s="1"/>
  <c r="V93" i="33"/>
  <c r="V105" i="33"/>
  <c r="V12" i="34" s="1"/>
  <c r="U99" i="33"/>
  <c r="U6" i="34" s="1"/>
  <c r="U105" i="33"/>
  <c r="U12" i="34" s="1"/>
  <c r="U98" i="33"/>
  <c r="U5" i="34" s="1"/>
  <c r="U93" i="33"/>
  <c r="AR90" i="33"/>
  <c r="T114" i="33"/>
  <c r="T21" i="34" s="1"/>
  <c r="T93" i="33"/>
  <c r="T111" i="33"/>
  <c r="T18" i="34" s="1"/>
  <c r="T41" i="34" s="1"/>
  <c r="T64" i="34" s="1"/>
  <c r="AR81" i="33"/>
  <c r="S111" i="33"/>
  <c r="S18" i="34" s="1"/>
  <c r="S41" i="34" s="1"/>
  <c r="S64" i="34" s="1"/>
  <c r="S32" i="34"/>
  <c r="S98" i="33"/>
  <c r="S5" i="34" s="1"/>
  <c r="S28" i="34" s="1"/>
  <c r="S51" i="34" s="1"/>
  <c r="S93" i="33"/>
  <c r="S97" i="33"/>
  <c r="S4" i="34" s="1"/>
  <c r="S27" i="34" s="1"/>
  <c r="S50" i="34" s="1"/>
  <c r="R105" i="33"/>
  <c r="R12" i="34" s="1"/>
  <c r="AR87" i="33"/>
  <c r="R111" i="33"/>
  <c r="R18" i="34" s="1"/>
  <c r="R41" i="34" s="1"/>
  <c r="R93" i="33"/>
  <c r="R98" i="33"/>
  <c r="R5" i="34" s="1"/>
  <c r="R28" i="34" s="1"/>
  <c r="R51" i="34" s="1"/>
  <c r="AR74" i="33"/>
  <c r="Q93" i="33"/>
  <c r="Q98" i="33"/>
  <c r="Q5" i="34" s="1"/>
  <c r="Q28" i="34" s="1"/>
  <c r="X134" i="16"/>
  <c r="X18" i="10" s="1"/>
  <c r="X42" i="10" s="1"/>
  <c r="X66" i="10" s="1"/>
  <c r="X137" i="16"/>
  <c r="X21" i="10" s="1"/>
  <c r="X45" i="10" s="1"/>
  <c r="X69" i="10" s="1"/>
  <c r="AR97" i="16"/>
  <c r="X121" i="16"/>
  <c r="X5" i="10" s="1"/>
  <c r="X29" i="10" s="1"/>
  <c r="X53" i="10" s="1"/>
  <c r="X120" i="16"/>
  <c r="X4" i="10" s="1"/>
  <c r="X28" i="10" s="1"/>
  <c r="X52" i="10" s="1"/>
  <c r="X116" i="16"/>
  <c r="X122" i="16"/>
  <c r="X6" i="10" s="1"/>
  <c r="X30" i="10" s="1"/>
  <c r="X54" i="10" s="1"/>
  <c r="W134" i="16"/>
  <c r="W18" i="10" s="1"/>
  <c r="W42" i="10" s="1"/>
  <c r="W66" i="10" s="1"/>
  <c r="W120" i="16"/>
  <c r="W4" i="10" s="1"/>
  <c r="W28" i="10" s="1"/>
  <c r="W52" i="10" s="1"/>
  <c r="AR113" i="16"/>
  <c r="W137" i="16"/>
  <c r="W21" i="10" s="1"/>
  <c r="W45" i="10" s="1"/>
  <c r="W69" i="10" s="1"/>
  <c r="W116" i="16"/>
  <c r="AR104" i="16"/>
  <c r="W128" i="16"/>
  <c r="V120" i="16"/>
  <c r="V4" i="10" s="1"/>
  <c r="V28" i="10" s="1"/>
  <c r="V52" i="10" s="1"/>
  <c r="V116" i="16"/>
  <c r="V134" i="16"/>
  <c r="V18" i="10" s="1"/>
  <c r="V42" i="10" s="1"/>
  <c r="V66" i="10" s="1"/>
  <c r="U134" i="16"/>
  <c r="U18" i="10" s="1"/>
  <c r="U42" i="10" s="1"/>
  <c r="U66" i="10" s="1"/>
  <c r="T120" i="16"/>
  <c r="T4" i="10" s="1"/>
  <c r="T28" i="10" s="1"/>
  <c r="T52" i="10" s="1"/>
  <c r="AR110" i="16"/>
  <c r="T134" i="16"/>
  <c r="T18" i="10" s="1"/>
  <c r="T42" i="10" s="1"/>
  <c r="T66" i="10" s="1"/>
  <c r="T122" i="16"/>
  <c r="T6" i="10" s="1"/>
  <c r="T116" i="16"/>
  <c r="AR98" i="16"/>
  <c r="S124" i="16"/>
  <c r="S8" i="10" s="1"/>
  <c r="S32" i="10" s="1"/>
  <c r="S56" i="10" s="1"/>
  <c r="S116" i="16"/>
  <c r="S28" i="11"/>
  <c r="S120" i="16"/>
  <c r="S4" i="10" s="1"/>
  <c r="R40" i="10"/>
  <c r="R137" i="16"/>
  <c r="R21" i="10" s="1"/>
  <c r="R39" i="10"/>
  <c r="R38" i="10"/>
  <c r="R34" i="10"/>
  <c r="R33" i="10"/>
  <c r="R124" i="16"/>
  <c r="R8" i="10" s="1"/>
  <c r="R8" i="32" s="1"/>
  <c r="AR100" i="16"/>
  <c r="R134" i="16"/>
  <c r="R18" i="10" s="1"/>
  <c r="R120" i="16"/>
  <c r="R4" i="10" s="1"/>
  <c r="R28" i="10" s="1"/>
  <c r="R52" i="10" s="1"/>
  <c r="Q46" i="10"/>
  <c r="Q41" i="10"/>
  <c r="X37" i="11"/>
  <c r="X60" i="11" s="1"/>
  <c r="X41" i="11"/>
  <c r="X64" i="11" s="1"/>
  <c r="X415" i="21"/>
  <c r="W6" i="32"/>
  <c r="AR91" i="23"/>
  <c r="W44" i="11"/>
  <c r="W67" i="11" s="1"/>
  <c r="W415" i="21"/>
  <c r="W41" i="11"/>
  <c r="W64" i="11" s="1"/>
  <c r="AR129" i="26"/>
  <c r="V27" i="11"/>
  <c r="V50" i="11" s="1"/>
  <c r="V41" i="11"/>
  <c r="V415" i="21"/>
  <c r="V35" i="11"/>
  <c r="U28" i="11"/>
  <c r="U51" i="11" s="1"/>
  <c r="U41" i="11"/>
  <c r="U21" i="32"/>
  <c r="AR33" i="27"/>
  <c r="U415" i="21"/>
  <c r="U29" i="11"/>
  <c r="AR33" i="29"/>
  <c r="T8" i="32"/>
  <c r="T415" i="21"/>
  <c r="T41" i="11"/>
  <c r="AR33" i="30"/>
  <c r="S415" i="21"/>
  <c r="R44" i="11"/>
  <c r="R415" i="21"/>
  <c r="R27" i="11"/>
  <c r="AR395" i="21"/>
  <c r="Q40" i="11"/>
  <c r="Q37" i="11"/>
  <c r="Q60" i="11" s="1"/>
  <c r="X45" i="34"/>
  <c r="AT62" i="16"/>
  <c r="X14" i="32"/>
  <c r="X38" i="10"/>
  <c r="X62" i="10" s="1"/>
  <c r="X12" i="10"/>
  <c r="X40" i="11"/>
  <c r="X63" i="11" s="1"/>
  <c r="X39" i="11"/>
  <c r="X62" i="11" s="1"/>
  <c r="X38" i="11"/>
  <c r="X61" i="11" s="1"/>
  <c r="X33" i="11"/>
  <c r="X56" i="11" s="1"/>
  <c r="X32" i="11"/>
  <c r="X55" i="11" s="1"/>
  <c r="X44" i="11"/>
  <c r="X67" i="11" s="1"/>
  <c r="X31" i="11"/>
  <c r="X54" i="11" s="1"/>
  <c r="X53" i="11"/>
  <c r="X35" i="11"/>
  <c r="X17" i="32"/>
  <c r="X40" i="34"/>
  <c r="X63" i="34" s="1"/>
  <c r="X50" i="34"/>
  <c r="X41" i="34"/>
  <c r="X64" i="34" s="1"/>
  <c r="X39" i="34"/>
  <c r="X16" i="32"/>
  <c r="X29" i="34"/>
  <c r="X52" i="34" s="1"/>
  <c r="X15" i="32"/>
  <c r="X38" i="34"/>
  <c r="X33" i="34"/>
  <c r="X10" i="32"/>
  <c r="X9" i="32"/>
  <c r="X32" i="34"/>
  <c r="X55" i="34" s="1"/>
  <c r="X44" i="34"/>
  <c r="X31" i="34"/>
  <c r="X69" i="33"/>
  <c r="X100" i="33"/>
  <c r="X7" i="34" s="1"/>
  <c r="AR22" i="11"/>
  <c r="X122" i="9"/>
  <c r="X554" i="9" s="1"/>
  <c r="X556" i="9"/>
  <c r="Y6" i="12" s="1"/>
  <c r="Y18" i="12" s="1"/>
  <c r="X73" i="34" s="1"/>
  <c r="AR386" i="9"/>
  <c r="AZ551" i="9"/>
  <c r="BQ62" i="9"/>
  <c r="AT61" i="16"/>
  <c r="AT6" i="16"/>
  <c r="F12" i="13"/>
  <c r="Q12" i="13" s="1"/>
  <c r="AZ73" i="9"/>
  <c r="X92" i="9"/>
  <c r="W6" i="14" s="1"/>
  <c r="BK12" i="9"/>
  <c r="BQ12" i="9" s="1"/>
  <c r="X555" i="9"/>
  <c r="Y5" i="12" s="1"/>
  <c r="X552" i="9"/>
  <c r="W36" i="14"/>
  <c r="AZ546" i="9"/>
  <c r="AZ408" i="9"/>
  <c r="AZ409" i="9" s="1"/>
  <c r="BA409" i="9" s="1"/>
  <c r="BB409" i="9" s="1"/>
  <c r="BC409" i="9" s="1"/>
  <c r="BD409" i="9" s="1"/>
  <c r="BE409" i="9" s="1"/>
  <c r="AT236" i="21"/>
  <c r="AZ545" i="9"/>
  <c r="AZ538" i="9"/>
  <c r="AZ534" i="9"/>
  <c r="X83" i="12"/>
  <c r="X46" i="12" s="1"/>
  <c r="W79" i="10" s="1"/>
  <c r="W45" i="34"/>
  <c r="W68" i="34" s="1"/>
  <c r="W22" i="32"/>
  <c r="W45" i="11"/>
  <c r="W38" i="10"/>
  <c r="W14" i="32"/>
  <c r="W92" i="16"/>
  <c r="W12" i="10"/>
  <c r="W38" i="11"/>
  <c r="W61" i="11" s="1"/>
  <c r="W33" i="11"/>
  <c r="W56" i="11" s="1"/>
  <c r="W31" i="11"/>
  <c r="W54" i="11" s="1"/>
  <c r="W30" i="11"/>
  <c r="W53" i="11" s="1"/>
  <c r="W40" i="11"/>
  <c r="W41" i="32" s="1"/>
  <c r="W17" i="32"/>
  <c r="W39" i="11"/>
  <c r="W62" i="11" s="1"/>
  <c r="AR253" i="21"/>
  <c r="AT235" i="21"/>
  <c r="W39" i="34"/>
  <c r="W62" i="34" s="1"/>
  <c r="W16" i="32"/>
  <c r="W29" i="34"/>
  <c r="W52" i="34"/>
  <c r="W38" i="34"/>
  <c r="W15" i="32"/>
  <c r="W33" i="34"/>
  <c r="W10" i="32"/>
  <c r="W9" i="32"/>
  <c r="W32" i="34"/>
  <c r="W33" i="32" s="1"/>
  <c r="W8" i="32"/>
  <c r="W31" i="34"/>
  <c r="W7" i="34"/>
  <c r="W35" i="11"/>
  <c r="W13" i="32"/>
  <c r="W36" i="11"/>
  <c r="W59" i="11" s="1"/>
  <c r="AZ91" i="9"/>
  <c r="BQ191" i="9"/>
  <c r="W555" i="9"/>
  <c r="X5" i="12" s="1"/>
  <c r="X17" i="12" s="1"/>
  <c r="BQ190" i="9"/>
  <c r="AU58" i="9"/>
  <c r="AT58" i="16"/>
  <c r="BQ58" i="9"/>
  <c r="AZ23" i="9"/>
  <c r="W556" i="9"/>
  <c r="X6" i="12" s="1"/>
  <c r="X18" i="12" s="1"/>
  <c r="W73" i="34" s="1"/>
  <c r="V36" i="14"/>
  <c r="W103" i="20" s="1"/>
  <c r="AZ543" i="9"/>
  <c r="BK408" i="9"/>
  <c r="AZ547" i="9"/>
  <c r="W552" i="9"/>
  <c r="AZ539" i="9"/>
  <c r="AT127" i="21"/>
  <c r="AZ541" i="9"/>
  <c r="AZ533" i="9"/>
  <c r="AZ542" i="9"/>
  <c r="BQ182" i="9"/>
  <c r="E103" i="20"/>
  <c r="AF192" i="20"/>
  <c r="V149" i="20"/>
  <c r="AB23" i="20"/>
  <c r="AB25" i="20" s="1"/>
  <c r="AB559" i="9" s="1"/>
  <c r="AQ192" i="20"/>
  <c r="G103" i="20"/>
  <c r="AE69" i="20"/>
  <c r="J53" i="14"/>
  <c r="AL192" i="20"/>
  <c r="AL199" i="20" s="1"/>
  <c r="AK56" i="20"/>
  <c r="AJ57" i="14" s="1"/>
  <c r="J192" i="20"/>
  <c r="J199" i="20" s="1"/>
  <c r="H56" i="20"/>
  <c r="G57" i="14" s="1"/>
  <c r="AH25" i="20"/>
  <c r="AH559" i="9" s="1"/>
  <c r="AN23" i="20"/>
  <c r="AN25" i="20" s="1"/>
  <c r="AN559" i="9" s="1"/>
  <c r="S56" i="20"/>
  <c r="R57" i="14" s="1"/>
  <c r="P23" i="20"/>
  <c r="AF97" i="9"/>
  <c r="AQ103" i="20"/>
  <c r="AQ56" i="20"/>
  <c r="AP57" i="14" s="1"/>
  <c r="AP113" i="20"/>
  <c r="AP114" i="20" s="1"/>
  <c r="S113" i="20"/>
  <c r="S114" i="20" s="1"/>
  <c r="S26" i="20" s="1"/>
  <c r="S27" i="20" s="1"/>
  <c r="H53" i="14"/>
  <c r="G23" i="20"/>
  <c r="G25" i="20" s="1"/>
  <c r="G559" i="9" s="1"/>
  <c r="R33" i="35"/>
  <c r="R39" i="35" s="1"/>
  <c r="R52" i="35" s="1"/>
  <c r="AM192" i="20"/>
  <c r="AP25" i="20"/>
  <c r="AP559" i="9" s="1"/>
  <c r="F50" i="35"/>
  <c r="F53" i="14"/>
  <c r="D56" i="20"/>
  <c r="C57" i="14" s="1"/>
  <c r="V25" i="20"/>
  <c r="V559" i="9" s="1"/>
  <c r="V45" i="34"/>
  <c r="V68" i="34" s="1"/>
  <c r="V22" i="32"/>
  <c r="V45" i="11"/>
  <c r="V92" i="16"/>
  <c r="V12" i="10"/>
  <c r="AT31" i="21"/>
  <c r="V37" i="11"/>
  <c r="V38" i="32" s="1"/>
  <c r="V14" i="32"/>
  <c r="V32" i="11"/>
  <c r="V55" i="11" s="1"/>
  <c r="V30" i="11"/>
  <c r="V53" i="11" s="1"/>
  <c r="V29" i="34"/>
  <c r="V52" i="34" s="1"/>
  <c r="V44" i="34"/>
  <c r="V67" i="34" s="1"/>
  <c r="V39" i="34"/>
  <c r="V62" i="34" s="1"/>
  <c r="V38" i="34"/>
  <c r="V61" i="34" s="1"/>
  <c r="V69" i="33"/>
  <c r="V33" i="34"/>
  <c r="V56" i="34" s="1"/>
  <c r="V102" i="33"/>
  <c r="V9" i="34" s="1"/>
  <c r="V31" i="34"/>
  <c r="V54" i="34" s="1"/>
  <c r="V7" i="32"/>
  <c r="V30" i="34"/>
  <c r="AR322" i="21"/>
  <c r="AT322" i="21" s="1"/>
  <c r="V17" i="32"/>
  <c r="V40" i="11"/>
  <c r="V41" i="32" s="1"/>
  <c r="V16" i="32"/>
  <c r="V39" i="11"/>
  <c r="V15" i="32"/>
  <c r="V38" i="11"/>
  <c r="V33" i="11"/>
  <c r="V10" i="32"/>
  <c r="V31" i="11"/>
  <c r="V231" i="21"/>
  <c r="W231" i="21" s="1"/>
  <c r="X231" i="21" s="1"/>
  <c r="Y231" i="21" s="1"/>
  <c r="Z231" i="21" s="1"/>
  <c r="AA231" i="21" s="1"/>
  <c r="AB231" i="21" s="1"/>
  <c r="AC231" i="21" s="1"/>
  <c r="AD231" i="21" s="1"/>
  <c r="AE231" i="21" s="1"/>
  <c r="AF231" i="21" s="1"/>
  <c r="AG231" i="21" s="1"/>
  <c r="AH231" i="21" s="1"/>
  <c r="AI231" i="21" s="1"/>
  <c r="AJ231" i="21" s="1"/>
  <c r="AK231" i="21" s="1"/>
  <c r="AL231" i="21" s="1"/>
  <c r="AM231" i="21" s="1"/>
  <c r="AN231" i="21" s="1"/>
  <c r="AO231" i="21" s="1"/>
  <c r="AP231" i="21" s="1"/>
  <c r="AQ231" i="21" s="1"/>
  <c r="V391" i="21"/>
  <c r="V36" i="11"/>
  <c r="V13" i="32"/>
  <c r="V28" i="11"/>
  <c r="BK45" i="9"/>
  <c r="BQ45" i="9" s="1"/>
  <c r="AT479" i="9"/>
  <c r="BK288" i="9"/>
  <c r="BQ287" i="9"/>
  <c r="AZ77" i="9"/>
  <c r="BK8" i="9"/>
  <c r="V92" i="9"/>
  <c r="U6" i="14" s="1"/>
  <c r="U6" i="37" s="1"/>
  <c r="V146" i="9"/>
  <c r="BQ114" i="9"/>
  <c r="V123" i="9"/>
  <c r="AZ120" i="9"/>
  <c r="BK120" i="9"/>
  <c r="BQ166" i="9"/>
  <c r="AZ168" i="9"/>
  <c r="BK157" i="9"/>
  <c r="BQ157" i="9" s="1"/>
  <c r="V170" i="9"/>
  <c r="AZ537" i="9"/>
  <c r="V556" i="9"/>
  <c r="W6" i="12" s="1"/>
  <c r="W18" i="12" s="1"/>
  <c r="V73" i="34" s="1"/>
  <c r="AZ216" i="9"/>
  <c r="V218" i="9"/>
  <c r="U36" i="14" s="1"/>
  <c r="V103" i="20" s="1"/>
  <c r="AZ240" i="9"/>
  <c r="AZ536" i="9"/>
  <c r="BK480" i="9"/>
  <c r="BQ463" i="9"/>
  <c r="V483" i="9"/>
  <c r="Y481" i="9"/>
  <c r="Z481" i="9" s="1"/>
  <c r="AA481" i="9" s="1"/>
  <c r="AB481" i="9" s="1"/>
  <c r="AC481" i="9" s="1"/>
  <c r="AD481" i="9" s="1"/>
  <c r="AE481" i="9" s="1"/>
  <c r="AF481" i="9" s="1"/>
  <c r="AG481" i="9" s="1"/>
  <c r="AH481" i="9" s="1"/>
  <c r="AI481" i="9" s="1"/>
  <c r="AJ481" i="9" s="1"/>
  <c r="AK481" i="9" s="1"/>
  <c r="AL481" i="9" s="1"/>
  <c r="AM481" i="9" s="1"/>
  <c r="AN481" i="9" s="1"/>
  <c r="AO481" i="9" s="1"/>
  <c r="AP481" i="9" s="1"/>
  <c r="AQ481" i="9" s="1"/>
  <c r="AZ573" i="9"/>
  <c r="BQ269" i="9"/>
  <c r="AZ288" i="9"/>
  <c r="AZ544" i="9"/>
  <c r="AZ384" i="9"/>
  <c r="AR384" i="9"/>
  <c r="AT384" i="9" s="1"/>
  <c r="BK384" i="9"/>
  <c r="BQ365" i="9"/>
  <c r="AT151" i="21"/>
  <c r="BK331" i="9"/>
  <c r="BQ331" i="9" s="1"/>
  <c r="BQ319" i="9"/>
  <c r="AR542" i="9"/>
  <c r="V552" i="9"/>
  <c r="BQ318" i="9"/>
  <c r="AT165" i="21"/>
  <c r="BQ317" i="9"/>
  <c r="AF24" i="36"/>
  <c r="AF11" i="14" s="1"/>
  <c r="AG11" i="37" s="1"/>
  <c r="N5" i="36"/>
  <c r="N5" i="14" s="1"/>
  <c r="O5" i="37" s="1"/>
  <c r="U96" i="36"/>
  <c r="AQ95" i="36"/>
  <c r="AR95" i="36" s="1"/>
  <c r="AQ94" i="36"/>
  <c r="AR94" i="36" s="1"/>
  <c r="AU10" i="9"/>
  <c r="AU17" i="9"/>
  <c r="E96" i="36"/>
  <c r="AU215" i="9"/>
  <c r="AU126" i="9"/>
  <c r="AM96" i="36"/>
  <c r="AM35" i="14" s="1"/>
  <c r="M96" i="36"/>
  <c r="M35" i="14" s="1"/>
  <c r="AU50" i="9"/>
  <c r="AU112" i="9"/>
  <c r="AH24" i="36"/>
  <c r="AH11" i="14" s="1"/>
  <c r="AI11" i="37" s="1"/>
  <c r="Z24" i="36"/>
  <c r="Z11" i="14" s="1"/>
  <c r="AA11" i="37" s="1"/>
  <c r="R24" i="36"/>
  <c r="R11" i="14" s="1"/>
  <c r="S11" i="37" s="1"/>
  <c r="M24" i="36"/>
  <c r="M11" i="14" s="1"/>
  <c r="N11" i="37" s="1"/>
  <c r="AJ109" i="36"/>
  <c r="AF109" i="36"/>
  <c r="P109" i="36"/>
  <c r="L109" i="36"/>
  <c r="D109" i="36"/>
  <c r="S96" i="36"/>
  <c r="S35" i="14" s="1"/>
  <c r="S46" i="14" s="1"/>
  <c r="AU9" i="9"/>
  <c r="AU142" i="9"/>
  <c r="AI96" i="36"/>
  <c r="AU18" i="9"/>
  <c r="AU153" i="9"/>
  <c r="AU61" i="9"/>
  <c r="AU161" i="9"/>
  <c r="P5" i="36"/>
  <c r="P5" i="14" s="1"/>
  <c r="Q5" i="37" s="1"/>
  <c r="AQ42" i="36"/>
  <c r="AR42" i="36" s="1"/>
  <c r="AQ34" i="36"/>
  <c r="AR34" i="36" s="1"/>
  <c r="N109" i="36"/>
  <c r="N41" i="14" s="1"/>
  <c r="U149" i="20"/>
  <c r="T56" i="20"/>
  <c r="S57" i="14" s="1"/>
  <c r="T149" i="20"/>
  <c r="U45" i="34"/>
  <c r="U68" i="34" s="1"/>
  <c r="U45" i="11"/>
  <c r="U22" i="32"/>
  <c r="U41" i="10"/>
  <c r="U17" i="32"/>
  <c r="AT35" i="16"/>
  <c r="U4" i="10"/>
  <c r="U44" i="11"/>
  <c r="U67" i="11" s="1"/>
  <c r="U30" i="11"/>
  <c r="U53" i="11" s="1"/>
  <c r="U391" i="21"/>
  <c r="U37" i="11"/>
  <c r="U38" i="32" s="1"/>
  <c r="U14" i="32"/>
  <c r="U39" i="34"/>
  <c r="U62" i="34" s="1"/>
  <c r="U38" i="34"/>
  <c r="U33" i="34"/>
  <c r="U56" i="34" s="1"/>
  <c r="U32" i="34"/>
  <c r="U55" i="34" s="1"/>
  <c r="U44" i="34"/>
  <c r="U67" i="34" s="1"/>
  <c r="AR20" i="34"/>
  <c r="U43" i="34"/>
  <c r="U66" i="34" s="1"/>
  <c r="U20" i="32"/>
  <c r="U31" i="34"/>
  <c r="U54" i="34" s="1"/>
  <c r="U30" i="34"/>
  <c r="U7" i="32"/>
  <c r="AR53" i="33"/>
  <c r="AR100" i="33" s="1"/>
  <c r="U38" i="11"/>
  <c r="U61" i="11" s="1"/>
  <c r="U15" i="32"/>
  <c r="U10" i="32"/>
  <c r="U33" i="11"/>
  <c r="AT87" i="21"/>
  <c r="U39" i="11"/>
  <c r="U16" i="32"/>
  <c r="U13" i="32"/>
  <c r="U36" i="11"/>
  <c r="U32" i="11"/>
  <c r="U9" i="32"/>
  <c r="BQ119" i="9"/>
  <c r="AT137" i="21"/>
  <c r="AR83" i="9"/>
  <c r="AZ46" i="9"/>
  <c r="BK144" i="9"/>
  <c r="BQ142" i="9"/>
  <c r="AZ144" i="9"/>
  <c r="BQ111" i="9"/>
  <c r="BQ109" i="9"/>
  <c r="BQ159" i="9"/>
  <c r="BQ161" i="9"/>
  <c r="BQ160" i="9"/>
  <c r="BQ211" i="9"/>
  <c r="BK216" i="9"/>
  <c r="U556" i="9"/>
  <c r="V6" i="12" s="1"/>
  <c r="V18" i="12" s="1"/>
  <c r="U73" i="34" s="1"/>
  <c r="BQ233" i="9"/>
  <c r="BK240" i="9"/>
  <c r="T39" i="35"/>
  <c r="T52" i="35" s="1"/>
  <c r="BQ224" i="9"/>
  <c r="U552" i="9"/>
  <c r="BQ280" i="9"/>
  <c r="AT220" i="21"/>
  <c r="BQ187" i="9"/>
  <c r="BK192" i="9"/>
  <c r="BQ175" i="9"/>
  <c r="BQ178" i="9"/>
  <c r="BQ173" i="9"/>
  <c r="O45" i="34"/>
  <c r="U30" i="35"/>
  <c r="U37" i="35" s="1"/>
  <c r="U50" i="35" s="1"/>
  <c r="T45" i="34"/>
  <c r="T68" i="34" s="1"/>
  <c r="T22" i="32"/>
  <c r="T45" i="11"/>
  <c r="T68" i="11" s="1"/>
  <c r="AT39" i="16"/>
  <c r="T12" i="10"/>
  <c r="T92" i="16"/>
  <c r="T33" i="11"/>
  <c r="T56" i="11" s="1"/>
  <c r="T100" i="33"/>
  <c r="T7" i="34" s="1"/>
  <c r="T30" i="34" s="1"/>
  <c r="T53" i="34" s="1"/>
  <c r="AR299" i="21"/>
  <c r="AT299" i="21" s="1"/>
  <c r="T39" i="34"/>
  <c r="T62" i="34" s="1"/>
  <c r="T29" i="34"/>
  <c r="T52" i="34" s="1"/>
  <c r="T38" i="34"/>
  <c r="T61" i="34" s="1"/>
  <c r="T33" i="34"/>
  <c r="T10" i="32"/>
  <c r="T32" i="34"/>
  <c r="T55" i="34" s="1"/>
  <c r="T31" i="34"/>
  <c r="T54" i="34" s="1"/>
  <c r="T69" i="33"/>
  <c r="T38" i="11"/>
  <c r="T15" i="32"/>
  <c r="AR230" i="21"/>
  <c r="AT230" i="21" s="1"/>
  <c r="T17" i="32"/>
  <c r="T40" i="11"/>
  <c r="T41" i="32" s="1"/>
  <c r="T9" i="32"/>
  <c r="T32" i="11"/>
  <c r="T36" i="11"/>
  <c r="T37" i="32" s="1"/>
  <c r="T14" i="32"/>
  <c r="T37" i="11"/>
  <c r="T39" i="11"/>
  <c r="T62" i="11" s="1"/>
  <c r="T16" i="32"/>
  <c r="T13" i="32"/>
  <c r="T44" i="11"/>
  <c r="T30" i="11"/>
  <c r="T7" i="32"/>
  <c r="T391" i="21"/>
  <c r="U457" i="9"/>
  <c r="V457" i="9" s="1"/>
  <c r="W457" i="9" s="1"/>
  <c r="X457" i="9" s="1"/>
  <c r="Y457" i="9" s="1"/>
  <c r="Z457" i="9" s="1"/>
  <c r="AA457" i="9" s="1"/>
  <c r="AB457" i="9" s="1"/>
  <c r="AC457" i="9" s="1"/>
  <c r="AD457" i="9" s="1"/>
  <c r="AE457" i="9" s="1"/>
  <c r="AF457" i="9" s="1"/>
  <c r="AG457" i="9" s="1"/>
  <c r="AH457" i="9" s="1"/>
  <c r="AI457" i="9" s="1"/>
  <c r="AJ457" i="9" s="1"/>
  <c r="AK457" i="9" s="1"/>
  <c r="AL457" i="9" s="1"/>
  <c r="AM457" i="9" s="1"/>
  <c r="AN457" i="9" s="1"/>
  <c r="AO457" i="9" s="1"/>
  <c r="AP457" i="9" s="1"/>
  <c r="AQ457" i="9" s="1"/>
  <c r="T458" i="9"/>
  <c r="AR458" i="9" s="1"/>
  <c r="U433" i="9"/>
  <c r="V433" i="9" s="1"/>
  <c r="W433" i="9" s="1"/>
  <c r="X433" i="9" s="1"/>
  <c r="Y433" i="9" s="1"/>
  <c r="Z433" i="9" s="1"/>
  <c r="AA433" i="9" s="1"/>
  <c r="AB433" i="9" s="1"/>
  <c r="AC433" i="9" s="1"/>
  <c r="AD433" i="9" s="1"/>
  <c r="AE433" i="9" s="1"/>
  <c r="AF433" i="9" s="1"/>
  <c r="AG433" i="9" s="1"/>
  <c r="AH433" i="9" s="1"/>
  <c r="AI433" i="9" s="1"/>
  <c r="AJ433" i="9" s="1"/>
  <c r="AK433" i="9" s="1"/>
  <c r="AL433" i="9" s="1"/>
  <c r="AM433" i="9" s="1"/>
  <c r="AN433" i="9" s="1"/>
  <c r="AO433" i="9" s="1"/>
  <c r="AP433" i="9" s="1"/>
  <c r="AQ433" i="9" s="1"/>
  <c r="T434" i="9"/>
  <c r="AR434" i="9" s="1"/>
  <c r="BJ16" i="9"/>
  <c r="BQ16" i="9" s="1"/>
  <c r="T92" i="9"/>
  <c r="S6" i="14" s="1"/>
  <c r="S6" i="37" s="1"/>
  <c r="AT27" i="21"/>
  <c r="AU157" i="9"/>
  <c r="T202" i="20"/>
  <c r="S36" i="14"/>
  <c r="S109" i="14" s="1"/>
  <c r="AP22" i="14"/>
  <c r="BJ456" i="9"/>
  <c r="AY456" i="9"/>
  <c r="BJ432" i="9"/>
  <c r="BQ416" i="9"/>
  <c r="T552" i="9"/>
  <c r="AT38" i="33"/>
  <c r="AT130" i="21"/>
  <c r="AT155" i="21"/>
  <c r="AT152" i="21"/>
  <c r="AT145" i="21"/>
  <c r="T555" i="9"/>
  <c r="U5" i="12" s="1"/>
  <c r="T194" i="9"/>
  <c r="AT77" i="21"/>
  <c r="AT177" i="21"/>
  <c r="AY542" i="9"/>
  <c r="T30" i="35"/>
  <c r="T37" i="35" s="1"/>
  <c r="T50" i="35" s="1"/>
  <c r="S149" i="20"/>
  <c r="AJ31" i="14"/>
  <c r="D16" i="14"/>
  <c r="AI31" i="14"/>
  <c r="AN31" i="14"/>
  <c r="AF31" i="14"/>
  <c r="AM31" i="14"/>
  <c r="AE31" i="14"/>
  <c r="AM24" i="36"/>
  <c r="AM11" i="14" s="1"/>
  <c r="J24" i="36"/>
  <c r="J11" i="14" s="1"/>
  <c r="K11" i="37" s="1"/>
  <c r="AO96" i="36"/>
  <c r="AO35" i="14" s="1"/>
  <c r="AD96" i="36"/>
  <c r="AD35" i="14" s="1"/>
  <c r="AD37" i="14" s="1"/>
  <c r="I96" i="36"/>
  <c r="O24" i="36"/>
  <c r="O11" i="14" s="1"/>
  <c r="P11" i="37" s="1"/>
  <c r="AU150" i="9"/>
  <c r="AI5" i="36"/>
  <c r="AI5" i="14" s="1"/>
  <c r="AJ5" i="37" s="1"/>
  <c r="L5" i="36"/>
  <c r="T24" i="36"/>
  <c r="T11" i="14" s="1"/>
  <c r="U11" i="37" s="1"/>
  <c r="AN96" i="36"/>
  <c r="AN35" i="14" s="1"/>
  <c r="AN37" i="14" s="1"/>
  <c r="AG96" i="36"/>
  <c r="V96" i="36"/>
  <c r="O96" i="36"/>
  <c r="O35" i="14" s="1"/>
  <c r="O46" i="14" s="1"/>
  <c r="D96" i="36"/>
  <c r="Y109" i="36"/>
  <c r="U109" i="36"/>
  <c r="U41" i="14" s="1"/>
  <c r="AJ24" i="36"/>
  <c r="AJ11" i="14" s="1"/>
  <c r="AK11" i="37" s="1"/>
  <c r="AU6" i="9"/>
  <c r="AU223" i="9"/>
  <c r="AU109" i="9"/>
  <c r="AU239" i="9"/>
  <c r="I5" i="36"/>
  <c r="AJ5" i="36"/>
  <c r="AJ5" i="14" s="1"/>
  <c r="AK5" i="37" s="1"/>
  <c r="R5" i="36"/>
  <c r="R5" i="14" s="1"/>
  <c r="S5" i="37" s="1"/>
  <c r="Q5" i="36"/>
  <c r="Q5" i="14" s="1"/>
  <c r="R5" i="37" s="1"/>
  <c r="Y24" i="36"/>
  <c r="Y11" i="14" s="1"/>
  <c r="Z11" i="37" s="1"/>
  <c r="N24" i="36"/>
  <c r="N11" i="14" s="1"/>
  <c r="O11" i="37" s="1"/>
  <c r="AB109" i="36"/>
  <c r="AB41" i="14" s="1"/>
  <c r="AU28" i="9"/>
  <c r="AN24" i="36"/>
  <c r="AN11" i="14" s="1"/>
  <c r="AF96" i="36"/>
  <c r="Y96" i="36"/>
  <c r="AM109" i="36"/>
  <c r="W24" i="36"/>
  <c r="W11" i="14" s="1"/>
  <c r="X11" i="37" s="1"/>
  <c r="AD5" i="36"/>
  <c r="Z5" i="36"/>
  <c r="Z5" i="14" s="1"/>
  <c r="U5" i="36"/>
  <c r="AQ35" i="36"/>
  <c r="AR35" i="36" s="1"/>
  <c r="M70" i="36"/>
  <c r="M26" i="14" s="1"/>
  <c r="AU101" i="9"/>
  <c r="AU139" i="9"/>
  <c r="AL5" i="36"/>
  <c r="AL5" i="14" s="1"/>
  <c r="AM5" i="37" s="1"/>
  <c r="AL96" i="36"/>
  <c r="X96" i="36"/>
  <c r="Q96" i="36"/>
  <c r="Q35" i="14" s="1"/>
  <c r="AD109" i="36"/>
  <c r="AL31" i="14"/>
  <c r="AK31" i="14"/>
  <c r="AG31" i="14"/>
  <c r="AP31" i="14"/>
  <c r="AP49" i="14"/>
  <c r="E16" i="14"/>
  <c r="AO31" i="14"/>
  <c r="H16" i="14"/>
  <c r="AD31" i="14"/>
  <c r="G16" i="14"/>
  <c r="AH31" i="14"/>
  <c r="AU21" i="9"/>
  <c r="AT75" i="9"/>
  <c r="AK24" i="36"/>
  <c r="U24" i="36"/>
  <c r="U11" i="14" s="1"/>
  <c r="V11" i="37" s="1"/>
  <c r="R70" i="36"/>
  <c r="R26" i="14" s="1"/>
  <c r="AQ65" i="36"/>
  <c r="AQ57" i="36"/>
  <c r="S70" i="36"/>
  <c r="S26" i="14" s="1"/>
  <c r="AQ67" i="36"/>
  <c r="AJ96" i="36"/>
  <c r="AB96" i="36"/>
  <c r="AB35" i="14" s="1"/>
  <c r="T96" i="36"/>
  <c r="L96" i="36"/>
  <c r="AN109" i="36"/>
  <c r="V109" i="36"/>
  <c r="M109" i="36"/>
  <c r="M41" i="14" s="1"/>
  <c r="AQ66" i="36"/>
  <c r="AQ58" i="36"/>
  <c r="N96" i="36"/>
  <c r="N35" i="14" s="1"/>
  <c r="F96" i="36"/>
  <c r="AU105" i="9"/>
  <c r="X70" i="36"/>
  <c r="X26" i="14" s="1"/>
  <c r="AO5" i="36"/>
  <c r="AO5" i="14" s="1"/>
  <c r="AA5" i="36"/>
  <c r="AA5" i="14" s="1"/>
  <c r="AB5" i="37" s="1"/>
  <c r="AB7" i="37" s="1"/>
  <c r="V5" i="36"/>
  <c r="J5" i="36"/>
  <c r="J5" i="14" s="1"/>
  <c r="K5" i="37" s="1"/>
  <c r="J70" i="36"/>
  <c r="AQ62" i="36"/>
  <c r="AC24" i="36"/>
  <c r="AC11" i="14" s="1"/>
  <c r="AD11" i="37" s="1"/>
  <c r="I24" i="36"/>
  <c r="I11" i="14" s="1"/>
  <c r="AQ38" i="36"/>
  <c r="AR38" i="36" s="1"/>
  <c r="AQ44" i="36"/>
  <c r="AR44" i="36" s="1"/>
  <c r="AQ36" i="36"/>
  <c r="AR36" i="36" s="1"/>
  <c r="AQ40" i="36"/>
  <c r="AR40" i="36" s="1"/>
  <c r="AQ69" i="36"/>
  <c r="AQ61" i="36"/>
  <c r="P96" i="36"/>
  <c r="P35" i="14" s="1"/>
  <c r="H96" i="36"/>
  <c r="AA109" i="36"/>
  <c r="AA41" i="14" s="1"/>
  <c r="X109" i="36"/>
  <c r="I109" i="36"/>
  <c r="AH5" i="36"/>
  <c r="X5" i="36"/>
  <c r="O5" i="36"/>
  <c r="O5" i="14" s="1"/>
  <c r="P5" i="37" s="1"/>
  <c r="L24" i="36"/>
  <c r="L11" i="14" s="1"/>
  <c r="M11" i="37" s="1"/>
  <c r="AQ33" i="36"/>
  <c r="AR33" i="36" s="1"/>
  <c r="AQ45" i="36"/>
  <c r="AQ39" i="36"/>
  <c r="AR39" i="36" s="1"/>
  <c r="U70" i="36"/>
  <c r="U26" i="14" s="1"/>
  <c r="AQ107" i="36"/>
  <c r="AC5" i="36"/>
  <c r="AF5" i="36"/>
  <c r="W5" i="36"/>
  <c r="T5" i="36"/>
  <c r="AG24" i="36"/>
  <c r="AG11" i="14" s="1"/>
  <c r="AH11" i="37" s="1"/>
  <c r="AE24" i="36"/>
  <c r="AE11" i="14" s="1"/>
  <c r="AF11" i="37" s="1"/>
  <c r="P24" i="36"/>
  <c r="P11" i="14" s="1"/>
  <c r="AQ46" i="36"/>
  <c r="AQ59" i="36"/>
  <c r="AL109" i="36"/>
  <c r="AC109" i="36"/>
  <c r="T109" i="36"/>
  <c r="H109" i="36"/>
  <c r="AU133" i="9"/>
  <c r="AB5" i="36"/>
  <c r="AB5" i="14" s="1"/>
  <c r="AE5" i="36"/>
  <c r="M5" i="36"/>
  <c r="M5" i="14" s="1"/>
  <c r="N5" i="37" s="1"/>
  <c r="AI24" i="36"/>
  <c r="AI11" i="14" s="1"/>
  <c r="AJ11" i="37" s="1"/>
  <c r="Z70" i="36"/>
  <c r="Z26" i="14" s="1"/>
  <c r="AH96" i="36"/>
  <c r="Z96" i="36"/>
  <c r="Z35" i="14" s="1"/>
  <c r="R96" i="36"/>
  <c r="R35" i="14" s="1"/>
  <c r="K109" i="36"/>
  <c r="S45" i="34"/>
  <c r="S68" i="34" s="1"/>
  <c r="S45" i="11"/>
  <c r="S68" i="11" s="1"/>
  <c r="AT91" i="21"/>
  <c r="S46" i="10"/>
  <c r="S22" i="32"/>
  <c r="AR83" i="16"/>
  <c r="S37" i="10"/>
  <c r="S13" i="32"/>
  <c r="AT33" i="16"/>
  <c r="S92" i="16"/>
  <c r="S39" i="11"/>
  <c r="S62" i="11" s="1"/>
  <c r="S16" i="32"/>
  <c r="S39" i="34"/>
  <c r="S29" i="34"/>
  <c r="S52" i="34" s="1"/>
  <c r="S38" i="34"/>
  <c r="S33" i="34"/>
  <c r="S56" i="34" s="1"/>
  <c r="S55" i="34"/>
  <c r="S31" i="34"/>
  <c r="S54" i="34" s="1"/>
  <c r="S30" i="34"/>
  <c r="S53" i="34" s="1"/>
  <c r="S69" i="33"/>
  <c r="S105" i="33"/>
  <c r="AR58" i="33"/>
  <c r="AR138" i="21"/>
  <c r="S37" i="11"/>
  <c r="S38" i="32" s="1"/>
  <c r="S14" i="32"/>
  <c r="S162" i="21"/>
  <c r="T162" i="21" s="1"/>
  <c r="U162" i="21" s="1"/>
  <c r="V162" i="21" s="1"/>
  <c r="W162" i="21" s="1"/>
  <c r="X162" i="21" s="1"/>
  <c r="Y162" i="21" s="1"/>
  <c r="Z162" i="21" s="1"/>
  <c r="AA162" i="21" s="1"/>
  <c r="AB162" i="21" s="1"/>
  <c r="AC162" i="21" s="1"/>
  <c r="AD162" i="21" s="1"/>
  <c r="AE162" i="21" s="1"/>
  <c r="AF162" i="21" s="1"/>
  <c r="AG162" i="21" s="1"/>
  <c r="AH162" i="21" s="1"/>
  <c r="AI162" i="21" s="1"/>
  <c r="AJ162" i="21" s="1"/>
  <c r="AK162" i="21" s="1"/>
  <c r="AL162" i="21" s="1"/>
  <c r="AM162" i="21" s="1"/>
  <c r="AN162" i="21" s="1"/>
  <c r="AO162" i="21" s="1"/>
  <c r="AP162" i="21" s="1"/>
  <c r="AQ162" i="21" s="1"/>
  <c r="S15" i="32"/>
  <c r="S38" i="11"/>
  <c r="S41" i="11"/>
  <c r="S40" i="11"/>
  <c r="S41" i="32" s="1"/>
  <c r="S17" i="32"/>
  <c r="S6" i="32"/>
  <c r="S29" i="11"/>
  <c r="S33" i="11"/>
  <c r="S10" i="32"/>
  <c r="AT79" i="21"/>
  <c r="S32" i="11"/>
  <c r="S33" i="32" s="1"/>
  <c r="S9" i="32"/>
  <c r="S7" i="32"/>
  <c r="S30" i="11"/>
  <c r="S391" i="21"/>
  <c r="S146" i="9"/>
  <c r="S171" i="9"/>
  <c r="S555" i="9" s="1"/>
  <c r="T5" i="12" s="1"/>
  <c r="BQ239" i="9"/>
  <c r="AT45" i="33"/>
  <c r="S314" i="9"/>
  <c r="AT160" i="21"/>
  <c r="AR84" i="9"/>
  <c r="R30" i="35"/>
  <c r="R37" i="35" s="1"/>
  <c r="R50" i="35" s="1"/>
  <c r="AY86" i="9"/>
  <c r="S92" i="9"/>
  <c r="R6" i="14" s="1"/>
  <c r="BQ139" i="9"/>
  <c r="BQ101" i="9"/>
  <c r="BQ255" i="9"/>
  <c r="BQ262" i="9"/>
  <c r="S556" i="9"/>
  <c r="T6" i="12" s="1"/>
  <c r="T18" i="12" s="1"/>
  <c r="S73" i="34" s="1"/>
  <c r="S81" i="34" s="1"/>
  <c r="S202" i="20"/>
  <c r="R36" i="14"/>
  <c r="R109" i="14" s="1"/>
  <c r="AT29" i="33"/>
  <c r="AY288" i="9"/>
  <c r="AR288" i="9"/>
  <c r="AT288" i="9" s="1"/>
  <c r="BJ288" i="9"/>
  <c r="AT144" i="21"/>
  <c r="S313" i="9"/>
  <c r="T313" i="9" s="1"/>
  <c r="U313" i="9" s="1"/>
  <c r="V313" i="9" s="1"/>
  <c r="W313" i="9" s="1"/>
  <c r="X313" i="9" s="1"/>
  <c r="Y313" i="9" s="1"/>
  <c r="Z313" i="9" s="1"/>
  <c r="AA313" i="9" s="1"/>
  <c r="AB313" i="9" s="1"/>
  <c r="AC313" i="9" s="1"/>
  <c r="AD313" i="9" s="1"/>
  <c r="AE313" i="9" s="1"/>
  <c r="AF313" i="9" s="1"/>
  <c r="AG313" i="9" s="1"/>
  <c r="AH313" i="9" s="1"/>
  <c r="AI313" i="9" s="1"/>
  <c r="AJ313" i="9" s="1"/>
  <c r="AK313" i="9" s="1"/>
  <c r="AL313" i="9" s="1"/>
  <c r="AM313" i="9" s="1"/>
  <c r="AN313" i="9" s="1"/>
  <c r="AO313" i="9" s="1"/>
  <c r="AP313" i="9" s="1"/>
  <c r="AQ313" i="9" s="1"/>
  <c r="AT142" i="21"/>
  <c r="AT86" i="21"/>
  <c r="AY538" i="9"/>
  <c r="S194" i="9"/>
  <c r="AU176" i="9"/>
  <c r="S552" i="9"/>
  <c r="S33" i="35"/>
  <c r="S39" i="35" s="1"/>
  <c r="S52" i="35" s="1"/>
  <c r="S83" i="12"/>
  <c r="S46" i="12" s="1"/>
  <c r="R79" i="10" s="1"/>
  <c r="R149" i="20"/>
  <c r="AR68" i="33"/>
  <c r="R45" i="34"/>
  <c r="R68" i="34" s="1"/>
  <c r="R45" i="11"/>
  <c r="AT45" i="16"/>
  <c r="AY91" i="9"/>
  <c r="BQ143" i="9"/>
  <c r="BQ263" i="9"/>
  <c r="AY551" i="9"/>
  <c r="AT14" i="16"/>
  <c r="AT37" i="16"/>
  <c r="AR78" i="16"/>
  <c r="R92" i="16"/>
  <c r="R121" i="16"/>
  <c r="R5" i="10" s="1"/>
  <c r="R29" i="10" s="1"/>
  <c r="R53" i="10" s="1"/>
  <c r="R12" i="10"/>
  <c r="AT37" i="21"/>
  <c r="AT30" i="21"/>
  <c r="AT14" i="21"/>
  <c r="R38" i="11"/>
  <c r="AT56" i="21"/>
  <c r="AR64" i="33"/>
  <c r="AR62" i="33"/>
  <c r="AT62" i="33" s="1"/>
  <c r="R29" i="34"/>
  <c r="R52" i="34" s="1"/>
  <c r="AR52" i="33"/>
  <c r="AR99" i="33" s="1"/>
  <c r="R31" i="34"/>
  <c r="R54" i="34" s="1"/>
  <c r="AR13" i="34"/>
  <c r="R59" i="34"/>
  <c r="R40" i="34"/>
  <c r="R63" i="34" s="1"/>
  <c r="R39" i="34"/>
  <c r="R38" i="34"/>
  <c r="R15" i="32"/>
  <c r="R33" i="34"/>
  <c r="R56" i="34" s="1"/>
  <c r="R55" i="34"/>
  <c r="R69" i="33"/>
  <c r="R30" i="34"/>
  <c r="R53" i="34" s="1"/>
  <c r="R17" i="32"/>
  <c r="R40" i="11"/>
  <c r="R63" i="11" s="1"/>
  <c r="R14" i="32"/>
  <c r="R37" i="11"/>
  <c r="AR382" i="21"/>
  <c r="R39" i="11"/>
  <c r="R16" i="32"/>
  <c r="AR161" i="21"/>
  <c r="AT143" i="21"/>
  <c r="R391" i="21"/>
  <c r="AR184" i="21"/>
  <c r="AT167" i="21"/>
  <c r="R36" i="11"/>
  <c r="R59" i="11" s="1"/>
  <c r="AR13" i="11"/>
  <c r="R13" i="32"/>
  <c r="R33" i="11"/>
  <c r="R10" i="32"/>
  <c r="R9" i="32"/>
  <c r="R32" i="11"/>
  <c r="R33" i="32" s="1"/>
  <c r="R31" i="11"/>
  <c r="R7" i="32"/>
  <c r="R30" i="11"/>
  <c r="R53" i="11" s="1"/>
  <c r="AY90" i="9"/>
  <c r="Q33" i="35"/>
  <c r="BQ10" i="9"/>
  <c r="AT41" i="16"/>
  <c r="AT36" i="16"/>
  <c r="R92" i="9"/>
  <c r="Q6" i="14" s="1"/>
  <c r="Q6" i="37" s="1"/>
  <c r="Q7" i="37" s="1"/>
  <c r="E19" i="13"/>
  <c r="P19" i="13" s="1"/>
  <c r="BQ32" i="9"/>
  <c r="AR74" i="9"/>
  <c r="AY73" i="9"/>
  <c r="AU135" i="9"/>
  <c r="R146" i="9"/>
  <c r="BQ133" i="9"/>
  <c r="AT17" i="21"/>
  <c r="R122" i="9"/>
  <c r="AY534" i="9"/>
  <c r="AY264" i="9"/>
  <c r="R171" i="9"/>
  <c r="BQ210" i="9"/>
  <c r="BQ201" i="9"/>
  <c r="R202" i="20"/>
  <c r="BQ198" i="9"/>
  <c r="AY533" i="9"/>
  <c r="R556" i="9"/>
  <c r="S6" i="12" s="1"/>
  <c r="S18" i="12" s="1"/>
  <c r="R73" i="34" s="1"/>
  <c r="AY544" i="9"/>
  <c r="R242" i="9"/>
  <c r="Q36" i="14" s="1"/>
  <c r="AR312" i="9"/>
  <c r="AT312" i="9" s="1"/>
  <c r="AY546" i="9"/>
  <c r="AY543" i="9"/>
  <c r="AY550" i="9"/>
  <c r="R552" i="9"/>
  <c r="AY312" i="9"/>
  <c r="BJ293" i="9"/>
  <c r="AY541" i="9"/>
  <c r="R315" i="9"/>
  <c r="R314" i="9"/>
  <c r="AU182" i="9"/>
  <c r="AY547" i="9"/>
  <c r="AY545" i="9"/>
  <c r="AY535" i="9"/>
  <c r="R337" i="9"/>
  <c r="S337" i="9" s="1"/>
  <c r="T337" i="9" s="1"/>
  <c r="U337" i="9" s="1"/>
  <c r="V337" i="9" s="1"/>
  <c r="W337" i="9" s="1"/>
  <c r="X337" i="9" s="1"/>
  <c r="Y337" i="9" s="1"/>
  <c r="Z337" i="9" s="1"/>
  <c r="AA337" i="9" s="1"/>
  <c r="AB337" i="9" s="1"/>
  <c r="AC337" i="9" s="1"/>
  <c r="AD337" i="9" s="1"/>
  <c r="AE337" i="9" s="1"/>
  <c r="AF337" i="9" s="1"/>
  <c r="AG337" i="9" s="1"/>
  <c r="AH337" i="9" s="1"/>
  <c r="AI337" i="9" s="1"/>
  <c r="AJ337" i="9" s="1"/>
  <c r="AK337" i="9" s="1"/>
  <c r="AL337" i="9" s="1"/>
  <c r="AM337" i="9" s="1"/>
  <c r="AN337" i="9" s="1"/>
  <c r="AO337" i="9" s="1"/>
  <c r="AP337" i="9" s="1"/>
  <c r="AQ337" i="9" s="1"/>
  <c r="R339" i="9"/>
  <c r="AY539" i="9"/>
  <c r="AR336" i="9"/>
  <c r="AT336" i="9" s="1"/>
  <c r="BJ336" i="9"/>
  <c r="BQ334" i="9"/>
  <c r="AY336" i="9"/>
  <c r="AY337" i="9" s="1"/>
  <c r="AZ337" i="9" s="1"/>
  <c r="AT321" i="9"/>
  <c r="AY537" i="9"/>
  <c r="Q39" i="35"/>
  <c r="Q52" i="35" s="1"/>
  <c r="AR338" i="9"/>
  <c r="P120" i="16"/>
  <c r="P4" i="10" s="1"/>
  <c r="P52" i="10" s="1"/>
  <c r="O120" i="16"/>
  <c r="O4" i="10" s="1"/>
  <c r="O28" i="10" s="1"/>
  <c r="O52" i="10" s="1"/>
  <c r="O44" i="11"/>
  <c r="O67" i="11" s="1"/>
  <c r="P41" i="11"/>
  <c r="P64" i="11" s="1"/>
  <c r="P35" i="11"/>
  <c r="P58" i="11" s="1"/>
  <c r="P415" i="21"/>
  <c r="O415" i="21"/>
  <c r="O35" i="11"/>
  <c r="P97" i="33"/>
  <c r="P4" i="34" s="1"/>
  <c r="O97" i="33"/>
  <c r="O4" i="34" s="1"/>
  <c r="O27" i="34" s="1"/>
  <c r="Q45" i="34"/>
  <c r="Q45" i="11"/>
  <c r="Q22" i="32"/>
  <c r="Q130" i="16"/>
  <c r="Q14" i="10" s="1"/>
  <c r="Q38" i="10" s="1"/>
  <c r="Q62" i="10" s="1"/>
  <c r="Q37" i="10"/>
  <c r="Q13" i="32"/>
  <c r="Q92" i="16"/>
  <c r="Q125" i="16"/>
  <c r="Q9" i="10" s="1"/>
  <c r="Q33" i="10" s="1"/>
  <c r="Q57" i="10" s="1"/>
  <c r="Q120" i="16"/>
  <c r="AW17" i="21"/>
  <c r="Q17" i="32"/>
  <c r="AT60" i="21"/>
  <c r="AT62" i="21"/>
  <c r="AR383" i="21"/>
  <c r="AR378" i="21"/>
  <c r="AT55" i="21"/>
  <c r="Q41" i="34"/>
  <c r="Q64" i="34" s="1"/>
  <c r="Q39" i="34"/>
  <c r="Q62" i="34" s="1"/>
  <c r="Q29" i="34"/>
  <c r="Q52" i="34" s="1"/>
  <c r="Q38" i="34"/>
  <c r="Q61" i="34" s="1"/>
  <c r="Q33" i="34"/>
  <c r="Q32" i="34"/>
  <c r="Q55" i="34" s="1"/>
  <c r="Q21" i="32"/>
  <c r="Q67" i="34"/>
  <c r="Q31" i="34"/>
  <c r="AR54" i="33"/>
  <c r="AR101" i="33" s="1"/>
  <c r="Q30" i="34"/>
  <c r="Q53" i="34" s="1"/>
  <c r="Q7" i="32"/>
  <c r="Q69" i="33"/>
  <c r="Q35" i="34"/>
  <c r="Q58" i="34" s="1"/>
  <c r="Q39" i="11"/>
  <c r="Q16" i="32"/>
  <c r="Q38" i="11"/>
  <c r="Q15" i="32"/>
  <c r="Q33" i="11"/>
  <c r="Q10" i="32"/>
  <c r="Q32" i="11"/>
  <c r="AT90" i="21"/>
  <c r="Q44" i="11"/>
  <c r="Q45" i="32" s="1"/>
  <c r="AT76" i="21"/>
  <c r="AR92" i="21"/>
  <c r="Q53" i="11"/>
  <c r="Q391" i="21"/>
  <c r="AR380" i="21"/>
  <c r="R83" i="12"/>
  <c r="R46" i="12" s="1"/>
  <c r="Q79" i="10" s="1"/>
  <c r="BQ68" i="9"/>
  <c r="AT22" i="16"/>
  <c r="AY120" i="9"/>
  <c r="BQ167" i="9"/>
  <c r="AU191" i="9"/>
  <c r="BQ64" i="9"/>
  <c r="BQ63" i="9"/>
  <c r="BQ52" i="9"/>
  <c r="AY75" i="9"/>
  <c r="BQ56" i="9"/>
  <c r="AY78" i="9"/>
  <c r="AY69" i="9"/>
  <c r="BQ55" i="9"/>
  <c r="BQ67" i="9"/>
  <c r="AT54" i="16"/>
  <c r="BJ69" i="9"/>
  <c r="BQ51" i="9"/>
  <c r="BQ18" i="9"/>
  <c r="BQ17" i="9"/>
  <c r="BJ14" i="9"/>
  <c r="BQ14" i="9" s="1"/>
  <c r="W8" i="13"/>
  <c r="BJ9" i="9"/>
  <c r="BQ9" i="9" s="1"/>
  <c r="BQ21" i="9"/>
  <c r="AY77" i="9"/>
  <c r="AY23" i="9"/>
  <c r="P30" i="35"/>
  <c r="P37" i="35" s="1"/>
  <c r="P50" i="35" s="1"/>
  <c r="AY74" i="9"/>
  <c r="BJ5" i="9"/>
  <c r="BQ5" i="9" s="1"/>
  <c r="E12" i="13"/>
  <c r="P12" i="13" s="1"/>
  <c r="BJ4" i="9"/>
  <c r="AY87" i="9"/>
  <c r="BQ41" i="9"/>
  <c r="AT40" i="16"/>
  <c r="BQ39" i="9"/>
  <c r="AR85" i="9"/>
  <c r="BQ29" i="9"/>
  <c r="BQ36" i="9"/>
  <c r="Q92" i="9"/>
  <c r="P6" i="14" s="1"/>
  <c r="P6" i="37" s="1"/>
  <c r="BQ44" i="9"/>
  <c r="BJ31" i="9"/>
  <c r="BQ31" i="9" s="1"/>
  <c r="AT31" i="16"/>
  <c r="BQ30" i="9"/>
  <c r="AT30" i="16"/>
  <c r="AY46" i="9"/>
  <c r="BQ27" i="9"/>
  <c r="E16" i="13"/>
  <c r="P16" i="13" s="1"/>
  <c r="BJ35" i="9"/>
  <c r="AY81" i="9"/>
  <c r="AR81" i="9"/>
  <c r="BQ138" i="9"/>
  <c r="BQ135" i="9"/>
  <c r="Q147" i="9"/>
  <c r="Q555" i="9" s="1"/>
  <c r="R5" i="12" s="1"/>
  <c r="R17" i="12" s="1"/>
  <c r="BQ137" i="9"/>
  <c r="AT38" i="21"/>
  <c r="BQ131" i="9"/>
  <c r="AT33" i="21"/>
  <c r="BQ130" i="9"/>
  <c r="AY144" i="9"/>
  <c r="BQ129" i="9"/>
  <c r="BQ128" i="9"/>
  <c r="BQ126" i="9"/>
  <c r="BQ125" i="9"/>
  <c r="BJ144" i="9"/>
  <c r="BJ115" i="9"/>
  <c r="BQ115" i="9" s="1"/>
  <c r="AU111" i="9"/>
  <c r="BQ113" i="9"/>
  <c r="BQ103" i="9"/>
  <c r="BQ112" i="9"/>
  <c r="BQ107" i="9"/>
  <c r="BQ106" i="9"/>
  <c r="BQ118" i="9"/>
  <c r="BQ105" i="9"/>
  <c r="BQ104" i="9"/>
  <c r="AT4" i="21"/>
  <c r="BQ259" i="9"/>
  <c r="BJ247" i="9"/>
  <c r="BJ264" i="9" s="1"/>
  <c r="BQ251" i="9"/>
  <c r="AT101" i="21"/>
  <c r="AT97" i="21"/>
  <c r="BQ163" i="9"/>
  <c r="BQ151" i="9"/>
  <c r="AY168" i="9"/>
  <c r="BJ155" i="9"/>
  <c r="BQ155" i="9" s="1"/>
  <c r="BQ153" i="9"/>
  <c r="BQ149" i="9"/>
  <c r="BQ209" i="9"/>
  <c r="BQ202" i="9"/>
  <c r="BQ214" i="9"/>
  <c r="BQ200" i="9"/>
  <c r="BJ216" i="9"/>
  <c r="AY216" i="9"/>
  <c r="Q202" i="20"/>
  <c r="BQ205" i="9"/>
  <c r="P36" i="14"/>
  <c r="BQ235" i="9"/>
  <c r="BQ223" i="9"/>
  <c r="BQ227" i="9"/>
  <c r="BQ226" i="9"/>
  <c r="BQ238" i="9"/>
  <c r="BQ225" i="9"/>
  <c r="BJ240" i="9"/>
  <c r="AY240" i="9"/>
  <c r="AY557" i="9" s="1"/>
  <c r="AY569" i="9" s="1"/>
  <c r="AY536" i="9"/>
  <c r="AU187" i="9"/>
  <c r="AY192" i="9"/>
  <c r="AY193" i="9" s="1"/>
  <c r="AU175" i="9"/>
  <c r="AU184" i="9"/>
  <c r="AU179" i="9"/>
  <c r="AU190" i="9"/>
  <c r="AR192" i="9"/>
  <c r="Q552" i="9"/>
  <c r="AU174" i="9"/>
  <c r="BJ174" i="9"/>
  <c r="AU173" i="9"/>
  <c r="Q554" i="9"/>
  <c r="AU181" i="9"/>
  <c r="Q56" i="20"/>
  <c r="P57" i="14" s="1"/>
  <c r="Q149" i="20"/>
  <c r="Q30" i="35"/>
  <c r="Q37" i="35" s="1"/>
  <c r="Q50" i="35" s="1"/>
  <c r="AU222" i="9"/>
  <c r="AU39" i="9"/>
  <c r="AU138" i="9"/>
  <c r="AU130" i="9"/>
  <c r="AU118" i="9"/>
  <c r="AU238" i="9"/>
  <c r="AQ88" i="36"/>
  <c r="AU211" i="9"/>
  <c r="AU13" i="9"/>
  <c r="AU5" i="9"/>
  <c r="AU107" i="9"/>
  <c r="P149" i="20"/>
  <c r="P56" i="20"/>
  <c r="O57" i="14" s="1"/>
  <c r="AR390" i="21"/>
  <c r="P45" i="34"/>
  <c r="P68" i="34" s="1"/>
  <c r="AT68" i="21"/>
  <c r="AR84" i="16"/>
  <c r="AT12" i="16"/>
  <c r="P41" i="32"/>
  <c r="P13" i="32"/>
  <c r="P37" i="10"/>
  <c r="P92" i="16"/>
  <c r="AW32" i="21"/>
  <c r="AW27" i="21"/>
  <c r="AW35" i="21"/>
  <c r="P63" i="11"/>
  <c r="P17" i="32"/>
  <c r="P39" i="11"/>
  <c r="P62" i="11" s="1"/>
  <c r="AR374" i="21"/>
  <c r="P38" i="11"/>
  <c r="P61" i="11" s="1"/>
  <c r="P32" i="11"/>
  <c r="P55" i="11" s="1"/>
  <c r="P30" i="11"/>
  <c r="AT5" i="21"/>
  <c r="AW4" i="21"/>
  <c r="AT110" i="21"/>
  <c r="P33" i="11"/>
  <c r="P56" i="11" s="1"/>
  <c r="P14" i="32"/>
  <c r="P37" i="11"/>
  <c r="P60" i="11" s="1"/>
  <c r="AR14" i="11"/>
  <c r="P29" i="11"/>
  <c r="P52" i="11" s="1"/>
  <c r="AW68" i="21"/>
  <c r="P45" i="11"/>
  <c r="P22" i="32"/>
  <c r="P391" i="21"/>
  <c r="AR51" i="33"/>
  <c r="P16" i="32"/>
  <c r="P39" i="34"/>
  <c r="P29" i="34"/>
  <c r="P69" i="33"/>
  <c r="P38" i="34"/>
  <c r="P15" i="32"/>
  <c r="P33" i="34"/>
  <c r="P9" i="32"/>
  <c r="P32" i="34"/>
  <c r="AR8" i="34"/>
  <c r="P31" i="34"/>
  <c r="P54" i="34" s="1"/>
  <c r="P7" i="34"/>
  <c r="P35" i="34"/>
  <c r="P58" i="34" s="1"/>
  <c r="AT64" i="16"/>
  <c r="AU55" i="9"/>
  <c r="AU14" i="9"/>
  <c r="AT5" i="16"/>
  <c r="D12" i="13"/>
  <c r="AR87" i="9"/>
  <c r="AT29" i="16"/>
  <c r="AR78" i="9"/>
  <c r="AT32" i="16"/>
  <c r="AT44" i="16"/>
  <c r="AR77" i="9"/>
  <c r="AX77" i="9"/>
  <c r="P92" i="9"/>
  <c r="AR537" i="9"/>
  <c r="AU129" i="9"/>
  <c r="AR536" i="9"/>
  <c r="AX536" i="9"/>
  <c r="P146" i="9"/>
  <c r="P554" i="9" s="1"/>
  <c r="P555" i="9"/>
  <c r="Q5" i="12" s="1"/>
  <c r="Q17" i="12" s="1"/>
  <c r="P73" i="11" s="1"/>
  <c r="AT8" i="21"/>
  <c r="AX264" i="9"/>
  <c r="AX265" i="9" s="1"/>
  <c r="AR543" i="9"/>
  <c r="AU159" i="9"/>
  <c r="AT52" i="21"/>
  <c r="AT61" i="21"/>
  <c r="AT54" i="21"/>
  <c r="AT10" i="33"/>
  <c r="AT21" i="33"/>
  <c r="AU201" i="9"/>
  <c r="P202" i="20"/>
  <c r="AT12" i="33"/>
  <c r="P556" i="9"/>
  <c r="Q6" i="12" s="1"/>
  <c r="Q18" i="12" s="1"/>
  <c r="AT39" i="33"/>
  <c r="AX240" i="9"/>
  <c r="AX557" i="9" s="1"/>
  <c r="AX569" i="9" s="1"/>
  <c r="P552" i="9"/>
  <c r="AT44" i="33"/>
  <c r="AT31" i="33"/>
  <c r="O39" i="35"/>
  <c r="O52" i="35" s="1"/>
  <c r="O36" i="14"/>
  <c r="AX541" i="9"/>
  <c r="O149" i="20"/>
  <c r="O56" i="20"/>
  <c r="N57" i="14" s="1"/>
  <c r="AF35" i="14"/>
  <c r="AQ108" i="36"/>
  <c r="AN5" i="36"/>
  <c r="AN5" i="14" s="1"/>
  <c r="AO5" i="37" s="1"/>
  <c r="AM5" i="36"/>
  <c r="AM5" i="14" s="1"/>
  <c r="S24" i="36"/>
  <c r="S11" i="14" s="1"/>
  <c r="T11" i="37" s="1"/>
  <c r="Y70" i="36"/>
  <c r="T70" i="36"/>
  <c r="AG5" i="36"/>
  <c r="AQ21" i="36"/>
  <c r="AQ6" i="36"/>
  <c r="AK5" i="36"/>
  <c r="AK5" i="14" s="1"/>
  <c r="K24" i="36"/>
  <c r="P70" i="36"/>
  <c r="AQ63" i="36"/>
  <c r="AQ68" i="36"/>
  <c r="O70" i="36"/>
  <c r="O26" i="14" s="1"/>
  <c r="AL24" i="36"/>
  <c r="AL11" i="14" s="1"/>
  <c r="AM11" i="37" s="1"/>
  <c r="AD24" i="36"/>
  <c r="AD11" i="14" s="1"/>
  <c r="AE11" i="37" s="1"/>
  <c r="V24" i="36"/>
  <c r="V11" i="14" s="1"/>
  <c r="W11" i="37" s="1"/>
  <c r="AQ64" i="36"/>
  <c r="AQ56" i="36"/>
  <c r="K5" i="36"/>
  <c r="K5" i="14" s="1"/>
  <c r="L5" i="37" s="1"/>
  <c r="AA70" i="36"/>
  <c r="AA26" i="14" s="1"/>
  <c r="V70" i="36"/>
  <c r="V26" i="14" s="1"/>
  <c r="Q70" i="36"/>
  <c r="Q26" i="14" s="1"/>
  <c r="AO24" i="36"/>
  <c r="AO11" i="14" s="1"/>
  <c r="AQ23" i="36"/>
  <c r="Q24" i="36"/>
  <c r="Q11" i="14" s="1"/>
  <c r="R11" i="37" s="1"/>
  <c r="AB70" i="36"/>
  <c r="AB26" i="14" s="1"/>
  <c r="W70" i="36"/>
  <c r="W26" i="14" s="1"/>
  <c r="N70" i="36"/>
  <c r="N26" i="14" s="1"/>
  <c r="AR91" i="16"/>
  <c r="AT45" i="21"/>
  <c r="O45" i="11"/>
  <c r="O68" i="11" s="1"/>
  <c r="O68" i="34"/>
  <c r="O22" i="32"/>
  <c r="AX551" i="9"/>
  <c r="AR81" i="16"/>
  <c r="AR86" i="16"/>
  <c r="O37" i="10"/>
  <c r="O13" i="32"/>
  <c r="O92" i="16"/>
  <c r="AR74" i="16"/>
  <c r="AT27" i="16"/>
  <c r="O16" i="32"/>
  <c r="O39" i="11"/>
  <c r="O40" i="32" s="1"/>
  <c r="AT29" i="21"/>
  <c r="O38" i="11"/>
  <c r="O61" i="11" s="1"/>
  <c r="AW38" i="21"/>
  <c r="AT44" i="21"/>
  <c r="O40" i="11"/>
  <c r="O63" i="11" s="1"/>
  <c r="O6" i="32"/>
  <c r="O29" i="11"/>
  <c r="O30" i="32" s="1"/>
  <c r="AT9" i="21"/>
  <c r="O30" i="11"/>
  <c r="O53" i="11" s="1"/>
  <c r="AT7" i="21"/>
  <c r="AT12" i="21"/>
  <c r="O33" i="11"/>
  <c r="O56" i="11" s="1"/>
  <c r="O391" i="21"/>
  <c r="O41" i="11"/>
  <c r="O64" i="11" s="1"/>
  <c r="O98" i="33"/>
  <c r="O5" i="34" s="1"/>
  <c r="O28" i="34" s="1"/>
  <c r="AT4" i="33"/>
  <c r="O17" i="32"/>
  <c r="O40" i="34"/>
  <c r="O38" i="34"/>
  <c r="O15" i="32"/>
  <c r="O33" i="34"/>
  <c r="O10" i="32"/>
  <c r="O9" i="32"/>
  <c r="O32" i="34"/>
  <c r="O33" i="32" s="1"/>
  <c r="O44" i="34"/>
  <c r="O30" i="34"/>
  <c r="O7" i="32"/>
  <c r="O69" i="33"/>
  <c r="O35" i="34"/>
  <c r="O58" i="34" s="1"/>
  <c r="AT18" i="16"/>
  <c r="AT16" i="16"/>
  <c r="AR75" i="9"/>
  <c r="BI15" i="9"/>
  <c r="BQ15" i="9" s="1"/>
  <c r="D11" i="13"/>
  <c r="AR11" i="20"/>
  <c r="AR12" i="20" s="1"/>
  <c r="AX79" i="9"/>
  <c r="AT10" i="16"/>
  <c r="AR79" i="9"/>
  <c r="AT9" i="16"/>
  <c r="AU12" i="9"/>
  <c r="O92" i="9"/>
  <c r="O95" i="9" s="1"/>
  <c r="P4" i="12" s="1"/>
  <c r="P16" i="12" s="1"/>
  <c r="O77" i="10" s="1"/>
  <c r="AX82" i="9"/>
  <c r="D32" i="13" s="1"/>
  <c r="AT28" i="16"/>
  <c r="AR541" i="9"/>
  <c r="AX535" i="9"/>
  <c r="O555" i="9"/>
  <c r="P5" i="12" s="1"/>
  <c r="P17" i="12" s="1"/>
  <c r="O73" i="11" s="1"/>
  <c r="AX539" i="9"/>
  <c r="BI245" i="9"/>
  <c r="BQ245" i="9" s="1"/>
  <c r="AT51" i="21"/>
  <c r="AX546" i="9"/>
  <c r="AR545" i="9"/>
  <c r="AR538" i="9"/>
  <c r="O552" i="9"/>
  <c r="O202" i="20"/>
  <c r="AR533" i="9"/>
  <c r="N31" i="35"/>
  <c r="N38" i="35" s="1"/>
  <c r="N51" i="35" s="1"/>
  <c r="N39" i="35"/>
  <c r="N52" i="35" s="1"/>
  <c r="BI222" i="9"/>
  <c r="BQ222" i="9" s="1"/>
  <c r="O554" i="9"/>
  <c r="N36" i="14"/>
  <c r="O103" i="20" s="1"/>
  <c r="AU229" i="9"/>
  <c r="N120" i="16"/>
  <c r="N4" i="10" s="1"/>
  <c r="AR47" i="17"/>
  <c r="N27" i="11"/>
  <c r="N50" i="11" s="1"/>
  <c r="N97" i="33"/>
  <c r="N4" i="34" s="1"/>
  <c r="N41" i="11"/>
  <c r="N64" i="11" s="1"/>
  <c r="N29" i="11"/>
  <c r="N415" i="21"/>
  <c r="M415" i="21"/>
  <c r="M41" i="11"/>
  <c r="M64" i="11" s="1"/>
  <c r="AR136" i="23"/>
  <c r="M39" i="34"/>
  <c r="M62" i="34" s="1"/>
  <c r="U39" i="35"/>
  <c r="U52" i="35" s="1"/>
  <c r="AK25" i="20"/>
  <c r="AK559" i="9" s="1"/>
  <c r="AR24" i="20"/>
  <c r="AP69" i="20"/>
  <c r="X97" i="9"/>
  <c r="AK113" i="20"/>
  <c r="AK114" i="20" s="1"/>
  <c r="AK26" i="20" s="1"/>
  <c r="AK27" i="20" s="1"/>
  <c r="W113" i="20"/>
  <c r="W114" i="20" s="1"/>
  <c r="W26" i="20" s="1"/>
  <c r="W27" i="20" s="1"/>
  <c r="E69" i="20"/>
  <c r="E56" i="20"/>
  <c r="D57" i="14" s="1"/>
  <c r="D103" i="20"/>
  <c r="Z56" i="20"/>
  <c r="Y57" i="14" s="1"/>
  <c r="AI25" i="20"/>
  <c r="AI559" i="9" s="1"/>
  <c r="AO69" i="20"/>
  <c r="AH69" i="20"/>
  <c r="I53" i="14"/>
  <c r="AQ23" i="20"/>
  <c r="AQ25" i="20" s="1"/>
  <c r="AQ559" i="9" s="1"/>
  <c r="AR54" i="20"/>
  <c r="AR185" i="20"/>
  <c r="AC97" i="9"/>
  <c r="AB199" i="20"/>
  <c r="G192" i="20"/>
  <c r="G199" i="20" s="1"/>
  <c r="AI26" i="20"/>
  <c r="AI27" i="20" s="1"/>
  <c r="AA25" i="20"/>
  <c r="AA559" i="9" s="1"/>
  <c r="U199" i="20"/>
  <c r="I26" i="20"/>
  <c r="I27" i="20" s="1"/>
  <c r="AC113" i="20"/>
  <c r="AC114" i="20" s="1"/>
  <c r="AI192" i="20"/>
  <c r="AI199" i="20" s="1"/>
  <c r="Y192" i="20"/>
  <c r="AE103" i="20"/>
  <c r="E53" i="14"/>
  <c r="AH56" i="20"/>
  <c r="AG57" i="14" s="1"/>
  <c r="AO103" i="20"/>
  <c r="F103" i="20"/>
  <c r="W37" i="35"/>
  <c r="W50" i="35" s="1"/>
  <c r="T97" i="9"/>
  <c r="AM97" i="9"/>
  <c r="AN97" i="9"/>
  <c r="G97" i="9"/>
  <c r="G13" i="20"/>
  <c r="V33" i="35"/>
  <c r="V39" i="35" s="1"/>
  <c r="V52" i="35" s="1"/>
  <c r="W33" i="35"/>
  <c r="W39" i="35" s="1"/>
  <c r="W52" i="35" s="1"/>
  <c r="AL56" i="20"/>
  <c r="AK57" i="14" s="1"/>
  <c r="AD56" i="20"/>
  <c r="AC57" i="14" s="1"/>
  <c r="AN199" i="20"/>
  <c r="V69" i="20"/>
  <c r="V26" i="20" s="1"/>
  <c r="V27" i="20" s="1"/>
  <c r="AK199" i="20"/>
  <c r="AE199" i="20"/>
  <c r="AR176" i="20"/>
  <c r="AL97" i="9"/>
  <c r="AL13" i="20"/>
  <c r="AA97" i="9"/>
  <c r="V97" i="9"/>
  <c r="P97" i="9"/>
  <c r="AE25" i="20"/>
  <c r="AE559" i="9" s="1"/>
  <c r="Y25" i="20"/>
  <c r="Y559" i="9" s="1"/>
  <c r="F97" i="9"/>
  <c r="H69" i="20"/>
  <c r="V30" i="35"/>
  <c r="V37" i="35" s="1"/>
  <c r="V50" i="35" s="1"/>
  <c r="R97" i="9"/>
  <c r="M113" i="20"/>
  <c r="M114" i="20" s="1"/>
  <c r="W25" i="20"/>
  <c r="W559" i="9" s="1"/>
  <c r="AK97" i="9"/>
  <c r="AB97" i="9"/>
  <c r="E97" i="9"/>
  <c r="AE56" i="20"/>
  <c r="AD57" i="14" s="1"/>
  <c r="Z23" i="20"/>
  <c r="AJ97" i="9"/>
  <c r="Z97" i="9"/>
  <c r="AQ97" i="9"/>
  <c r="K97" i="9"/>
  <c r="I25" i="20"/>
  <c r="I559" i="9" s="1"/>
  <c r="AL23" i="20"/>
  <c r="AL25" i="20" s="1"/>
  <c r="AL559" i="9" s="1"/>
  <c r="O97" i="9"/>
  <c r="N97" i="9"/>
  <c r="AH97" i="9"/>
  <c r="Y97" i="9"/>
  <c r="F25" i="20"/>
  <c r="F559" i="9" s="1"/>
  <c r="H199" i="20"/>
  <c r="H97" i="9"/>
  <c r="W56" i="20"/>
  <c r="V57" i="14" s="1"/>
  <c r="T23" i="20"/>
  <c r="T25" i="20" s="1"/>
  <c r="T559" i="9" s="1"/>
  <c r="AF23" i="20"/>
  <c r="AF25" i="20" s="1"/>
  <c r="AF559" i="9" s="1"/>
  <c r="Q97" i="9"/>
  <c r="D97" i="9"/>
  <c r="D98" i="9" s="1"/>
  <c r="AG97" i="9"/>
  <c r="W97" i="9"/>
  <c r="S97" i="9"/>
  <c r="T31" i="35"/>
  <c r="T38" i="35" s="1"/>
  <c r="T51" i="35" s="1"/>
  <c r="J97" i="9"/>
  <c r="E25" i="20"/>
  <c r="E559" i="9" s="1"/>
  <c r="AD97" i="9"/>
  <c r="U23" i="20"/>
  <c r="U25" i="20" s="1"/>
  <c r="U559" i="9" s="1"/>
  <c r="AG23" i="20"/>
  <c r="AG25" i="20" s="1"/>
  <c r="AG559" i="9" s="1"/>
  <c r="AD199" i="20"/>
  <c r="AP97" i="9"/>
  <c r="AE97" i="9"/>
  <c r="U97" i="9"/>
  <c r="AI97" i="9"/>
  <c r="I97" i="9"/>
  <c r="I13" i="20"/>
  <c r="Y30" i="35"/>
  <c r="J31" i="35"/>
  <c r="J38" i="35" s="1"/>
  <c r="J51" i="35" s="1"/>
  <c r="O30" i="35"/>
  <c r="O37" i="35" s="1"/>
  <c r="O50" i="35" s="1"/>
  <c r="X30" i="35"/>
  <c r="X37" i="35" s="1"/>
  <c r="X50" i="35" s="1"/>
  <c r="P33" i="35"/>
  <c r="P39" i="35" s="1"/>
  <c r="P52" i="35" s="1"/>
  <c r="V56" i="20"/>
  <c r="U57" i="14" s="1"/>
  <c r="E113" i="20"/>
  <c r="E114" i="20" s="1"/>
  <c r="E26" i="20" s="1"/>
  <c r="E27" i="20" s="1"/>
  <c r="U56" i="20"/>
  <c r="T57" i="14" s="1"/>
  <c r="X23" i="20"/>
  <c r="X25" i="20" s="1"/>
  <c r="X559" i="9" s="1"/>
  <c r="AE113" i="20"/>
  <c r="AE114" i="20" s="1"/>
  <c r="AE26" i="20" s="1"/>
  <c r="AE27" i="20" s="1"/>
  <c r="P192" i="20"/>
  <c r="P199" i="20" s="1"/>
  <c r="R192" i="20"/>
  <c r="R199" i="20" s="1"/>
  <c r="O192" i="20"/>
  <c r="O199" i="20" s="1"/>
  <c r="AP56" i="20"/>
  <c r="AO57" i="14" s="1"/>
  <c r="AD23" i="20"/>
  <c r="AD25" i="20" s="1"/>
  <c r="AD559" i="9" s="1"/>
  <c r="AR136" i="20"/>
  <c r="AR137" i="20" s="1"/>
  <c r="F192" i="20"/>
  <c r="F199" i="20" s="1"/>
  <c r="AO56" i="20"/>
  <c r="AN57" i="14" s="1"/>
  <c r="D23" i="20"/>
  <c r="D25" i="20" s="1"/>
  <c r="D559" i="9" s="1"/>
  <c r="D560" i="9" s="1"/>
  <c r="Z25" i="20"/>
  <c r="Z559" i="9" s="1"/>
  <c r="S23" i="20"/>
  <c r="S25" i="20" s="1"/>
  <c r="S559" i="9" s="1"/>
  <c r="AO25" i="20"/>
  <c r="AO559" i="9" s="1"/>
  <c r="S192" i="20"/>
  <c r="S199" i="20" s="1"/>
  <c r="E199" i="20"/>
  <c r="N149" i="20"/>
  <c r="F26" i="20"/>
  <c r="F27" i="20" s="1"/>
  <c r="K113" i="20"/>
  <c r="K114" i="20" s="1"/>
  <c r="K26" i="20" s="1"/>
  <c r="K27" i="20" s="1"/>
  <c r="AR124" i="20"/>
  <c r="AR125" i="20" s="1"/>
  <c r="O25" i="20"/>
  <c r="O559" i="9" s="1"/>
  <c r="H25" i="20"/>
  <c r="H559" i="9" s="1"/>
  <c r="AR21" i="20"/>
  <c r="AO199" i="20"/>
  <c r="AA26" i="20"/>
  <c r="AA27" i="20" s="1"/>
  <c r="AR193" i="20"/>
  <c r="O26" i="20"/>
  <c r="O27" i="20" s="1"/>
  <c r="G46" i="12"/>
  <c r="F79" i="10" s="1"/>
  <c r="F46" i="12"/>
  <c r="E79" i="10" s="1"/>
  <c r="AN26" i="20"/>
  <c r="AN27" i="20" s="1"/>
  <c r="F52" i="12"/>
  <c r="AO46" i="12"/>
  <c r="AN79" i="10" s="1"/>
  <c r="P26" i="20"/>
  <c r="P27" i="20" s="1"/>
  <c r="AG26" i="20"/>
  <c r="AG27" i="20" s="1"/>
  <c r="I46" i="12"/>
  <c r="H79" i="10" s="1"/>
  <c r="AR194" i="20"/>
  <c r="T26" i="20"/>
  <c r="T27" i="20" s="1"/>
  <c r="AL26" i="20"/>
  <c r="AL27" i="20" s="1"/>
  <c r="T192" i="20"/>
  <c r="T199" i="20" s="1"/>
  <c r="AR46" i="12"/>
  <c r="AQ26" i="20"/>
  <c r="AQ27" i="20" s="1"/>
  <c r="AF26" i="20"/>
  <c r="AF27" i="20" s="1"/>
  <c r="Q25" i="20"/>
  <c r="Q559" i="9" s="1"/>
  <c r="AQ199" i="20"/>
  <c r="AR18" i="20"/>
  <c r="K192" i="20"/>
  <c r="K199" i="20" s="1"/>
  <c r="Y26" i="20"/>
  <c r="Y27" i="20" s="1"/>
  <c r="Q26" i="20"/>
  <c r="Q27" i="20" s="1"/>
  <c r="AM199" i="20"/>
  <c r="W199" i="20"/>
  <c r="AF199" i="20"/>
  <c r="AP199" i="20"/>
  <c r="AH199" i="20"/>
  <c r="AD26" i="20"/>
  <c r="AD27" i="20" s="1"/>
  <c r="AB26" i="20"/>
  <c r="AB27" i="20" s="1"/>
  <c r="AR19" i="20"/>
  <c r="Q192" i="20"/>
  <c r="Q199" i="20" s="1"/>
  <c r="U69" i="20"/>
  <c r="U26" i="20" s="1"/>
  <c r="U27" i="20" s="1"/>
  <c r="AO26" i="20"/>
  <c r="AO27" i="20" s="1"/>
  <c r="AN52" i="12"/>
  <c r="AN46" i="12"/>
  <c r="AA53" i="14"/>
  <c r="AR557" i="9"/>
  <c r="H46" i="12"/>
  <c r="G79" i="10" s="1"/>
  <c r="G91" i="10" s="1"/>
  <c r="AG199" i="20"/>
  <c r="V199" i="20"/>
  <c r="AA199" i="20"/>
  <c r="N26" i="20"/>
  <c r="N27" i="20" s="1"/>
  <c r="N192" i="20"/>
  <c r="N199" i="20" s="1"/>
  <c r="L97" i="9"/>
  <c r="AR90" i="20"/>
  <c r="AR91" i="20" s="1"/>
  <c r="N56" i="20"/>
  <c r="M57" i="14" s="1"/>
  <c r="N138" i="16"/>
  <c r="N22" i="10" s="1"/>
  <c r="N45" i="11"/>
  <c r="N45" i="34"/>
  <c r="AT22" i="21"/>
  <c r="N555" i="9"/>
  <c r="O5" i="12" s="1"/>
  <c r="O17" i="12" s="1"/>
  <c r="N73" i="11" s="1"/>
  <c r="AT22" i="33"/>
  <c r="N70" i="16"/>
  <c r="O70" i="16" s="1"/>
  <c r="P70" i="16" s="1"/>
  <c r="Q70" i="16" s="1"/>
  <c r="R70" i="16" s="1"/>
  <c r="S70" i="16" s="1"/>
  <c r="T70" i="16" s="1"/>
  <c r="U70" i="16" s="1"/>
  <c r="V70" i="16" s="1"/>
  <c r="W70" i="16" s="1"/>
  <c r="X70" i="16" s="1"/>
  <c r="Y70" i="16" s="1"/>
  <c r="Z70" i="16" s="1"/>
  <c r="AA70" i="16" s="1"/>
  <c r="AB70" i="16" s="1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N121" i="16"/>
  <c r="N5" i="10" s="1"/>
  <c r="AR73" i="16"/>
  <c r="AR85" i="16"/>
  <c r="N131" i="16"/>
  <c r="N15" i="10" s="1"/>
  <c r="N39" i="10" s="1"/>
  <c r="N63" i="10" s="1"/>
  <c r="N20" i="32"/>
  <c r="N44" i="10"/>
  <c r="N41" i="32"/>
  <c r="N17" i="32"/>
  <c r="N92" i="16"/>
  <c r="AR46" i="16"/>
  <c r="AR77" i="16"/>
  <c r="N124" i="16"/>
  <c r="N8" i="10" s="1"/>
  <c r="N32" i="10" s="1"/>
  <c r="N56" i="10" s="1"/>
  <c r="AT41" i="21"/>
  <c r="N63" i="11"/>
  <c r="AR389" i="21"/>
  <c r="AR373" i="21"/>
  <c r="AR386" i="21"/>
  <c r="N16" i="32"/>
  <c r="N39" i="11"/>
  <c r="N40" i="32" s="1"/>
  <c r="AT16" i="21"/>
  <c r="N30" i="11"/>
  <c r="N53" i="11" s="1"/>
  <c r="N33" i="11"/>
  <c r="N56" i="11" s="1"/>
  <c r="N32" i="11"/>
  <c r="N55" i="11" s="1"/>
  <c r="AR377" i="21"/>
  <c r="N391" i="21"/>
  <c r="AR115" i="21"/>
  <c r="AT64" i="21"/>
  <c r="N38" i="11"/>
  <c r="N61" i="11" s="1"/>
  <c r="AW61" i="21"/>
  <c r="AT67" i="21"/>
  <c r="AW54" i="21"/>
  <c r="AR69" i="21"/>
  <c r="AW69" i="21" s="1"/>
  <c r="AR372" i="21"/>
  <c r="AT15" i="33"/>
  <c r="N69" i="33"/>
  <c r="N38" i="34"/>
  <c r="N10" i="32"/>
  <c r="N33" i="34"/>
  <c r="N56" i="34" s="1"/>
  <c r="AR56" i="33"/>
  <c r="AR103" i="33" s="1"/>
  <c r="N32" i="34"/>
  <c r="N9" i="32"/>
  <c r="N44" i="34"/>
  <c r="N7" i="32"/>
  <c r="N30" i="34"/>
  <c r="AU56" i="9"/>
  <c r="AT67" i="16"/>
  <c r="AX73" i="9"/>
  <c r="AT50" i="16"/>
  <c r="AT17" i="16"/>
  <c r="AT15" i="16"/>
  <c r="AX78" i="9"/>
  <c r="AT21" i="16"/>
  <c r="AR86" i="9"/>
  <c r="N92" i="9"/>
  <c r="M6" i="14" s="1"/>
  <c r="N202" i="20"/>
  <c r="AT40" i="21"/>
  <c r="AR535" i="9"/>
  <c r="AU125" i="9"/>
  <c r="AR546" i="9"/>
  <c r="AX545" i="9"/>
  <c r="AT10" i="21"/>
  <c r="AX120" i="9"/>
  <c r="AX121" i="9" s="1"/>
  <c r="AT259" i="9"/>
  <c r="AT98" i="21"/>
  <c r="AT102" i="21"/>
  <c r="AU149" i="9"/>
  <c r="AX533" i="9"/>
  <c r="AR539" i="9"/>
  <c r="AX538" i="9"/>
  <c r="N552" i="9"/>
  <c r="N554" i="9"/>
  <c r="AT5" i="33"/>
  <c r="N556" i="9"/>
  <c r="O6" i="12" s="1"/>
  <c r="AR547" i="9"/>
  <c r="AR544" i="9"/>
  <c r="AT33" i="33"/>
  <c r="M39" i="35"/>
  <c r="M52" i="35" s="1"/>
  <c r="M31" i="35"/>
  <c r="M38" i="35" s="1"/>
  <c r="M51" i="35" s="1"/>
  <c r="AT30" i="33"/>
  <c r="AT28" i="33"/>
  <c r="M36" i="14"/>
  <c r="N103" i="20" s="1"/>
  <c r="AR101" i="20"/>
  <c r="AR102" i="20" s="1"/>
  <c r="AR45" i="20"/>
  <c r="M97" i="9"/>
  <c r="E98" i="9"/>
  <c r="F98" i="9" s="1"/>
  <c r="G98" i="9" s="1"/>
  <c r="H98" i="9" s="1"/>
  <c r="I98" i="9" s="1"/>
  <c r="G52" i="12"/>
  <c r="Y199" i="20"/>
  <c r="Z192" i="20"/>
  <c r="Z199" i="20" s="1"/>
  <c r="Z69" i="20"/>
  <c r="Z26" i="20" s="1"/>
  <c r="Z27" i="20" s="1"/>
  <c r="AJ192" i="20"/>
  <c r="AJ199" i="20" s="1"/>
  <c r="AJ69" i="20"/>
  <c r="X69" i="20"/>
  <c r="X26" i="20" s="1"/>
  <c r="X27" i="20" s="1"/>
  <c r="X192" i="20"/>
  <c r="X199" i="20" s="1"/>
  <c r="AH26" i="20"/>
  <c r="AH27" i="20" s="1"/>
  <c r="AP46" i="12"/>
  <c r="AP52" i="12"/>
  <c r="K46" i="12"/>
  <c r="J79" i="10" s="1"/>
  <c r="K52" i="12"/>
  <c r="D26" i="20"/>
  <c r="D27" i="20" s="1"/>
  <c r="G26" i="20"/>
  <c r="G27" i="20" s="1"/>
  <c r="H26" i="20"/>
  <c r="H27" i="20" s="1"/>
  <c r="AC69" i="20"/>
  <c r="AC192" i="20"/>
  <c r="AC199" i="20" s="1"/>
  <c r="AQ52" i="12"/>
  <c r="AQ46" i="12"/>
  <c r="Q53" i="14"/>
  <c r="R56" i="20"/>
  <c r="Q57" i="14" s="1"/>
  <c r="L113" i="20"/>
  <c r="L114" i="20" s="1"/>
  <c r="L26" i="20" s="1"/>
  <c r="L27" i="20" s="1"/>
  <c r="L23" i="20"/>
  <c r="L25" i="20" s="1"/>
  <c r="L559" i="9" s="1"/>
  <c r="J52" i="12"/>
  <c r="J46" i="12"/>
  <c r="I79" i="10" s="1"/>
  <c r="I91" i="10" s="1"/>
  <c r="AR197" i="20"/>
  <c r="AR196" i="20"/>
  <c r="D199" i="20"/>
  <c r="AR22" i="20"/>
  <c r="K25" i="20"/>
  <c r="K559" i="9" s="1"/>
  <c r="AO12" i="20"/>
  <c r="AM26" i="20"/>
  <c r="AM27" i="20" s="1"/>
  <c r="G74" i="34"/>
  <c r="AS48" i="12"/>
  <c r="AU48" i="12" s="1"/>
  <c r="AM53" i="14"/>
  <c r="AN56" i="20"/>
  <c r="AM57" i="14" s="1"/>
  <c r="AJ113" i="20"/>
  <c r="AJ114" i="20" s="1"/>
  <c r="AJ23" i="20"/>
  <c r="AJ25" i="20" s="1"/>
  <c r="AJ559" i="9" s="1"/>
  <c r="R113" i="20"/>
  <c r="R114" i="20" s="1"/>
  <c r="R26" i="20" s="1"/>
  <c r="R27" i="20" s="1"/>
  <c r="R23" i="20"/>
  <c r="R25" i="20" s="1"/>
  <c r="R559" i="9" s="1"/>
  <c r="P25" i="20"/>
  <c r="P559" i="9" s="1"/>
  <c r="N25" i="20"/>
  <c r="N559" i="9" s="1"/>
  <c r="AL74" i="11"/>
  <c r="AL81" i="11" s="1"/>
  <c r="AM46" i="12"/>
  <c r="AR195" i="20"/>
  <c r="E46" i="12"/>
  <c r="E52" i="12"/>
  <c r="E59" i="12"/>
  <c r="K74" i="11"/>
  <c r="L46" i="12"/>
  <c r="AR111" i="20"/>
  <c r="AR113" i="20" s="1"/>
  <c r="AR114" i="20" s="1"/>
  <c r="J113" i="20"/>
  <c r="J114" i="20" s="1"/>
  <c r="J26" i="20" s="1"/>
  <c r="J27" i="20" s="1"/>
  <c r="J23" i="20"/>
  <c r="J25" i="20" s="1"/>
  <c r="J559" i="9" s="1"/>
  <c r="AR17" i="20"/>
  <c r="AR79" i="20"/>
  <c r="AR80" i="20" s="1"/>
  <c r="AR167" i="20"/>
  <c r="AR191" i="20"/>
  <c r="U53" i="12"/>
  <c r="U55" i="12" s="1"/>
  <c r="AR158" i="20"/>
  <c r="M56" i="20"/>
  <c r="L57" i="14" s="1"/>
  <c r="AR148" i="20"/>
  <c r="M26" i="20"/>
  <c r="M27" i="20" s="1"/>
  <c r="M25" i="20"/>
  <c r="M559" i="9" s="1"/>
  <c r="AR68" i="20"/>
  <c r="AR69" i="20" s="1"/>
  <c r="M192" i="20"/>
  <c r="M199" i="20" s="1"/>
  <c r="AR46" i="23"/>
  <c r="M116" i="16"/>
  <c r="M124" i="16"/>
  <c r="M8" i="10" s="1"/>
  <c r="M32" i="10" s="1"/>
  <c r="M56" i="10" s="1"/>
  <c r="M120" i="16"/>
  <c r="AR96" i="16"/>
  <c r="L120" i="16"/>
  <c r="L4" i="10" s="1"/>
  <c r="L28" i="10" s="1"/>
  <c r="L116" i="16"/>
  <c r="G38" i="11"/>
  <c r="G61" i="11" s="1"/>
  <c r="G15" i="32"/>
  <c r="AR70" i="17"/>
  <c r="K45" i="34"/>
  <c r="M93" i="33"/>
  <c r="M111" i="33"/>
  <c r="M18" i="34" s="1"/>
  <c r="M41" i="34" s="1"/>
  <c r="AR73" i="33"/>
  <c r="L97" i="33"/>
  <c r="L93" i="33"/>
  <c r="AU131" i="9"/>
  <c r="AU155" i="9"/>
  <c r="AW22" i="21"/>
  <c r="M45" i="11"/>
  <c r="M68" i="11" s="1"/>
  <c r="M24" i="33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M22" i="32"/>
  <c r="M45" i="34"/>
  <c r="M68" i="34" s="1"/>
  <c r="AT68" i="16"/>
  <c r="AR91" i="9"/>
  <c r="AX91" i="9"/>
  <c r="AR551" i="9"/>
  <c r="AR170" i="9"/>
  <c r="AT52" i="16"/>
  <c r="AT8" i="16"/>
  <c r="M24" i="16"/>
  <c r="N24" i="16" s="1"/>
  <c r="O24" i="16" s="1"/>
  <c r="P24" i="16" s="1"/>
  <c r="Q24" i="16" s="1"/>
  <c r="R24" i="16" s="1"/>
  <c r="S24" i="16" s="1"/>
  <c r="T24" i="16" s="1"/>
  <c r="U24" i="16" s="1"/>
  <c r="V24" i="16" s="1"/>
  <c r="W24" i="16" s="1"/>
  <c r="X24" i="16" s="1"/>
  <c r="Y24" i="16" s="1"/>
  <c r="Z24" i="16" s="1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M13" i="32"/>
  <c r="M37" i="10"/>
  <c r="AR82" i="16"/>
  <c r="M47" i="16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X47" i="16" s="1"/>
  <c r="Y47" i="16" s="1"/>
  <c r="Z47" i="16" s="1"/>
  <c r="AA47" i="16" s="1"/>
  <c r="AB47" i="16" s="1"/>
  <c r="AC47" i="16" s="1"/>
  <c r="AD47" i="16" s="1"/>
  <c r="AE47" i="16" s="1"/>
  <c r="AF47" i="16" s="1"/>
  <c r="AG47" i="16" s="1"/>
  <c r="AH47" i="16" s="1"/>
  <c r="AI47" i="16" s="1"/>
  <c r="AJ47" i="16" s="1"/>
  <c r="AK47" i="16" s="1"/>
  <c r="AL47" i="16" s="1"/>
  <c r="AM47" i="16" s="1"/>
  <c r="AN47" i="16" s="1"/>
  <c r="AO47" i="16" s="1"/>
  <c r="AP47" i="16" s="1"/>
  <c r="AQ47" i="16" s="1"/>
  <c r="AR79" i="16"/>
  <c r="M92" i="16"/>
  <c r="M123" i="16"/>
  <c r="M7" i="10" s="1"/>
  <c r="M31" i="10" s="1"/>
  <c r="M55" i="10" s="1"/>
  <c r="M6" i="32"/>
  <c r="M29" i="11"/>
  <c r="M30" i="32" s="1"/>
  <c r="M24" i="21"/>
  <c r="N24" i="21" s="1"/>
  <c r="O24" i="21" s="1"/>
  <c r="P24" i="21" s="1"/>
  <c r="Q24" i="21" s="1"/>
  <c r="R24" i="21" s="1"/>
  <c r="S24" i="21" s="1"/>
  <c r="T24" i="21" s="1"/>
  <c r="U24" i="21" s="1"/>
  <c r="V24" i="21" s="1"/>
  <c r="W24" i="21" s="1"/>
  <c r="X24" i="21" s="1"/>
  <c r="Y24" i="21" s="1"/>
  <c r="Z24" i="21" s="1"/>
  <c r="AA24" i="21" s="1"/>
  <c r="AB24" i="21" s="1"/>
  <c r="AC24" i="21" s="1"/>
  <c r="AD24" i="21" s="1"/>
  <c r="AE24" i="21" s="1"/>
  <c r="AF24" i="21" s="1"/>
  <c r="AG24" i="21" s="1"/>
  <c r="AH24" i="21" s="1"/>
  <c r="AI24" i="21" s="1"/>
  <c r="AJ24" i="21" s="1"/>
  <c r="AK24" i="21" s="1"/>
  <c r="AL24" i="21" s="1"/>
  <c r="AM24" i="21" s="1"/>
  <c r="AN24" i="21" s="1"/>
  <c r="AO24" i="21" s="1"/>
  <c r="AP24" i="21" s="1"/>
  <c r="AQ24" i="21" s="1"/>
  <c r="AT21" i="21"/>
  <c r="M31" i="11"/>
  <c r="AR376" i="21"/>
  <c r="M30" i="11"/>
  <c r="M53" i="11" s="1"/>
  <c r="AR375" i="21"/>
  <c r="M391" i="21"/>
  <c r="M63" i="11"/>
  <c r="AR16" i="11"/>
  <c r="AR384" i="21"/>
  <c r="M38" i="11"/>
  <c r="M61" i="11" s="1"/>
  <c r="M70" i="21"/>
  <c r="N70" i="21" s="1"/>
  <c r="O70" i="21" s="1"/>
  <c r="P70" i="21" s="1"/>
  <c r="Q70" i="21" s="1"/>
  <c r="R70" i="21" s="1"/>
  <c r="S70" i="21" s="1"/>
  <c r="T70" i="21" s="1"/>
  <c r="U70" i="21" s="1"/>
  <c r="V70" i="21" s="1"/>
  <c r="W70" i="21" s="1"/>
  <c r="X70" i="21" s="1"/>
  <c r="Y70" i="21" s="1"/>
  <c r="Z70" i="21" s="1"/>
  <c r="AA70" i="21" s="1"/>
  <c r="AB70" i="21" s="1"/>
  <c r="AC70" i="21" s="1"/>
  <c r="AD70" i="21" s="1"/>
  <c r="AE70" i="21" s="1"/>
  <c r="AF70" i="21" s="1"/>
  <c r="AG70" i="21" s="1"/>
  <c r="AH70" i="21" s="1"/>
  <c r="AI70" i="21" s="1"/>
  <c r="AJ70" i="21" s="1"/>
  <c r="AK70" i="21" s="1"/>
  <c r="AL70" i="21" s="1"/>
  <c r="AM70" i="21" s="1"/>
  <c r="AN70" i="21" s="1"/>
  <c r="AO70" i="21" s="1"/>
  <c r="AP70" i="21" s="1"/>
  <c r="AQ70" i="21" s="1"/>
  <c r="M33" i="11"/>
  <c r="M56" i="11" s="1"/>
  <c r="AR23" i="33"/>
  <c r="M17" i="32"/>
  <c r="M40" i="34"/>
  <c r="M41" i="32" s="1"/>
  <c r="M15" i="32"/>
  <c r="M38" i="34"/>
  <c r="AR10" i="34"/>
  <c r="M33" i="34"/>
  <c r="M56" i="34" s="1"/>
  <c r="M10" i="32"/>
  <c r="M32" i="34"/>
  <c r="M33" i="32" s="1"/>
  <c r="M9" i="32"/>
  <c r="M44" i="34"/>
  <c r="M67" i="34" s="1"/>
  <c r="M69" i="33"/>
  <c r="M30" i="34"/>
  <c r="M27" i="34"/>
  <c r="M50" i="34" s="1"/>
  <c r="AT63" i="16"/>
  <c r="AT51" i="16"/>
  <c r="M70" i="9"/>
  <c r="N70" i="9" s="1"/>
  <c r="O70" i="9" s="1"/>
  <c r="P70" i="9" s="1"/>
  <c r="Q70" i="9" s="1"/>
  <c r="R70" i="9" s="1"/>
  <c r="S70" i="9" s="1"/>
  <c r="T70" i="9" s="1"/>
  <c r="U70" i="9" s="1"/>
  <c r="V70" i="9" s="1"/>
  <c r="W70" i="9" s="1"/>
  <c r="X70" i="9" s="1"/>
  <c r="Y70" i="9" s="1"/>
  <c r="Z70" i="9" s="1"/>
  <c r="AA70" i="9" s="1"/>
  <c r="AB70" i="9" s="1"/>
  <c r="AC70" i="9" s="1"/>
  <c r="AD70" i="9" s="1"/>
  <c r="AE70" i="9" s="1"/>
  <c r="AF70" i="9" s="1"/>
  <c r="AG70" i="9" s="1"/>
  <c r="AH70" i="9" s="1"/>
  <c r="AI70" i="9" s="1"/>
  <c r="AJ70" i="9" s="1"/>
  <c r="AK70" i="9" s="1"/>
  <c r="AL70" i="9" s="1"/>
  <c r="AM70" i="9" s="1"/>
  <c r="AN70" i="9" s="1"/>
  <c r="AO70" i="9" s="1"/>
  <c r="AP70" i="9" s="1"/>
  <c r="AQ70" i="9" s="1"/>
  <c r="AX86" i="9"/>
  <c r="AT13" i="16"/>
  <c r="M202" i="20"/>
  <c r="AT7" i="16"/>
  <c r="AR76" i="9"/>
  <c r="AT4" i="16"/>
  <c r="AR82" i="9"/>
  <c r="AU33" i="9"/>
  <c r="BI33" i="9"/>
  <c r="BQ33" i="9" s="1"/>
  <c r="AR90" i="9"/>
  <c r="M92" i="9"/>
  <c r="L6" i="14" s="1"/>
  <c r="AX74" i="9"/>
  <c r="AR73" i="9"/>
  <c r="AU127" i="9"/>
  <c r="AX544" i="9"/>
  <c r="AU136" i="9"/>
  <c r="AU128" i="9"/>
  <c r="M146" i="9"/>
  <c r="M145" i="9"/>
  <c r="N145" i="9" s="1"/>
  <c r="O145" i="9" s="1"/>
  <c r="P145" i="9" s="1"/>
  <c r="Q145" i="9" s="1"/>
  <c r="R145" i="9" s="1"/>
  <c r="S145" i="9" s="1"/>
  <c r="T145" i="9" s="1"/>
  <c r="U145" i="9" s="1"/>
  <c r="V145" i="9" s="1"/>
  <c r="W145" i="9" s="1"/>
  <c r="X145" i="9" s="1"/>
  <c r="Y145" i="9" s="1"/>
  <c r="Z145" i="9" s="1"/>
  <c r="AA145" i="9" s="1"/>
  <c r="AB145" i="9" s="1"/>
  <c r="AC145" i="9" s="1"/>
  <c r="AD145" i="9" s="1"/>
  <c r="AE145" i="9" s="1"/>
  <c r="AF145" i="9" s="1"/>
  <c r="AG145" i="9" s="1"/>
  <c r="AH145" i="9" s="1"/>
  <c r="AI145" i="9" s="1"/>
  <c r="AJ145" i="9" s="1"/>
  <c r="AK145" i="9" s="1"/>
  <c r="AL145" i="9" s="1"/>
  <c r="AM145" i="9" s="1"/>
  <c r="AN145" i="9" s="1"/>
  <c r="AO145" i="9" s="1"/>
  <c r="AP145" i="9" s="1"/>
  <c r="AQ145" i="9" s="1"/>
  <c r="AU103" i="9"/>
  <c r="M122" i="9"/>
  <c r="BI102" i="9"/>
  <c r="BQ102" i="9" s="1"/>
  <c r="M121" i="9"/>
  <c r="N121" i="9" s="1"/>
  <c r="O121" i="9" s="1"/>
  <c r="P121" i="9" s="1"/>
  <c r="Q121" i="9" s="1"/>
  <c r="R121" i="9" s="1"/>
  <c r="S121" i="9" s="1"/>
  <c r="T121" i="9" s="1"/>
  <c r="U121" i="9" s="1"/>
  <c r="V121" i="9" s="1"/>
  <c r="W121" i="9" s="1"/>
  <c r="X121" i="9" s="1"/>
  <c r="Y121" i="9" s="1"/>
  <c r="Z121" i="9" s="1"/>
  <c r="AA121" i="9" s="1"/>
  <c r="AB121" i="9" s="1"/>
  <c r="AC121" i="9" s="1"/>
  <c r="AD121" i="9" s="1"/>
  <c r="AE121" i="9" s="1"/>
  <c r="AF121" i="9" s="1"/>
  <c r="AG121" i="9" s="1"/>
  <c r="AH121" i="9" s="1"/>
  <c r="AI121" i="9" s="1"/>
  <c r="AJ121" i="9" s="1"/>
  <c r="AK121" i="9" s="1"/>
  <c r="AL121" i="9" s="1"/>
  <c r="AM121" i="9" s="1"/>
  <c r="AN121" i="9" s="1"/>
  <c r="AO121" i="9" s="1"/>
  <c r="AP121" i="9" s="1"/>
  <c r="AQ121" i="9" s="1"/>
  <c r="AR266" i="9"/>
  <c r="AX168" i="9"/>
  <c r="AX169" i="9" s="1"/>
  <c r="AU166" i="9"/>
  <c r="M171" i="9"/>
  <c r="M555" i="9" s="1"/>
  <c r="N5" i="12" s="1"/>
  <c r="N17" i="12" s="1"/>
  <c r="M73" i="11" s="1"/>
  <c r="AR534" i="9"/>
  <c r="M169" i="9"/>
  <c r="N169" i="9" s="1"/>
  <c r="O169" i="9" s="1"/>
  <c r="P169" i="9" s="1"/>
  <c r="Q169" i="9" s="1"/>
  <c r="R169" i="9" s="1"/>
  <c r="S169" i="9" s="1"/>
  <c r="T169" i="9" s="1"/>
  <c r="U169" i="9" s="1"/>
  <c r="V169" i="9" s="1"/>
  <c r="W169" i="9" s="1"/>
  <c r="X169" i="9" s="1"/>
  <c r="Y169" i="9" s="1"/>
  <c r="Z169" i="9" s="1"/>
  <c r="AA169" i="9" s="1"/>
  <c r="AB169" i="9" s="1"/>
  <c r="AC169" i="9" s="1"/>
  <c r="AD169" i="9" s="1"/>
  <c r="AE169" i="9" s="1"/>
  <c r="AF169" i="9" s="1"/>
  <c r="AG169" i="9" s="1"/>
  <c r="AH169" i="9" s="1"/>
  <c r="AI169" i="9" s="1"/>
  <c r="AJ169" i="9" s="1"/>
  <c r="AK169" i="9" s="1"/>
  <c r="AL169" i="9" s="1"/>
  <c r="AM169" i="9" s="1"/>
  <c r="AN169" i="9" s="1"/>
  <c r="AO169" i="9" s="1"/>
  <c r="AP169" i="9" s="1"/>
  <c r="AQ169" i="9" s="1"/>
  <c r="AR550" i="9"/>
  <c r="M552" i="9"/>
  <c r="AX547" i="9"/>
  <c r="BQ208" i="9"/>
  <c r="AU202" i="9"/>
  <c r="L39" i="35"/>
  <c r="L52" i="35" s="1"/>
  <c r="L31" i="35"/>
  <c r="L38" i="35" s="1"/>
  <c r="L51" i="35" s="1"/>
  <c r="AX216" i="9"/>
  <c r="Q53" i="12"/>
  <c r="Q55" i="12" s="1"/>
  <c r="U79" i="10"/>
  <c r="V53" i="12"/>
  <c r="V54" i="12" s="1"/>
  <c r="AI74" i="11"/>
  <c r="AI81" i="11" s="1"/>
  <c r="AJ53" i="12"/>
  <c r="AA74" i="11"/>
  <c r="V74" i="11"/>
  <c r="W53" i="12"/>
  <c r="W54" i="12" s="1"/>
  <c r="AB74" i="11"/>
  <c r="AC79" i="10"/>
  <c r="AD53" i="12"/>
  <c r="AH79" i="10"/>
  <c r="AI53" i="12"/>
  <c r="AA53" i="12"/>
  <c r="AA55" i="12" s="1"/>
  <c r="Z79" i="10"/>
  <c r="O53" i="12"/>
  <c r="O55" i="12" s="1"/>
  <c r="N79" i="10"/>
  <c r="AB79" i="10"/>
  <c r="AC53" i="12"/>
  <c r="AC55" i="12" s="1"/>
  <c r="AH53" i="12"/>
  <c r="AG79" i="10"/>
  <c r="Z53" i="12"/>
  <c r="Z55" i="12" s="1"/>
  <c r="Y79" i="10"/>
  <c r="P53" i="12"/>
  <c r="P54" i="12" s="1"/>
  <c r="O74" i="11"/>
  <c r="AF79" i="10"/>
  <c r="AG53" i="12"/>
  <c r="U74" i="11"/>
  <c r="X79" i="10"/>
  <c r="Y53" i="12"/>
  <c r="Y54" i="12" s="1"/>
  <c r="S79" i="10"/>
  <c r="T53" i="12"/>
  <c r="T54" i="12" s="1"/>
  <c r="T74" i="11"/>
  <c r="AF53" i="12"/>
  <c r="AE79" i="10"/>
  <c r="S74" i="11"/>
  <c r="AK74" i="11"/>
  <c r="AK81" i="11" s="1"/>
  <c r="AL53" i="12"/>
  <c r="AJ74" i="11"/>
  <c r="AK53" i="12"/>
  <c r="AB53" i="12"/>
  <c r="AB54" i="12" s="1"/>
  <c r="AA79" i="10"/>
  <c r="R74" i="11"/>
  <c r="S53" i="12"/>
  <c r="S54" i="12" s="1"/>
  <c r="AD79" i="10"/>
  <c r="AE53" i="12"/>
  <c r="Z74" i="11"/>
  <c r="Q74" i="11"/>
  <c r="N53" i="12"/>
  <c r="T79" i="10"/>
  <c r="X74" i="11"/>
  <c r="AC81" i="11"/>
  <c r="X53" i="12"/>
  <c r="X55" i="12" s="1"/>
  <c r="L74" i="11"/>
  <c r="AS47" i="12"/>
  <c r="AU47" i="12" s="1"/>
  <c r="M83" i="12"/>
  <c r="M46" i="12" s="1"/>
  <c r="M52" i="12"/>
  <c r="AS7" i="12"/>
  <c r="AS52" i="12" s="1"/>
  <c r="O58" i="12"/>
  <c r="AS34" i="12"/>
  <c r="AU31" i="9"/>
  <c r="AQ85" i="36"/>
  <c r="AR20" i="20"/>
  <c r="L149" i="20"/>
  <c r="L56" i="20"/>
  <c r="K57" i="14" s="1"/>
  <c r="L192" i="20"/>
  <c r="AU102" i="9"/>
  <c r="AQ81" i="36"/>
  <c r="AU163" i="9"/>
  <c r="AU36" i="9"/>
  <c r="AU45" i="9"/>
  <c r="AU63" i="9"/>
  <c r="AU209" i="9"/>
  <c r="AT78" i="9"/>
  <c r="AQ106" i="14"/>
  <c r="AU114" i="9"/>
  <c r="AQ83" i="36"/>
  <c r="K41" i="12"/>
  <c r="AQ89" i="14"/>
  <c r="AR89" i="14" s="1"/>
  <c r="AQ73" i="14"/>
  <c r="AR73" i="14" s="1"/>
  <c r="AU37" i="9"/>
  <c r="AU137" i="9"/>
  <c r="AU64" i="9"/>
  <c r="AT79" i="9"/>
  <c r="AT80" i="9"/>
  <c r="AU80" i="9" s="1"/>
  <c r="AT73" i="9"/>
  <c r="AT76" i="9"/>
  <c r="AT91" i="9"/>
  <c r="AT83" i="9"/>
  <c r="AU27" i="9"/>
  <c r="AQ115" i="14"/>
  <c r="AT87" i="9"/>
  <c r="AT74" i="9"/>
  <c r="AU210" i="9"/>
  <c r="AU104" i="9"/>
  <c r="AR46" i="21"/>
  <c r="AW46" i="21" s="1"/>
  <c r="AT114" i="21"/>
  <c r="L45" i="11"/>
  <c r="L45" i="34"/>
  <c r="L68" i="34" s="1"/>
  <c r="L22" i="32"/>
  <c r="AU143" i="9"/>
  <c r="AU119" i="9"/>
  <c r="AR69" i="16"/>
  <c r="AT56" i="16"/>
  <c r="L16" i="10"/>
  <c r="L40" i="10" s="1"/>
  <c r="AR132" i="16"/>
  <c r="AR75" i="16"/>
  <c r="AR76" i="16"/>
  <c r="L11" i="10"/>
  <c r="AR127" i="16"/>
  <c r="AT127" i="16" s="1"/>
  <c r="AR136" i="16"/>
  <c r="AT136" i="16" s="1"/>
  <c r="L20" i="10"/>
  <c r="L19" i="10"/>
  <c r="AR135" i="16"/>
  <c r="AT135" i="16" s="1"/>
  <c r="L15" i="10"/>
  <c r="L15" i="32" s="1"/>
  <c r="AR131" i="16"/>
  <c r="L14" i="10"/>
  <c r="L12" i="10"/>
  <c r="L18" i="10"/>
  <c r="AR87" i="16"/>
  <c r="AR133" i="16"/>
  <c r="L17" i="10"/>
  <c r="L17" i="32" s="1"/>
  <c r="L6" i="10"/>
  <c r="L6" i="32" s="1"/>
  <c r="L13" i="10"/>
  <c r="AR129" i="16"/>
  <c r="L10" i="10"/>
  <c r="AR126" i="16"/>
  <c r="L33" i="10"/>
  <c r="AR9" i="10"/>
  <c r="AR125" i="16"/>
  <c r="L21" i="10"/>
  <c r="L21" i="32" s="1"/>
  <c r="L92" i="16"/>
  <c r="L93" i="16" s="1"/>
  <c r="AR90" i="16"/>
  <c r="L8" i="10"/>
  <c r="AR23" i="16"/>
  <c r="AR385" i="21"/>
  <c r="AT39" i="21"/>
  <c r="AW39" i="21"/>
  <c r="AT18" i="21"/>
  <c r="L40" i="11"/>
  <c r="AR17" i="11"/>
  <c r="AR23" i="21"/>
  <c r="AT6" i="21"/>
  <c r="AT15" i="21"/>
  <c r="L30" i="11"/>
  <c r="L391" i="21"/>
  <c r="L39" i="11"/>
  <c r="L41" i="11"/>
  <c r="L29" i="11"/>
  <c r="L38" i="11"/>
  <c r="AR15" i="11"/>
  <c r="L33" i="11"/>
  <c r="L44" i="11"/>
  <c r="BI215" i="9"/>
  <c r="L41" i="34"/>
  <c r="L64" i="34" s="1"/>
  <c r="AT18" i="33"/>
  <c r="AR55" i="33"/>
  <c r="AR102" i="33" s="1"/>
  <c r="L40" i="34"/>
  <c r="L63" i="34" s="1"/>
  <c r="AR17" i="34"/>
  <c r="L39" i="34"/>
  <c r="L62" i="34" s="1"/>
  <c r="AR16" i="34"/>
  <c r="AR9" i="34"/>
  <c r="L32" i="34"/>
  <c r="L55" i="34" s="1"/>
  <c r="L44" i="34"/>
  <c r="L67" i="34" s="1"/>
  <c r="AR67" i="33"/>
  <c r="L69" i="33"/>
  <c r="AR46" i="33"/>
  <c r="L30" i="34"/>
  <c r="L53" i="34" s="1"/>
  <c r="AU52" i="9"/>
  <c r="AR69" i="9"/>
  <c r="AX69" i="9"/>
  <c r="AX70" i="9" s="1"/>
  <c r="AX90" i="9"/>
  <c r="BI69" i="9"/>
  <c r="AU54" i="9"/>
  <c r="D16" i="13"/>
  <c r="BQ50" i="9"/>
  <c r="D17" i="13"/>
  <c r="AX75" i="9"/>
  <c r="AR46" i="9"/>
  <c r="AX85" i="9"/>
  <c r="AU16" i="9"/>
  <c r="AR23" i="9"/>
  <c r="AX23" i="9"/>
  <c r="AX76" i="9"/>
  <c r="BI7" i="9"/>
  <c r="BQ7" i="9" s="1"/>
  <c r="D9" i="13"/>
  <c r="AX46" i="9"/>
  <c r="AX47" i="9" s="1"/>
  <c r="AX87" i="9"/>
  <c r="AU32" i="9"/>
  <c r="L92" i="9"/>
  <c r="K6" i="14" s="1"/>
  <c r="K6" i="37" s="1"/>
  <c r="L202" i="20"/>
  <c r="BQ28" i="9"/>
  <c r="BI144" i="9"/>
  <c r="AX144" i="9"/>
  <c r="AR144" i="9"/>
  <c r="BQ127" i="9"/>
  <c r="AX534" i="9"/>
  <c r="AU115" i="9"/>
  <c r="AR120" i="9"/>
  <c r="BI264" i="9"/>
  <c r="AR264" i="9"/>
  <c r="BQ246" i="9"/>
  <c r="AT245" i="9"/>
  <c r="L267" i="9"/>
  <c r="L555" i="9" s="1"/>
  <c r="L265" i="9"/>
  <c r="M265" i="9" s="1"/>
  <c r="N265" i="9" s="1"/>
  <c r="O265" i="9" s="1"/>
  <c r="P265" i="9" s="1"/>
  <c r="Q265" i="9" s="1"/>
  <c r="R265" i="9" s="1"/>
  <c r="S265" i="9" s="1"/>
  <c r="T265" i="9" s="1"/>
  <c r="U265" i="9" s="1"/>
  <c r="V265" i="9" s="1"/>
  <c r="W265" i="9" s="1"/>
  <c r="X265" i="9" s="1"/>
  <c r="Y265" i="9" s="1"/>
  <c r="Z265" i="9" s="1"/>
  <c r="AA265" i="9" s="1"/>
  <c r="AB265" i="9" s="1"/>
  <c r="AC265" i="9" s="1"/>
  <c r="AD265" i="9" s="1"/>
  <c r="AE265" i="9" s="1"/>
  <c r="AF265" i="9" s="1"/>
  <c r="AG265" i="9" s="1"/>
  <c r="AH265" i="9" s="1"/>
  <c r="AI265" i="9" s="1"/>
  <c r="AJ265" i="9" s="1"/>
  <c r="AK265" i="9" s="1"/>
  <c r="AL265" i="9" s="1"/>
  <c r="AM265" i="9" s="1"/>
  <c r="AN265" i="9" s="1"/>
  <c r="AO265" i="9" s="1"/>
  <c r="AP265" i="9" s="1"/>
  <c r="AQ265" i="9" s="1"/>
  <c r="AR168" i="9"/>
  <c r="AU160" i="9"/>
  <c r="L554" i="9"/>
  <c r="BI168" i="9"/>
  <c r="BQ150" i="9"/>
  <c r="AU214" i="9"/>
  <c r="AU198" i="9"/>
  <c r="L552" i="9"/>
  <c r="AU233" i="9"/>
  <c r="AX550" i="9"/>
  <c r="K39" i="35"/>
  <c r="K52" i="35" s="1"/>
  <c r="K31" i="35"/>
  <c r="K38" i="35" s="1"/>
  <c r="K51" i="35" s="1"/>
  <c r="BQ221" i="9"/>
  <c r="K36" i="14"/>
  <c r="L103" i="20" s="1"/>
  <c r="L556" i="9"/>
  <c r="M6" i="12" s="1"/>
  <c r="AR240" i="9"/>
  <c r="AQ64" i="14"/>
  <c r="AQ111" i="14"/>
  <c r="AU68" i="9"/>
  <c r="AQ103" i="14"/>
  <c r="AT90" i="9"/>
  <c r="AT84" i="9"/>
  <c r="AT85" i="9"/>
  <c r="AQ105" i="14"/>
  <c r="AQ88" i="14"/>
  <c r="AR88" i="14" s="1"/>
  <c r="U101" i="14"/>
  <c r="AQ101" i="14" s="1"/>
  <c r="AQ84" i="36"/>
  <c r="AQ79" i="36"/>
  <c r="AQ82" i="36"/>
  <c r="AT88" i="9"/>
  <c r="AU88" i="9" s="1"/>
  <c r="AQ54" i="14"/>
  <c r="AQ76" i="14"/>
  <c r="AR76" i="14" s="1"/>
  <c r="AQ75" i="14"/>
  <c r="AR75" i="14" s="1"/>
  <c r="AQ74" i="14"/>
  <c r="AR74" i="14" s="1"/>
  <c r="AQ92" i="14"/>
  <c r="AR92" i="14" s="1"/>
  <c r="AQ91" i="14"/>
  <c r="AR91" i="14" s="1"/>
  <c r="AQ90" i="14"/>
  <c r="AR90" i="14" s="1"/>
  <c r="AQ71" i="14"/>
  <c r="AQ87" i="14"/>
  <c r="AQ104" i="14"/>
  <c r="AQ65" i="14"/>
  <c r="AQ81" i="14"/>
  <c r="AQ98" i="14"/>
  <c r="AQ112" i="14"/>
  <c r="AQ97" i="14"/>
  <c r="AU22" i="9"/>
  <c r="AQ70" i="14"/>
  <c r="AQ66" i="14"/>
  <c r="AQ82" i="14"/>
  <c r="AQ113" i="14"/>
  <c r="AQ99" i="14"/>
  <c r="AT89" i="9"/>
  <c r="AU89" i="9" s="1"/>
  <c r="AQ80" i="14"/>
  <c r="AU60" i="9"/>
  <c r="AQ69" i="14"/>
  <c r="AQ86" i="14"/>
  <c r="AQ85" i="14"/>
  <c r="AQ68" i="14"/>
  <c r="AQ72" i="14"/>
  <c r="AR72" i="14" s="1"/>
  <c r="AQ84" i="14"/>
  <c r="AQ100" i="14"/>
  <c r="AQ114" i="14"/>
  <c r="AT82" i="9"/>
  <c r="AT86" i="9"/>
  <c r="P26" i="14"/>
  <c r="AO46" i="14"/>
  <c r="F16" i="14"/>
  <c r="I16" i="14"/>
  <c r="AC31" i="14"/>
  <c r="AA47" i="36"/>
  <c r="AA52" i="36" s="1"/>
  <c r="W47" i="36"/>
  <c r="W52" i="36" s="1"/>
  <c r="S47" i="36"/>
  <c r="S52" i="36" s="1"/>
  <c r="O47" i="36"/>
  <c r="O52" i="36" s="1"/>
  <c r="K70" i="36"/>
  <c r="AQ60" i="36"/>
  <c r="L70" i="36"/>
  <c r="AB47" i="36"/>
  <c r="AB52" i="36" s="1"/>
  <c r="X47" i="36"/>
  <c r="X52" i="36" s="1"/>
  <c r="T47" i="36"/>
  <c r="T52" i="36" s="1"/>
  <c r="P47" i="36"/>
  <c r="P52" i="36" s="1"/>
  <c r="L47" i="36"/>
  <c r="L52" i="36" s="1"/>
  <c r="AQ41" i="36"/>
  <c r="AR41" i="36" s="1"/>
  <c r="J47" i="36"/>
  <c r="S5" i="36"/>
  <c r="AQ8" i="36"/>
  <c r="K47" i="36"/>
  <c r="K52" i="36" s="1"/>
  <c r="AQ37" i="36"/>
  <c r="AR37" i="36" s="1"/>
  <c r="Y47" i="36"/>
  <c r="Y52" i="36" s="1"/>
  <c r="U47" i="36"/>
  <c r="U52" i="36" s="1"/>
  <c r="Q47" i="36"/>
  <c r="Q52" i="36" s="1"/>
  <c r="M47" i="36"/>
  <c r="M52" i="36" s="1"/>
  <c r="AT192" i="9"/>
  <c r="AQ22" i="36"/>
  <c r="AQ7" i="36"/>
  <c r="Z47" i="36"/>
  <c r="Z52" i="36" s="1"/>
  <c r="V47" i="36"/>
  <c r="V52" i="36" s="1"/>
  <c r="R47" i="36"/>
  <c r="R52" i="36" s="1"/>
  <c r="N47" i="36"/>
  <c r="N52" i="36" s="1"/>
  <c r="AK41" i="14"/>
  <c r="W41" i="14"/>
  <c r="Q41" i="14"/>
  <c r="AT23" i="9"/>
  <c r="AT81" i="9"/>
  <c r="AT120" i="9"/>
  <c r="AT168" i="9"/>
  <c r="AT240" i="9"/>
  <c r="L7" i="32"/>
  <c r="L31" i="10"/>
  <c r="J81" i="11"/>
  <c r="K22" i="10"/>
  <c r="K69" i="33"/>
  <c r="AR61" i="33"/>
  <c r="AR108" i="33" s="1"/>
  <c r="K38" i="34"/>
  <c r="K61" i="34" s="1"/>
  <c r="K15" i="32"/>
  <c r="AR15" i="34"/>
  <c r="K30" i="34"/>
  <c r="K53" i="34" s="1"/>
  <c r="K7" i="32"/>
  <c r="AR50" i="33"/>
  <c r="AT50" i="33" s="1"/>
  <c r="BQ22" i="9"/>
  <c r="BH23" i="9"/>
  <c r="AW23" i="9"/>
  <c r="K95" i="9"/>
  <c r="J6" i="14"/>
  <c r="K13" i="20" s="1"/>
  <c r="K556" i="9"/>
  <c r="K242" i="9"/>
  <c r="J36" i="14" s="1"/>
  <c r="K103" i="20" s="1"/>
  <c r="BQ232" i="9"/>
  <c r="J24" i="35"/>
  <c r="K202" i="20" s="1"/>
  <c r="AU208" i="9"/>
  <c r="AU200" i="9"/>
  <c r="AT7" i="33"/>
  <c r="BH216" i="9"/>
  <c r="BQ197" i="9"/>
  <c r="AU197" i="9"/>
  <c r="AR216" i="9"/>
  <c r="AQ67" i="14"/>
  <c r="AQ102" i="14"/>
  <c r="AQ83" i="14"/>
  <c r="AU8" i="9"/>
  <c r="AQ116" i="14"/>
  <c r="AU35" i="9"/>
  <c r="AT144" i="9"/>
  <c r="AU154" i="9"/>
  <c r="AT216" i="9"/>
  <c r="AU62" i="9"/>
  <c r="AU113" i="9"/>
  <c r="AT77" i="9"/>
  <c r="AT46" i="9"/>
  <c r="AU227" i="9"/>
  <c r="AU44" i="9"/>
  <c r="AT69" i="9"/>
  <c r="AU38" i="9"/>
  <c r="AB77" i="34"/>
  <c r="U77" i="34"/>
  <c r="R77" i="34"/>
  <c r="T77" i="34"/>
  <c r="Z77" i="34"/>
  <c r="W77" i="34"/>
  <c r="P77" i="34"/>
  <c r="N77" i="34"/>
  <c r="X77" i="34"/>
  <c r="V77" i="34"/>
  <c r="Y77" i="34"/>
  <c r="M77" i="34"/>
  <c r="AD77" i="34"/>
  <c r="AB77" i="11"/>
  <c r="Q77" i="11"/>
  <c r="O77" i="11"/>
  <c r="AA77" i="11"/>
  <c r="W77" i="11"/>
  <c r="Z77" i="11"/>
  <c r="S77" i="11"/>
  <c r="N77" i="11"/>
  <c r="N81" i="11" s="1"/>
  <c r="K77" i="11"/>
  <c r="M77" i="11"/>
  <c r="V77" i="11"/>
  <c r="P77" i="11"/>
  <c r="AD77" i="11"/>
  <c r="AD81" i="11" s="1"/>
  <c r="U77" i="11"/>
  <c r="L77" i="11"/>
  <c r="X77" i="11"/>
  <c r="L86" i="10"/>
  <c r="W86" i="10"/>
  <c r="O86" i="10"/>
  <c r="K86" i="10"/>
  <c r="V86" i="10"/>
  <c r="N86" i="10"/>
  <c r="AC86" i="10"/>
  <c r="U86" i="10"/>
  <c r="M86" i="10"/>
  <c r="AB86" i="10"/>
  <c r="T86" i="10"/>
  <c r="AD86" i="10"/>
  <c r="AA86" i="10"/>
  <c r="S86" i="10"/>
  <c r="Y86" i="10"/>
  <c r="Q86" i="10"/>
  <c r="X86" i="10"/>
  <c r="AN416" i="21" l="1"/>
  <c r="AO416" i="21"/>
  <c r="AP416" i="21" s="1"/>
  <c r="AQ416" i="21" s="1"/>
  <c r="AN21" i="32"/>
  <c r="AQ45" i="32"/>
  <c r="AE40" i="32"/>
  <c r="AP34" i="32"/>
  <c r="AN31" i="32"/>
  <c r="AP21" i="32"/>
  <c r="K59" i="11"/>
  <c r="AJ41" i="11"/>
  <c r="AJ64" i="11" s="1"/>
  <c r="K60" i="11"/>
  <c r="K66" i="11"/>
  <c r="K65" i="11"/>
  <c r="AQ44" i="32"/>
  <c r="AQ68" i="32" s="1"/>
  <c r="K69" i="32"/>
  <c r="AN39" i="32"/>
  <c r="K61" i="11"/>
  <c r="K56" i="11"/>
  <c r="K58" i="11"/>
  <c r="K41" i="11"/>
  <c r="AH68" i="32"/>
  <c r="K31" i="11"/>
  <c r="K54" i="11" s="1"/>
  <c r="K57" i="11"/>
  <c r="K63" i="11"/>
  <c r="AH66" i="11"/>
  <c r="AC53" i="11"/>
  <c r="AC29" i="11"/>
  <c r="AC28" i="11"/>
  <c r="M27" i="11"/>
  <c r="AC68" i="11"/>
  <c r="AK6" i="32"/>
  <c r="AH21" i="32"/>
  <c r="AH8" i="32"/>
  <c r="BN23" i="9"/>
  <c r="AG21" i="32"/>
  <c r="AG13" i="20"/>
  <c r="AF62" i="14"/>
  <c r="AF78" i="14"/>
  <c r="AG95" i="9"/>
  <c r="AH4" i="12" s="1"/>
  <c r="AH16" i="12" s="1"/>
  <c r="AG77" i="10" s="1"/>
  <c r="AG91" i="10" s="1"/>
  <c r="AF21" i="32"/>
  <c r="AF95" i="9"/>
  <c r="AG4" i="12" s="1"/>
  <c r="AG16" i="12" s="1"/>
  <c r="AF77" i="10" s="1"/>
  <c r="AC68" i="34"/>
  <c r="AC40" i="32"/>
  <c r="AE21" i="32"/>
  <c r="V29" i="11"/>
  <c r="V30" i="32" s="1"/>
  <c r="V54" i="32" s="1"/>
  <c r="X43" i="32"/>
  <c r="AN63" i="32"/>
  <c r="J21" i="32"/>
  <c r="I12" i="32"/>
  <c r="Y21" i="32"/>
  <c r="AM29" i="11"/>
  <c r="AM52" i="11" s="1"/>
  <c r="J56" i="11"/>
  <c r="AO68" i="32"/>
  <c r="AQ61" i="32"/>
  <c r="I59" i="32"/>
  <c r="AD18" i="32"/>
  <c r="AH33" i="32"/>
  <c r="AQ5" i="32"/>
  <c r="AM39" i="32"/>
  <c r="H64" i="32"/>
  <c r="D64" i="32"/>
  <c r="AJ36" i="32"/>
  <c r="AG32" i="11"/>
  <c r="AG55" i="11" s="1"/>
  <c r="R12" i="32"/>
  <c r="Y29" i="11"/>
  <c r="Y30" i="32" s="1"/>
  <c r="AF56" i="32"/>
  <c r="AM40" i="32"/>
  <c r="AG8" i="32"/>
  <c r="E61" i="32"/>
  <c r="AC34" i="32"/>
  <c r="AA43" i="32"/>
  <c r="G34" i="32"/>
  <c r="G58" i="32" s="1"/>
  <c r="D61" i="11"/>
  <c r="I52" i="11"/>
  <c r="I30" i="32"/>
  <c r="N21" i="32"/>
  <c r="I7" i="32"/>
  <c r="AO12" i="32"/>
  <c r="F38" i="32"/>
  <c r="E66" i="11"/>
  <c r="T6" i="32"/>
  <c r="AO18" i="32"/>
  <c r="J28" i="11"/>
  <c r="J51" i="11" s="1"/>
  <c r="AE44" i="11"/>
  <c r="AE67" i="11" s="1"/>
  <c r="E68" i="32"/>
  <c r="P8" i="32"/>
  <c r="AJ21" i="32"/>
  <c r="AN68" i="32"/>
  <c r="J45" i="32"/>
  <c r="AP41" i="32"/>
  <c r="AP65" i="32" s="1"/>
  <c r="F392" i="21"/>
  <c r="AR7" i="11"/>
  <c r="O21" i="32"/>
  <c r="V44" i="11"/>
  <c r="AC31" i="32"/>
  <c r="N12" i="32"/>
  <c r="AP38" i="32"/>
  <c r="AP62" i="32" s="1"/>
  <c r="AI40" i="32"/>
  <c r="AI64" i="32" s="1"/>
  <c r="AN67" i="11"/>
  <c r="D54" i="32"/>
  <c r="AO63" i="32"/>
  <c r="AP30" i="32"/>
  <c r="J35" i="11"/>
  <c r="J58" i="11" s="1"/>
  <c r="G67" i="11"/>
  <c r="E65" i="11"/>
  <c r="AF35" i="32"/>
  <c r="H65" i="32"/>
  <c r="AO38" i="32"/>
  <c r="AO62" i="32" s="1"/>
  <c r="D63" i="32"/>
  <c r="AD35" i="34"/>
  <c r="AD58" i="34" s="1"/>
  <c r="I54" i="32"/>
  <c r="AQ40" i="32"/>
  <c r="AQ64" i="32" s="1"/>
  <c r="E69" i="32"/>
  <c r="F31" i="11"/>
  <c r="F32" i="32" s="1"/>
  <c r="F8" i="32"/>
  <c r="AO66" i="11"/>
  <c r="AQ41" i="11"/>
  <c r="AQ64" i="11" s="1"/>
  <c r="I38" i="32"/>
  <c r="I62" i="32" s="1"/>
  <c r="F45" i="32"/>
  <c r="F69" i="32" s="1"/>
  <c r="F35" i="11"/>
  <c r="J66" i="11"/>
  <c r="G54" i="32"/>
  <c r="AQ55" i="32"/>
  <c r="F41" i="11"/>
  <c r="F64" i="11" s="1"/>
  <c r="AL12" i="32"/>
  <c r="F25" i="32"/>
  <c r="G25" i="32" s="1"/>
  <c r="H25" i="32" s="1"/>
  <c r="I25" i="32" s="1"/>
  <c r="J25" i="32" s="1"/>
  <c r="K25" i="32" s="1"/>
  <c r="F12" i="32"/>
  <c r="D59" i="11"/>
  <c r="G392" i="21"/>
  <c r="H392" i="21" s="1"/>
  <c r="I392" i="21" s="1"/>
  <c r="J392" i="21" s="1"/>
  <c r="K392" i="21" s="1"/>
  <c r="F66" i="11"/>
  <c r="D53" i="11"/>
  <c r="AP5" i="32"/>
  <c r="F59" i="32"/>
  <c r="E57" i="32"/>
  <c r="G57" i="11"/>
  <c r="E53" i="11"/>
  <c r="E31" i="32"/>
  <c r="E55" i="32" s="1"/>
  <c r="D38" i="32"/>
  <c r="D62" i="32" s="1"/>
  <c r="Z34" i="32"/>
  <c r="Z58" i="32" s="1"/>
  <c r="AP59" i="11"/>
  <c r="J59" i="11"/>
  <c r="AP59" i="32"/>
  <c r="D37" i="32"/>
  <c r="D61" i="32" s="1"/>
  <c r="P7" i="37"/>
  <c r="AJ7" i="37"/>
  <c r="S7" i="37"/>
  <c r="AR105" i="33"/>
  <c r="AT105" i="33" s="1"/>
  <c r="Y68" i="11"/>
  <c r="AB32" i="32"/>
  <c r="AR6" i="34"/>
  <c r="AA36" i="14"/>
  <c r="AB95" i="9"/>
  <c r="AC4" i="12" s="1"/>
  <c r="AC16" i="12" s="1"/>
  <c r="AB77" i="10" s="1"/>
  <c r="AP6" i="37"/>
  <c r="AP17" i="14"/>
  <c r="AP62" i="14"/>
  <c r="AQ13" i="20"/>
  <c r="AP78" i="14"/>
  <c r="AW555" i="9"/>
  <c r="AW565" i="9" s="1"/>
  <c r="BF559" i="9"/>
  <c r="AK36" i="14"/>
  <c r="AK109" i="14" s="1"/>
  <c r="AV92" i="9"/>
  <c r="BE574" i="9"/>
  <c r="BQ439" i="9"/>
  <c r="BO456" i="9"/>
  <c r="K554" i="9"/>
  <c r="AV552" i="9"/>
  <c r="AW145" i="9"/>
  <c r="BA92" i="9"/>
  <c r="BA95" i="9" s="1"/>
  <c r="G36" i="14"/>
  <c r="G109" i="14" s="1"/>
  <c r="AW457" i="9"/>
  <c r="AX457" i="9" s="1"/>
  <c r="AY457" i="9" s="1"/>
  <c r="AZ457" i="9" s="1"/>
  <c r="BA457" i="9" s="1"/>
  <c r="BB457" i="9" s="1"/>
  <c r="BC457" i="9" s="1"/>
  <c r="BD457" i="9" s="1"/>
  <c r="BE457" i="9" s="1"/>
  <c r="AX145" i="9"/>
  <c r="BB505" i="9"/>
  <c r="BC505" i="9" s="1"/>
  <c r="BD505" i="9" s="1"/>
  <c r="BE505" i="9" s="1"/>
  <c r="AT253" i="21"/>
  <c r="AA5" i="12"/>
  <c r="AA17" i="12" s="1"/>
  <c r="Z73" i="11" s="1"/>
  <c r="Z555" i="9"/>
  <c r="D109" i="14"/>
  <c r="BB556" i="9"/>
  <c r="BB566" i="9" s="1"/>
  <c r="E554" i="9"/>
  <c r="D21" i="14" s="1"/>
  <c r="BQ369" i="9"/>
  <c r="AX556" i="9"/>
  <c r="AX566" i="9" s="1"/>
  <c r="BE555" i="9"/>
  <c r="BE565" i="9" s="1"/>
  <c r="Y95" i="9"/>
  <c r="Z4" i="12" s="1"/>
  <c r="Z16" i="12" s="1"/>
  <c r="Y77" i="10" s="1"/>
  <c r="W43" i="13"/>
  <c r="F21" i="14"/>
  <c r="F22" i="14" s="1"/>
  <c r="O6" i="14"/>
  <c r="P95" i="9"/>
  <c r="Z95" i="9"/>
  <c r="AA4" i="12" s="1"/>
  <c r="AA16" i="12" s="1"/>
  <c r="Z77" i="10" s="1"/>
  <c r="F139" i="20"/>
  <c r="AJ81" i="11"/>
  <c r="W26" i="13"/>
  <c r="AN91" i="10"/>
  <c r="D201" i="20"/>
  <c r="D46" i="32"/>
  <c r="D70" i="32" s="1"/>
  <c r="D70" i="10"/>
  <c r="AL37" i="32"/>
  <c r="AL61" i="32" s="1"/>
  <c r="AL61" i="10"/>
  <c r="AR7" i="10"/>
  <c r="M21" i="32"/>
  <c r="P6" i="32"/>
  <c r="Q6" i="32"/>
  <c r="AO139" i="16"/>
  <c r="AO141" i="16" s="1"/>
  <c r="AC6" i="32"/>
  <c r="W35" i="32"/>
  <c r="W59" i="32" s="1"/>
  <c r="AL65" i="34"/>
  <c r="AJ8" i="32"/>
  <c r="D34" i="32"/>
  <c r="D58" i="32" s="1"/>
  <c r="G65" i="32"/>
  <c r="F61" i="32"/>
  <c r="H18" i="32"/>
  <c r="D68" i="34"/>
  <c r="D45" i="32"/>
  <c r="D69" i="32" s="1"/>
  <c r="D69" i="10"/>
  <c r="V37" i="32"/>
  <c r="AA8" i="32"/>
  <c r="AG31" i="34"/>
  <c r="AL62" i="32"/>
  <c r="AP61" i="32"/>
  <c r="AI18" i="32"/>
  <c r="D57" i="34"/>
  <c r="AP116" i="33"/>
  <c r="AC8" i="32"/>
  <c r="AQ8" i="32"/>
  <c r="I68" i="32"/>
  <c r="AG35" i="34"/>
  <c r="AG58" i="34" s="1"/>
  <c r="AQ70" i="32"/>
  <c r="AE12" i="32"/>
  <c r="AM36" i="32"/>
  <c r="AM32" i="32"/>
  <c r="AM56" i="32" s="1"/>
  <c r="D67" i="10"/>
  <c r="D43" i="32"/>
  <c r="D67" i="32" s="1"/>
  <c r="D60" i="10"/>
  <c r="D36" i="32"/>
  <c r="D60" i="32" s="1"/>
  <c r="N30" i="32"/>
  <c r="U37" i="32"/>
  <c r="U61" i="32" s="1"/>
  <c r="D51" i="34"/>
  <c r="AC32" i="32"/>
  <c r="M35" i="32"/>
  <c r="M59" i="32" s="1"/>
  <c r="K67" i="34"/>
  <c r="AH12" i="32"/>
  <c r="F62" i="32"/>
  <c r="D65" i="10"/>
  <c r="D64" i="34"/>
  <c r="AG53" i="34"/>
  <c r="K5" i="32"/>
  <c r="AD32" i="32"/>
  <c r="G59" i="32"/>
  <c r="AN44" i="34"/>
  <c r="AN67" i="34" s="1"/>
  <c r="AO64" i="32"/>
  <c r="AO5" i="32"/>
  <c r="E56" i="32"/>
  <c r="D31" i="32"/>
  <c r="D55" i="32" s="1"/>
  <c r="AL45" i="32"/>
  <c r="AQ65" i="32"/>
  <c r="I64" i="32"/>
  <c r="H53" i="34"/>
  <c r="K32" i="32"/>
  <c r="AI36" i="32"/>
  <c r="AI60" i="32" s="1"/>
  <c r="D35" i="32"/>
  <c r="D59" i="32" s="1"/>
  <c r="AB21" i="32"/>
  <c r="AB12" i="32"/>
  <c r="AA40" i="32"/>
  <c r="AA64" i="32" s="1"/>
  <c r="BQ215" i="9"/>
  <c r="BQ216" i="9" s="1"/>
  <c r="L8" i="13"/>
  <c r="AA554" i="9"/>
  <c r="AN52" i="11"/>
  <c r="AN30" i="32"/>
  <c r="AO35" i="12"/>
  <c r="AO18" i="12"/>
  <c r="AD78" i="14"/>
  <c r="AD6" i="37"/>
  <c r="AE13" i="20"/>
  <c r="AD62" i="14"/>
  <c r="K18" i="12"/>
  <c r="J73" i="34" s="1"/>
  <c r="J81" i="34" s="1"/>
  <c r="AV93" i="9"/>
  <c r="AV95" i="9"/>
  <c r="M78" i="14"/>
  <c r="M6" i="37"/>
  <c r="K31" i="13"/>
  <c r="K34" i="13" s="1"/>
  <c r="V34" i="13" s="1"/>
  <c r="BE95" i="9"/>
  <c r="K5" i="13"/>
  <c r="AM7" i="14"/>
  <c r="AN5" i="37"/>
  <c r="AN7" i="37" s="1"/>
  <c r="X6" i="32"/>
  <c r="H41" i="11"/>
  <c r="H64" i="11" s="1"/>
  <c r="AG39" i="32"/>
  <c r="AG63" i="32" s="1"/>
  <c r="BC555" i="9"/>
  <c r="BC565" i="9" s="1"/>
  <c r="BC574" i="9" s="1"/>
  <c r="AL6" i="32"/>
  <c r="X62" i="14"/>
  <c r="X6" i="37"/>
  <c r="F553" i="9"/>
  <c r="BE562" i="9"/>
  <c r="AN6" i="32"/>
  <c r="AO8" i="32"/>
  <c r="AJ31" i="11"/>
  <c r="AJ54" i="11" s="1"/>
  <c r="AN59" i="11"/>
  <c r="AL60" i="11"/>
  <c r="H44" i="11"/>
  <c r="H45" i="32" s="1"/>
  <c r="H69" i="32" s="1"/>
  <c r="BI432" i="9"/>
  <c r="BQ414" i="9"/>
  <c r="BQ432" i="9" s="1"/>
  <c r="AK7" i="37"/>
  <c r="AW556" i="9"/>
  <c r="AW566" i="9" s="1"/>
  <c r="BG69" i="9"/>
  <c r="L26" i="13"/>
  <c r="AV289" i="9"/>
  <c r="AW289" i="9" s="1"/>
  <c r="AX289" i="9" s="1"/>
  <c r="AY289" i="9" s="1"/>
  <c r="AZ289" i="9" s="1"/>
  <c r="BA289" i="9" s="1"/>
  <c r="BB289" i="9" s="1"/>
  <c r="BC289" i="9" s="1"/>
  <c r="BD289" i="9" s="1"/>
  <c r="BE289" i="9" s="1"/>
  <c r="AV556" i="9"/>
  <c r="AV566" i="9" s="1"/>
  <c r="Z62" i="14"/>
  <c r="Z6" i="37"/>
  <c r="AM54" i="11"/>
  <c r="BA337" i="9"/>
  <c r="BB337" i="9" s="1"/>
  <c r="BC337" i="9" s="1"/>
  <c r="BD337" i="9" s="1"/>
  <c r="BE337" i="9" s="1"/>
  <c r="K7" i="37"/>
  <c r="K8" i="37" s="1"/>
  <c r="AK7" i="14"/>
  <c r="AL5" i="37"/>
  <c r="AL7" i="37" s="1"/>
  <c r="O78" i="14"/>
  <c r="O6" i="37"/>
  <c r="O7" i="37" s="1"/>
  <c r="AB7" i="14"/>
  <c r="AC5" i="37"/>
  <c r="P16" i="14"/>
  <c r="Q11" i="37"/>
  <c r="BF573" i="9"/>
  <c r="H438" i="21"/>
  <c r="AE438" i="21"/>
  <c r="H5" i="32"/>
  <c r="Z36" i="14"/>
  <c r="AA78" i="14"/>
  <c r="AA6" i="37"/>
  <c r="BQ13" i="9"/>
  <c r="AC78" i="14"/>
  <c r="AC6" i="37"/>
  <c r="AC7" i="37" s="1"/>
  <c r="AH35" i="11"/>
  <c r="AH58" i="11" s="1"/>
  <c r="T43" i="32"/>
  <c r="T67" i="32" s="1"/>
  <c r="I32" i="32"/>
  <c r="I56" i="32" s="1"/>
  <c r="I57" i="32"/>
  <c r="I58" i="32"/>
  <c r="AF58" i="11"/>
  <c r="H63" i="11"/>
  <c r="BQ528" i="9"/>
  <c r="BQ438" i="9"/>
  <c r="BN456" i="9"/>
  <c r="E67" i="32"/>
  <c r="G52" i="11"/>
  <c r="M13" i="20"/>
  <c r="L6" i="37"/>
  <c r="L7" i="37" s="1"/>
  <c r="AO49" i="14"/>
  <c r="AP11" i="37"/>
  <c r="BF561" i="9"/>
  <c r="AP18" i="32"/>
  <c r="AI13" i="20"/>
  <c r="AH6" i="37"/>
  <c r="AI6" i="32"/>
  <c r="BD555" i="9"/>
  <c r="BD565" i="9" s="1"/>
  <c r="AM18" i="32"/>
  <c r="AM12" i="32"/>
  <c r="I36" i="32"/>
  <c r="I60" i="32" s="1"/>
  <c r="AM30" i="32"/>
  <c r="G40" i="32"/>
  <c r="G64" i="32" s="1"/>
  <c r="J63" i="32"/>
  <c r="F55" i="32"/>
  <c r="AE55" i="11"/>
  <c r="J61" i="32"/>
  <c r="E55" i="11"/>
  <c r="H52" i="11"/>
  <c r="AT368" i="21"/>
  <c r="BI384" i="9"/>
  <c r="BQ366" i="9"/>
  <c r="AW313" i="9"/>
  <c r="AX313" i="9" s="1"/>
  <c r="AY313" i="9" s="1"/>
  <c r="AZ313" i="9" s="1"/>
  <c r="BA313" i="9" s="1"/>
  <c r="BB313" i="9" s="1"/>
  <c r="BC313" i="9" s="1"/>
  <c r="BD313" i="9" s="1"/>
  <c r="BE313" i="9" s="1"/>
  <c r="D65" i="32"/>
  <c r="AP5" i="37"/>
  <c r="AP7" i="37" s="1"/>
  <c r="AM16" i="14"/>
  <c r="AN11" i="37"/>
  <c r="W12" i="32"/>
  <c r="X8" i="32"/>
  <c r="Y39" i="32"/>
  <c r="AM24" i="11"/>
  <c r="F5" i="32"/>
  <c r="E28" i="11"/>
  <c r="E51" i="11" s="1"/>
  <c r="AD5" i="32"/>
  <c r="AE95" i="9"/>
  <c r="AF4" i="12" s="1"/>
  <c r="AF16" i="12" s="1"/>
  <c r="AF19" i="12" s="1"/>
  <c r="AF36" i="12" s="1"/>
  <c r="AE62" i="14"/>
  <c r="AE6" i="37"/>
  <c r="AM95" i="9"/>
  <c r="AN4" i="12" s="1"/>
  <c r="AL41" i="32"/>
  <c r="AL65" i="32" s="1"/>
  <c r="AO54" i="11"/>
  <c r="H67" i="32"/>
  <c r="AA13" i="20"/>
  <c r="S44" i="13"/>
  <c r="W44" i="13" s="1"/>
  <c r="L44" i="13"/>
  <c r="R27" i="13"/>
  <c r="W27" i="13" s="1"/>
  <c r="L27" i="13"/>
  <c r="BQ360" i="9"/>
  <c r="BD556" i="9"/>
  <c r="BD566" i="9" s="1"/>
  <c r="L47" i="13"/>
  <c r="AA5" i="37"/>
  <c r="D42" i="32"/>
  <c r="D66" i="32" s="1"/>
  <c r="AZ193" i="9"/>
  <c r="BA193" i="9" s="1"/>
  <c r="BB193" i="9" s="1"/>
  <c r="BC193" i="9" s="1"/>
  <c r="BD193" i="9" s="1"/>
  <c r="BE193" i="9" s="1"/>
  <c r="AO28" i="11"/>
  <c r="AO51" i="11" s="1"/>
  <c r="J68" i="32"/>
  <c r="AN8" i="32"/>
  <c r="F70" i="32"/>
  <c r="H62" i="32"/>
  <c r="AR290" i="9"/>
  <c r="E30" i="32"/>
  <c r="E54" i="32" s="1"/>
  <c r="E52" i="11"/>
  <c r="I6" i="14"/>
  <c r="J95" i="9"/>
  <c r="K4" i="12" s="1"/>
  <c r="I44" i="11"/>
  <c r="I67" i="11" s="1"/>
  <c r="G6" i="14"/>
  <c r="H95" i="9"/>
  <c r="I4" i="12" s="1"/>
  <c r="D82" i="11"/>
  <c r="E82" i="11" s="1"/>
  <c r="F82" i="11" s="1"/>
  <c r="G82" i="11" s="1"/>
  <c r="H82" i="11" s="1"/>
  <c r="I82" i="11" s="1"/>
  <c r="AV529" i="9"/>
  <c r="AW529" i="9" s="1"/>
  <c r="AV560" i="9"/>
  <c r="AV572" i="9" s="1"/>
  <c r="BI360" i="9"/>
  <c r="L392" i="21"/>
  <c r="M392" i="21" s="1"/>
  <c r="N392" i="21" s="1"/>
  <c r="O392" i="21" s="1"/>
  <c r="P392" i="21" s="1"/>
  <c r="Q392" i="21" s="1"/>
  <c r="R392" i="21" s="1"/>
  <c r="S392" i="21" s="1"/>
  <c r="T392" i="21" s="1"/>
  <c r="U392" i="21" s="1"/>
  <c r="V392" i="21" s="1"/>
  <c r="W392" i="21" s="1"/>
  <c r="X392" i="21" s="1"/>
  <c r="Y392" i="21" s="1"/>
  <c r="Z392" i="21" s="1"/>
  <c r="AA392" i="21" s="1"/>
  <c r="AB392" i="21" s="1"/>
  <c r="AC392" i="21" s="1"/>
  <c r="AD392" i="21" s="1"/>
  <c r="AE392" i="21" s="1"/>
  <c r="AF392" i="21" s="1"/>
  <c r="AG392" i="21" s="1"/>
  <c r="AH392" i="21" s="1"/>
  <c r="AI392" i="21" s="1"/>
  <c r="AJ392" i="21" s="1"/>
  <c r="AK392" i="21" s="1"/>
  <c r="AL392" i="21" s="1"/>
  <c r="AM392" i="21" s="1"/>
  <c r="AN392" i="21" s="1"/>
  <c r="AO392" i="21" s="1"/>
  <c r="AP392" i="21" s="1"/>
  <c r="AQ392" i="21" s="1"/>
  <c r="AO32" i="32"/>
  <c r="AN16" i="14"/>
  <c r="AO11" i="37"/>
  <c r="X13" i="20"/>
  <c r="W6" i="37"/>
  <c r="AN61" i="32"/>
  <c r="K36" i="32"/>
  <c r="K60" i="32" s="1"/>
  <c r="AW92" i="9"/>
  <c r="AN13" i="20"/>
  <c r="AM6" i="37"/>
  <c r="AM7" i="37" s="1"/>
  <c r="AY385" i="9"/>
  <c r="AZ385" i="9" s="1"/>
  <c r="BA385" i="9" s="1"/>
  <c r="BB385" i="9" s="1"/>
  <c r="BC385" i="9" s="1"/>
  <c r="BD385" i="9" s="1"/>
  <c r="BE385" i="9" s="1"/>
  <c r="AO30" i="32"/>
  <c r="AN54" i="11"/>
  <c r="H554" i="9"/>
  <c r="D6" i="14"/>
  <c r="E95" i="9"/>
  <c r="F4" i="12" s="1"/>
  <c r="AY433" i="9"/>
  <c r="AZ433" i="9" s="1"/>
  <c r="BA433" i="9" s="1"/>
  <c r="BB433" i="9" s="1"/>
  <c r="BC433" i="9" s="1"/>
  <c r="BD433" i="9" s="1"/>
  <c r="BE433" i="9" s="1"/>
  <c r="E6" i="14"/>
  <c r="F95" i="9"/>
  <c r="G4" i="12" s="1"/>
  <c r="G35" i="12" s="1"/>
  <c r="H62" i="14"/>
  <c r="H7" i="14"/>
  <c r="BQ502" i="9"/>
  <c r="BQ504" i="9" s="1"/>
  <c r="BN504" i="9"/>
  <c r="E54" i="11"/>
  <c r="AO6" i="14"/>
  <c r="AO7" i="14" s="1"/>
  <c r="AP95" i="9"/>
  <c r="AQ4" i="12" s="1"/>
  <c r="AQ16" i="12" s="1"/>
  <c r="AP77" i="10" s="1"/>
  <c r="L8" i="32"/>
  <c r="BQ480" i="9"/>
  <c r="BK168" i="9"/>
  <c r="AC26" i="20"/>
  <c r="AC27" i="20" s="1"/>
  <c r="S13" i="20"/>
  <c r="R6" i="37"/>
  <c r="R7" i="37" s="1"/>
  <c r="BK46" i="9"/>
  <c r="AB31" i="32"/>
  <c r="AB55" i="32" s="1"/>
  <c r="AK5" i="32"/>
  <c r="AP70" i="32"/>
  <c r="Y62" i="14"/>
  <c r="Y6" i="37"/>
  <c r="BA556" i="9"/>
  <c r="BA566" i="9" s="1"/>
  <c r="AM64" i="32"/>
  <c r="H37" i="32"/>
  <c r="H61" i="32" s="1"/>
  <c r="AO6" i="32"/>
  <c r="Z8" i="32"/>
  <c r="AN32" i="32"/>
  <c r="AQ63" i="32"/>
  <c r="U555" i="9"/>
  <c r="V5" i="12" s="1"/>
  <c r="V17" i="12" s="1"/>
  <c r="H556" i="9"/>
  <c r="I6" i="12" s="1"/>
  <c r="I18" i="12" s="1"/>
  <c r="I30" i="11"/>
  <c r="J6" i="32"/>
  <c r="J29" i="11"/>
  <c r="J30" i="32" s="1"/>
  <c r="E67" i="11"/>
  <c r="F78" i="14"/>
  <c r="F62" i="14"/>
  <c r="F7" i="14"/>
  <c r="F17" i="14"/>
  <c r="AX481" i="9"/>
  <c r="AY481" i="9" s="1"/>
  <c r="AZ481" i="9" s="1"/>
  <c r="BA481" i="9" s="1"/>
  <c r="BB481" i="9" s="1"/>
  <c r="BC481" i="9" s="1"/>
  <c r="BD481" i="9" s="1"/>
  <c r="BE481" i="9" s="1"/>
  <c r="E93" i="9"/>
  <c r="F93" i="9" s="1"/>
  <c r="G93" i="9" s="1"/>
  <c r="H93" i="9" s="1"/>
  <c r="I93" i="9" s="1"/>
  <c r="J93" i="9" s="1"/>
  <c r="K93" i="9" s="1"/>
  <c r="L93" i="9" s="1"/>
  <c r="M93" i="9" s="1"/>
  <c r="N93" i="9" s="1"/>
  <c r="O93" i="9" s="1"/>
  <c r="P93" i="9" s="1"/>
  <c r="Q93" i="9" s="1"/>
  <c r="R93" i="9" s="1"/>
  <c r="S93" i="9" s="1"/>
  <c r="T93" i="9" s="1"/>
  <c r="U93" i="9" s="1"/>
  <c r="V93" i="9" s="1"/>
  <c r="W93" i="9" s="1"/>
  <c r="X93" i="9" s="1"/>
  <c r="Y93" i="9" s="1"/>
  <c r="Z93" i="9" s="1"/>
  <c r="AA93" i="9" s="1"/>
  <c r="AB93" i="9" s="1"/>
  <c r="AC93" i="9" s="1"/>
  <c r="AD93" i="9" s="1"/>
  <c r="AE93" i="9" s="1"/>
  <c r="AF93" i="9" s="1"/>
  <c r="AG93" i="9" s="1"/>
  <c r="AH93" i="9" s="1"/>
  <c r="AI93" i="9" s="1"/>
  <c r="AJ93" i="9" s="1"/>
  <c r="AK93" i="9" s="1"/>
  <c r="AL93" i="9" s="1"/>
  <c r="AM93" i="9" s="1"/>
  <c r="AN93" i="9" s="1"/>
  <c r="AO93" i="9" s="1"/>
  <c r="AP93" i="9" s="1"/>
  <c r="AQ93" i="9" s="1"/>
  <c r="AT421" i="21"/>
  <c r="W39" i="32"/>
  <c r="W95" i="9"/>
  <c r="X4" i="12" s="1"/>
  <c r="X16" i="12" s="1"/>
  <c r="W77" i="10" s="1"/>
  <c r="W13" i="20"/>
  <c r="V6" i="37"/>
  <c r="U33" i="32"/>
  <c r="U57" i="32" s="1"/>
  <c r="V555" i="9"/>
  <c r="W5" i="12" s="1"/>
  <c r="F21" i="13"/>
  <c r="Q21" i="13" s="1"/>
  <c r="Q22" i="13" s="1"/>
  <c r="BK336" i="9"/>
  <c r="N46" i="10"/>
  <c r="N68" i="11"/>
  <c r="U8" i="32"/>
  <c r="N29" i="10"/>
  <c r="AT381" i="21"/>
  <c r="T36" i="14"/>
  <c r="T109" i="14" s="1"/>
  <c r="T6" i="14"/>
  <c r="D51" i="11"/>
  <c r="AT436" i="21"/>
  <c r="L32" i="13"/>
  <c r="S45" i="32"/>
  <c r="AR21" i="11"/>
  <c r="S21" i="32"/>
  <c r="S31" i="32"/>
  <c r="S55" i="32" s="1"/>
  <c r="P55" i="10"/>
  <c r="P53" i="11"/>
  <c r="V81" i="34"/>
  <c r="AQ18" i="12"/>
  <c r="AP73" i="34" s="1"/>
  <c r="AP81" i="34" s="1"/>
  <c r="G18" i="12"/>
  <c r="E73" i="34"/>
  <c r="E81" i="34" s="1"/>
  <c r="E19" i="12"/>
  <c r="E36" i="12" s="1"/>
  <c r="D73" i="34"/>
  <c r="E43" i="12"/>
  <c r="Q8" i="32"/>
  <c r="Q32" i="32"/>
  <c r="Q54" i="11"/>
  <c r="BJ120" i="9"/>
  <c r="P21" i="32"/>
  <c r="BI120" i="9"/>
  <c r="O8" i="32"/>
  <c r="O32" i="32"/>
  <c r="N6" i="32"/>
  <c r="N38" i="32"/>
  <c r="N62" i="32" s="1"/>
  <c r="AU83" i="9"/>
  <c r="M35" i="11"/>
  <c r="M58" i="11" s="1"/>
  <c r="W19" i="13"/>
  <c r="L19" i="13"/>
  <c r="BI240" i="9"/>
  <c r="J70" i="32"/>
  <c r="H46" i="32"/>
  <c r="H70" i="32" s="1"/>
  <c r="J67" i="34"/>
  <c r="I44" i="34"/>
  <c r="I21" i="32"/>
  <c r="J18" i="32"/>
  <c r="AN7" i="14"/>
  <c r="AA7" i="14"/>
  <c r="D139" i="20"/>
  <c r="AD22" i="14"/>
  <c r="C95" i="14"/>
  <c r="K7" i="14"/>
  <c r="E32" i="14"/>
  <c r="C22" i="14"/>
  <c r="C23" i="14" s="1"/>
  <c r="Z13" i="20"/>
  <c r="Y13" i="20"/>
  <c r="AK103" i="20"/>
  <c r="AP95" i="14"/>
  <c r="AB13" i="20"/>
  <c r="AP32" i="14"/>
  <c r="R16" i="14"/>
  <c r="AD95" i="14"/>
  <c r="G139" i="20"/>
  <c r="X78" i="14"/>
  <c r="AG103" i="20"/>
  <c r="AC62" i="14"/>
  <c r="AJ21" i="14"/>
  <c r="AJ22" i="14" s="1"/>
  <c r="AO139" i="20"/>
  <c r="AF37" i="14"/>
  <c r="AD13" i="20"/>
  <c r="AF103" i="20"/>
  <c r="E95" i="14"/>
  <c r="H109" i="14"/>
  <c r="I103" i="20"/>
  <c r="I554" i="9"/>
  <c r="H21" i="14" s="1"/>
  <c r="H32" i="14" s="1"/>
  <c r="I200" i="20"/>
  <c r="I201" i="20" s="1"/>
  <c r="I73" i="34"/>
  <c r="I81" i="34" s="1"/>
  <c r="J19" i="12"/>
  <c r="J36" i="12" s="1"/>
  <c r="J35" i="12"/>
  <c r="C36" i="13"/>
  <c r="N36" i="13" s="1"/>
  <c r="G55" i="32"/>
  <c r="G62" i="34"/>
  <c r="G553" i="9"/>
  <c r="H553" i="9" s="1"/>
  <c r="I553" i="9" s="1"/>
  <c r="J553" i="9" s="1"/>
  <c r="K553" i="9" s="1"/>
  <c r="L553" i="9" s="1"/>
  <c r="M553" i="9" s="1"/>
  <c r="N553" i="9" s="1"/>
  <c r="O553" i="9" s="1"/>
  <c r="P553" i="9" s="1"/>
  <c r="Q553" i="9" s="1"/>
  <c r="R553" i="9" s="1"/>
  <c r="S553" i="9" s="1"/>
  <c r="T553" i="9" s="1"/>
  <c r="U553" i="9" s="1"/>
  <c r="V553" i="9" s="1"/>
  <c r="W553" i="9" s="1"/>
  <c r="X553" i="9" s="1"/>
  <c r="Y553" i="9" s="1"/>
  <c r="Z553" i="9" s="1"/>
  <c r="AA553" i="9" s="1"/>
  <c r="AB553" i="9" s="1"/>
  <c r="AC553" i="9" s="1"/>
  <c r="AD553" i="9" s="1"/>
  <c r="AE553" i="9" s="1"/>
  <c r="AF553" i="9" s="1"/>
  <c r="AG553" i="9" s="1"/>
  <c r="AH553" i="9" s="1"/>
  <c r="AI553" i="9" s="1"/>
  <c r="AJ553" i="9" s="1"/>
  <c r="AK553" i="9" s="1"/>
  <c r="AL553" i="9" s="1"/>
  <c r="AM553" i="9" s="1"/>
  <c r="AN553" i="9" s="1"/>
  <c r="AO553" i="9" s="1"/>
  <c r="AP553" i="9" s="1"/>
  <c r="AQ553" i="9" s="1"/>
  <c r="G200" i="20"/>
  <c r="G201" i="20" s="1"/>
  <c r="F95" i="14"/>
  <c r="H18" i="12"/>
  <c r="H19" i="12" s="1"/>
  <c r="H36" i="12" s="1"/>
  <c r="F32" i="14"/>
  <c r="AF5" i="14"/>
  <c r="AC5" i="14"/>
  <c r="AG9" i="36"/>
  <c r="AG11" i="36" s="1"/>
  <c r="AG12" i="36" s="1"/>
  <c r="AE14" i="36" s="1"/>
  <c r="X5" i="14"/>
  <c r="X35" i="14"/>
  <c r="X37" i="14" s="1"/>
  <c r="V35" i="14"/>
  <c r="V37" i="14" s="1"/>
  <c r="I35" i="14"/>
  <c r="AF41" i="14"/>
  <c r="AF49" i="14" s="1"/>
  <c r="AC35" i="14"/>
  <c r="AC37" i="14" s="1"/>
  <c r="AG97" i="36"/>
  <c r="AG99" i="36" s="1"/>
  <c r="AG100" i="36" s="1"/>
  <c r="AD101" i="36" s="1"/>
  <c r="G35" i="14"/>
  <c r="G37" i="14" s="1"/>
  <c r="J41" i="14"/>
  <c r="AE5" i="14"/>
  <c r="AH5" i="14"/>
  <c r="AI5" i="37" s="1"/>
  <c r="AK9" i="36"/>
  <c r="AK11" i="36" s="1"/>
  <c r="AK12" i="36" s="1"/>
  <c r="AK14" i="36" s="1"/>
  <c r="AJ35" i="14"/>
  <c r="AJ37" i="14" s="1"/>
  <c r="AO97" i="36"/>
  <c r="AD5" i="14"/>
  <c r="AG35" i="14"/>
  <c r="AG46" i="14" s="1"/>
  <c r="AI35" i="14"/>
  <c r="AI37" i="14" s="1"/>
  <c r="AJ41" i="14"/>
  <c r="AJ49" i="14" s="1"/>
  <c r="U35" i="14"/>
  <c r="Y5" i="14"/>
  <c r="AB9" i="36"/>
  <c r="K35" i="14"/>
  <c r="K37" i="14" s="1"/>
  <c r="T35" i="14"/>
  <c r="X97" i="36"/>
  <c r="X99" i="36" s="1"/>
  <c r="X100" i="36" s="1"/>
  <c r="X101" i="36" s="1"/>
  <c r="AG14" i="36"/>
  <c r="K41" i="14"/>
  <c r="I41" i="14"/>
  <c r="V5" i="14"/>
  <c r="V14" i="36"/>
  <c r="W35" i="14"/>
  <c r="W46" i="14" s="1"/>
  <c r="X41" i="14"/>
  <c r="AM41" i="14"/>
  <c r="AK35" i="14"/>
  <c r="AK46" i="14" s="1"/>
  <c r="AK110" i="36"/>
  <c r="AK112" i="36" s="1"/>
  <c r="AK113" i="36" s="1"/>
  <c r="AJ114" i="36" s="1"/>
  <c r="AL41" i="14"/>
  <c r="AL49" i="14" s="1"/>
  <c r="AO110" i="36"/>
  <c r="AO112" i="36" s="1"/>
  <c r="AO113" i="36" s="1"/>
  <c r="AO114" i="36" s="1"/>
  <c r="F35" i="14"/>
  <c r="F37" i="14" s="1"/>
  <c r="U5" i="14"/>
  <c r="H41" i="14"/>
  <c r="H49" i="14" s="1"/>
  <c r="K110" i="36"/>
  <c r="K112" i="36" s="1"/>
  <c r="K113" i="36" s="1"/>
  <c r="K114" i="36" s="1"/>
  <c r="V41" i="14"/>
  <c r="V49" i="14" s="1"/>
  <c r="Y35" i="14"/>
  <c r="AB97" i="36"/>
  <c r="L5" i="14"/>
  <c r="O9" i="36"/>
  <c r="E35" i="14"/>
  <c r="E37" i="14" s="1"/>
  <c r="AE35" i="14"/>
  <c r="AE46" i="14" s="1"/>
  <c r="F41" i="14"/>
  <c r="F49" i="14" s="1"/>
  <c r="AH35" i="14"/>
  <c r="AH46" i="14" s="1"/>
  <c r="AK97" i="36"/>
  <c r="AK99" i="36" s="1"/>
  <c r="AK100" i="36" s="1"/>
  <c r="AI101" i="36" s="1"/>
  <c r="T41" i="14"/>
  <c r="X110" i="36"/>
  <c r="X112" i="36" s="1"/>
  <c r="X113" i="36" s="1"/>
  <c r="W114" i="36" s="1"/>
  <c r="T5" i="14"/>
  <c r="U5" i="37" s="1"/>
  <c r="U7" i="37" s="1"/>
  <c r="X9" i="36"/>
  <c r="X11" i="36" s="1"/>
  <c r="X12" i="36" s="1"/>
  <c r="T14" i="36" s="1"/>
  <c r="H35" i="14"/>
  <c r="H37" i="14" s="1"/>
  <c r="K97" i="36"/>
  <c r="K99" i="36" s="1"/>
  <c r="K100" i="36" s="1"/>
  <c r="K101" i="36" s="1"/>
  <c r="AN41" i="14"/>
  <c r="AN46" i="14" s="1"/>
  <c r="Y41" i="14"/>
  <c r="AB110" i="36"/>
  <c r="AB112" i="36" s="1"/>
  <c r="AB113" i="36" s="1"/>
  <c r="AB114" i="36" s="1"/>
  <c r="D41" i="14"/>
  <c r="G110" i="36"/>
  <c r="G112" i="36" s="1"/>
  <c r="G113" i="36" s="1"/>
  <c r="F114" i="36" s="1"/>
  <c r="J35" i="14"/>
  <c r="P41" i="14"/>
  <c r="P46" i="14" s="1"/>
  <c r="S110" i="36"/>
  <c r="S112" i="36" s="1"/>
  <c r="S113" i="36" s="1"/>
  <c r="AC41" i="14"/>
  <c r="AC49" i="14" s="1"/>
  <c r="AG110" i="36"/>
  <c r="AG112" i="36" s="1"/>
  <c r="AG113" i="36" s="1"/>
  <c r="AC114" i="36" s="1"/>
  <c r="W5" i="14"/>
  <c r="W14" i="36"/>
  <c r="O97" i="36"/>
  <c r="AD41" i="14"/>
  <c r="I5" i="14"/>
  <c r="I7" i="14" s="1"/>
  <c r="K9" i="36"/>
  <c r="K11" i="36" s="1"/>
  <c r="K12" i="36" s="1"/>
  <c r="D35" i="14"/>
  <c r="D37" i="14" s="1"/>
  <c r="D38" i="14" s="1"/>
  <c r="G97" i="36"/>
  <c r="G99" i="36" s="1"/>
  <c r="G100" i="36" s="1"/>
  <c r="G101" i="36" s="1"/>
  <c r="L41" i="14"/>
  <c r="O110" i="36"/>
  <c r="O112" i="36" s="1"/>
  <c r="O113" i="36" s="1"/>
  <c r="M114" i="36" s="1"/>
  <c r="G41" i="14"/>
  <c r="G49" i="14" s="1"/>
  <c r="Y26" i="14"/>
  <c r="AB71" i="36"/>
  <c r="T26" i="14"/>
  <c r="X71" i="36"/>
  <c r="X73" i="36" s="1"/>
  <c r="L26" i="14"/>
  <c r="O71" i="36"/>
  <c r="S71" i="36"/>
  <c r="S73" i="36" s="1"/>
  <c r="K71" i="36"/>
  <c r="K73" i="36" s="1"/>
  <c r="AB48" i="36"/>
  <c r="O48" i="36"/>
  <c r="X48" i="36"/>
  <c r="X50" i="36" s="1"/>
  <c r="K48" i="36"/>
  <c r="AQ96" i="36"/>
  <c r="H46" i="14"/>
  <c r="AN5" i="32"/>
  <c r="AM5" i="32"/>
  <c r="AL5" i="32"/>
  <c r="AQ28" i="34"/>
  <c r="AQ51" i="34" s="1"/>
  <c r="AL29" i="10"/>
  <c r="AD29" i="10"/>
  <c r="AD29" i="32" s="1"/>
  <c r="X24" i="34"/>
  <c r="I5" i="32"/>
  <c r="K139" i="16"/>
  <c r="J24" i="34"/>
  <c r="AN61" i="34"/>
  <c r="AT110" i="33"/>
  <c r="AD61" i="34"/>
  <c r="G62" i="32"/>
  <c r="AO60" i="34"/>
  <c r="AG59" i="34"/>
  <c r="AG61" i="34"/>
  <c r="AQ56" i="34"/>
  <c r="AI55" i="34"/>
  <c r="AP55" i="34"/>
  <c r="AK55" i="34"/>
  <c r="J55" i="34"/>
  <c r="AM41" i="32"/>
  <c r="AM65" i="32" s="1"/>
  <c r="AH39" i="32"/>
  <c r="AH63" i="32" s="1"/>
  <c r="J62" i="32"/>
  <c r="AM38" i="32"/>
  <c r="AM62" i="32" s="1"/>
  <c r="I63" i="11"/>
  <c r="AD40" i="32"/>
  <c r="AP39" i="32"/>
  <c r="AP63" i="32" s="1"/>
  <c r="I65" i="32"/>
  <c r="J40" i="32"/>
  <c r="J64" i="32" s="1"/>
  <c r="AM63" i="32"/>
  <c r="AO41" i="32"/>
  <c r="AO65" i="32" s="1"/>
  <c r="AO62" i="11"/>
  <c r="AO59" i="32"/>
  <c r="Z59" i="32"/>
  <c r="AE57" i="32"/>
  <c r="R38" i="32"/>
  <c r="R62" i="32" s="1"/>
  <c r="I63" i="32"/>
  <c r="AB63" i="32"/>
  <c r="N15" i="32"/>
  <c r="AM58" i="32"/>
  <c r="AO57" i="32"/>
  <c r="AO34" i="32"/>
  <c r="AO58" i="32" s="1"/>
  <c r="AO58" i="10"/>
  <c r="AQ59" i="10"/>
  <c r="AQ35" i="32"/>
  <c r="AQ59" i="32" s="1"/>
  <c r="AP12" i="32"/>
  <c r="AO60" i="32"/>
  <c r="AP58" i="11"/>
  <c r="AP36" i="32"/>
  <c r="AO58" i="11"/>
  <c r="G36" i="32"/>
  <c r="G60" i="32" s="1"/>
  <c r="F58" i="11"/>
  <c r="AC58" i="11"/>
  <c r="AE36" i="32"/>
  <c r="AF12" i="32"/>
  <c r="AF36" i="10"/>
  <c r="AK36" i="10"/>
  <c r="AK60" i="10" s="1"/>
  <c r="AK12" i="32"/>
  <c r="AN12" i="32"/>
  <c r="AN36" i="10"/>
  <c r="L116" i="33"/>
  <c r="AO54" i="34"/>
  <c r="Q54" i="34"/>
  <c r="AP56" i="32"/>
  <c r="AN54" i="34"/>
  <c r="J8" i="32"/>
  <c r="S54" i="11"/>
  <c r="S8" i="32"/>
  <c r="H32" i="32"/>
  <c r="H56" i="32" s="1"/>
  <c r="V8" i="32"/>
  <c r="K8" i="32"/>
  <c r="AI8" i="32"/>
  <c r="AI32" i="32"/>
  <c r="AL56" i="32"/>
  <c r="AQ67" i="34"/>
  <c r="T21" i="32"/>
  <c r="T44" i="34"/>
  <c r="T45" i="32" s="1"/>
  <c r="AC21" i="32"/>
  <c r="AR21" i="34"/>
  <c r="AH45" i="32"/>
  <c r="AM21" i="32"/>
  <c r="AM45" i="32"/>
  <c r="AI30" i="32"/>
  <c r="AL30" i="32"/>
  <c r="AG6" i="32"/>
  <c r="AG30" i="32"/>
  <c r="Y64" i="34"/>
  <c r="T438" i="21"/>
  <c r="T50" i="11"/>
  <c r="AM438" i="21"/>
  <c r="H68" i="34"/>
  <c r="E68" i="34"/>
  <c r="H35" i="32"/>
  <c r="H59" i="32" s="1"/>
  <c r="H57" i="34"/>
  <c r="U40" i="32"/>
  <c r="U64" i="32" s="1"/>
  <c r="R18" i="32"/>
  <c r="K54" i="34"/>
  <c r="F6" i="32"/>
  <c r="F29" i="34"/>
  <c r="F52" i="34" s="1"/>
  <c r="AI43" i="32"/>
  <c r="AI67" i="32" s="1"/>
  <c r="AI65" i="34"/>
  <c r="AP66" i="34"/>
  <c r="S39" i="32"/>
  <c r="T116" i="33"/>
  <c r="AA33" i="32"/>
  <c r="AA57" i="32" s="1"/>
  <c r="AA56" i="34"/>
  <c r="AG18" i="32"/>
  <c r="J65" i="34"/>
  <c r="AO55" i="34"/>
  <c r="H56" i="34"/>
  <c r="AO67" i="32"/>
  <c r="G56" i="34"/>
  <c r="AP60" i="34"/>
  <c r="F54" i="34"/>
  <c r="F53" i="34"/>
  <c r="AP68" i="32"/>
  <c r="F116" i="33"/>
  <c r="AP28" i="34"/>
  <c r="AP51" i="34" s="1"/>
  <c r="AI34" i="32"/>
  <c r="AI58" i="32" s="1"/>
  <c r="I53" i="34"/>
  <c r="F33" i="32"/>
  <c r="F57" i="32" s="1"/>
  <c r="F55" i="34"/>
  <c r="S30" i="32"/>
  <c r="S54" i="32" s="1"/>
  <c r="AJ58" i="34"/>
  <c r="AC44" i="32"/>
  <c r="AC68" i="32" s="1"/>
  <c r="AM54" i="32"/>
  <c r="AE58" i="34"/>
  <c r="F56" i="34"/>
  <c r="AG61" i="32"/>
  <c r="J69" i="32"/>
  <c r="F65" i="32"/>
  <c r="V32" i="32"/>
  <c r="X12" i="32"/>
  <c r="J63" i="34"/>
  <c r="J41" i="32"/>
  <c r="J65" i="32" s="1"/>
  <c r="I59" i="34"/>
  <c r="I37" i="32"/>
  <c r="I61" i="32" s="1"/>
  <c r="V45" i="32"/>
  <c r="V69" i="32" s="1"/>
  <c r="AH59" i="32"/>
  <c r="AB35" i="32"/>
  <c r="AB59" i="32" s="1"/>
  <c r="F68" i="34"/>
  <c r="F58" i="32"/>
  <c r="G70" i="33"/>
  <c r="H70" i="33" s="1"/>
  <c r="I70" i="33" s="1"/>
  <c r="J70" i="33" s="1"/>
  <c r="K70" i="33" s="1"/>
  <c r="L70" i="33" s="1"/>
  <c r="M70" i="33" s="1"/>
  <c r="N70" i="33" s="1"/>
  <c r="O70" i="33" s="1"/>
  <c r="P70" i="33" s="1"/>
  <c r="Q70" i="33" s="1"/>
  <c r="R70" i="33" s="1"/>
  <c r="S70" i="33" s="1"/>
  <c r="T70" i="33" s="1"/>
  <c r="U70" i="33" s="1"/>
  <c r="V70" i="33" s="1"/>
  <c r="W70" i="33" s="1"/>
  <c r="X70" i="33" s="1"/>
  <c r="Y70" i="33" s="1"/>
  <c r="Z70" i="33" s="1"/>
  <c r="AA70" i="33" s="1"/>
  <c r="AB70" i="33" s="1"/>
  <c r="AC70" i="33" s="1"/>
  <c r="AD70" i="33" s="1"/>
  <c r="AE70" i="33" s="1"/>
  <c r="AF70" i="33" s="1"/>
  <c r="AG70" i="33" s="1"/>
  <c r="AH70" i="33" s="1"/>
  <c r="AI70" i="33" s="1"/>
  <c r="AJ70" i="33" s="1"/>
  <c r="AK70" i="33" s="1"/>
  <c r="AL70" i="33" s="1"/>
  <c r="AM70" i="33" s="1"/>
  <c r="AN70" i="33" s="1"/>
  <c r="AO70" i="33" s="1"/>
  <c r="AP70" i="33" s="1"/>
  <c r="AQ70" i="33" s="1"/>
  <c r="U29" i="34"/>
  <c r="U52" i="34" s="1"/>
  <c r="AJ55" i="34"/>
  <c r="AK57" i="32"/>
  <c r="AN70" i="32"/>
  <c r="AF59" i="32"/>
  <c r="X67" i="32"/>
  <c r="AD56" i="32"/>
  <c r="I68" i="34"/>
  <c r="I46" i="32"/>
  <c r="I70" i="32" s="1"/>
  <c r="H55" i="32"/>
  <c r="G67" i="34"/>
  <c r="J60" i="34"/>
  <c r="AR60" i="34" s="1"/>
  <c r="J32" i="32"/>
  <c r="J54" i="34"/>
  <c r="Q31" i="32"/>
  <c r="Q55" i="32" s="1"/>
  <c r="T38" i="32"/>
  <c r="T62" i="32" s="1"/>
  <c r="K18" i="32"/>
  <c r="AB36" i="32"/>
  <c r="AE56" i="34"/>
  <c r="AH36" i="32"/>
  <c r="AK53" i="34"/>
  <c r="AM63" i="34"/>
  <c r="AM62" i="34"/>
  <c r="AQ63" i="34"/>
  <c r="J67" i="32"/>
  <c r="J11" i="32"/>
  <c r="J34" i="34"/>
  <c r="J57" i="34" s="1"/>
  <c r="AO52" i="34"/>
  <c r="G61" i="32"/>
  <c r="K116" i="33"/>
  <c r="R35" i="34"/>
  <c r="V39" i="32"/>
  <c r="V63" i="32" s="1"/>
  <c r="AD53" i="34"/>
  <c r="AC12" i="32"/>
  <c r="AC58" i="34"/>
  <c r="AT57" i="33"/>
  <c r="AL61" i="34"/>
  <c r="Y35" i="32"/>
  <c r="Y59" i="32" s="1"/>
  <c r="G44" i="32"/>
  <c r="G68" i="32" s="1"/>
  <c r="AP56" i="34"/>
  <c r="G57" i="32"/>
  <c r="AK58" i="34"/>
  <c r="J57" i="32"/>
  <c r="AM52" i="34"/>
  <c r="AP54" i="32"/>
  <c r="AM41" i="34"/>
  <c r="AM64" i="34" s="1"/>
  <c r="AC36" i="32"/>
  <c r="AP58" i="32"/>
  <c r="T39" i="32"/>
  <c r="T63" i="32" s="1"/>
  <c r="G64" i="34"/>
  <c r="K64" i="34"/>
  <c r="AB5" i="32"/>
  <c r="AH5" i="32"/>
  <c r="AE53" i="34"/>
  <c r="AD62" i="34"/>
  <c r="AI54" i="34"/>
  <c r="AN53" i="34"/>
  <c r="H33" i="32"/>
  <c r="H57" i="32" s="1"/>
  <c r="H55" i="34"/>
  <c r="AN45" i="32"/>
  <c r="AN69" i="32" s="1"/>
  <c r="AT66" i="33"/>
  <c r="AR113" i="33"/>
  <c r="AT113" i="33" s="1"/>
  <c r="I54" i="34"/>
  <c r="AP54" i="34"/>
  <c r="AP52" i="34"/>
  <c r="K24" i="34"/>
  <c r="M116" i="33"/>
  <c r="G51" i="34"/>
  <c r="AD64" i="32"/>
  <c r="AR112" i="33"/>
  <c r="AT112" i="33" s="1"/>
  <c r="J53" i="34"/>
  <c r="J31" i="32"/>
  <c r="J55" i="32" s="1"/>
  <c r="AK30" i="32"/>
  <c r="AK54" i="32" s="1"/>
  <c r="S32" i="32"/>
  <c r="AA45" i="32"/>
  <c r="AA69" i="32" s="1"/>
  <c r="AC54" i="34"/>
  <c r="AI67" i="34"/>
  <c r="AN18" i="32"/>
  <c r="AC57" i="32"/>
  <c r="H39" i="32"/>
  <c r="H63" i="32" s="1"/>
  <c r="H61" i="34"/>
  <c r="I66" i="34"/>
  <c r="AO57" i="34"/>
  <c r="J58" i="34"/>
  <c r="H58" i="32"/>
  <c r="AP67" i="34"/>
  <c r="AO67" i="34"/>
  <c r="AQ69" i="32"/>
  <c r="R40" i="32"/>
  <c r="R64" i="32" s="1"/>
  <c r="Y61" i="34"/>
  <c r="AG52" i="34"/>
  <c r="AI5" i="32"/>
  <c r="AJ66" i="34"/>
  <c r="AJ53" i="34"/>
  <c r="AL54" i="34"/>
  <c r="G61" i="34"/>
  <c r="H44" i="32"/>
  <c r="H68" i="32" s="1"/>
  <c r="H66" i="34"/>
  <c r="H59" i="34"/>
  <c r="AO61" i="34"/>
  <c r="G32" i="32"/>
  <c r="G56" i="32" s="1"/>
  <c r="AP69" i="32"/>
  <c r="AO69" i="32"/>
  <c r="AA59" i="32"/>
  <c r="Z57" i="11"/>
  <c r="AB30" i="32"/>
  <c r="Y57" i="11"/>
  <c r="V44" i="32"/>
  <c r="V68" i="32" s="1"/>
  <c r="Y8" i="32"/>
  <c r="O12" i="32"/>
  <c r="O41" i="32"/>
  <c r="O65" i="32" s="1"/>
  <c r="P59" i="32"/>
  <c r="W29" i="11"/>
  <c r="W52" i="11" s="1"/>
  <c r="X29" i="11"/>
  <c r="X52" i="11" s="1"/>
  <c r="S4" i="32"/>
  <c r="R21" i="32"/>
  <c r="U55" i="11"/>
  <c r="O52" i="11"/>
  <c r="U65" i="11"/>
  <c r="N31" i="32"/>
  <c r="N55" i="32" s="1"/>
  <c r="R41" i="11"/>
  <c r="R64" i="11" s="1"/>
  <c r="O62" i="32"/>
  <c r="T31" i="11"/>
  <c r="T32" i="32" s="1"/>
  <c r="AT379" i="21"/>
  <c r="Y33" i="32"/>
  <c r="Y57" i="32" s="1"/>
  <c r="U59" i="11"/>
  <c r="Z53" i="11"/>
  <c r="Y32" i="32"/>
  <c r="AR8" i="11"/>
  <c r="Z65" i="32"/>
  <c r="M57" i="11"/>
  <c r="N31" i="11"/>
  <c r="N32" i="32" s="1"/>
  <c r="U32" i="32"/>
  <c r="Y45" i="32"/>
  <c r="Y69" i="32" s="1"/>
  <c r="X35" i="32"/>
  <c r="X59" i="32" s="1"/>
  <c r="Y66" i="11"/>
  <c r="X41" i="32"/>
  <c r="X65" i="32" s="1"/>
  <c r="V31" i="32"/>
  <c r="Y63" i="11"/>
  <c r="T59" i="32"/>
  <c r="AA31" i="32"/>
  <c r="AA55" i="32" s="1"/>
  <c r="T57" i="11"/>
  <c r="AD54" i="11"/>
  <c r="V63" i="11"/>
  <c r="X38" i="32"/>
  <c r="X62" i="32" s="1"/>
  <c r="Z39" i="32"/>
  <c r="Z63" i="32" s="1"/>
  <c r="AB438" i="21"/>
  <c r="AC55" i="11"/>
  <c r="Z67" i="32"/>
  <c r="L67" i="11"/>
  <c r="U45" i="32"/>
  <c r="U69" i="32" s="1"/>
  <c r="N11" i="32"/>
  <c r="L63" i="11"/>
  <c r="U6" i="32"/>
  <c r="Y60" i="11"/>
  <c r="AA5" i="32"/>
  <c r="S57" i="11"/>
  <c r="P57" i="11"/>
  <c r="U438" i="21"/>
  <c r="AA67" i="32"/>
  <c r="O60" i="11"/>
  <c r="Z65" i="11"/>
  <c r="L53" i="11"/>
  <c r="L64" i="11"/>
  <c r="L9" i="32"/>
  <c r="L68" i="11"/>
  <c r="U67" i="32"/>
  <c r="L52" i="11"/>
  <c r="P12" i="32"/>
  <c r="AB58" i="11"/>
  <c r="W67" i="32"/>
  <c r="AR43" i="11"/>
  <c r="N34" i="11"/>
  <c r="AR42" i="11"/>
  <c r="X68" i="32"/>
  <c r="AB57" i="11"/>
  <c r="L57" i="11"/>
  <c r="L59" i="11"/>
  <c r="Q41" i="32"/>
  <c r="Q65" i="32" s="1"/>
  <c r="Y12" i="32"/>
  <c r="AC58" i="32"/>
  <c r="Y68" i="32"/>
  <c r="AT434" i="21"/>
  <c r="AT387" i="21"/>
  <c r="X66" i="11"/>
  <c r="U31" i="32"/>
  <c r="U55" i="32" s="1"/>
  <c r="L50" i="11"/>
  <c r="O62" i="11"/>
  <c r="W34" i="32"/>
  <c r="W58" i="32" s="1"/>
  <c r="AT388" i="21"/>
  <c r="AT435" i="21"/>
  <c r="BQ336" i="9"/>
  <c r="AW552" i="9"/>
  <c r="AW562" i="9" s="1"/>
  <c r="AI109" i="14"/>
  <c r="AJ103" i="20"/>
  <c r="H103" i="20"/>
  <c r="I36" i="14"/>
  <c r="J554" i="9"/>
  <c r="X109" i="14"/>
  <c r="AV241" i="9"/>
  <c r="AW241" i="9" s="1"/>
  <c r="AX241" i="9" s="1"/>
  <c r="AY241" i="9" s="1"/>
  <c r="AZ241" i="9" s="1"/>
  <c r="BA241" i="9" s="1"/>
  <c r="BB241" i="9" s="1"/>
  <c r="BC241" i="9" s="1"/>
  <c r="BD241" i="9" s="1"/>
  <c r="BE241" i="9" s="1"/>
  <c r="AV557" i="9"/>
  <c r="AV569" i="9" s="1"/>
  <c r="V21" i="14"/>
  <c r="V95" i="14" s="1"/>
  <c r="AQ73" i="34"/>
  <c r="AQ81" i="34" s="1"/>
  <c r="AR19" i="12"/>
  <c r="T81" i="34"/>
  <c r="AR242" i="9"/>
  <c r="AL21" i="14"/>
  <c r="AM139" i="20" s="1"/>
  <c r="G21" i="14"/>
  <c r="H139" i="20" s="1"/>
  <c r="V109" i="14"/>
  <c r="AJ554" i="9"/>
  <c r="AI21" i="14" s="1"/>
  <c r="AJ139" i="20" s="1"/>
  <c r="AM103" i="20"/>
  <c r="U81" i="34"/>
  <c r="AP35" i="12"/>
  <c r="AV217" i="9"/>
  <c r="AW217" i="9" s="1"/>
  <c r="AX217" i="9" s="1"/>
  <c r="AY217" i="9" s="1"/>
  <c r="AZ217" i="9" s="1"/>
  <c r="BA217" i="9" s="1"/>
  <c r="BB217" i="9" s="1"/>
  <c r="BC217" i="9" s="1"/>
  <c r="BD217" i="9" s="1"/>
  <c r="BE217" i="9" s="1"/>
  <c r="AV555" i="9"/>
  <c r="AV553" i="9"/>
  <c r="AN95" i="14"/>
  <c r="H73" i="34"/>
  <c r="H81" i="34" s="1"/>
  <c r="T554" i="9"/>
  <c r="S21" i="14" s="1"/>
  <c r="T139" i="20" s="1"/>
  <c r="AN32" i="14"/>
  <c r="X81" i="34"/>
  <c r="W81" i="34"/>
  <c r="T103" i="20"/>
  <c r="R37" i="14"/>
  <c r="BB552" i="9"/>
  <c r="X21" i="14"/>
  <c r="Y139" i="20" s="1"/>
  <c r="Y200" i="20"/>
  <c r="Y201" i="20" s="1"/>
  <c r="Z35" i="12"/>
  <c r="BC552" i="9"/>
  <c r="BK69" i="9"/>
  <c r="N16" i="13"/>
  <c r="C21" i="13"/>
  <c r="N21" i="13" s="1"/>
  <c r="AW95" i="9"/>
  <c r="AW93" i="9"/>
  <c r="C5" i="13"/>
  <c r="C31" i="13"/>
  <c r="AM13" i="20"/>
  <c r="AL78" i="14"/>
  <c r="AL62" i="14"/>
  <c r="L13" i="20"/>
  <c r="AH35" i="12"/>
  <c r="BO23" i="9"/>
  <c r="AF91" i="10"/>
  <c r="AL7" i="14"/>
  <c r="AG19" i="12"/>
  <c r="AG36" i="12" s="1"/>
  <c r="AG37" i="12" s="1"/>
  <c r="AI6" i="14"/>
  <c r="AN78" i="14"/>
  <c r="AN17" i="14"/>
  <c r="AN62" i="14"/>
  <c r="AM78" i="14"/>
  <c r="AM62" i="14"/>
  <c r="BC92" i="9"/>
  <c r="BC95" i="9" s="1"/>
  <c r="N13" i="20"/>
  <c r="R31" i="35"/>
  <c r="R38" i="35" s="1"/>
  <c r="R51" i="35" s="1"/>
  <c r="BQ4" i="9"/>
  <c r="BL23" i="9"/>
  <c r="AP19" i="12"/>
  <c r="AP36" i="12" s="1"/>
  <c r="AE55" i="32"/>
  <c r="AH55" i="32"/>
  <c r="AK55" i="32"/>
  <c r="AP55" i="32"/>
  <c r="Z68" i="32"/>
  <c r="V62" i="32"/>
  <c r="AB6" i="32"/>
  <c r="AA36" i="32"/>
  <c r="AC30" i="32"/>
  <c r="AE6" i="32"/>
  <c r="AL63" i="32"/>
  <c r="AA12" i="32"/>
  <c r="AH6" i="32"/>
  <c r="X21" i="32"/>
  <c r="U139" i="16"/>
  <c r="U141" i="16" s="1"/>
  <c r="M139" i="16"/>
  <c r="M141" i="16" s="1"/>
  <c r="U18" i="32"/>
  <c r="W5" i="32"/>
  <c r="W44" i="32"/>
  <c r="W68" i="32" s="1"/>
  <c r="M60" i="10"/>
  <c r="M36" i="32"/>
  <c r="M60" i="32" s="1"/>
  <c r="V35" i="32"/>
  <c r="V59" i="32" s="1"/>
  <c r="V59" i="10"/>
  <c r="M67" i="10"/>
  <c r="M43" i="32"/>
  <c r="M67" i="32" s="1"/>
  <c r="R59" i="10"/>
  <c r="R35" i="32"/>
  <c r="R59" i="32" s="1"/>
  <c r="M44" i="32"/>
  <c r="M68" i="32" s="1"/>
  <c r="M68" i="10"/>
  <c r="M38" i="32"/>
  <c r="M62" i="32" s="1"/>
  <c r="M62" i="10"/>
  <c r="Q59" i="10"/>
  <c r="Q35" i="32"/>
  <c r="Q59" i="32" s="1"/>
  <c r="U35" i="32"/>
  <c r="U59" i="32" s="1"/>
  <c r="U59" i="10"/>
  <c r="R67" i="10"/>
  <c r="R43" i="32"/>
  <c r="R67" i="32" s="1"/>
  <c r="V43" i="32"/>
  <c r="V67" i="32" s="1"/>
  <c r="V67" i="10"/>
  <c r="S67" i="10"/>
  <c r="S43" i="32"/>
  <c r="S67" i="32" s="1"/>
  <c r="T68" i="10"/>
  <c r="T44" i="32"/>
  <c r="T68" i="32" s="1"/>
  <c r="Q68" i="10"/>
  <c r="Q44" i="32"/>
  <c r="Q68" i="32" s="1"/>
  <c r="AK67" i="10"/>
  <c r="AK43" i="32"/>
  <c r="AK67" i="32" s="1"/>
  <c r="AN62" i="10"/>
  <c r="AN38" i="32"/>
  <c r="AN62" i="32" s="1"/>
  <c r="AI57" i="32"/>
  <c r="AD6" i="32"/>
  <c r="AK8" i="32"/>
  <c r="AK37" i="32"/>
  <c r="AK61" i="32" s="1"/>
  <c r="AK61" i="10"/>
  <c r="N60" i="10"/>
  <c r="N36" i="32"/>
  <c r="AB43" i="32"/>
  <c r="AB67" i="32" s="1"/>
  <c r="AB67" i="10"/>
  <c r="AN59" i="10"/>
  <c r="AN35" i="32"/>
  <c r="AN59" i="32" s="1"/>
  <c r="S44" i="32"/>
  <c r="S68" i="32" s="1"/>
  <c r="S68" i="10"/>
  <c r="K38" i="32"/>
  <c r="K62" i="32" s="1"/>
  <c r="K62" i="10"/>
  <c r="P68" i="10"/>
  <c r="P44" i="32"/>
  <c r="P68" i="32" s="1"/>
  <c r="AC43" i="32"/>
  <c r="AC67" i="32" s="1"/>
  <c r="AC67" i="10"/>
  <c r="AG40" i="32"/>
  <c r="AG64" i="32" s="1"/>
  <c r="AG64" i="10"/>
  <c r="AR137" i="16"/>
  <c r="AT137" i="16" s="1"/>
  <c r="AR128" i="16"/>
  <c r="AT128" i="16" s="1"/>
  <c r="T18" i="32"/>
  <c r="V61" i="32"/>
  <c r="W21" i="32"/>
  <c r="Y62" i="32"/>
  <c r="AF18" i="32"/>
  <c r="AG5" i="32"/>
  <c r="AB56" i="32"/>
  <c r="AB65" i="32"/>
  <c r="AF30" i="10"/>
  <c r="AF54" i="10" s="1"/>
  <c r="AG70" i="32"/>
  <c r="AJ64" i="32"/>
  <c r="P67" i="10"/>
  <c r="P43" i="32"/>
  <c r="P67" i="32" s="1"/>
  <c r="K19" i="32"/>
  <c r="K43" i="10"/>
  <c r="AF61" i="10"/>
  <c r="AF37" i="32"/>
  <c r="AF61" i="32" s="1"/>
  <c r="AB68" i="10"/>
  <c r="AB44" i="32"/>
  <c r="AB68" i="32" s="1"/>
  <c r="AG59" i="10"/>
  <c r="AG35" i="32"/>
  <c r="AG59" i="32" s="1"/>
  <c r="AF40" i="32"/>
  <c r="AF64" i="32" s="1"/>
  <c r="AF64" i="10"/>
  <c r="K40" i="32"/>
  <c r="K64" i="32" s="1"/>
  <c r="K64" i="10"/>
  <c r="O68" i="10"/>
  <c r="O44" i="32"/>
  <c r="O68" i="32" s="1"/>
  <c r="AD59" i="10"/>
  <c r="AD35" i="32"/>
  <c r="AD59" i="32" s="1"/>
  <c r="AN64" i="10"/>
  <c r="AN40" i="32"/>
  <c r="AN64" i="32" s="1"/>
  <c r="K55" i="10"/>
  <c r="AD68" i="10"/>
  <c r="AD44" i="32"/>
  <c r="AD68" i="32" s="1"/>
  <c r="AE56" i="10"/>
  <c r="AE32" i="32"/>
  <c r="AE56" i="32" s="1"/>
  <c r="AF33" i="32"/>
  <c r="AF57" i="32" s="1"/>
  <c r="AF57" i="10"/>
  <c r="AM67" i="10"/>
  <c r="AM43" i="32"/>
  <c r="AM67" i="32" s="1"/>
  <c r="AE67" i="10"/>
  <c r="AE43" i="32"/>
  <c r="AE67" i="32" s="1"/>
  <c r="K34" i="32"/>
  <c r="K58" i="32" s="1"/>
  <c r="K58" i="10"/>
  <c r="U62" i="32"/>
  <c r="M8" i="32"/>
  <c r="Q5" i="32"/>
  <c r="Q67" i="10"/>
  <c r="Q43" i="32"/>
  <c r="Q67" i="32" s="1"/>
  <c r="AN65" i="10"/>
  <c r="AN41" i="32"/>
  <c r="AN65" i="32" s="1"/>
  <c r="K30" i="32"/>
  <c r="K54" i="32" s="1"/>
  <c r="K54" i="10"/>
  <c r="AC59" i="10"/>
  <c r="AC35" i="32"/>
  <c r="AC59" i="32" s="1"/>
  <c r="AG42" i="10"/>
  <c r="AG42" i="32" s="1"/>
  <c r="AB57" i="32"/>
  <c r="AF34" i="32"/>
  <c r="AF58" i="32" s="1"/>
  <c r="AF58" i="10"/>
  <c r="AH43" i="32"/>
  <c r="AH67" i="32" s="1"/>
  <c r="AH67" i="10"/>
  <c r="K63" i="10"/>
  <c r="AI44" i="32"/>
  <c r="AI68" i="32" s="1"/>
  <c r="AI68" i="10"/>
  <c r="AI37" i="32"/>
  <c r="AI61" i="32" s="1"/>
  <c r="AI61" i="10"/>
  <c r="AM61" i="10"/>
  <c r="AM37" i="32"/>
  <c r="AM61" i="32" s="1"/>
  <c r="AC5" i="32"/>
  <c r="AI59" i="10"/>
  <c r="AI35" i="32"/>
  <c r="AI59" i="32" s="1"/>
  <c r="AG60" i="10"/>
  <c r="AG36" i="32"/>
  <c r="AG60" i="32" s="1"/>
  <c r="AR122" i="16"/>
  <c r="AT122" i="16" s="1"/>
  <c r="M32" i="32"/>
  <c r="Q42" i="32"/>
  <c r="Y18" i="32"/>
  <c r="Y65" i="32"/>
  <c r="Z45" i="32"/>
  <c r="K42" i="10"/>
  <c r="AK29" i="10"/>
  <c r="AK53" i="10" s="1"/>
  <c r="AJ55" i="32"/>
  <c r="R44" i="32"/>
  <c r="R68" i="32" s="1"/>
  <c r="R68" i="10"/>
  <c r="AG33" i="32"/>
  <c r="AG57" i="32" s="1"/>
  <c r="AG57" i="10"/>
  <c r="AB61" i="10"/>
  <c r="AB37" i="32"/>
  <c r="AB61" i="32" s="1"/>
  <c r="AL64" i="10"/>
  <c r="AL40" i="32"/>
  <c r="AL64" i="32" s="1"/>
  <c r="AL60" i="10"/>
  <c r="AL36" i="32"/>
  <c r="AG68" i="10"/>
  <c r="AG44" i="32"/>
  <c r="AG68" i="32" s="1"/>
  <c r="AG67" i="10"/>
  <c r="AG43" i="32"/>
  <c r="AG67" i="32" s="1"/>
  <c r="O11" i="32"/>
  <c r="O35" i="10"/>
  <c r="AD61" i="10"/>
  <c r="AD37" i="32"/>
  <c r="AD61" i="32" s="1"/>
  <c r="AF67" i="10"/>
  <c r="AF43" i="32"/>
  <c r="AF67" i="32" s="1"/>
  <c r="AK59" i="10"/>
  <c r="AK35" i="32"/>
  <c r="AK59" i="32" s="1"/>
  <c r="Q18" i="32"/>
  <c r="W139" i="16"/>
  <c r="W141" i="16" s="1"/>
  <c r="S18" i="32"/>
  <c r="X4" i="32"/>
  <c r="AK18" i="32"/>
  <c r="AF5" i="32"/>
  <c r="AI29" i="10"/>
  <c r="AI53" i="10" s="1"/>
  <c r="AA6" i="32"/>
  <c r="AD21" i="32"/>
  <c r="AE139" i="16"/>
  <c r="AE141" i="16" s="1"/>
  <c r="K28" i="10"/>
  <c r="N67" i="10"/>
  <c r="N43" i="32"/>
  <c r="N67" i="32" s="1"/>
  <c r="K68" i="10"/>
  <c r="K44" i="32"/>
  <c r="K68" i="32" s="1"/>
  <c r="Y43" i="32"/>
  <c r="Y67" i="32" s="1"/>
  <c r="Y67" i="10"/>
  <c r="X61" i="10"/>
  <c r="X37" i="32"/>
  <c r="X61" i="32" s="1"/>
  <c r="AL44" i="32"/>
  <c r="AL68" i="32" s="1"/>
  <c r="AL68" i="10"/>
  <c r="N37" i="32"/>
  <c r="N61" i="32" s="1"/>
  <c r="N61" i="10"/>
  <c r="AE68" i="10"/>
  <c r="AE44" i="32"/>
  <c r="AE68" i="32" s="1"/>
  <c r="AK68" i="10"/>
  <c r="AK44" i="32"/>
  <c r="AK68" i="32" s="1"/>
  <c r="AA44" i="32"/>
  <c r="AA68" i="32" s="1"/>
  <c r="AA68" i="10"/>
  <c r="AM68" i="10"/>
  <c r="AM44" i="32"/>
  <c r="AM68" i="32" s="1"/>
  <c r="K37" i="32"/>
  <c r="K61" i="32" s="1"/>
  <c r="K61" i="10"/>
  <c r="AD57" i="10"/>
  <c r="AD33" i="32"/>
  <c r="AD57" i="32" s="1"/>
  <c r="W45" i="32"/>
  <c r="Z21" i="32"/>
  <c r="AR124" i="16"/>
  <c r="AT124" i="16" s="1"/>
  <c r="Z6" i="32"/>
  <c r="K29" i="10"/>
  <c r="K29" i="32" s="1"/>
  <c r="AA30" i="32"/>
  <c r="AE70" i="32"/>
  <c r="AH30" i="32"/>
  <c r="AH54" i="32" s="1"/>
  <c r="AH58" i="32"/>
  <c r="AK70" i="32"/>
  <c r="AM59" i="10"/>
  <c r="AM35" i="32"/>
  <c r="AM59" i="32" s="1"/>
  <c r="K41" i="32"/>
  <c r="K65" i="32" s="1"/>
  <c r="K65" i="10"/>
  <c r="O43" i="32"/>
  <c r="O67" i="32" s="1"/>
  <c r="O67" i="10"/>
  <c r="K35" i="32"/>
  <c r="K59" i="32" s="1"/>
  <c r="K59" i="10"/>
  <c r="AQ32" i="32"/>
  <c r="AQ56" i="32" s="1"/>
  <c r="AQ56" i="10"/>
  <c r="AQ54" i="10"/>
  <c r="AQ30" i="32"/>
  <c r="AQ54" i="32" s="1"/>
  <c r="AQ58" i="11"/>
  <c r="AQ36" i="32"/>
  <c r="AQ60" i="32" s="1"/>
  <c r="AJ16" i="14"/>
  <c r="O49" i="14"/>
  <c r="AK11" i="14"/>
  <c r="I49" i="14"/>
  <c r="X16" i="14"/>
  <c r="AB99" i="36"/>
  <c r="AB100" i="36" s="1"/>
  <c r="Z101" i="36" s="1"/>
  <c r="AM46" i="14"/>
  <c r="AO21" i="14"/>
  <c r="AO32" i="14" s="1"/>
  <c r="AO37" i="14"/>
  <c r="AP68" i="34"/>
  <c r="AO109" i="14"/>
  <c r="AP53" i="34"/>
  <c r="AO68" i="34"/>
  <c r="AO46" i="32"/>
  <c r="AO70" i="32" s="1"/>
  <c r="AO55" i="32"/>
  <c r="AO53" i="34"/>
  <c r="BD552" i="9"/>
  <c r="BD562" i="9" s="1"/>
  <c r="AA37" i="14"/>
  <c r="AM49" i="14"/>
  <c r="N16" i="14"/>
  <c r="C18" i="36"/>
  <c r="AN58" i="10"/>
  <c r="AN34" i="32"/>
  <c r="AN58" i="32" s="1"/>
  <c r="AN57" i="10"/>
  <c r="AN33" i="32"/>
  <c r="AN57" i="32" s="1"/>
  <c r="AM58" i="11"/>
  <c r="AN55" i="32"/>
  <c r="AM36" i="14"/>
  <c r="AM37" i="14" s="1"/>
  <c r="AN554" i="9"/>
  <c r="AO19" i="12"/>
  <c r="AO36" i="12" s="1"/>
  <c r="AN73" i="34"/>
  <c r="AN81" i="34" s="1"/>
  <c r="J16" i="14"/>
  <c r="AL70" i="32"/>
  <c r="AM70" i="32"/>
  <c r="AL34" i="32"/>
  <c r="AL58" i="32" s="1"/>
  <c r="AL58" i="10"/>
  <c r="AL33" i="32"/>
  <c r="AL57" i="32" s="1"/>
  <c r="AL57" i="10"/>
  <c r="AL69" i="32"/>
  <c r="AM68" i="34"/>
  <c r="AL63" i="34"/>
  <c r="AL52" i="34"/>
  <c r="AM116" i="33"/>
  <c r="AM28" i="34"/>
  <c r="AM51" i="34" s="1"/>
  <c r="AL68" i="34"/>
  <c r="AM56" i="34"/>
  <c r="AM55" i="34"/>
  <c r="AM57" i="32"/>
  <c r="AM67" i="34"/>
  <c r="AL67" i="34"/>
  <c r="AM53" i="34"/>
  <c r="AM55" i="32"/>
  <c r="AL53" i="34"/>
  <c r="AL55" i="32"/>
  <c r="BD92" i="9"/>
  <c r="J31" i="13" s="1"/>
  <c r="J34" i="13" s="1"/>
  <c r="U34" i="13" s="1"/>
  <c r="J36" i="13"/>
  <c r="U36" i="13" s="1"/>
  <c r="BD574" i="9"/>
  <c r="AL554" i="9"/>
  <c r="AM19" i="12"/>
  <c r="AM36" i="12" s="1"/>
  <c r="AM35" i="12"/>
  <c r="AM73" i="34"/>
  <c r="AM81" i="34" s="1"/>
  <c r="AK41" i="32"/>
  <c r="AK65" i="32" s="1"/>
  <c r="AK65" i="10"/>
  <c r="AK62" i="10"/>
  <c r="AK38" i="32"/>
  <c r="AK62" i="32" s="1"/>
  <c r="AK64" i="10"/>
  <c r="AK40" i="32"/>
  <c r="AK64" i="32" s="1"/>
  <c r="AK63" i="10"/>
  <c r="AK39" i="32"/>
  <c r="AK63" i="32" s="1"/>
  <c r="AK34" i="32"/>
  <c r="AK58" i="32" s="1"/>
  <c r="AK58" i="10"/>
  <c r="AK69" i="10"/>
  <c r="AK45" i="32"/>
  <c r="AK69" i="32" s="1"/>
  <c r="AK32" i="32"/>
  <c r="AK56" i="10"/>
  <c r="AK68" i="34"/>
  <c r="AJ62" i="14"/>
  <c r="AJ78" i="14"/>
  <c r="AK13" i="20"/>
  <c r="AJ7" i="14"/>
  <c r="AK95" i="9"/>
  <c r="AL4" i="12" s="1"/>
  <c r="AL16" i="12" s="1"/>
  <c r="AK77" i="10" s="1"/>
  <c r="AK91" i="10" s="1"/>
  <c r="AK73" i="34"/>
  <c r="AK81" i="34" s="1"/>
  <c r="AJ56" i="34"/>
  <c r="AJ39" i="32"/>
  <c r="AJ63" i="32" s="1"/>
  <c r="AI70" i="32"/>
  <c r="AR19" i="34"/>
  <c r="AJ19" i="32"/>
  <c r="AJ42" i="34"/>
  <c r="AJ62" i="34"/>
  <c r="AJ61" i="34"/>
  <c r="AJ54" i="10"/>
  <c r="AJ30" i="32"/>
  <c r="AJ54" i="32" s="1"/>
  <c r="AJ13" i="32"/>
  <c r="AJ36" i="34"/>
  <c r="AJ62" i="10"/>
  <c r="AJ38" i="32"/>
  <c r="AJ62" i="32" s="1"/>
  <c r="AR107" i="33"/>
  <c r="AT107" i="33" s="1"/>
  <c r="AK35" i="12"/>
  <c r="AK16" i="12"/>
  <c r="AJ70" i="10"/>
  <c r="AJ46" i="32"/>
  <c r="AJ70" i="32" s="1"/>
  <c r="AR34" i="34"/>
  <c r="AJ35" i="32"/>
  <c r="AJ59" i="32" s="1"/>
  <c r="AJ57" i="34"/>
  <c r="AJ69" i="10"/>
  <c r="AJ45" i="32"/>
  <c r="AJ69" i="32" s="1"/>
  <c r="AJ58" i="32"/>
  <c r="AJ60" i="32"/>
  <c r="AJ40" i="34"/>
  <c r="AJ41" i="32" s="1"/>
  <c r="AJ65" i="32" s="1"/>
  <c r="AJ56" i="10"/>
  <c r="AJ68" i="32"/>
  <c r="AJ57" i="32"/>
  <c r="AH139" i="16"/>
  <c r="AH141" i="16" s="1"/>
  <c r="AH56" i="11"/>
  <c r="AI41" i="32"/>
  <c r="AI65" i="32" s="1"/>
  <c r="AI65" i="10"/>
  <c r="AI38" i="32"/>
  <c r="AI62" i="32" s="1"/>
  <c r="AI62" i="10"/>
  <c r="AI69" i="32"/>
  <c r="AI68" i="34"/>
  <c r="AI52" i="34"/>
  <c r="AH37" i="14"/>
  <c r="I36" i="13"/>
  <c r="T36" i="13" s="1"/>
  <c r="AH7" i="14"/>
  <c r="AI95" i="9"/>
  <c r="AJ4" i="12" s="1"/>
  <c r="AJ16" i="12" s="1"/>
  <c r="AI77" i="10" s="1"/>
  <c r="AI91" i="10" s="1"/>
  <c r="AH62" i="14"/>
  <c r="AH78" i="14"/>
  <c r="AH109" i="14"/>
  <c r="AI73" i="34"/>
  <c r="AI81" i="34" s="1"/>
  <c r="AH21" i="14"/>
  <c r="AH19" i="12"/>
  <c r="AH36" i="12" s="1"/>
  <c r="AH39" i="12" s="1"/>
  <c r="AH70" i="32"/>
  <c r="AH65" i="10"/>
  <c r="AH41" i="32"/>
  <c r="AH65" i="32" s="1"/>
  <c r="AH38" i="32"/>
  <c r="AH62" i="32" s="1"/>
  <c r="AH62" i="10"/>
  <c r="AH40" i="32"/>
  <c r="AH64" i="32" s="1"/>
  <c r="AH64" i="10"/>
  <c r="AH61" i="10"/>
  <c r="AH37" i="32"/>
  <c r="AH61" i="32" s="1"/>
  <c r="AH32" i="32"/>
  <c r="AH56" i="32" s="1"/>
  <c r="AH56" i="10"/>
  <c r="AH52" i="34"/>
  <c r="AH67" i="34"/>
  <c r="AH68" i="34"/>
  <c r="AH55" i="34"/>
  <c r="AH57" i="32"/>
  <c r="AT53" i="33"/>
  <c r="AH53" i="34"/>
  <c r="AH13" i="20"/>
  <c r="AH95" i="9"/>
  <c r="AI4" i="12" s="1"/>
  <c r="AI16" i="12" s="1"/>
  <c r="AH77" i="10" s="1"/>
  <c r="AH91" i="10" s="1"/>
  <c r="AG78" i="14"/>
  <c r="AG62" i="14"/>
  <c r="AI18" i="12"/>
  <c r="AH73" i="34" s="1"/>
  <c r="AH81" i="34" s="1"/>
  <c r="AG36" i="14"/>
  <c r="AG34" i="32"/>
  <c r="AG58" i="32" s="1"/>
  <c r="AG58" i="10"/>
  <c r="AG41" i="32"/>
  <c r="AG65" i="32" s="1"/>
  <c r="AG65" i="10"/>
  <c r="AG62" i="10"/>
  <c r="AG38" i="32"/>
  <c r="AG62" i="32" s="1"/>
  <c r="AG69" i="10"/>
  <c r="AG45" i="32"/>
  <c r="AG69" i="32" s="1"/>
  <c r="AG68" i="34"/>
  <c r="AG55" i="32"/>
  <c r="AF13" i="20"/>
  <c r="AE78" i="14"/>
  <c r="AG35" i="12"/>
  <c r="BB555" i="9"/>
  <c r="BB565" i="9" s="1"/>
  <c r="H36" i="13"/>
  <c r="S36" i="13" s="1"/>
  <c r="AF21" i="14"/>
  <c r="AE68" i="34"/>
  <c r="AE18" i="32"/>
  <c r="AE41" i="34"/>
  <c r="AE64" i="34" s="1"/>
  <c r="AE62" i="34"/>
  <c r="AR37" i="34"/>
  <c r="AE38" i="32"/>
  <c r="AE62" i="32" s="1"/>
  <c r="AE58" i="32"/>
  <c r="AF46" i="32"/>
  <c r="AF70" i="32" s="1"/>
  <c r="AF70" i="10"/>
  <c r="AF41" i="32"/>
  <c r="AF65" i="32" s="1"/>
  <c r="AF65" i="10"/>
  <c r="AF62" i="10"/>
  <c r="AF38" i="32"/>
  <c r="AF62" i="32" s="1"/>
  <c r="AF30" i="32"/>
  <c r="AF54" i="32" s="1"/>
  <c r="AF39" i="32"/>
  <c r="AF63" i="32" s="1"/>
  <c r="AF63" i="10"/>
  <c r="AF69" i="10"/>
  <c r="AF45" i="32"/>
  <c r="AF69" i="32" s="1"/>
  <c r="AF53" i="34"/>
  <c r="AF55" i="32"/>
  <c r="AE21" i="14"/>
  <c r="AD68" i="34"/>
  <c r="AD36" i="32"/>
  <c r="AD60" i="32" s="1"/>
  <c r="AA64" i="10"/>
  <c r="AD58" i="11"/>
  <c r="AE37" i="32"/>
  <c r="AE61" i="32" s="1"/>
  <c r="AE61" i="10"/>
  <c r="AE41" i="32"/>
  <c r="AE65" i="32" s="1"/>
  <c r="AE65" i="10"/>
  <c r="AE39" i="32"/>
  <c r="AE63" i="32" s="1"/>
  <c r="AE63" i="10"/>
  <c r="AE30" i="32"/>
  <c r="AE54" i="32" s="1"/>
  <c r="AE54" i="10"/>
  <c r="AE69" i="10"/>
  <c r="AE64" i="32"/>
  <c r="AF35" i="12"/>
  <c r="H13" i="13"/>
  <c r="S13" i="13" s="1"/>
  <c r="S14" i="13" s="1"/>
  <c r="BB92" i="9"/>
  <c r="H5" i="13" s="1"/>
  <c r="AE77" i="10"/>
  <c r="AE91" i="10" s="1"/>
  <c r="M16" i="14"/>
  <c r="AB16" i="14"/>
  <c r="C16" i="36"/>
  <c r="O11" i="36"/>
  <c r="R49" i="14"/>
  <c r="AC28" i="34"/>
  <c r="AC51" i="34" s="1"/>
  <c r="AC64" i="32"/>
  <c r="AC39" i="32"/>
  <c r="AC63" i="32" s="1"/>
  <c r="AC63" i="10"/>
  <c r="AC54" i="32"/>
  <c r="AD65" i="10"/>
  <c r="AD41" i="32"/>
  <c r="AD65" i="32" s="1"/>
  <c r="AD62" i="10"/>
  <c r="AD38" i="32"/>
  <c r="AD62" i="32" s="1"/>
  <c r="AD30" i="32"/>
  <c r="AD54" i="10"/>
  <c r="AD34" i="10"/>
  <c r="AD10" i="32"/>
  <c r="AD45" i="32"/>
  <c r="AD69" i="10"/>
  <c r="AD70" i="32"/>
  <c r="AD41" i="34"/>
  <c r="AD64" i="34" s="1"/>
  <c r="AD63" i="32"/>
  <c r="AD55" i="32"/>
  <c r="AE35" i="12"/>
  <c r="BB569" i="9"/>
  <c r="AC21" i="14"/>
  <c r="AE19" i="12"/>
  <c r="AE36" i="12" s="1"/>
  <c r="AE39" i="12" s="1"/>
  <c r="AD73" i="34"/>
  <c r="AD81" i="34" s="1"/>
  <c r="AC109" i="14"/>
  <c r="AB55" i="34"/>
  <c r="AR111" i="33"/>
  <c r="AT111" i="33" s="1"/>
  <c r="AC46" i="32"/>
  <c r="AC70" i="32" s="1"/>
  <c r="AC70" i="10"/>
  <c r="AC139" i="16"/>
  <c r="AC141" i="16" s="1"/>
  <c r="AC65" i="10"/>
  <c r="AC41" i="32"/>
  <c r="AC65" i="32" s="1"/>
  <c r="AC38" i="32"/>
  <c r="AC62" i="32" s="1"/>
  <c r="AC62" i="10"/>
  <c r="AC61" i="10"/>
  <c r="AC37" i="32"/>
  <c r="AC61" i="32" s="1"/>
  <c r="AC69" i="10"/>
  <c r="AC45" i="32"/>
  <c r="AC55" i="32"/>
  <c r="AC62" i="34"/>
  <c r="AC56" i="34"/>
  <c r="AC53" i="34"/>
  <c r="AT83" i="16"/>
  <c r="AD35" i="12"/>
  <c r="AB36" i="14"/>
  <c r="AC554" i="9"/>
  <c r="AC73" i="34"/>
  <c r="AC81" i="34" s="1"/>
  <c r="AD19" i="12"/>
  <c r="AD36" i="12" s="1"/>
  <c r="AT427" i="21"/>
  <c r="AA58" i="11"/>
  <c r="AB46" i="32"/>
  <c r="AB70" i="32" s="1"/>
  <c r="AB70" i="10"/>
  <c r="AB62" i="32"/>
  <c r="AB40" i="32"/>
  <c r="AB64" i="32" s="1"/>
  <c r="AB34" i="32"/>
  <c r="AB58" i="32" s="1"/>
  <c r="AB45" i="32"/>
  <c r="AB63" i="11"/>
  <c r="AB60" i="11"/>
  <c r="AT64" i="33"/>
  <c r="AB62" i="34"/>
  <c r="AB56" i="34"/>
  <c r="AB67" i="34"/>
  <c r="AB52" i="34"/>
  <c r="AB61" i="34"/>
  <c r="AB54" i="34"/>
  <c r="AB53" i="34"/>
  <c r="AA62" i="14"/>
  <c r="AB554" i="9"/>
  <c r="AA21" i="14" s="1"/>
  <c r="AB103" i="20"/>
  <c r="AB200" i="20"/>
  <c r="AB201" i="20" s="1"/>
  <c r="AC35" i="12"/>
  <c r="AB73" i="34"/>
  <c r="AB81" i="34" s="1"/>
  <c r="AC19" i="12"/>
  <c r="AC36" i="12" s="1"/>
  <c r="AC39" i="12" s="1"/>
  <c r="AA109" i="14"/>
  <c r="BA552" i="9"/>
  <c r="AA68" i="11"/>
  <c r="AA61" i="10"/>
  <c r="AA37" i="32"/>
  <c r="AA61" i="32" s="1"/>
  <c r="AA52" i="11"/>
  <c r="AA18" i="32"/>
  <c r="AA62" i="32"/>
  <c r="AA41" i="32"/>
  <c r="AA65" i="32" s="1"/>
  <c r="U61" i="34"/>
  <c r="AA39" i="32"/>
  <c r="AA63" i="32" s="1"/>
  <c r="AA58" i="32"/>
  <c r="AA32" i="32"/>
  <c r="AA56" i="32" s="1"/>
  <c r="AA64" i="11"/>
  <c r="AA63" i="11"/>
  <c r="AA60" i="11"/>
  <c r="AA62" i="11"/>
  <c r="AA67" i="11"/>
  <c r="AA55" i="11"/>
  <c r="Z37" i="14"/>
  <c r="AA103" i="20"/>
  <c r="Z7" i="14"/>
  <c r="AA95" i="9"/>
  <c r="AB4" i="12" s="1"/>
  <c r="AB16" i="12" s="1"/>
  <c r="AA77" i="10" s="1"/>
  <c r="AA91" i="10" s="1"/>
  <c r="Z78" i="14"/>
  <c r="BA555" i="9"/>
  <c r="BA565" i="9" s="1"/>
  <c r="Z21" i="14"/>
  <c r="AA139" i="20" s="1"/>
  <c r="Z109" i="14"/>
  <c r="AA73" i="11"/>
  <c r="AA81" i="11" s="1"/>
  <c r="H47" i="34"/>
  <c r="P24" i="10"/>
  <c r="N5" i="32"/>
  <c r="AR98" i="33"/>
  <c r="AT98" i="33" s="1"/>
  <c r="T5" i="32"/>
  <c r="S5" i="32"/>
  <c r="S139" i="16"/>
  <c r="S141" i="16" s="1"/>
  <c r="P5" i="32"/>
  <c r="AT420" i="21"/>
  <c r="P48" i="10"/>
  <c r="R51" i="11"/>
  <c r="W28" i="11"/>
  <c r="W29" i="32" s="1"/>
  <c r="X5" i="32"/>
  <c r="V70" i="10"/>
  <c r="AU70" i="17"/>
  <c r="U5" i="32"/>
  <c r="R24" i="34"/>
  <c r="R116" i="33"/>
  <c r="W438" i="21"/>
  <c r="X29" i="32"/>
  <c r="V5" i="32"/>
  <c r="Y438" i="21"/>
  <c r="Z139" i="16"/>
  <c r="Z141" i="16" s="1"/>
  <c r="AR5" i="34"/>
  <c r="AM47" i="11"/>
  <c r="U28" i="34"/>
  <c r="U51" i="34" s="1"/>
  <c r="U116" i="33"/>
  <c r="Z5" i="32"/>
  <c r="Q24" i="34"/>
  <c r="AI51" i="11"/>
  <c r="Z51" i="34"/>
  <c r="AG29" i="32"/>
  <c r="AG53" i="10"/>
  <c r="AQ29" i="32"/>
  <c r="AQ53" i="32" s="1"/>
  <c r="AQ53" i="10"/>
  <c r="AP53" i="10"/>
  <c r="AA53" i="10"/>
  <c r="AA29" i="32"/>
  <c r="G29" i="32"/>
  <c r="G53" i="32" s="1"/>
  <c r="G53" i="10"/>
  <c r="AO29" i="32"/>
  <c r="AO53" i="10"/>
  <c r="AL53" i="10"/>
  <c r="AL29" i="32"/>
  <c r="F53" i="10"/>
  <c r="F29" i="32"/>
  <c r="AE53" i="10"/>
  <c r="AE29" i="32"/>
  <c r="AE53" i="32" s="1"/>
  <c r="H53" i="10"/>
  <c r="H29" i="32"/>
  <c r="H53" i="32" s="1"/>
  <c r="AH53" i="10"/>
  <c r="AH29" i="32"/>
  <c r="J53" i="10"/>
  <c r="AT53" i="10" s="1"/>
  <c r="J29" i="32"/>
  <c r="J53" i="32" s="1"/>
  <c r="D29" i="32"/>
  <c r="D53" i="32" s="1"/>
  <c r="D53" i="10"/>
  <c r="AB29" i="32"/>
  <c r="AB53" i="10"/>
  <c r="Z29" i="32"/>
  <c r="AJ53" i="10"/>
  <c r="AJ29" i="32"/>
  <c r="AJ53" i="32" s="1"/>
  <c r="I53" i="10"/>
  <c r="I29" i="32"/>
  <c r="AC53" i="10"/>
  <c r="AN29" i="32"/>
  <c r="AN53" i="10"/>
  <c r="E53" i="10"/>
  <c r="AF53" i="10"/>
  <c r="AF29" i="32"/>
  <c r="Y42" i="32"/>
  <c r="O18" i="32"/>
  <c r="J116" i="33"/>
  <c r="D64" i="11"/>
  <c r="J47" i="34"/>
  <c r="F47" i="34"/>
  <c r="V18" i="32"/>
  <c r="AL438" i="21"/>
  <c r="U42" i="32"/>
  <c r="V42" i="32"/>
  <c r="N24" i="11"/>
  <c r="P18" i="32"/>
  <c r="X139" i="16"/>
  <c r="X141" i="16" s="1"/>
  <c r="AL41" i="11"/>
  <c r="AL42" i="32" s="1"/>
  <c r="AL18" i="32"/>
  <c r="AP41" i="34"/>
  <c r="AP64" i="34" s="1"/>
  <c r="AM66" i="10"/>
  <c r="AM42" i="32"/>
  <c r="AB41" i="11"/>
  <c r="AK42" i="32"/>
  <c r="AK66" i="10"/>
  <c r="I42" i="32"/>
  <c r="I66" i="32" s="1"/>
  <c r="I66" i="10"/>
  <c r="AJ42" i="32"/>
  <c r="AJ66" i="32" s="1"/>
  <c r="AJ66" i="10"/>
  <c r="H42" i="32"/>
  <c r="H66" i="10"/>
  <c r="E42" i="32"/>
  <c r="E66" i="32" s="1"/>
  <c r="E66" i="10"/>
  <c r="AR134" i="16"/>
  <c r="AT134" i="16" s="1"/>
  <c r="S438" i="21"/>
  <c r="AI66" i="10"/>
  <c r="AI42" i="32"/>
  <c r="L18" i="32"/>
  <c r="AA66" i="10"/>
  <c r="AA42" i="32"/>
  <c r="AB116" i="33"/>
  <c r="AB18" i="34"/>
  <c r="K66" i="10"/>
  <c r="L438" i="21"/>
  <c r="G42" i="32"/>
  <c r="G66" i="32" s="1"/>
  <c r="G66" i="10"/>
  <c r="AQ42" i="32"/>
  <c r="AQ66" i="32" s="1"/>
  <c r="AQ66" i="10"/>
  <c r="F66" i="10"/>
  <c r="F42" i="32"/>
  <c r="F66" i="32" s="1"/>
  <c r="AO42" i="32"/>
  <c r="AO66" i="10"/>
  <c r="AH66" i="10"/>
  <c r="AH42" i="32"/>
  <c r="AH66" i="32" s="1"/>
  <c r="N18" i="32"/>
  <c r="AE66" i="10"/>
  <c r="AF42" i="32"/>
  <c r="AF66" i="10"/>
  <c r="J66" i="10"/>
  <c r="J42" i="32"/>
  <c r="J66" i="32" s="1"/>
  <c r="AC18" i="32"/>
  <c r="AC42" i="10"/>
  <c r="AN66" i="10"/>
  <c r="AN42" i="32"/>
  <c r="F24" i="34"/>
  <c r="E4" i="34"/>
  <c r="E27" i="34" s="1"/>
  <c r="E47" i="34" s="1"/>
  <c r="E94" i="33"/>
  <c r="F94" i="33" s="1"/>
  <c r="G94" i="33" s="1"/>
  <c r="H94" i="33" s="1"/>
  <c r="I94" i="33" s="1"/>
  <c r="J94" i="33" s="1"/>
  <c r="K94" i="33" s="1"/>
  <c r="L94" i="33" s="1"/>
  <c r="M94" i="33" s="1"/>
  <c r="N94" i="33" s="1"/>
  <c r="O94" i="33" s="1"/>
  <c r="P94" i="33" s="1"/>
  <c r="Q94" i="33" s="1"/>
  <c r="R94" i="33" s="1"/>
  <c r="S94" i="33" s="1"/>
  <c r="T94" i="33" s="1"/>
  <c r="U94" i="33" s="1"/>
  <c r="V94" i="33" s="1"/>
  <c r="W94" i="33" s="1"/>
  <c r="X94" i="33" s="1"/>
  <c r="Y94" i="33" s="1"/>
  <c r="Z94" i="33" s="1"/>
  <c r="Z116" i="33"/>
  <c r="AM50" i="11"/>
  <c r="AH24" i="10"/>
  <c r="AH28" i="10"/>
  <c r="F438" i="21"/>
  <c r="Y4" i="32"/>
  <c r="Y116" i="33"/>
  <c r="O24" i="34"/>
  <c r="L4" i="34"/>
  <c r="L24" i="34" s="1"/>
  <c r="Q116" i="33"/>
  <c r="AK438" i="21"/>
  <c r="R4" i="32"/>
  <c r="E117" i="16"/>
  <c r="F117" i="16" s="1"/>
  <c r="G117" i="16" s="1"/>
  <c r="H117" i="16" s="1"/>
  <c r="I117" i="16" s="1"/>
  <c r="J117" i="16" s="1"/>
  <c r="K117" i="16" s="1"/>
  <c r="L117" i="16" s="1"/>
  <c r="M117" i="16" s="1"/>
  <c r="N117" i="16" s="1"/>
  <c r="O117" i="16" s="1"/>
  <c r="P117" i="16" s="1"/>
  <c r="Q117" i="16" s="1"/>
  <c r="D140" i="16"/>
  <c r="D141" i="16"/>
  <c r="T4" i="32"/>
  <c r="E416" i="21"/>
  <c r="F416" i="21" s="1"/>
  <c r="G416" i="21" s="1"/>
  <c r="H416" i="21" s="1"/>
  <c r="I416" i="21" s="1"/>
  <c r="J416" i="21" s="1"/>
  <c r="K416" i="21" s="1"/>
  <c r="L416" i="21" s="1"/>
  <c r="M416" i="21" s="1"/>
  <c r="AK116" i="33"/>
  <c r="AK4" i="34"/>
  <c r="T139" i="16"/>
  <c r="T141" i="16" s="1"/>
  <c r="D116" i="33"/>
  <c r="D117" i="33" s="1"/>
  <c r="E117" i="33" s="1"/>
  <c r="F117" i="33" s="1"/>
  <c r="O139" i="16"/>
  <c r="O141" i="16" s="1"/>
  <c r="J438" i="21"/>
  <c r="J4" i="11"/>
  <c r="J4" i="32" s="1"/>
  <c r="Y139" i="16"/>
  <c r="Y141" i="16" s="1"/>
  <c r="AC116" i="33"/>
  <c r="AC4" i="34"/>
  <c r="AM4" i="10"/>
  <c r="AM139" i="16"/>
  <c r="AM141" i="16" s="1"/>
  <c r="AQ438" i="21"/>
  <c r="K438" i="21"/>
  <c r="K4" i="11"/>
  <c r="R438" i="21"/>
  <c r="V139" i="16"/>
  <c r="V141" i="16" s="1"/>
  <c r="J139" i="16"/>
  <c r="J141" i="16" s="1"/>
  <c r="AI4" i="10"/>
  <c r="AI139" i="16"/>
  <c r="AI141" i="16" s="1"/>
  <c r="Y27" i="34"/>
  <c r="Y50" i="34" s="1"/>
  <c r="AE28" i="10"/>
  <c r="AE24" i="10"/>
  <c r="N116" i="33"/>
  <c r="AN139" i="16"/>
  <c r="AN141" i="16" s="1"/>
  <c r="AN4" i="10"/>
  <c r="E24" i="34"/>
  <c r="AA438" i="21"/>
  <c r="V438" i="21"/>
  <c r="AP4" i="10"/>
  <c r="AP139" i="16"/>
  <c r="AP141" i="16" s="1"/>
  <c r="V4" i="32"/>
  <c r="AO116" i="33"/>
  <c r="AO4" i="34"/>
  <c r="AG4" i="34"/>
  <c r="AG116" i="33"/>
  <c r="AB50" i="34"/>
  <c r="AE24" i="11"/>
  <c r="AE27" i="11"/>
  <c r="AA4" i="10"/>
  <c r="AA139" i="16"/>
  <c r="AA141" i="16" s="1"/>
  <c r="AG4" i="10"/>
  <c r="AG139" i="16"/>
  <c r="AG141" i="16" s="1"/>
  <c r="AL27" i="11"/>
  <c r="AL24" i="11"/>
  <c r="AJ438" i="21"/>
  <c r="AD4" i="34"/>
  <c r="AD116" i="33"/>
  <c r="G139" i="16"/>
  <c r="G141" i="16" s="1"/>
  <c r="G4" i="10"/>
  <c r="G438" i="21"/>
  <c r="G4" i="11"/>
  <c r="F139" i="16"/>
  <c r="F141" i="16" s="1"/>
  <c r="F4" i="10"/>
  <c r="AO438" i="21"/>
  <c r="H24" i="11"/>
  <c r="H27" i="11"/>
  <c r="H47" i="11" s="1"/>
  <c r="G4" i="34"/>
  <c r="G116" i="33"/>
  <c r="D48" i="10"/>
  <c r="D52" i="10"/>
  <c r="AO28" i="10"/>
  <c r="AO24" i="10"/>
  <c r="AC28" i="10"/>
  <c r="AC24" i="10"/>
  <c r="AF438" i="21"/>
  <c r="AD4" i="10"/>
  <c r="AD139" i="16"/>
  <c r="AD141" i="16" s="1"/>
  <c r="Z4" i="32"/>
  <c r="AB139" i="16"/>
  <c r="AB141" i="16" s="1"/>
  <c r="AB4" i="10"/>
  <c r="AB27" i="11"/>
  <c r="AB24" i="11"/>
  <c r="AF4" i="10"/>
  <c r="AF139" i="16"/>
  <c r="AF141" i="16" s="1"/>
  <c r="AQ4" i="10"/>
  <c r="AQ139" i="16"/>
  <c r="AQ141" i="16" s="1"/>
  <c r="E4" i="10"/>
  <c r="E139" i="16"/>
  <c r="AP27" i="34"/>
  <c r="AP24" i="34"/>
  <c r="AM24" i="34"/>
  <c r="AM27" i="34"/>
  <c r="AI4" i="34"/>
  <c r="AI116" i="33"/>
  <c r="AD438" i="21"/>
  <c r="AH4" i="34"/>
  <c r="AH116" i="33"/>
  <c r="AP438" i="21"/>
  <c r="H4" i="34"/>
  <c r="H116" i="33"/>
  <c r="AN438" i="21"/>
  <c r="AQ116" i="33"/>
  <c r="AQ4" i="34"/>
  <c r="V24" i="11"/>
  <c r="AN4" i="34"/>
  <c r="AN116" i="33"/>
  <c r="AK24" i="11"/>
  <c r="AK27" i="11"/>
  <c r="AK47" i="11" s="1"/>
  <c r="J28" i="10"/>
  <c r="J24" i="10"/>
  <c r="AJ4" i="34"/>
  <c r="AJ116" i="33"/>
  <c r="E438" i="21"/>
  <c r="E4" i="11"/>
  <c r="AI27" i="11"/>
  <c r="AI47" i="11" s="1"/>
  <c r="AI24" i="11"/>
  <c r="AL139" i="16"/>
  <c r="AL141" i="16" s="1"/>
  <c r="AL4" i="10"/>
  <c r="AH438" i="21"/>
  <c r="AL4" i="34"/>
  <c r="AL116" i="33"/>
  <c r="I438" i="21"/>
  <c r="I4" i="11"/>
  <c r="D27" i="34"/>
  <c r="D24" i="34"/>
  <c r="I116" i="33"/>
  <c r="I4" i="34"/>
  <c r="F27" i="11"/>
  <c r="F24" i="11"/>
  <c r="AJ139" i="16"/>
  <c r="AJ141" i="16" s="1"/>
  <c r="AJ4" i="10"/>
  <c r="D4" i="11"/>
  <c r="D438" i="21"/>
  <c r="D439" i="21" s="1"/>
  <c r="AE4" i="34"/>
  <c r="AE116" i="33"/>
  <c r="AA4" i="34"/>
  <c r="H139" i="16"/>
  <c r="H141" i="16" s="1"/>
  <c r="H4" i="10"/>
  <c r="F50" i="34"/>
  <c r="J50" i="34"/>
  <c r="I4" i="10"/>
  <c r="I139" i="16"/>
  <c r="I141" i="16" s="1"/>
  <c r="AK4" i="10"/>
  <c r="AK139" i="16"/>
  <c r="AK141" i="16" s="1"/>
  <c r="AF4" i="34"/>
  <c r="AF116" i="33"/>
  <c r="AG438" i="21"/>
  <c r="Z61" i="10"/>
  <c r="Z37" i="32"/>
  <c r="Z61" i="32" s="1"/>
  <c r="Y46" i="32"/>
  <c r="Y70" i="32" s="1"/>
  <c r="Z18" i="32"/>
  <c r="Z40" i="32"/>
  <c r="Z64" i="32" s="1"/>
  <c r="Z24" i="11"/>
  <c r="Z438" i="21"/>
  <c r="Z60" i="11"/>
  <c r="Z28" i="32"/>
  <c r="X68" i="34"/>
  <c r="Z46" i="32"/>
  <c r="Z70" i="32" s="1"/>
  <c r="Z68" i="34"/>
  <c r="Z24" i="10"/>
  <c r="Z36" i="10"/>
  <c r="Z63" i="11"/>
  <c r="Z32" i="32"/>
  <c r="Z42" i="32"/>
  <c r="Z62" i="32"/>
  <c r="Z33" i="32"/>
  <c r="Z57" i="32" s="1"/>
  <c r="Z67" i="11"/>
  <c r="Z55" i="32"/>
  <c r="Z47" i="11"/>
  <c r="Z58" i="11"/>
  <c r="Z64" i="34"/>
  <c r="Z52" i="34"/>
  <c r="Z30" i="32"/>
  <c r="Z56" i="34"/>
  <c r="Z61" i="34"/>
  <c r="Z55" i="34"/>
  <c r="Z54" i="34"/>
  <c r="Z50" i="34"/>
  <c r="Z35" i="34"/>
  <c r="Z58" i="34" s="1"/>
  <c r="Z12" i="32"/>
  <c r="Z24" i="34"/>
  <c r="Z91" i="10"/>
  <c r="G13" i="13"/>
  <c r="R13" i="13" s="1"/>
  <c r="R14" i="13" s="1"/>
  <c r="G31" i="13"/>
  <c r="G34" i="13" s="1"/>
  <c r="R34" i="13" s="1"/>
  <c r="G5" i="13"/>
  <c r="G4" i="13" s="1"/>
  <c r="G36" i="13"/>
  <c r="R36" i="13" s="1"/>
  <c r="AA35" i="12"/>
  <c r="Z200" i="20"/>
  <c r="Z201" i="20" s="1"/>
  <c r="Z103" i="20"/>
  <c r="Y21" i="14"/>
  <c r="Y95" i="14" s="1"/>
  <c r="Y37" i="14"/>
  <c r="Y109" i="14"/>
  <c r="Z81" i="34"/>
  <c r="BA557" i="9"/>
  <c r="BA569" i="9" s="1"/>
  <c r="AA19" i="12"/>
  <c r="AA36" i="12" s="1"/>
  <c r="AA39" i="12" s="1"/>
  <c r="AU75" i="9"/>
  <c r="Y68" i="34"/>
  <c r="Y61" i="10"/>
  <c r="Y37" i="32"/>
  <c r="Y61" i="32" s="1"/>
  <c r="Y24" i="10"/>
  <c r="Y36" i="10"/>
  <c r="Y40" i="32"/>
  <c r="Y64" i="32" s="1"/>
  <c r="Y34" i="32"/>
  <c r="Y58" i="32" s="1"/>
  <c r="Y31" i="32"/>
  <c r="Y55" i="32" s="1"/>
  <c r="Y50" i="11"/>
  <c r="Y58" i="11"/>
  <c r="Y54" i="32"/>
  <c r="Y62" i="34"/>
  <c r="Y67" i="34"/>
  <c r="Y52" i="11"/>
  <c r="Y24" i="11"/>
  <c r="Y28" i="11"/>
  <c r="Y47" i="11" s="1"/>
  <c r="Y63" i="32"/>
  <c r="Y55" i="34"/>
  <c r="Y56" i="32"/>
  <c r="Y5" i="32"/>
  <c r="Y28" i="34"/>
  <c r="Y51" i="34" s="1"/>
  <c r="Y24" i="34"/>
  <c r="BQ390" i="9"/>
  <c r="BQ408" i="9" s="1"/>
  <c r="BL408" i="9"/>
  <c r="Y81" i="34"/>
  <c r="Z19" i="12"/>
  <c r="Z36" i="12" s="1"/>
  <c r="Z37" i="12" s="1"/>
  <c r="W49" i="14"/>
  <c r="AA46" i="14"/>
  <c r="AA49" i="14"/>
  <c r="M49" i="14"/>
  <c r="AO99" i="36"/>
  <c r="AO100" i="36" s="1"/>
  <c r="AL101" i="36" s="1"/>
  <c r="W18" i="32"/>
  <c r="W46" i="32"/>
  <c r="W70" i="32" s="1"/>
  <c r="W56" i="34"/>
  <c r="W4" i="32"/>
  <c r="W116" i="33"/>
  <c r="W24" i="34"/>
  <c r="X35" i="34"/>
  <c r="X58" i="34" s="1"/>
  <c r="W61" i="34"/>
  <c r="W67" i="34"/>
  <c r="V116" i="33"/>
  <c r="U46" i="32"/>
  <c r="U70" i="32" s="1"/>
  <c r="U30" i="32"/>
  <c r="T42" i="32"/>
  <c r="T24" i="34"/>
  <c r="T67" i="34"/>
  <c r="S61" i="34"/>
  <c r="R62" i="34"/>
  <c r="R64" i="34"/>
  <c r="Q68" i="34"/>
  <c r="Q56" i="34"/>
  <c r="Q51" i="34"/>
  <c r="T30" i="10"/>
  <c r="T30" i="32" s="1"/>
  <c r="S29" i="32"/>
  <c r="R64" i="10"/>
  <c r="R45" i="10"/>
  <c r="R63" i="10"/>
  <c r="R62" i="10"/>
  <c r="R58" i="10"/>
  <c r="R57" i="10"/>
  <c r="R32" i="10"/>
  <c r="R32" i="32" s="1"/>
  <c r="R56" i="32" s="1"/>
  <c r="R42" i="10"/>
  <c r="Q70" i="10"/>
  <c r="Q65" i="10"/>
  <c r="X27" i="11"/>
  <c r="X50" i="11" s="1"/>
  <c r="X24" i="11"/>
  <c r="AR18" i="11"/>
  <c r="X18" i="32"/>
  <c r="X438" i="21"/>
  <c r="V12" i="32"/>
  <c r="U62" i="11"/>
  <c r="R61" i="11"/>
  <c r="AR419" i="21"/>
  <c r="AT419" i="21" s="1"/>
  <c r="AR6" i="11"/>
  <c r="R24" i="11"/>
  <c r="R29" i="11"/>
  <c r="R6" i="32"/>
  <c r="R50" i="11"/>
  <c r="Q63" i="11"/>
  <c r="Q34" i="32"/>
  <c r="Q58" i="32" s="1"/>
  <c r="X36" i="10"/>
  <c r="X24" i="10"/>
  <c r="X58" i="11"/>
  <c r="X40" i="32"/>
  <c r="X64" i="32" s="1"/>
  <c r="X30" i="32"/>
  <c r="X54" i="32" s="1"/>
  <c r="X39" i="32"/>
  <c r="X63" i="32" s="1"/>
  <c r="X34" i="32"/>
  <c r="X58" i="32" s="1"/>
  <c r="X33" i="32"/>
  <c r="X57" i="32" s="1"/>
  <c r="X45" i="32"/>
  <c r="X32" i="32"/>
  <c r="AT100" i="33"/>
  <c r="X116" i="33"/>
  <c r="AR7" i="34"/>
  <c r="X51" i="34"/>
  <c r="X62" i="34"/>
  <c r="X61" i="34"/>
  <c r="X56" i="34"/>
  <c r="X67" i="34"/>
  <c r="X54" i="34"/>
  <c r="X7" i="32"/>
  <c r="X30" i="34"/>
  <c r="X53" i="34" s="1"/>
  <c r="X45" i="11"/>
  <c r="X46" i="32" s="1"/>
  <c r="X22" i="32"/>
  <c r="X42" i="32"/>
  <c r="V78" i="14"/>
  <c r="V62" i="14"/>
  <c r="AZ92" i="9"/>
  <c r="F5" i="13" s="1"/>
  <c r="Q5" i="13" s="1"/>
  <c r="W109" i="14"/>
  <c r="W21" i="14"/>
  <c r="W95" i="14" s="1"/>
  <c r="X103" i="20"/>
  <c r="F13" i="13"/>
  <c r="Q13" i="13" s="1"/>
  <c r="Q14" i="13" s="1"/>
  <c r="X95" i="9"/>
  <c r="Y4" i="12" s="1"/>
  <c r="Y16" i="12" s="1"/>
  <c r="X77" i="10" s="1"/>
  <c r="X91" i="10" s="1"/>
  <c r="BK23" i="9"/>
  <c r="W78" i="14"/>
  <c r="W62" i="14"/>
  <c r="Y17" i="12"/>
  <c r="AZ557" i="9"/>
  <c r="AZ569" i="9" s="1"/>
  <c r="W91" i="10"/>
  <c r="W68" i="11"/>
  <c r="W38" i="32"/>
  <c r="W62" i="32" s="1"/>
  <c r="W62" i="10"/>
  <c r="W57" i="32"/>
  <c r="W24" i="10"/>
  <c r="W36" i="10"/>
  <c r="W42" i="32"/>
  <c r="W32" i="32"/>
  <c r="W56" i="32" s="1"/>
  <c r="W58" i="11"/>
  <c r="W40" i="32"/>
  <c r="W64" i="32" s="1"/>
  <c r="W24" i="11"/>
  <c r="W65" i="32"/>
  <c r="W63" i="11"/>
  <c r="W27" i="11"/>
  <c r="W28" i="32" s="1"/>
  <c r="W63" i="32"/>
  <c r="W55" i="34"/>
  <c r="W54" i="34"/>
  <c r="W7" i="32"/>
  <c r="W30" i="34"/>
  <c r="W31" i="32" s="1"/>
  <c r="W37" i="32"/>
  <c r="X35" i="12"/>
  <c r="W200" i="20"/>
  <c r="W201" i="20" s="1"/>
  <c r="AT428" i="21"/>
  <c r="W73" i="11"/>
  <c r="W81" i="11" s="1"/>
  <c r="X19" i="12"/>
  <c r="X36" i="12" s="1"/>
  <c r="AP26" i="20"/>
  <c r="AP27" i="20" s="1"/>
  <c r="J98" i="9"/>
  <c r="K98" i="9" s="1"/>
  <c r="U31" i="35"/>
  <c r="U38" i="35" s="1"/>
  <c r="U51" i="35" s="1"/>
  <c r="R53" i="12"/>
  <c r="R54" i="12" s="1"/>
  <c r="J82" i="11"/>
  <c r="AE139" i="20"/>
  <c r="V46" i="32"/>
  <c r="V70" i="32" s="1"/>
  <c r="V68" i="11"/>
  <c r="AT78" i="16"/>
  <c r="V36" i="10"/>
  <c r="V24" i="10"/>
  <c r="V60" i="11"/>
  <c r="V67" i="11"/>
  <c r="V55" i="32"/>
  <c r="V29" i="32"/>
  <c r="V40" i="32"/>
  <c r="V64" i="32" s="1"/>
  <c r="V34" i="32"/>
  <c r="V58" i="32" s="1"/>
  <c r="V9" i="32"/>
  <c r="V32" i="34"/>
  <c r="V33" i="32" s="1"/>
  <c r="V53" i="34"/>
  <c r="V35" i="34"/>
  <c r="V24" i="34"/>
  <c r="V58" i="11"/>
  <c r="V65" i="32"/>
  <c r="V62" i="11"/>
  <c r="V61" i="11"/>
  <c r="V56" i="11"/>
  <c r="V54" i="11"/>
  <c r="V64" i="11"/>
  <c r="V59" i="11"/>
  <c r="V51" i="11"/>
  <c r="V28" i="32"/>
  <c r="AR218" i="9"/>
  <c r="BQ288" i="9"/>
  <c r="AZ556" i="9"/>
  <c r="AZ566" i="9" s="1"/>
  <c r="AT84" i="16"/>
  <c r="BQ8" i="9"/>
  <c r="U62" i="14"/>
  <c r="V13" i="20"/>
  <c r="V95" i="9"/>
  <c r="W4" i="12" s="1"/>
  <c r="W16" i="12" s="1"/>
  <c r="V77" i="10" s="1"/>
  <c r="V91" i="10" s="1"/>
  <c r="U78" i="14"/>
  <c r="V554" i="9"/>
  <c r="U21" i="14" s="1"/>
  <c r="U95" i="14" s="1"/>
  <c r="U109" i="14"/>
  <c r="U37" i="14"/>
  <c r="AZ552" i="9"/>
  <c r="F36" i="13"/>
  <c r="Q36" i="13" s="1"/>
  <c r="W17" i="12"/>
  <c r="O16" i="14"/>
  <c r="AB46" i="14"/>
  <c r="N46" i="14"/>
  <c r="Z46" i="14"/>
  <c r="S114" i="36"/>
  <c r="AB49" i="14"/>
  <c r="L35" i="14"/>
  <c r="AL35" i="14"/>
  <c r="N49" i="14"/>
  <c r="O99" i="36"/>
  <c r="O100" i="36" s="1"/>
  <c r="L101" i="36" s="1"/>
  <c r="I46" i="14"/>
  <c r="C17" i="36"/>
  <c r="AI46" i="14"/>
  <c r="AD46" i="14"/>
  <c r="AN49" i="14"/>
  <c r="U68" i="11"/>
  <c r="U41" i="32"/>
  <c r="U65" i="32" s="1"/>
  <c r="U65" i="10"/>
  <c r="U24" i="10"/>
  <c r="U28" i="10"/>
  <c r="U60" i="11"/>
  <c r="U52" i="11"/>
  <c r="U39" i="32"/>
  <c r="U63" i="32" s="1"/>
  <c r="U34" i="32"/>
  <c r="U58" i="32" s="1"/>
  <c r="U53" i="34"/>
  <c r="AR109" i="33"/>
  <c r="AT109" i="33" s="1"/>
  <c r="AR43" i="34"/>
  <c r="U44" i="32"/>
  <c r="U68" i="32" s="1"/>
  <c r="U12" i="32"/>
  <c r="U35" i="34"/>
  <c r="U58" i="34" s="1"/>
  <c r="U24" i="34"/>
  <c r="U56" i="11"/>
  <c r="U64" i="11"/>
  <c r="U27" i="11"/>
  <c r="U50" i="11" s="1"/>
  <c r="U4" i="32"/>
  <c r="U24" i="11"/>
  <c r="AZ555" i="9"/>
  <c r="AZ565" i="9" s="1"/>
  <c r="V35" i="12"/>
  <c r="U200" i="20"/>
  <c r="U201" i="20" s="1"/>
  <c r="T62" i="14"/>
  <c r="U73" i="11"/>
  <c r="U81" i="11" s="1"/>
  <c r="V19" i="12"/>
  <c r="V36" i="12" s="1"/>
  <c r="T46" i="32"/>
  <c r="T70" i="32" s="1"/>
  <c r="T36" i="10"/>
  <c r="T24" i="10"/>
  <c r="T65" i="32"/>
  <c r="T34" i="32"/>
  <c r="T58" i="32" s="1"/>
  <c r="T56" i="32"/>
  <c r="T40" i="32"/>
  <c r="T64" i="32" s="1"/>
  <c r="T56" i="34"/>
  <c r="T28" i="32"/>
  <c r="T31" i="32"/>
  <c r="T55" i="32" s="1"/>
  <c r="T29" i="32"/>
  <c r="T47" i="34"/>
  <c r="AT58" i="33"/>
  <c r="T58" i="34"/>
  <c r="T61" i="11"/>
  <c r="T63" i="11"/>
  <c r="T52" i="11"/>
  <c r="T55" i="11"/>
  <c r="T33" i="32"/>
  <c r="T57" i="32" s="1"/>
  <c r="T51" i="11"/>
  <c r="T61" i="32"/>
  <c r="T59" i="11"/>
  <c r="T64" i="11"/>
  <c r="T60" i="11"/>
  <c r="T67" i="11"/>
  <c r="T53" i="11"/>
  <c r="T35" i="11"/>
  <c r="T24" i="11"/>
  <c r="T12" i="32"/>
  <c r="S37" i="14"/>
  <c r="BQ69" i="9"/>
  <c r="AU85" i="9"/>
  <c r="AT131" i="16"/>
  <c r="AU84" i="9"/>
  <c r="S78" i="14"/>
  <c r="T13" i="20"/>
  <c r="S62" i="14"/>
  <c r="T95" i="9"/>
  <c r="U4" i="12" s="1"/>
  <c r="U16" i="12" s="1"/>
  <c r="T77" i="10" s="1"/>
  <c r="T91" i="10" s="1"/>
  <c r="AU81" i="9"/>
  <c r="AT138" i="21"/>
  <c r="U17" i="12"/>
  <c r="AT184" i="21"/>
  <c r="Q7" i="14"/>
  <c r="S49" i="14"/>
  <c r="AE49" i="14"/>
  <c r="S97" i="36"/>
  <c r="S99" i="36" s="1"/>
  <c r="S100" i="36" s="1"/>
  <c r="R101" i="36" s="1"/>
  <c r="AA16" i="14"/>
  <c r="K11" i="14"/>
  <c r="M46" i="14"/>
  <c r="AB11" i="36"/>
  <c r="AB12" i="36" s="1"/>
  <c r="AB14" i="36" s="1"/>
  <c r="R46" i="14"/>
  <c r="AU74" i="9"/>
  <c r="AQ109" i="36"/>
  <c r="AO16" i="14"/>
  <c r="X49" i="14"/>
  <c r="AQ70" i="36"/>
  <c r="AT68" i="33"/>
  <c r="S46" i="32"/>
  <c r="S70" i="32" s="1"/>
  <c r="S70" i="10"/>
  <c r="S65" i="32"/>
  <c r="S37" i="32"/>
  <c r="S61" i="32" s="1"/>
  <c r="S61" i="10"/>
  <c r="S28" i="10"/>
  <c r="S28" i="32" s="1"/>
  <c r="S24" i="10"/>
  <c r="S63" i="11"/>
  <c r="S62" i="32"/>
  <c r="S60" i="11"/>
  <c r="S40" i="32"/>
  <c r="S64" i="32" s="1"/>
  <c r="S63" i="32"/>
  <c r="S34" i="32"/>
  <c r="S58" i="32" s="1"/>
  <c r="S42" i="32"/>
  <c r="S62" i="34"/>
  <c r="AT52" i="33"/>
  <c r="S57" i="32"/>
  <c r="S116" i="33"/>
  <c r="S12" i="34"/>
  <c r="S61" i="11"/>
  <c r="S50" i="11"/>
  <c r="S64" i="11"/>
  <c r="S52" i="11"/>
  <c r="S56" i="11"/>
  <c r="S55" i="11"/>
  <c r="S67" i="11"/>
  <c r="S53" i="11"/>
  <c r="S51" i="11"/>
  <c r="S24" i="11"/>
  <c r="S35" i="11"/>
  <c r="S554" i="9"/>
  <c r="R21" i="14" s="1"/>
  <c r="R95" i="14" s="1"/>
  <c r="AR314" i="9"/>
  <c r="S95" i="9"/>
  <c r="T4" i="12" s="1"/>
  <c r="T16" i="12" s="1"/>
  <c r="S77" i="10" s="1"/>
  <c r="S91" i="10" s="1"/>
  <c r="R7" i="14"/>
  <c r="R78" i="14"/>
  <c r="R62" i="14"/>
  <c r="S103" i="20"/>
  <c r="T17" i="12"/>
  <c r="S73" i="11" s="1"/>
  <c r="S81" i="11" s="1"/>
  <c r="AT161" i="21"/>
  <c r="AR194" i="9"/>
  <c r="S31" i="35"/>
  <c r="S38" i="35" s="1"/>
  <c r="S51" i="35" s="1"/>
  <c r="R68" i="11"/>
  <c r="R29" i="32"/>
  <c r="AT86" i="16"/>
  <c r="R5" i="32"/>
  <c r="R36" i="10"/>
  <c r="R36" i="32" s="1"/>
  <c r="R60" i="32" s="1"/>
  <c r="R55" i="11"/>
  <c r="AT429" i="21"/>
  <c r="R60" i="11"/>
  <c r="R62" i="11"/>
  <c r="R39" i="32"/>
  <c r="R63" i="32" s="1"/>
  <c r="R41" i="32"/>
  <c r="R65" i="32" s="1"/>
  <c r="R61" i="34"/>
  <c r="R45" i="32"/>
  <c r="R31" i="32"/>
  <c r="R55" i="32" s="1"/>
  <c r="R58" i="34"/>
  <c r="R34" i="32"/>
  <c r="R58" i="32" s="1"/>
  <c r="R47" i="34"/>
  <c r="R50" i="34"/>
  <c r="R57" i="32"/>
  <c r="R54" i="11"/>
  <c r="AT383" i="21"/>
  <c r="R37" i="32"/>
  <c r="R61" i="32" s="1"/>
  <c r="AR36" i="11"/>
  <c r="R56" i="11"/>
  <c r="R67" i="11"/>
  <c r="R28" i="32"/>
  <c r="AY70" i="9"/>
  <c r="AZ70" i="9" s="1"/>
  <c r="BA70" i="9" s="1"/>
  <c r="BB70" i="9" s="1"/>
  <c r="BC70" i="9" s="1"/>
  <c r="BD70" i="9" s="1"/>
  <c r="BE70" i="9" s="1"/>
  <c r="AT74" i="16"/>
  <c r="E13" i="13"/>
  <c r="P13" i="13" s="1"/>
  <c r="P14" i="13" s="1"/>
  <c r="R13" i="20"/>
  <c r="Q78" i="14"/>
  <c r="AT85" i="16"/>
  <c r="Q62" i="14"/>
  <c r="R95" i="9"/>
  <c r="AR122" i="9"/>
  <c r="AY121" i="9"/>
  <c r="AZ121" i="9" s="1"/>
  <c r="BA121" i="9" s="1"/>
  <c r="BB121" i="9" s="1"/>
  <c r="BC121" i="9" s="1"/>
  <c r="BD121" i="9" s="1"/>
  <c r="BE121" i="9" s="1"/>
  <c r="BQ247" i="9"/>
  <c r="BQ264" i="9" s="1"/>
  <c r="AY265" i="9"/>
  <c r="AZ265" i="9" s="1"/>
  <c r="BA265" i="9" s="1"/>
  <c r="BB265" i="9" s="1"/>
  <c r="BC265" i="9" s="1"/>
  <c r="BD265" i="9" s="1"/>
  <c r="BE265" i="9" s="1"/>
  <c r="R81" i="34"/>
  <c r="AU240" i="9"/>
  <c r="R103" i="20"/>
  <c r="Q37" i="14"/>
  <c r="Q109" i="14"/>
  <c r="AY552" i="9"/>
  <c r="R555" i="9"/>
  <c r="S5" i="12" s="1"/>
  <c r="S17" i="12" s="1"/>
  <c r="R73" i="11" s="1"/>
  <c r="R81" i="11" s="1"/>
  <c r="R554" i="9"/>
  <c r="Q21" i="14" s="1"/>
  <c r="R139" i="20" s="1"/>
  <c r="AY567" i="9"/>
  <c r="BF567" i="9" s="1"/>
  <c r="BJ312" i="9"/>
  <c r="BQ293" i="9"/>
  <c r="BQ312" i="9" s="1"/>
  <c r="AU87" i="9"/>
  <c r="P139" i="16"/>
  <c r="P141" i="16" s="1"/>
  <c r="P4" i="32"/>
  <c r="O4" i="32"/>
  <c r="P39" i="32"/>
  <c r="P63" i="32" s="1"/>
  <c r="O438" i="21"/>
  <c r="O24" i="11"/>
  <c r="P27" i="34"/>
  <c r="P28" i="32" s="1"/>
  <c r="P116" i="33"/>
  <c r="P24" i="34"/>
  <c r="O50" i="34"/>
  <c r="O116" i="33"/>
  <c r="Q46" i="32"/>
  <c r="Q70" i="32" s="1"/>
  <c r="Q68" i="11"/>
  <c r="AR130" i="16"/>
  <c r="AT130" i="16" s="1"/>
  <c r="Q14" i="32"/>
  <c r="Q38" i="32"/>
  <c r="AT82" i="16"/>
  <c r="Q37" i="32"/>
  <c r="Q61" i="32" s="1"/>
  <c r="Q61" i="10"/>
  <c r="Q33" i="32"/>
  <c r="Q9" i="32"/>
  <c r="Q69" i="32"/>
  <c r="Q139" i="16"/>
  <c r="Q141" i="16" s="1"/>
  <c r="Q4" i="10"/>
  <c r="Q64" i="11"/>
  <c r="Q40" i="32"/>
  <c r="Q64" i="32" s="1"/>
  <c r="Q30" i="32"/>
  <c r="Q39" i="32"/>
  <c r="Q63" i="32" s="1"/>
  <c r="AT54" i="33"/>
  <c r="AT101" i="33"/>
  <c r="Q29" i="32"/>
  <c r="AT51" i="33"/>
  <c r="Q27" i="34"/>
  <c r="Q47" i="34" s="1"/>
  <c r="Q62" i="11"/>
  <c r="Q61" i="11"/>
  <c r="Q56" i="11"/>
  <c r="Q55" i="11"/>
  <c r="Q67" i="11"/>
  <c r="AT92" i="21"/>
  <c r="AW92" i="21"/>
  <c r="Q51" i="11"/>
  <c r="Q50" i="11"/>
  <c r="Q438" i="21"/>
  <c r="AU78" i="9"/>
  <c r="AT125" i="16"/>
  <c r="E21" i="13"/>
  <c r="P21" i="13" s="1"/>
  <c r="P22" i="13" s="1"/>
  <c r="AT75" i="16"/>
  <c r="AT129" i="16"/>
  <c r="BJ23" i="9"/>
  <c r="AT81" i="16"/>
  <c r="AY92" i="9"/>
  <c r="E5" i="13" s="1"/>
  <c r="Q95" i="9"/>
  <c r="R4" i="12" s="1"/>
  <c r="R16" i="12" s="1"/>
  <c r="Q77" i="10" s="1"/>
  <c r="Q91" i="10" s="1"/>
  <c r="AT132" i="16"/>
  <c r="Q13" i="20"/>
  <c r="P7" i="14"/>
  <c r="P62" i="14"/>
  <c r="P78" i="14"/>
  <c r="AY47" i="9"/>
  <c r="AZ47" i="9" s="1"/>
  <c r="BA47" i="9" s="1"/>
  <c r="BB47" i="9" s="1"/>
  <c r="BC47" i="9" s="1"/>
  <c r="BD47" i="9" s="1"/>
  <c r="BE47" i="9" s="1"/>
  <c r="BJ46" i="9"/>
  <c r="BQ35" i="9"/>
  <c r="BQ46" i="9" s="1"/>
  <c r="AY145" i="9"/>
  <c r="AZ145" i="9" s="1"/>
  <c r="BA145" i="9" s="1"/>
  <c r="BB145" i="9" s="1"/>
  <c r="BC145" i="9" s="1"/>
  <c r="BD145" i="9" s="1"/>
  <c r="BE145" i="9" s="1"/>
  <c r="E36" i="13"/>
  <c r="P36" i="13" s="1"/>
  <c r="BQ144" i="9"/>
  <c r="BQ120" i="9"/>
  <c r="AT382" i="21"/>
  <c r="AY169" i="9"/>
  <c r="AZ169" i="9" s="1"/>
  <c r="BA169" i="9" s="1"/>
  <c r="BB169" i="9" s="1"/>
  <c r="BC169" i="9" s="1"/>
  <c r="BD169" i="9" s="1"/>
  <c r="BE169" i="9" s="1"/>
  <c r="BQ168" i="9"/>
  <c r="BJ168" i="9"/>
  <c r="Q103" i="20"/>
  <c r="AY555" i="9"/>
  <c r="AY565" i="9" s="1"/>
  <c r="P109" i="14"/>
  <c r="P37" i="14"/>
  <c r="P21" i="14"/>
  <c r="P95" i="14" s="1"/>
  <c r="Q556" i="9"/>
  <c r="R6" i="12" s="1"/>
  <c r="R18" i="12" s="1"/>
  <c r="Q73" i="34" s="1"/>
  <c r="Q81" i="34" s="1"/>
  <c r="AU192" i="9"/>
  <c r="AY556" i="9"/>
  <c r="AT99" i="33"/>
  <c r="BJ192" i="9"/>
  <c r="BQ174" i="9"/>
  <c r="BQ192" i="9" s="1"/>
  <c r="Q73" i="11"/>
  <c r="Q81" i="11" s="1"/>
  <c r="Q31" i="35"/>
  <c r="Q38" i="35" s="1"/>
  <c r="Q51" i="35" s="1"/>
  <c r="AU79" i="9"/>
  <c r="AT91" i="16"/>
  <c r="P46" i="32"/>
  <c r="P70" i="32" s="1"/>
  <c r="AT77" i="16"/>
  <c r="P65" i="32"/>
  <c r="P37" i="32"/>
  <c r="P61" i="32" s="1"/>
  <c r="P61" i="10"/>
  <c r="AT73" i="16"/>
  <c r="P40" i="32"/>
  <c r="P64" i="32" s="1"/>
  <c r="AT374" i="21"/>
  <c r="P42" i="32"/>
  <c r="AR10" i="11"/>
  <c r="P24" i="11"/>
  <c r="P438" i="21"/>
  <c r="P10" i="32"/>
  <c r="P33" i="32"/>
  <c r="P57" i="32" s="1"/>
  <c r="P38" i="32"/>
  <c r="P62" i="32" s="1"/>
  <c r="AR37" i="11"/>
  <c r="P34" i="32"/>
  <c r="P45" i="32"/>
  <c r="P69" i="32" s="1"/>
  <c r="P68" i="11"/>
  <c r="P47" i="11"/>
  <c r="P29" i="32"/>
  <c r="P56" i="34"/>
  <c r="P67" i="34"/>
  <c r="P64" i="34"/>
  <c r="P62" i="34"/>
  <c r="AR29" i="34"/>
  <c r="P30" i="32"/>
  <c r="P52" i="34"/>
  <c r="P61" i="34"/>
  <c r="AT56" i="33"/>
  <c r="P55" i="34"/>
  <c r="P32" i="32"/>
  <c r="P56" i="32" s="1"/>
  <c r="AR31" i="34"/>
  <c r="P7" i="32"/>
  <c r="P30" i="34"/>
  <c r="P31" i="32" s="1"/>
  <c r="P36" i="32"/>
  <c r="AT87" i="16"/>
  <c r="AT79" i="16"/>
  <c r="AT126" i="16"/>
  <c r="AU77" i="9"/>
  <c r="O12" i="13"/>
  <c r="W12" i="13" s="1"/>
  <c r="L12" i="13"/>
  <c r="AT133" i="16"/>
  <c r="Q4" i="12"/>
  <c r="O7" i="14"/>
  <c r="O62" i="14"/>
  <c r="P13" i="20"/>
  <c r="AR146" i="9"/>
  <c r="AT423" i="21"/>
  <c r="AT422" i="21"/>
  <c r="AT380" i="21"/>
  <c r="P81" i="11"/>
  <c r="O21" i="14"/>
  <c r="O95" i="14" s="1"/>
  <c r="O37" i="14"/>
  <c r="P103" i="20"/>
  <c r="O109" i="14"/>
  <c r="P73" i="34"/>
  <c r="P81" i="34" s="1"/>
  <c r="AG5" i="14"/>
  <c r="AB73" i="36"/>
  <c r="AQ5" i="36"/>
  <c r="AL16" i="14"/>
  <c r="O46" i="32"/>
  <c r="O70" i="32" s="1"/>
  <c r="O24" i="10"/>
  <c r="O61" i="10"/>
  <c r="O37" i="32"/>
  <c r="O61" i="32" s="1"/>
  <c r="O5" i="32"/>
  <c r="O48" i="10"/>
  <c r="O64" i="32"/>
  <c r="O39" i="32"/>
  <c r="O63" i="32" s="1"/>
  <c r="O31" i="32"/>
  <c r="O55" i="32" s="1"/>
  <c r="O54" i="32"/>
  <c r="AT377" i="21"/>
  <c r="O45" i="32"/>
  <c r="O69" i="32" s="1"/>
  <c r="O54" i="11"/>
  <c r="O58" i="11"/>
  <c r="O34" i="32"/>
  <c r="O58" i="32" s="1"/>
  <c r="O42" i="32"/>
  <c r="O29" i="32"/>
  <c r="O47" i="11"/>
  <c r="O50" i="11"/>
  <c r="O28" i="32"/>
  <c r="O64" i="34"/>
  <c r="O57" i="32"/>
  <c r="O63" i="34"/>
  <c r="O61" i="34"/>
  <c r="O56" i="34"/>
  <c r="O55" i="34"/>
  <c r="O67" i="34"/>
  <c r="O53" i="34"/>
  <c r="O51" i="34"/>
  <c r="O47" i="34"/>
  <c r="O36" i="32"/>
  <c r="O11" i="13"/>
  <c r="W11" i="13" s="1"/>
  <c r="L11" i="13"/>
  <c r="O91" i="10"/>
  <c r="N6" i="14"/>
  <c r="BI46" i="9"/>
  <c r="AT102" i="33"/>
  <c r="AT424" i="21"/>
  <c r="P18" i="12"/>
  <c r="O200" i="20"/>
  <c r="O201" i="20" s="1"/>
  <c r="P35" i="12"/>
  <c r="N109" i="14"/>
  <c r="N37" i="14"/>
  <c r="N21" i="14"/>
  <c r="N438" i="21"/>
  <c r="AT433" i="21"/>
  <c r="M24" i="34"/>
  <c r="M18" i="32"/>
  <c r="E560" i="9"/>
  <c r="F560" i="9" s="1"/>
  <c r="G560" i="9" s="1"/>
  <c r="H560" i="9" s="1"/>
  <c r="I560" i="9" s="1"/>
  <c r="J560" i="9" s="1"/>
  <c r="K560" i="9" s="1"/>
  <c r="L560" i="9" s="1"/>
  <c r="M560" i="9" s="1"/>
  <c r="N560" i="9" s="1"/>
  <c r="O560" i="9" s="1"/>
  <c r="P560" i="9" s="1"/>
  <c r="Q560" i="9" s="1"/>
  <c r="R560" i="9" s="1"/>
  <c r="S560" i="9" s="1"/>
  <c r="T560" i="9" s="1"/>
  <c r="U560" i="9" s="1"/>
  <c r="V560" i="9" s="1"/>
  <c r="W560" i="9" s="1"/>
  <c r="X560" i="9" s="1"/>
  <c r="Y560" i="9" s="1"/>
  <c r="Z560" i="9" s="1"/>
  <c r="AA560" i="9" s="1"/>
  <c r="AB560" i="9" s="1"/>
  <c r="AC560" i="9" s="1"/>
  <c r="AD560" i="9" s="1"/>
  <c r="AE560" i="9" s="1"/>
  <c r="AF560" i="9" s="1"/>
  <c r="AG560" i="9" s="1"/>
  <c r="AH560" i="9" s="1"/>
  <c r="AI560" i="9" s="1"/>
  <c r="AJ560" i="9" s="1"/>
  <c r="AK560" i="9" s="1"/>
  <c r="AL560" i="9" s="1"/>
  <c r="AM560" i="9" s="1"/>
  <c r="AN560" i="9" s="1"/>
  <c r="AO560" i="9" s="1"/>
  <c r="AP560" i="9" s="1"/>
  <c r="AQ560" i="9" s="1"/>
  <c r="AO97" i="9"/>
  <c r="AR97" i="9" s="1"/>
  <c r="AO13" i="20"/>
  <c r="AO53" i="12"/>
  <c r="W31" i="35"/>
  <c r="W38" i="35" s="1"/>
  <c r="W51" i="35" s="1"/>
  <c r="V31" i="35"/>
  <c r="V38" i="35" s="1"/>
  <c r="V51" i="35" s="1"/>
  <c r="Y31" i="35"/>
  <c r="Y38" i="35" s="1"/>
  <c r="Y51" i="35" s="1"/>
  <c r="Y37" i="35"/>
  <c r="Y50" i="35" s="1"/>
  <c r="X31" i="35"/>
  <c r="X38" i="35" s="1"/>
  <c r="X51" i="35" s="1"/>
  <c r="O31" i="35"/>
  <c r="O38" i="35" s="1"/>
  <c r="O51" i="35" s="1"/>
  <c r="P31" i="35"/>
  <c r="P38" i="35" s="1"/>
  <c r="P51" i="35" s="1"/>
  <c r="AJ26" i="20"/>
  <c r="AJ27" i="20" s="1"/>
  <c r="U54" i="12"/>
  <c r="AQ53" i="14"/>
  <c r="L98" i="9"/>
  <c r="M98" i="9" s="1"/>
  <c r="N98" i="9" s="1"/>
  <c r="O98" i="9" s="1"/>
  <c r="P98" i="9" s="1"/>
  <c r="Q98" i="9" s="1"/>
  <c r="R98" i="9" s="1"/>
  <c r="S98" i="9" s="1"/>
  <c r="T98" i="9" s="1"/>
  <c r="U98" i="9" s="1"/>
  <c r="V98" i="9" s="1"/>
  <c r="W98" i="9" s="1"/>
  <c r="X98" i="9" s="1"/>
  <c r="Y98" i="9" s="1"/>
  <c r="Z98" i="9" s="1"/>
  <c r="AA98" i="9" s="1"/>
  <c r="AB98" i="9" s="1"/>
  <c r="AC98" i="9" s="1"/>
  <c r="AD98" i="9" s="1"/>
  <c r="AE98" i="9" s="1"/>
  <c r="AF98" i="9" s="1"/>
  <c r="AG98" i="9" s="1"/>
  <c r="AH98" i="9" s="1"/>
  <c r="AI98" i="9" s="1"/>
  <c r="AJ98" i="9" s="1"/>
  <c r="AK98" i="9" s="1"/>
  <c r="AL98" i="9" s="1"/>
  <c r="AM98" i="9" s="1"/>
  <c r="AN98" i="9" s="1"/>
  <c r="AB81" i="11"/>
  <c r="AR53" i="12"/>
  <c r="AQ79" i="10"/>
  <c r="AQ91" i="10" s="1"/>
  <c r="AN53" i="12"/>
  <c r="AM79" i="10"/>
  <c r="AR74" i="34"/>
  <c r="AR149" i="20"/>
  <c r="AR56" i="20"/>
  <c r="AQ57" i="14" s="1"/>
  <c r="N22" i="32"/>
  <c r="N46" i="32"/>
  <c r="N68" i="34"/>
  <c r="AU91" i="9"/>
  <c r="AT390" i="21"/>
  <c r="AR121" i="16"/>
  <c r="AT121" i="16" s="1"/>
  <c r="N64" i="32"/>
  <c r="N139" i="16"/>
  <c r="N141" i="16" s="1"/>
  <c r="N44" i="32"/>
  <c r="N68" i="32" s="1"/>
  <c r="N68" i="10"/>
  <c r="N65" i="32"/>
  <c r="AT46" i="16"/>
  <c r="N8" i="32"/>
  <c r="N28" i="10"/>
  <c r="N24" i="10"/>
  <c r="AT373" i="21"/>
  <c r="AT372" i="21"/>
  <c r="N62" i="11"/>
  <c r="N42" i="32"/>
  <c r="N34" i="32"/>
  <c r="N58" i="32" s="1"/>
  <c r="N33" i="32"/>
  <c r="N57" i="32" s="1"/>
  <c r="N45" i="32"/>
  <c r="AT69" i="21"/>
  <c r="N52" i="11"/>
  <c r="N39" i="32"/>
  <c r="N29" i="32"/>
  <c r="AT103" i="33"/>
  <c r="N61" i="34"/>
  <c r="N55" i="34"/>
  <c r="N67" i="34"/>
  <c r="N53" i="34"/>
  <c r="N51" i="34"/>
  <c r="N4" i="32"/>
  <c r="N24" i="34"/>
  <c r="N27" i="34"/>
  <c r="N50" i="34" s="1"/>
  <c r="AU86" i="9"/>
  <c r="N95" i="9"/>
  <c r="O4" i="12" s="1"/>
  <c r="O16" i="12" s="1"/>
  <c r="N77" i="10" s="1"/>
  <c r="N91" i="10" s="1"/>
  <c r="M62" i="14"/>
  <c r="M7" i="14"/>
  <c r="AT76" i="16"/>
  <c r="AU73" i="9"/>
  <c r="AT108" i="33"/>
  <c r="AT378" i="21"/>
  <c r="AT425" i="21"/>
  <c r="AT430" i="21"/>
  <c r="O18" i="12"/>
  <c r="N73" i="34" s="1"/>
  <c r="N81" i="34" s="1"/>
  <c r="M21" i="14"/>
  <c r="AT386" i="21"/>
  <c r="M109" i="14"/>
  <c r="M37" i="14"/>
  <c r="AR559" i="9"/>
  <c r="K79" i="10"/>
  <c r="L53" i="12"/>
  <c r="L55" i="12" s="1"/>
  <c r="Z54" i="12"/>
  <c r="AM53" i="12"/>
  <c r="AL79" i="10"/>
  <c r="AL91" i="10" s="1"/>
  <c r="E60" i="12"/>
  <c r="L59" i="12"/>
  <c r="AP53" i="12"/>
  <c r="AO79" i="10"/>
  <c r="AO91" i="10" s="1"/>
  <c r="E53" i="12"/>
  <c r="D79" i="10"/>
  <c r="AR23" i="20"/>
  <c r="AR25" i="20" s="1"/>
  <c r="AQ53" i="12"/>
  <c r="AP79" i="10"/>
  <c r="AP91" i="10" s="1"/>
  <c r="AR26" i="20"/>
  <c r="AR27" i="20" s="1"/>
  <c r="M4" i="10"/>
  <c r="M4" i="32" s="1"/>
  <c r="L139" i="16"/>
  <c r="L141" i="16" s="1"/>
  <c r="AR120" i="16"/>
  <c r="AT120" i="16" s="1"/>
  <c r="G39" i="32"/>
  <c r="K68" i="34"/>
  <c r="M46" i="32"/>
  <c r="M70" i="32" s="1"/>
  <c r="M54" i="32"/>
  <c r="M57" i="32"/>
  <c r="M7" i="32"/>
  <c r="M61" i="10"/>
  <c r="M37" i="32"/>
  <c r="M61" i="32" s="1"/>
  <c r="M93" i="16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X93" i="16" s="1"/>
  <c r="Y93" i="16" s="1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AR123" i="16"/>
  <c r="AT123" i="16" s="1"/>
  <c r="AT46" i="21"/>
  <c r="AT375" i="21"/>
  <c r="M52" i="11"/>
  <c r="AR391" i="21"/>
  <c r="AT376" i="21"/>
  <c r="M54" i="11"/>
  <c r="M31" i="32"/>
  <c r="M42" i="32"/>
  <c r="M438" i="21"/>
  <c r="AT431" i="21"/>
  <c r="AT384" i="21"/>
  <c r="M16" i="32"/>
  <c r="M39" i="11"/>
  <c r="M40" i="32" s="1"/>
  <c r="M39" i="32"/>
  <c r="M63" i="32" s="1"/>
  <c r="M45" i="32"/>
  <c r="M28" i="11"/>
  <c r="M51" i="11" s="1"/>
  <c r="M24" i="11"/>
  <c r="M5" i="32"/>
  <c r="M64" i="34"/>
  <c r="M63" i="34"/>
  <c r="M55" i="34"/>
  <c r="AR17" i="32"/>
  <c r="AS41" i="32" s="1"/>
  <c r="M65" i="32"/>
  <c r="M61" i="34"/>
  <c r="M34" i="32"/>
  <c r="M58" i="32" s="1"/>
  <c r="AR33" i="34"/>
  <c r="M53" i="34"/>
  <c r="M47" i="34"/>
  <c r="AU82" i="9"/>
  <c r="AU90" i="9"/>
  <c r="BI23" i="9"/>
  <c r="AU76" i="9"/>
  <c r="AR92" i="9"/>
  <c r="M95" i="9"/>
  <c r="N4" i="12" s="1"/>
  <c r="N16" i="12" s="1"/>
  <c r="M77" i="10" s="1"/>
  <c r="M91" i="10" s="1"/>
  <c r="L7" i="14"/>
  <c r="L62" i="14"/>
  <c r="L78" i="14"/>
  <c r="AU144" i="9"/>
  <c r="M554" i="9"/>
  <c r="AT23" i="21"/>
  <c r="M81" i="11"/>
  <c r="AR552" i="9"/>
  <c r="L109" i="14"/>
  <c r="AX552" i="9"/>
  <c r="Y91" i="10"/>
  <c r="AT389" i="21"/>
  <c r="U91" i="10"/>
  <c r="AD91" i="10"/>
  <c r="Q54" i="12"/>
  <c r="M73" i="34"/>
  <c r="M81" i="34" s="1"/>
  <c r="AA54" i="12"/>
  <c r="O81" i="11"/>
  <c r="AB91" i="10"/>
  <c r="Z81" i="11"/>
  <c r="V55" i="12"/>
  <c r="Y55" i="12"/>
  <c r="AC54" i="12"/>
  <c r="R55" i="12"/>
  <c r="O54" i="12"/>
  <c r="S55" i="12"/>
  <c r="AB55" i="12"/>
  <c r="T55" i="12"/>
  <c r="N54" i="12"/>
  <c r="N55" i="12"/>
  <c r="X54" i="12"/>
  <c r="AC91" i="10"/>
  <c r="P55" i="12"/>
  <c r="W55" i="12"/>
  <c r="AR74" i="11"/>
  <c r="AS46" i="12"/>
  <c r="AU46" i="12" s="1"/>
  <c r="L79" i="10"/>
  <c r="M53" i="12"/>
  <c r="M55" i="12" s="1"/>
  <c r="P58" i="12"/>
  <c r="L199" i="20"/>
  <c r="AR192" i="20"/>
  <c r="AR199" i="20" s="1"/>
  <c r="AU168" i="9"/>
  <c r="AU120" i="9"/>
  <c r="L41" i="12"/>
  <c r="M41" i="12" s="1"/>
  <c r="N41" i="12" s="1"/>
  <c r="O41" i="12" s="1"/>
  <c r="P41" i="12" s="1"/>
  <c r="Q41" i="12" s="1"/>
  <c r="R41" i="12" s="1"/>
  <c r="S41" i="12" s="1"/>
  <c r="T41" i="12" s="1"/>
  <c r="U41" i="12" s="1"/>
  <c r="V41" i="12" s="1"/>
  <c r="W41" i="12" s="1"/>
  <c r="X41" i="12" s="1"/>
  <c r="Y41" i="12" s="1"/>
  <c r="Z41" i="12" s="1"/>
  <c r="AA41" i="12" s="1"/>
  <c r="AB41" i="12" s="1"/>
  <c r="AC41" i="12" s="1"/>
  <c r="AD41" i="12" s="1"/>
  <c r="AE41" i="12" s="1"/>
  <c r="AF41" i="12" s="1"/>
  <c r="AG41" i="12" s="1"/>
  <c r="AH41" i="12" s="1"/>
  <c r="AI41" i="12" s="1"/>
  <c r="AJ41" i="12" s="1"/>
  <c r="AK41" i="12" s="1"/>
  <c r="AL41" i="12" s="1"/>
  <c r="AM41" i="12" s="1"/>
  <c r="AN41" i="12" s="1"/>
  <c r="AO41" i="12" s="1"/>
  <c r="AP41" i="12" s="1"/>
  <c r="AQ41" i="12" s="1"/>
  <c r="AR41" i="12" s="1"/>
  <c r="L46" i="32"/>
  <c r="L70" i="32" s="1"/>
  <c r="AT69" i="16"/>
  <c r="AT264" i="9"/>
  <c r="AT115" i="21"/>
  <c r="L16" i="32"/>
  <c r="AR16" i="10"/>
  <c r="L11" i="32"/>
  <c r="L35" i="10"/>
  <c r="AR11" i="10"/>
  <c r="AT23" i="16"/>
  <c r="L38" i="10"/>
  <c r="L14" i="32"/>
  <c r="AR14" i="10"/>
  <c r="AR15" i="32"/>
  <c r="AS39" i="32" s="1"/>
  <c r="L20" i="32"/>
  <c r="AR20" i="32" s="1"/>
  <c r="AS44" i="32" s="1"/>
  <c r="L44" i="10"/>
  <c r="AR20" i="10"/>
  <c r="L39" i="10"/>
  <c r="L39" i="32" s="1"/>
  <c r="L63" i="32" s="1"/>
  <c r="AR15" i="10"/>
  <c r="AR12" i="10"/>
  <c r="L36" i="10"/>
  <c r="L12" i="32"/>
  <c r="L64" i="10"/>
  <c r="AR40" i="10"/>
  <c r="L19" i="32"/>
  <c r="AR19" i="10"/>
  <c r="L43" i="10"/>
  <c r="L42" i="10"/>
  <c r="L42" i="32" s="1"/>
  <c r="AR18" i="10"/>
  <c r="L41" i="10"/>
  <c r="L41" i="32" s="1"/>
  <c r="AR17" i="10"/>
  <c r="AR6" i="10"/>
  <c r="L30" i="10"/>
  <c r="L30" i="32" s="1"/>
  <c r="L25" i="10"/>
  <c r="M25" i="10" s="1"/>
  <c r="N25" i="10" s="1"/>
  <c r="O25" i="10" s="1"/>
  <c r="P25" i="10" s="1"/>
  <c r="Q25" i="10" s="1"/>
  <c r="R25" i="10" s="1"/>
  <c r="S25" i="10" s="1"/>
  <c r="T25" i="10" s="1"/>
  <c r="U25" i="10" s="1"/>
  <c r="V25" i="10" s="1"/>
  <c r="W25" i="10" s="1"/>
  <c r="X25" i="10" s="1"/>
  <c r="Y25" i="10" s="1"/>
  <c r="Z25" i="10" s="1"/>
  <c r="AA25" i="10" s="1"/>
  <c r="AB25" i="10" s="1"/>
  <c r="AC25" i="10" s="1"/>
  <c r="AD25" i="10" s="1"/>
  <c r="AE25" i="10" s="1"/>
  <c r="AF25" i="10" s="1"/>
  <c r="AG25" i="10" s="1"/>
  <c r="AH25" i="10" s="1"/>
  <c r="AI25" i="10" s="1"/>
  <c r="AJ25" i="10" s="1"/>
  <c r="AK25" i="10" s="1"/>
  <c r="AL25" i="10" s="1"/>
  <c r="AM25" i="10" s="1"/>
  <c r="AN25" i="10" s="1"/>
  <c r="AO25" i="10" s="1"/>
  <c r="AP25" i="10" s="1"/>
  <c r="AQ25" i="10" s="1"/>
  <c r="L13" i="32"/>
  <c r="AR13" i="10"/>
  <c r="L37" i="10"/>
  <c r="L34" i="10"/>
  <c r="L34" i="32" s="1"/>
  <c r="AR10" i="10"/>
  <c r="L10" i="32"/>
  <c r="L57" i="10"/>
  <c r="AR33" i="10"/>
  <c r="AR57" i="10" s="1"/>
  <c r="L45" i="10"/>
  <c r="AR21" i="10"/>
  <c r="L24" i="10"/>
  <c r="AT90" i="16"/>
  <c r="AR92" i="16"/>
  <c r="L32" i="10"/>
  <c r="AR8" i="10"/>
  <c r="L29" i="10"/>
  <c r="AR5" i="10"/>
  <c r="L52" i="10"/>
  <c r="AT385" i="21"/>
  <c r="AR40" i="11"/>
  <c r="AW23" i="21"/>
  <c r="L32" i="11"/>
  <c r="AR9" i="11"/>
  <c r="L62" i="11"/>
  <c r="AR38" i="11"/>
  <c r="L61" i="11"/>
  <c r="AR33" i="11"/>
  <c r="L56" i="11"/>
  <c r="L54" i="11"/>
  <c r="L24" i="11"/>
  <c r="AR5" i="11"/>
  <c r="L28" i="11"/>
  <c r="L5" i="32"/>
  <c r="BI216" i="9"/>
  <c r="AT55" i="33"/>
  <c r="AR40" i="34"/>
  <c r="AT46" i="33"/>
  <c r="L40" i="32"/>
  <c r="AR39" i="34"/>
  <c r="AR32" i="34"/>
  <c r="AR114" i="33"/>
  <c r="AT114" i="33" s="1"/>
  <c r="AT67" i="33"/>
  <c r="AR44" i="34"/>
  <c r="L51" i="34"/>
  <c r="AU69" i="9"/>
  <c r="O16" i="13"/>
  <c r="L16" i="13"/>
  <c r="O17" i="13"/>
  <c r="W17" i="13" s="1"/>
  <c r="L17" i="13"/>
  <c r="AX92" i="9"/>
  <c r="D5" i="13" s="1"/>
  <c r="D4" i="13" s="1"/>
  <c r="AU23" i="9"/>
  <c r="L9" i="13"/>
  <c r="O9" i="13"/>
  <c r="D13" i="13"/>
  <c r="O13" i="13" s="1"/>
  <c r="D21" i="13"/>
  <c r="K62" i="14"/>
  <c r="L95" i="9"/>
  <c r="M4" i="12" s="1"/>
  <c r="M16" i="12" s="1"/>
  <c r="L77" i="10" s="1"/>
  <c r="K78" i="14"/>
  <c r="AX555" i="9"/>
  <c r="AX565" i="9" s="1"/>
  <c r="D36" i="13"/>
  <c r="O36" i="13" s="1"/>
  <c r="M5" i="12"/>
  <c r="K109" i="14"/>
  <c r="K21" i="14"/>
  <c r="K95" i="14" s="1"/>
  <c r="M18" i="12"/>
  <c r="BQ240" i="9"/>
  <c r="AA20" i="14"/>
  <c r="N20" i="14"/>
  <c r="M20" i="14"/>
  <c r="T20" i="14"/>
  <c r="AG49" i="14"/>
  <c r="Q16" i="14"/>
  <c r="Q49" i="14"/>
  <c r="AI16" i="14"/>
  <c r="AI49" i="14"/>
  <c r="R20" i="14"/>
  <c r="Q20" i="14"/>
  <c r="AH49" i="14"/>
  <c r="AH16" i="14"/>
  <c r="X20" i="14"/>
  <c r="AB50" i="36"/>
  <c r="R114" i="36"/>
  <c r="P114" i="36"/>
  <c r="E49" i="14"/>
  <c r="E46" i="14"/>
  <c r="V20" i="14"/>
  <c r="Z16" i="14"/>
  <c r="Z49" i="14"/>
  <c r="U20" i="14"/>
  <c r="AB20" i="14"/>
  <c r="V7" i="14"/>
  <c r="Q114" i="36"/>
  <c r="P20" i="14"/>
  <c r="P31" i="14" s="1"/>
  <c r="S48" i="36"/>
  <c r="S50" i="36" s="1"/>
  <c r="Q46" i="14"/>
  <c r="Z20" i="14"/>
  <c r="Y20" i="14"/>
  <c r="K26" i="14"/>
  <c r="O73" i="36"/>
  <c r="U46" i="14"/>
  <c r="S5" i="14"/>
  <c r="T5" i="37" s="1"/>
  <c r="U49" i="14"/>
  <c r="O20" i="14"/>
  <c r="K20" i="14"/>
  <c r="Y16" i="14"/>
  <c r="S20" i="14"/>
  <c r="S9" i="36"/>
  <c r="S11" i="36" s="1"/>
  <c r="S12" i="36" s="1"/>
  <c r="S14" i="36" s="1"/>
  <c r="AD49" i="14"/>
  <c r="L20" i="14"/>
  <c r="W20" i="14"/>
  <c r="AQ24" i="36"/>
  <c r="L55" i="10"/>
  <c r="AR31" i="10"/>
  <c r="L31" i="32"/>
  <c r="K141" i="16"/>
  <c r="K46" i="10"/>
  <c r="K24" i="10"/>
  <c r="K22" i="32"/>
  <c r="AT61" i="33"/>
  <c r="K39" i="32"/>
  <c r="AR38" i="34"/>
  <c r="K31" i="32"/>
  <c r="K47" i="34"/>
  <c r="AR69" i="33"/>
  <c r="AR71" i="33" s="1"/>
  <c r="AR97" i="33"/>
  <c r="K50" i="34"/>
  <c r="J62" i="14"/>
  <c r="J78" i="14"/>
  <c r="J7" i="14"/>
  <c r="L4" i="12"/>
  <c r="AW24" i="9"/>
  <c r="AX24" i="9" s="1"/>
  <c r="AY24" i="9" s="1"/>
  <c r="AZ24" i="9" s="1"/>
  <c r="BA24" i="9" s="1"/>
  <c r="BB24" i="9" s="1"/>
  <c r="BC24" i="9" s="1"/>
  <c r="BD24" i="9" s="1"/>
  <c r="BE24" i="9" s="1"/>
  <c r="C13" i="13"/>
  <c r="C4" i="13"/>
  <c r="N5" i="13"/>
  <c r="C34" i="13"/>
  <c r="L6" i="12"/>
  <c r="J37" i="14"/>
  <c r="J109" i="14"/>
  <c r="AW569" i="9"/>
  <c r="J21" i="14"/>
  <c r="K139" i="20" s="1"/>
  <c r="AU216" i="9"/>
  <c r="AT23" i="33"/>
  <c r="AT92" i="9"/>
  <c r="AU46" i="9"/>
  <c r="AR77" i="34"/>
  <c r="AR77" i="11"/>
  <c r="K81" i="11"/>
  <c r="AR86" i="10"/>
  <c r="AL47" i="11" l="1"/>
  <c r="Q66" i="32"/>
  <c r="AG66" i="32"/>
  <c r="AI66" i="32"/>
  <c r="AH69" i="32"/>
  <c r="AO66" i="32"/>
  <c r="AB60" i="32"/>
  <c r="V47" i="11"/>
  <c r="V52" i="11"/>
  <c r="AM60" i="32"/>
  <c r="S66" i="32"/>
  <c r="X56" i="32"/>
  <c r="K64" i="11"/>
  <c r="AB69" i="32"/>
  <c r="AC52" i="11"/>
  <c r="AC51" i="11"/>
  <c r="M50" i="11"/>
  <c r="AK21" i="14"/>
  <c r="AL139" i="20" s="1"/>
  <c r="AK37" i="14"/>
  <c r="AL103" i="20"/>
  <c r="I31" i="13"/>
  <c r="I34" i="13" s="1"/>
  <c r="T34" i="13" s="1"/>
  <c r="AG66" i="10"/>
  <c r="AR55" i="10"/>
  <c r="BC562" i="9"/>
  <c r="AG54" i="32"/>
  <c r="AE60" i="32"/>
  <c r="AL60" i="32"/>
  <c r="AE47" i="11"/>
  <c r="AR41" i="11"/>
  <c r="AE45" i="32"/>
  <c r="AE69" i="32" s="1"/>
  <c r="K53" i="32"/>
  <c r="O56" i="32"/>
  <c r="N69" i="32"/>
  <c r="R42" i="32"/>
  <c r="AH60" i="32"/>
  <c r="F56" i="32"/>
  <c r="R47" i="11"/>
  <c r="AF66" i="32"/>
  <c r="AR44" i="11"/>
  <c r="F47" i="11"/>
  <c r="AO56" i="32"/>
  <c r="AR437" i="21"/>
  <c r="F53" i="32"/>
  <c r="AC60" i="32"/>
  <c r="J36" i="32"/>
  <c r="J60" i="32" s="1"/>
  <c r="T54" i="32"/>
  <c r="AJ32" i="32"/>
  <c r="AJ56" i="32" s="1"/>
  <c r="F54" i="11"/>
  <c r="N60" i="32"/>
  <c r="AO54" i="32"/>
  <c r="AD53" i="32"/>
  <c r="AO53" i="32"/>
  <c r="AI54" i="32"/>
  <c r="I53" i="11"/>
  <c r="AC56" i="32"/>
  <c r="M69" i="32"/>
  <c r="H66" i="32"/>
  <c r="AM66" i="32"/>
  <c r="I31" i="32"/>
  <c r="I55" i="32" s="1"/>
  <c r="Q54" i="32"/>
  <c r="J24" i="32"/>
  <c r="K56" i="32"/>
  <c r="N54" i="32"/>
  <c r="AL53" i="32"/>
  <c r="F36" i="32"/>
  <c r="F60" i="32" s="1"/>
  <c r="AR30" i="11"/>
  <c r="AN66" i="32"/>
  <c r="T69" i="32"/>
  <c r="J54" i="32"/>
  <c r="AA7" i="37"/>
  <c r="D32" i="14"/>
  <c r="E139" i="20"/>
  <c r="D22" i="14"/>
  <c r="D23" i="14" s="1"/>
  <c r="E23" i="14" s="1"/>
  <c r="F23" i="14" s="1"/>
  <c r="D95" i="14"/>
  <c r="BQ384" i="9"/>
  <c r="BQ456" i="9"/>
  <c r="AQ19" i="12"/>
  <c r="AQ36" i="12" s="1"/>
  <c r="W16" i="13"/>
  <c r="S4" i="12"/>
  <c r="S16" i="12" s="1"/>
  <c r="L8" i="37"/>
  <c r="AG54" i="34"/>
  <c r="AG32" i="32"/>
  <c r="AG56" i="32" s="1"/>
  <c r="AK36" i="32"/>
  <c r="AK60" i="32" s="1"/>
  <c r="D25" i="34"/>
  <c r="Z56" i="32"/>
  <c r="D50" i="34"/>
  <c r="P54" i="32"/>
  <c r="F70" i="34"/>
  <c r="E42" i="14" s="1"/>
  <c r="E43" i="14" s="1"/>
  <c r="AL54" i="32"/>
  <c r="AN54" i="32"/>
  <c r="N63" i="32"/>
  <c r="F30" i="32"/>
  <c r="Q56" i="32"/>
  <c r="AN56" i="32"/>
  <c r="Q35" i="12"/>
  <c r="Q16" i="12"/>
  <c r="Q19" i="12" s="1"/>
  <c r="Q36" i="12" s="1"/>
  <c r="Q38" i="12" s="1"/>
  <c r="K4" i="13"/>
  <c r="V5" i="13"/>
  <c r="AK16" i="14"/>
  <c r="AL11" i="37"/>
  <c r="L16" i="14"/>
  <c r="M5" i="37"/>
  <c r="M7" i="37" s="1"/>
  <c r="V16" i="14"/>
  <c r="W5" i="37"/>
  <c r="Y7" i="14"/>
  <c r="Z5" i="37"/>
  <c r="F16" i="12"/>
  <c r="E200" i="20"/>
  <c r="E201" i="20" s="1"/>
  <c r="F35" i="12"/>
  <c r="I78" i="14"/>
  <c r="J13" i="20"/>
  <c r="I17" i="14"/>
  <c r="I62" i="14"/>
  <c r="E29" i="32"/>
  <c r="E53" i="32" s="1"/>
  <c r="F73" i="34"/>
  <c r="AP60" i="32"/>
  <c r="W16" i="14"/>
  <c r="X5" i="37"/>
  <c r="J52" i="11"/>
  <c r="D78" i="14"/>
  <c r="D17" i="14"/>
  <c r="E13" i="20"/>
  <c r="D62" i="14"/>
  <c r="D7" i="14"/>
  <c r="D8" i="14" s="1"/>
  <c r="K16" i="12"/>
  <c r="K35" i="12"/>
  <c r="K16" i="14"/>
  <c r="L11" i="37"/>
  <c r="T54" i="11"/>
  <c r="I37" i="14"/>
  <c r="AE7" i="14"/>
  <c r="AF5" i="37"/>
  <c r="AF7" i="37" s="1"/>
  <c r="F42" i="12"/>
  <c r="I16" i="12"/>
  <c r="I35" i="12"/>
  <c r="H200" i="20"/>
  <c r="H201" i="20" s="1"/>
  <c r="AN16" i="12"/>
  <c r="AN35" i="12"/>
  <c r="AQ35" i="12"/>
  <c r="AJ13" i="20"/>
  <c r="AI6" i="37"/>
  <c r="AI7" i="37" s="1"/>
  <c r="AX529" i="9"/>
  <c r="C40" i="13"/>
  <c r="J200" i="20"/>
  <c r="J201" i="20" s="1"/>
  <c r="AF46" i="14"/>
  <c r="AA60" i="32"/>
  <c r="AM69" i="32"/>
  <c r="X7" i="14"/>
  <c r="Y5" i="37"/>
  <c r="D81" i="34"/>
  <c r="D82" i="34" s="1"/>
  <c r="E82" i="34" s="1"/>
  <c r="G62" i="14"/>
  <c r="G78" i="14"/>
  <c r="G7" i="14"/>
  <c r="H13" i="20"/>
  <c r="G17" i="14"/>
  <c r="O13" i="20"/>
  <c r="N6" i="37"/>
  <c r="N7" i="37" s="1"/>
  <c r="AG7" i="14"/>
  <c r="AH5" i="37"/>
  <c r="AH7" i="37" s="1"/>
  <c r="AM70" i="11"/>
  <c r="AL27" i="14" s="1"/>
  <c r="AL28" i="14" s="1"/>
  <c r="AN53" i="32"/>
  <c r="AD54" i="32"/>
  <c r="J5" i="13"/>
  <c r="J4" i="13" s="1"/>
  <c r="N35" i="32"/>
  <c r="N59" i="32" s="1"/>
  <c r="T78" i="14"/>
  <c r="T6" i="37"/>
  <c r="T7" i="37" s="1"/>
  <c r="W7" i="37"/>
  <c r="BD95" i="9"/>
  <c r="AD7" i="14"/>
  <c r="AE5" i="37"/>
  <c r="AE7" i="37" s="1"/>
  <c r="AC7" i="14"/>
  <c r="AD5" i="37"/>
  <c r="AD7" i="37" s="1"/>
  <c r="S69" i="32"/>
  <c r="G16" i="12"/>
  <c r="F77" i="10" s="1"/>
  <c r="F91" i="10" s="1"/>
  <c r="F200" i="20"/>
  <c r="F201" i="20" s="1"/>
  <c r="Z7" i="37"/>
  <c r="H67" i="11"/>
  <c r="X7" i="37"/>
  <c r="I5" i="13"/>
  <c r="I4" i="13" s="1"/>
  <c r="AI56" i="32"/>
  <c r="U7" i="14"/>
  <c r="V5" i="37"/>
  <c r="V7" i="37" s="1"/>
  <c r="AF7" i="14"/>
  <c r="AG5" i="37"/>
  <c r="AG7" i="37" s="1"/>
  <c r="Y7" i="37"/>
  <c r="AO78" i="14"/>
  <c r="AO6" i="37"/>
  <c r="AO7" i="37" s="1"/>
  <c r="AO62" i="14"/>
  <c r="AP13" i="20"/>
  <c r="AO17" i="14"/>
  <c r="E78" i="14"/>
  <c r="E17" i="14"/>
  <c r="E7" i="14"/>
  <c r="F13" i="20"/>
  <c r="E62" i="14"/>
  <c r="U56" i="32"/>
  <c r="T21" i="14"/>
  <c r="T95" i="14" s="1"/>
  <c r="U103" i="20"/>
  <c r="N70" i="10"/>
  <c r="N53" i="10"/>
  <c r="U66" i="32"/>
  <c r="U13" i="20"/>
  <c r="T7" i="14"/>
  <c r="R66" i="32"/>
  <c r="T66" i="32"/>
  <c r="S56" i="32"/>
  <c r="S52" i="32"/>
  <c r="R69" i="32"/>
  <c r="AR29" i="11"/>
  <c r="F43" i="12"/>
  <c r="G42" i="12"/>
  <c r="L27" i="34"/>
  <c r="L50" i="34" s="1"/>
  <c r="L70" i="34" s="1"/>
  <c r="K42" i="14" s="1"/>
  <c r="K47" i="14" s="1"/>
  <c r="I67" i="34"/>
  <c r="I45" i="32"/>
  <c r="I69" i="32" s="1"/>
  <c r="AF101" i="36"/>
  <c r="AE101" i="36"/>
  <c r="L49" i="14"/>
  <c r="W7" i="14"/>
  <c r="AC16" i="14"/>
  <c r="L46" i="14"/>
  <c r="E38" i="14"/>
  <c r="F38" i="14" s="1"/>
  <c r="G38" i="14" s="1"/>
  <c r="H38" i="14" s="1"/>
  <c r="AJ32" i="14"/>
  <c r="T46" i="14"/>
  <c r="T37" i="14"/>
  <c r="W37" i="14"/>
  <c r="AD16" i="14"/>
  <c r="AP139" i="20"/>
  <c r="T49" i="14"/>
  <c r="AJ95" i="14"/>
  <c r="AL95" i="14"/>
  <c r="K46" i="14"/>
  <c r="U16" i="14"/>
  <c r="AE37" i="14"/>
  <c r="AK139" i="20"/>
  <c r="Y49" i="14"/>
  <c r="G46" i="14"/>
  <c r="AQ36" i="14"/>
  <c r="I21" i="14"/>
  <c r="J139" i="20" s="1"/>
  <c r="I139" i="20"/>
  <c r="H22" i="14"/>
  <c r="H95" i="14"/>
  <c r="AO22" i="14"/>
  <c r="AW553" i="9"/>
  <c r="AX553" i="9" s="1"/>
  <c r="AY553" i="9" s="1"/>
  <c r="AZ553" i="9" s="1"/>
  <c r="BA553" i="9" s="1"/>
  <c r="BB553" i="9" s="1"/>
  <c r="BC553" i="9" s="1"/>
  <c r="BD553" i="9" s="1"/>
  <c r="BE553" i="9" s="1"/>
  <c r="G114" i="36"/>
  <c r="AI14" i="36"/>
  <c r="V46" i="14"/>
  <c r="AD114" i="36"/>
  <c r="H114" i="36"/>
  <c r="AK101" i="36"/>
  <c r="I114" i="36"/>
  <c r="AG101" i="36"/>
  <c r="AJ14" i="36"/>
  <c r="AJ46" i="14"/>
  <c r="J101" i="36"/>
  <c r="AN114" i="36"/>
  <c r="U14" i="36"/>
  <c r="AM114" i="36"/>
  <c r="AD14" i="36"/>
  <c r="AH14" i="36"/>
  <c r="AF16" i="14"/>
  <c r="D101" i="36"/>
  <c r="U114" i="36"/>
  <c r="U101" i="36"/>
  <c r="D114" i="36"/>
  <c r="H101" i="36"/>
  <c r="T101" i="36"/>
  <c r="AC101" i="36"/>
  <c r="G73" i="34"/>
  <c r="G81" i="34" s="1"/>
  <c r="AV562" i="9"/>
  <c r="X46" i="14"/>
  <c r="AF114" i="36"/>
  <c r="X14" i="36"/>
  <c r="P49" i="14"/>
  <c r="T114" i="36"/>
  <c r="F101" i="36"/>
  <c r="J114" i="36"/>
  <c r="AQ41" i="14"/>
  <c r="T16" i="14"/>
  <c r="K14" i="36"/>
  <c r="J14" i="36"/>
  <c r="E114" i="36"/>
  <c r="V114" i="36"/>
  <c r="AJ101" i="36"/>
  <c r="J46" i="14"/>
  <c r="J49" i="14"/>
  <c r="I101" i="36"/>
  <c r="AE16" i="14"/>
  <c r="F46" i="14"/>
  <c r="AH101" i="36"/>
  <c r="E101" i="36"/>
  <c r="AL114" i="36"/>
  <c r="X114" i="36"/>
  <c r="AC14" i="36"/>
  <c r="AE114" i="36"/>
  <c r="AG114" i="36"/>
  <c r="D46" i="14"/>
  <c r="D49" i="14"/>
  <c r="V101" i="36"/>
  <c r="W101" i="36"/>
  <c r="AF14" i="36"/>
  <c r="AC46" i="14"/>
  <c r="Y46" i="14"/>
  <c r="AI114" i="36"/>
  <c r="AH114" i="36"/>
  <c r="AK114" i="36"/>
  <c r="AK49" i="14"/>
  <c r="AK29" i="32"/>
  <c r="AK53" i="32" s="1"/>
  <c r="AD53" i="10"/>
  <c r="I53" i="32"/>
  <c r="AH53" i="32"/>
  <c r="AF53" i="32"/>
  <c r="K53" i="10"/>
  <c r="AG53" i="32"/>
  <c r="AN60" i="10"/>
  <c r="AN36" i="32"/>
  <c r="AN60" i="32" s="1"/>
  <c r="AF60" i="10"/>
  <c r="AF36" i="32"/>
  <c r="AF60" i="32" s="1"/>
  <c r="AP47" i="34"/>
  <c r="AP29" i="32"/>
  <c r="AP53" i="32" s="1"/>
  <c r="T53" i="32"/>
  <c r="J56" i="32"/>
  <c r="AR54" i="34"/>
  <c r="V56" i="32"/>
  <c r="AC69" i="32"/>
  <c r="AE42" i="32"/>
  <c r="AL64" i="11"/>
  <c r="AB54" i="32"/>
  <c r="AJ63" i="34"/>
  <c r="AR66" i="34"/>
  <c r="AR21" i="32"/>
  <c r="AS45" i="32" s="1"/>
  <c r="F54" i="32"/>
  <c r="T70" i="34"/>
  <c r="S42" i="14" s="1"/>
  <c r="S43" i="14" s="1"/>
  <c r="AP42" i="32"/>
  <c r="AP66" i="32" s="1"/>
  <c r="AC29" i="32"/>
  <c r="AC53" i="32" s="1"/>
  <c r="AB53" i="32"/>
  <c r="AK56" i="32"/>
  <c r="J35" i="32"/>
  <c r="J59" i="32" s="1"/>
  <c r="AR56" i="34"/>
  <c r="AM29" i="32"/>
  <c r="AM53" i="32" s="1"/>
  <c r="AR57" i="34"/>
  <c r="AJ65" i="34"/>
  <c r="AR8" i="32"/>
  <c r="AS32" i="32" s="1"/>
  <c r="AM47" i="34"/>
  <c r="AK66" i="32"/>
  <c r="AR19" i="32"/>
  <c r="AS43" i="32" s="1"/>
  <c r="J70" i="34"/>
  <c r="I42" i="14" s="1"/>
  <c r="I43" i="14" s="1"/>
  <c r="Z54" i="32"/>
  <c r="R52" i="11"/>
  <c r="R70" i="11" s="1"/>
  <c r="Q27" i="14" s="1"/>
  <c r="Q32" i="14" s="1"/>
  <c r="U54" i="32"/>
  <c r="Y66" i="32"/>
  <c r="W30" i="32"/>
  <c r="W54" i="32" s="1"/>
  <c r="N47" i="11"/>
  <c r="O66" i="32"/>
  <c r="AR11" i="32"/>
  <c r="AS35" i="32" s="1"/>
  <c r="N54" i="11"/>
  <c r="AR31" i="11"/>
  <c r="AR39" i="11"/>
  <c r="P66" i="32"/>
  <c r="V66" i="32"/>
  <c r="Z69" i="32"/>
  <c r="W69" i="32"/>
  <c r="AR34" i="11"/>
  <c r="AR65" i="11"/>
  <c r="X69" i="32"/>
  <c r="AR53" i="11"/>
  <c r="AR59" i="11"/>
  <c r="AA54" i="32"/>
  <c r="N57" i="11"/>
  <c r="W53" i="32"/>
  <c r="AR66" i="11"/>
  <c r="L55" i="11"/>
  <c r="L51" i="11"/>
  <c r="L70" i="11" s="1"/>
  <c r="AA53" i="32"/>
  <c r="W139" i="20"/>
  <c r="AL22" i="14"/>
  <c r="AH37" i="12"/>
  <c r="AL32" i="14"/>
  <c r="I109" i="14"/>
  <c r="J103" i="20"/>
  <c r="X95" i="14"/>
  <c r="AI32" i="14"/>
  <c r="AI95" i="14"/>
  <c r="AI22" i="14"/>
  <c r="AO95" i="14"/>
  <c r="G95" i="14"/>
  <c r="G32" i="14"/>
  <c r="G22" i="14"/>
  <c r="AB21" i="14"/>
  <c r="AC139" i="20" s="1"/>
  <c r="AV565" i="9"/>
  <c r="AV574" i="9" s="1"/>
  <c r="AH38" i="12"/>
  <c r="F81" i="34"/>
  <c r="M95" i="14"/>
  <c r="N139" i="20"/>
  <c r="AG38" i="12"/>
  <c r="L139" i="20"/>
  <c r="AG39" i="12"/>
  <c r="N22" i="13"/>
  <c r="AI78" i="14"/>
  <c r="BQ23" i="9"/>
  <c r="AI62" i="14"/>
  <c r="L35" i="12"/>
  <c r="AL19" i="12"/>
  <c r="AL36" i="12" s="1"/>
  <c r="AZ95" i="9"/>
  <c r="AJ35" i="12"/>
  <c r="AI7" i="14"/>
  <c r="N56" i="32"/>
  <c r="AI29" i="32"/>
  <c r="AI53" i="32" s="1"/>
  <c r="AR14" i="32"/>
  <c r="AS38" i="32" s="1"/>
  <c r="P58" i="32"/>
  <c r="M56" i="32"/>
  <c r="L45" i="32"/>
  <c r="L69" i="32" s="1"/>
  <c r="Q62" i="32"/>
  <c r="AE66" i="32"/>
  <c r="K52" i="10"/>
  <c r="N53" i="32"/>
  <c r="O59" i="10"/>
  <c r="O72" i="10" s="1"/>
  <c r="N12" i="14" s="1"/>
  <c r="N12" i="37" s="1"/>
  <c r="N13" i="37" s="1"/>
  <c r="O35" i="32"/>
  <c r="O59" i="32" s="1"/>
  <c r="Q53" i="32"/>
  <c r="AR6" i="32"/>
  <c r="AS30" i="32" s="1"/>
  <c r="L32" i="32"/>
  <c r="P72" i="10"/>
  <c r="AD69" i="32"/>
  <c r="N66" i="32"/>
  <c r="K42" i="32"/>
  <c r="K66" i="32" s="1"/>
  <c r="K43" i="32"/>
  <c r="K67" i="32" s="1"/>
  <c r="K67" i="10"/>
  <c r="L37" i="14"/>
  <c r="Y101" i="36"/>
  <c r="AB101" i="36"/>
  <c r="AA101" i="36"/>
  <c r="AM21" i="14"/>
  <c r="AN103" i="20"/>
  <c r="AM109" i="14"/>
  <c r="AK22" i="14"/>
  <c r="AK95" i="14"/>
  <c r="AK32" i="14"/>
  <c r="AL35" i="12"/>
  <c r="AJ37" i="32"/>
  <c r="AJ61" i="32" s="1"/>
  <c r="AR36" i="34"/>
  <c r="AR42" i="34"/>
  <c r="AJ43" i="32"/>
  <c r="AJ67" i="32" s="1"/>
  <c r="AJ59" i="34"/>
  <c r="AR59" i="34" s="1"/>
  <c r="AK19" i="12"/>
  <c r="AK36" i="12" s="1"/>
  <c r="AJ77" i="10"/>
  <c r="AJ91" i="10" s="1"/>
  <c r="AJ19" i="12"/>
  <c r="AJ36" i="12" s="1"/>
  <c r="AI139" i="20"/>
  <c r="AH95" i="14"/>
  <c r="AH32" i="14"/>
  <c r="AH22" i="14"/>
  <c r="AI19" i="12"/>
  <c r="AI36" i="12" s="1"/>
  <c r="AI35" i="12"/>
  <c r="AG37" i="14"/>
  <c r="AG109" i="14"/>
  <c r="AH103" i="20"/>
  <c r="AG21" i="14"/>
  <c r="AG22" i="14" s="1"/>
  <c r="BB574" i="9"/>
  <c r="BB562" i="9"/>
  <c r="AF32" i="14"/>
  <c r="AG139" i="20"/>
  <c r="AF95" i="14"/>
  <c r="AF22" i="14"/>
  <c r="AF139" i="20"/>
  <c r="AE22" i="14"/>
  <c r="AE32" i="14"/>
  <c r="AE95" i="14"/>
  <c r="H31" i="13"/>
  <c r="H34" i="13" s="1"/>
  <c r="S34" i="13" s="1"/>
  <c r="BB95" i="9"/>
  <c r="AF39" i="12"/>
  <c r="AF38" i="12"/>
  <c r="AF37" i="12"/>
  <c r="AQ11" i="14"/>
  <c r="AN101" i="36"/>
  <c r="AD34" i="32"/>
  <c r="AD58" i="32" s="1"/>
  <c r="AD58" i="10"/>
  <c r="AD42" i="32"/>
  <c r="AD66" i="32" s="1"/>
  <c r="H4" i="13"/>
  <c r="S5" i="13"/>
  <c r="AD139" i="20"/>
  <c r="AC22" i="14"/>
  <c r="AC95" i="14"/>
  <c r="AE37" i="12"/>
  <c r="AE38" i="12"/>
  <c r="AD38" i="12"/>
  <c r="AD37" i="12"/>
  <c r="AD39" i="12"/>
  <c r="AB109" i="14"/>
  <c r="AC103" i="20"/>
  <c r="AB37" i="14"/>
  <c r="AR52" i="34"/>
  <c r="AA95" i="14"/>
  <c r="AB139" i="20"/>
  <c r="AC37" i="12"/>
  <c r="AC38" i="12"/>
  <c r="AA66" i="32"/>
  <c r="AR63" i="11"/>
  <c r="AA200" i="20"/>
  <c r="AA201" i="20" s="1"/>
  <c r="AB35" i="12"/>
  <c r="AB19" i="12"/>
  <c r="AB36" i="12" s="1"/>
  <c r="AB38" i="12" s="1"/>
  <c r="BA574" i="9"/>
  <c r="Z95" i="14"/>
  <c r="P53" i="32"/>
  <c r="X53" i="32"/>
  <c r="W51" i="11"/>
  <c r="U70" i="34"/>
  <c r="T42" i="14" s="1"/>
  <c r="T43" i="14" s="1"/>
  <c r="S53" i="32"/>
  <c r="AR28" i="34"/>
  <c r="U29" i="32"/>
  <c r="U53" i="32" s="1"/>
  <c r="W47" i="11"/>
  <c r="Z53" i="32"/>
  <c r="V53" i="32"/>
  <c r="O53" i="32"/>
  <c r="Y28" i="32"/>
  <c r="Y52" i="32" s="1"/>
  <c r="AR45" i="11"/>
  <c r="X47" i="11"/>
  <c r="Z52" i="32"/>
  <c r="L29" i="32"/>
  <c r="L53" i="32" s="1"/>
  <c r="Y51" i="11"/>
  <c r="Y70" i="11" s="1"/>
  <c r="Z24" i="32"/>
  <c r="AB47" i="11"/>
  <c r="AB24" i="34"/>
  <c r="AB41" i="34"/>
  <c r="AR18" i="34"/>
  <c r="AC42" i="32"/>
  <c r="AC66" i="32" s="1"/>
  <c r="AC66" i="10"/>
  <c r="W66" i="32"/>
  <c r="AB18" i="32"/>
  <c r="AR18" i="32" s="1"/>
  <c r="AS42" i="32" s="1"/>
  <c r="AL66" i="32"/>
  <c r="Z66" i="32"/>
  <c r="AB64" i="11"/>
  <c r="M24" i="10"/>
  <c r="L4" i="32"/>
  <c r="L24" i="32" s="1"/>
  <c r="AC4" i="32"/>
  <c r="AC24" i="32" s="1"/>
  <c r="AB50" i="11"/>
  <c r="AH48" i="10"/>
  <c r="AH52" i="10"/>
  <c r="AH72" i="10" s="1"/>
  <c r="AG12" i="14" s="1"/>
  <c r="AG12" i="37" s="1"/>
  <c r="AG13" i="37" s="1"/>
  <c r="T24" i="32"/>
  <c r="T52" i="32"/>
  <c r="Y24" i="32"/>
  <c r="X28" i="32"/>
  <c r="X52" i="32" s="1"/>
  <c r="AK50" i="11"/>
  <c r="AK70" i="11" s="1"/>
  <c r="AJ27" i="14" s="1"/>
  <c r="AJ28" i="14" s="1"/>
  <c r="G117" i="33"/>
  <c r="H117" i="33" s="1"/>
  <c r="I117" i="33" s="1"/>
  <c r="J117" i="33" s="1"/>
  <c r="K117" i="33" s="1"/>
  <c r="L117" i="33" s="1"/>
  <c r="M117" i="33" s="1"/>
  <c r="N117" i="33" s="1"/>
  <c r="O117" i="33" s="1"/>
  <c r="P117" i="33" s="1"/>
  <c r="Q117" i="33" s="1"/>
  <c r="R117" i="33" s="1"/>
  <c r="S117" i="33" s="1"/>
  <c r="T117" i="33" s="1"/>
  <c r="U117" i="33" s="1"/>
  <c r="V117" i="33" s="1"/>
  <c r="W117" i="33" s="1"/>
  <c r="X117" i="33" s="1"/>
  <c r="Y117" i="33" s="1"/>
  <c r="Z117" i="33" s="1"/>
  <c r="E25" i="34"/>
  <c r="F25" i="34" s="1"/>
  <c r="AR4" i="11"/>
  <c r="AI50" i="11"/>
  <c r="AI70" i="11" s="1"/>
  <c r="AH27" i="14" s="1"/>
  <c r="AH28" i="14" s="1"/>
  <c r="W52" i="32"/>
  <c r="AR4" i="34"/>
  <c r="AE50" i="11"/>
  <c r="AE70" i="11" s="1"/>
  <c r="AD27" i="14" s="1"/>
  <c r="AD28" i="14" s="1"/>
  <c r="W24" i="32"/>
  <c r="E439" i="21"/>
  <c r="F439" i="21" s="1"/>
  <c r="G439" i="21" s="1"/>
  <c r="H439" i="21" s="1"/>
  <c r="I439" i="21" s="1"/>
  <c r="J439" i="21" s="1"/>
  <c r="K439" i="21" s="1"/>
  <c r="L439" i="21" s="1"/>
  <c r="M439" i="21" s="1"/>
  <c r="N439" i="21" s="1"/>
  <c r="O439" i="21" s="1"/>
  <c r="P439" i="21" s="1"/>
  <c r="Q439" i="21" s="1"/>
  <c r="R439" i="21" s="1"/>
  <c r="S439" i="21" s="1"/>
  <c r="T439" i="21" s="1"/>
  <c r="U439" i="21" s="1"/>
  <c r="V439" i="21" s="1"/>
  <c r="W439" i="21" s="1"/>
  <c r="X439" i="21" s="1"/>
  <c r="Y439" i="21" s="1"/>
  <c r="Z439" i="21" s="1"/>
  <c r="AA439" i="21" s="1"/>
  <c r="AB439" i="21" s="1"/>
  <c r="AC439" i="21" s="1"/>
  <c r="AD439" i="21" s="1"/>
  <c r="AE439" i="21" s="1"/>
  <c r="AF439" i="21" s="1"/>
  <c r="AG439" i="21" s="1"/>
  <c r="AH439" i="21" s="1"/>
  <c r="AI439" i="21" s="1"/>
  <c r="AJ439" i="21" s="1"/>
  <c r="AK439" i="21" s="1"/>
  <c r="AL439" i="21" s="1"/>
  <c r="AM439" i="21" s="1"/>
  <c r="AN439" i="21" s="1"/>
  <c r="AO439" i="21" s="1"/>
  <c r="AP439" i="21" s="1"/>
  <c r="AQ439" i="21" s="1"/>
  <c r="AI4" i="32"/>
  <c r="AI24" i="32" s="1"/>
  <c r="AM50" i="34"/>
  <c r="AM70" i="34" s="1"/>
  <c r="AL42" i="14" s="1"/>
  <c r="AK27" i="34"/>
  <c r="AK47" i="34" s="1"/>
  <c r="AK24" i="34"/>
  <c r="AA28" i="10"/>
  <c r="AA24" i="10"/>
  <c r="AQ24" i="11"/>
  <c r="AQ27" i="11"/>
  <c r="AQ47" i="11" s="1"/>
  <c r="J27" i="11"/>
  <c r="J47" i="11" s="1"/>
  <c r="J24" i="11"/>
  <c r="AN24" i="10"/>
  <c r="AN28" i="10"/>
  <c r="AI24" i="10"/>
  <c r="AI28" i="10"/>
  <c r="AC27" i="34"/>
  <c r="AC24" i="34"/>
  <c r="AM24" i="10"/>
  <c r="AM28" i="10"/>
  <c r="O24" i="32"/>
  <c r="H50" i="11"/>
  <c r="H70" i="11" s="1"/>
  <c r="G27" i="14" s="1"/>
  <c r="G28" i="14" s="1"/>
  <c r="AM4" i="32"/>
  <c r="AM24" i="32" s="1"/>
  <c r="AG27" i="34"/>
  <c r="AG47" i="34" s="1"/>
  <c r="AG24" i="34"/>
  <c r="AA24" i="11"/>
  <c r="AA27" i="11"/>
  <c r="AA47" i="11" s="1"/>
  <c r="AE52" i="10"/>
  <c r="AE72" i="10" s="1"/>
  <c r="AD12" i="14" s="1"/>
  <c r="AD12" i="37" s="1"/>
  <c r="AD13" i="37" s="1"/>
  <c r="AE48" i="10"/>
  <c r="K24" i="11"/>
  <c r="K27" i="11"/>
  <c r="K50" i="11" s="1"/>
  <c r="K70" i="11" s="1"/>
  <c r="J27" i="14" s="1"/>
  <c r="J28" i="14" s="1"/>
  <c r="K4" i="32"/>
  <c r="K24" i="32" s="1"/>
  <c r="AO24" i="34"/>
  <c r="AO27" i="34"/>
  <c r="AO47" i="34" s="1"/>
  <c r="AP24" i="10"/>
  <c r="AP28" i="10"/>
  <c r="E50" i="34"/>
  <c r="E70" i="34" s="1"/>
  <c r="D42" i="14" s="1"/>
  <c r="D43" i="14" s="1"/>
  <c r="D70" i="34"/>
  <c r="AK4" i="32"/>
  <c r="AK24" i="32" s="1"/>
  <c r="AK28" i="10"/>
  <c r="AK24" i="10"/>
  <c r="H28" i="10"/>
  <c r="H4" i="32"/>
  <c r="H24" i="32" s="1"/>
  <c r="H24" i="10"/>
  <c r="AP27" i="11"/>
  <c r="AP50" i="11" s="1"/>
  <c r="AP70" i="11" s="1"/>
  <c r="AO27" i="14" s="1"/>
  <c r="AP4" i="32"/>
  <c r="AP24" i="32" s="1"/>
  <c r="AP24" i="11"/>
  <c r="AI24" i="34"/>
  <c r="AI27" i="34"/>
  <c r="AI47" i="34" s="1"/>
  <c r="E28" i="10"/>
  <c r="E24" i="10"/>
  <c r="E4" i="32"/>
  <c r="E24" i="32" s="1"/>
  <c r="AB4" i="32"/>
  <c r="AB28" i="10"/>
  <c r="AB24" i="10"/>
  <c r="D72" i="10"/>
  <c r="G28" i="10"/>
  <c r="G4" i="32"/>
  <c r="G24" i="32" s="1"/>
  <c r="G24" i="10"/>
  <c r="I27" i="34"/>
  <c r="I47" i="34" s="1"/>
  <c r="I24" i="34"/>
  <c r="AQ27" i="34"/>
  <c r="AQ47" i="34" s="1"/>
  <c r="AQ24" i="34"/>
  <c r="AF24" i="11"/>
  <c r="AF27" i="11"/>
  <c r="AF47" i="11" s="1"/>
  <c r="AG24" i="11"/>
  <c r="AG27" i="11"/>
  <c r="AG47" i="11" s="1"/>
  <c r="AA27" i="34"/>
  <c r="AA50" i="34" s="1"/>
  <c r="AA4" i="32"/>
  <c r="AL24" i="34"/>
  <c r="AL27" i="34"/>
  <c r="AL47" i="34" s="1"/>
  <c r="AJ24" i="34"/>
  <c r="AJ27" i="34"/>
  <c r="AJ47" i="34" s="1"/>
  <c r="AH27" i="34"/>
  <c r="AH47" i="34" s="1"/>
  <c r="AH24" i="34"/>
  <c r="AQ28" i="10"/>
  <c r="AQ4" i="32"/>
  <c r="AQ24" i="32" s="1"/>
  <c r="AQ24" i="10"/>
  <c r="AO24" i="11"/>
  <c r="AO27" i="11"/>
  <c r="AO47" i="11" s="1"/>
  <c r="I4" i="32"/>
  <c r="I24" i="32" s="1"/>
  <c r="I28" i="10"/>
  <c r="I24" i="10"/>
  <c r="AH24" i="11"/>
  <c r="AH27" i="11"/>
  <c r="AH50" i="11" s="1"/>
  <c r="AH70" i="11" s="1"/>
  <c r="AG27" i="14" s="1"/>
  <c r="AH4" i="32"/>
  <c r="AH24" i="32" s="1"/>
  <c r="AN27" i="34"/>
  <c r="AN47" i="34" s="1"/>
  <c r="AN24" i="34"/>
  <c r="AC52" i="10"/>
  <c r="AC48" i="10"/>
  <c r="F4" i="32"/>
  <c r="F24" i="32" s="1"/>
  <c r="F28" i="10"/>
  <c r="F24" i="10"/>
  <c r="AD27" i="34"/>
  <c r="AD47" i="34" s="1"/>
  <c r="AD24" i="34"/>
  <c r="AJ4" i="32"/>
  <c r="AJ24" i="32" s="1"/>
  <c r="AJ28" i="10"/>
  <c r="AJ24" i="10"/>
  <c r="AN27" i="11"/>
  <c r="AN50" i="11" s="1"/>
  <c r="AN70" i="11" s="1"/>
  <c r="AM27" i="14" s="1"/>
  <c r="AM28" i="14" s="1"/>
  <c r="AN24" i="11"/>
  <c r="AN4" i="32"/>
  <c r="AN24" i="32" s="1"/>
  <c r="AF28" i="10"/>
  <c r="AF4" i="32"/>
  <c r="AF24" i="32" s="1"/>
  <c r="AF24" i="10"/>
  <c r="AF24" i="34"/>
  <c r="AF27" i="34"/>
  <c r="AF47" i="34" s="1"/>
  <c r="AE24" i="34"/>
  <c r="AE27" i="34"/>
  <c r="AE50" i="34" s="1"/>
  <c r="AE70" i="34" s="1"/>
  <c r="AD42" i="14" s="1"/>
  <c r="AD47" i="14" s="1"/>
  <c r="AE4" i="32"/>
  <c r="AE24" i="32" s="1"/>
  <c r="D47" i="34"/>
  <c r="AL28" i="10"/>
  <c r="AL4" i="32"/>
  <c r="AL24" i="32" s="1"/>
  <c r="AL24" i="10"/>
  <c r="AC27" i="11"/>
  <c r="AC47" i="11" s="1"/>
  <c r="AC24" i="11"/>
  <c r="AP50" i="34"/>
  <c r="AP70" i="34" s="1"/>
  <c r="AO42" i="14" s="1"/>
  <c r="G27" i="34"/>
  <c r="G24" i="34"/>
  <c r="G27" i="11"/>
  <c r="G47" i="11" s="1"/>
  <c r="G24" i="11"/>
  <c r="AJ24" i="11"/>
  <c r="AJ27" i="11"/>
  <c r="AJ47" i="11" s="1"/>
  <c r="AG4" i="32"/>
  <c r="AG24" i="32" s="1"/>
  <c r="AG28" i="10"/>
  <c r="AG24" i="10"/>
  <c r="P52" i="32"/>
  <c r="J48" i="10"/>
  <c r="AT48" i="10" s="1"/>
  <c r="J52" i="10"/>
  <c r="J72" i="10" s="1"/>
  <c r="H24" i="34"/>
  <c r="H50" i="34"/>
  <c r="AD27" i="11"/>
  <c r="AD47" i="11" s="1"/>
  <c r="AD24" i="11"/>
  <c r="AO48" i="10"/>
  <c r="AO52" i="10"/>
  <c r="AO72" i="10" s="1"/>
  <c r="AN12" i="14" s="1"/>
  <c r="AN12" i="37" s="1"/>
  <c r="AN13" i="37" s="1"/>
  <c r="AR4" i="10"/>
  <c r="D27" i="11"/>
  <c r="D24" i="11"/>
  <c r="D4" i="32"/>
  <c r="D24" i="32" s="1"/>
  <c r="F50" i="11"/>
  <c r="F70" i="11" s="1"/>
  <c r="E27" i="14" s="1"/>
  <c r="E28" i="14" s="1"/>
  <c r="I24" i="11"/>
  <c r="I27" i="11"/>
  <c r="I47" i="11" s="1"/>
  <c r="E24" i="11"/>
  <c r="E27" i="11"/>
  <c r="E47" i="11" s="1"/>
  <c r="E141" i="16"/>
  <c r="E140" i="16"/>
  <c r="F140" i="16" s="1"/>
  <c r="G140" i="16" s="1"/>
  <c r="H140" i="16" s="1"/>
  <c r="I140" i="16" s="1"/>
  <c r="J140" i="16" s="1"/>
  <c r="K140" i="16" s="1"/>
  <c r="L140" i="16" s="1"/>
  <c r="M140" i="16" s="1"/>
  <c r="N140" i="16" s="1"/>
  <c r="O140" i="16" s="1"/>
  <c r="P140" i="16" s="1"/>
  <c r="Q140" i="16" s="1"/>
  <c r="AD4" i="32"/>
  <c r="AD24" i="32" s="1"/>
  <c r="AD28" i="10"/>
  <c r="AD24" i="10"/>
  <c r="AO4" i="32"/>
  <c r="AO24" i="32" s="1"/>
  <c r="AL50" i="11"/>
  <c r="Z48" i="10"/>
  <c r="Z60" i="10"/>
  <c r="Z72" i="10" s="1"/>
  <c r="Y12" i="14" s="1"/>
  <c r="Y12" i="37" s="1"/>
  <c r="Y13" i="37" s="1"/>
  <c r="Z70" i="11"/>
  <c r="Y27" i="14" s="1"/>
  <c r="Y32" i="14" s="1"/>
  <c r="Z70" i="34"/>
  <c r="Y42" i="14" s="1"/>
  <c r="Y47" i="14" s="1"/>
  <c r="Z36" i="32"/>
  <c r="Z47" i="34"/>
  <c r="R5" i="13"/>
  <c r="Z139" i="20"/>
  <c r="Y22" i="14"/>
  <c r="BF557" i="9"/>
  <c r="BA562" i="9"/>
  <c r="AA37" i="12"/>
  <c r="AA38" i="12"/>
  <c r="Y60" i="10"/>
  <c r="Y72" i="10" s="1"/>
  <c r="X12" i="14" s="1"/>
  <c r="X12" i="37" s="1"/>
  <c r="X13" i="37" s="1"/>
  <c r="Y48" i="10"/>
  <c r="Y36" i="32"/>
  <c r="Y60" i="32" s="1"/>
  <c r="Y70" i="34"/>
  <c r="X42" i="14" s="1"/>
  <c r="X43" i="14" s="1"/>
  <c r="Y29" i="32"/>
  <c r="Y47" i="34"/>
  <c r="Z38" i="12"/>
  <c r="Z39" i="12"/>
  <c r="AA14" i="36"/>
  <c r="AO101" i="36"/>
  <c r="AM101" i="36"/>
  <c r="V24" i="32"/>
  <c r="V47" i="34"/>
  <c r="S12" i="32"/>
  <c r="S24" i="32" s="1"/>
  <c r="T54" i="10"/>
  <c r="R69" i="10"/>
  <c r="R56" i="10"/>
  <c r="R66" i="10"/>
  <c r="X24" i="32"/>
  <c r="S58" i="11"/>
  <c r="S70" i="11" s="1"/>
  <c r="R27" i="14" s="1"/>
  <c r="R30" i="32"/>
  <c r="R54" i="32" s="1"/>
  <c r="P70" i="11"/>
  <c r="X70" i="32"/>
  <c r="X48" i="10"/>
  <c r="X60" i="10"/>
  <c r="X72" i="10" s="1"/>
  <c r="W12" i="14" s="1"/>
  <c r="W12" i="37" s="1"/>
  <c r="W13" i="37" s="1"/>
  <c r="X36" i="32"/>
  <c r="X60" i="32" s="1"/>
  <c r="X70" i="34"/>
  <c r="X31" i="32"/>
  <c r="X55" i="32" s="1"/>
  <c r="X47" i="34"/>
  <c r="X68" i="11"/>
  <c r="X70" i="11" s="1"/>
  <c r="W27" i="14" s="1"/>
  <c r="X66" i="32"/>
  <c r="F4" i="13"/>
  <c r="F31" i="13"/>
  <c r="F34" i="13" s="1"/>
  <c r="Q34" i="13" s="1"/>
  <c r="X139" i="20"/>
  <c r="Y35" i="12"/>
  <c r="X200" i="20"/>
  <c r="X201" i="20" s="1"/>
  <c r="Y19" i="12"/>
  <c r="Y36" i="12" s="1"/>
  <c r="Y39" i="12" s="1"/>
  <c r="X73" i="11"/>
  <c r="X81" i="11" s="1"/>
  <c r="W60" i="10"/>
  <c r="W72" i="10" s="1"/>
  <c r="V12" i="14" s="1"/>
  <c r="V12" i="37" s="1"/>
  <c r="W48" i="10"/>
  <c r="W36" i="32"/>
  <c r="W60" i="32" s="1"/>
  <c r="W55" i="32"/>
  <c r="W50" i="11"/>
  <c r="W53" i="34"/>
  <c r="W70" i="34" s="1"/>
  <c r="V42" i="14" s="1"/>
  <c r="V47" i="14" s="1"/>
  <c r="W47" i="34"/>
  <c r="W61" i="32"/>
  <c r="X38" i="12"/>
  <c r="X39" i="12"/>
  <c r="X37" i="12"/>
  <c r="K82" i="11"/>
  <c r="V48" i="10"/>
  <c r="V60" i="10"/>
  <c r="V72" i="10" s="1"/>
  <c r="U12" i="14" s="1"/>
  <c r="U12" i="37" s="1"/>
  <c r="U13" i="37" s="1"/>
  <c r="AR9" i="32"/>
  <c r="AS33" i="32" s="1"/>
  <c r="V57" i="32"/>
  <c r="V55" i="34"/>
  <c r="AR55" i="34" s="1"/>
  <c r="V58" i="34"/>
  <c r="V36" i="32"/>
  <c r="V60" i="32" s="1"/>
  <c r="V70" i="11"/>
  <c r="U27" i="14" s="1"/>
  <c r="U32" i="14" s="1"/>
  <c r="V52" i="32"/>
  <c r="AZ574" i="9"/>
  <c r="V200" i="20"/>
  <c r="V201" i="20" s="1"/>
  <c r="W19" i="12"/>
  <c r="W36" i="12" s="1"/>
  <c r="W38" i="12" s="1"/>
  <c r="W35" i="12"/>
  <c r="V139" i="20"/>
  <c r="AZ562" i="9"/>
  <c r="V73" i="11"/>
  <c r="V81" i="11" s="1"/>
  <c r="Z14" i="36"/>
  <c r="AQ35" i="14"/>
  <c r="Y14" i="36"/>
  <c r="AQ97" i="36"/>
  <c r="AL37" i="14"/>
  <c r="AL46" i="14"/>
  <c r="AG16" i="14"/>
  <c r="T31" i="14"/>
  <c r="N101" i="36"/>
  <c r="O101" i="36"/>
  <c r="M101" i="36"/>
  <c r="U52" i="10"/>
  <c r="U72" i="10" s="1"/>
  <c r="T12" i="14" s="1"/>
  <c r="T12" i="37" s="1"/>
  <c r="T13" i="37" s="1"/>
  <c r="U48" i="10"/>
  <c r="U70" i="11"/>
  <c r="T27" i="14" s="1"/>
  <c r="T28" i="14" s="1"/>
  <c r="U24" i="32"/>
  <c r="U36" i="32"/>
  <c r="U60" i="32" s="1"/>
  <c r="U47" i="34"/>
  <c r="U47" i="11"/>
  <c r="U28" i="32"/>
  <c r="V38" i="12"/>
  <c r="V37" i="12"/>
  <c r="V39" i="12"/>
  <c r="T48" i="10"/>
  <c r="T60" i="10"/>
  <c r="AR60" i="11"/>
  <c r="T36" i="32"/>
  <c r="T47" i="11"/>
  <c r="T58" i="11"/>
  <c r="S95" i="14"/>
  <c r="U35" i="12"/>
  <c r="T200" i="20"/>
  <c r="T201" i="20" s="1"/>
  <c r="U19" i="12"/>
  <c r="U36" i="12" s="1"/>
  <c r="U38" i="12" s="1"/>
  <c r="T73" i="11"/>
  <c r="T81" i="11" s="1"/>
  <c r="O114" i="36"/>
  <c r="AQ110" i="36"/>
  <c r="AQ25" i="36"/>
  <c r="Z114" i="36"/>
  <c r="L114" i="36"/>
  <c r="N114" i="36"/>
  <c r="Y114" i="36"/>
  <c r="AA114" i="36"/>
  <c r="P101" i="36"/>
  <c r="Q101" i="36"/>
  <c r="S101" i="36"/>
  <c r="S48" i="10"/>
  <c r="S52" i="10"/>
  <c r="S72" i="10" s="1"/>
  <c r="R12" i="14" s="1"/>
  <c r="R12" i="37" s="1"/>
  <c r="R13" i="37" s="1"/>
  <c r="AR62" i="34"/>
  <c r="S35" i="34"/>
  <c r="S24" i="34"/>
  <c r="AR12" i="34"/>
  <c r="S47" i="11"/>
  <c r="S139" i="20"/>
  <c r="T35" i="12"/>
  <c r="S200" i="20"/>
  <c r="S201" i="20" s="1"/>
  <c r="T19" i="12"/>
  <c r="T36" i="12" s="1"/>
  <c r="T39" i="12" s="1"/>
  <c r="R53" i="32"/>
  <c r="R60" i="10"/>
  <c r="AR67" i="11"/>
  <c r="R70" i="34"/>
  <c r="Q42" i="14" s="1"/>
  <c r="Q43" i="14" s="1"/>
  <c r="R52" i="32"/>
  <c r="W36" i="13"/>
  <c r="AR555" i="9"/>
  <c r="S35" i="12"/>
  <c r="AR554" i="9"/>
  <c r="Q95" i="14"/>
  <c r="O52" i="32"/>
  <c r="P50" i="34"/>
  <c r="P47" i="34"/>
  <c r="Q57" i="32"/>
  <c r="Q28" i="10"/>
  <c r="Q4" i="32"/>
  <c r="Q24" i="10"/>
  <c r="Q50" i="34"/>
  <c r="Q70" i="34" s="1"/>
  <c r="P42" i="14" s="1"/>
  <c r="Q12" i="32"/>
  <c r="Q24" i="11"/>
  <c r="Q35" i="11"/>
  <c r="AR12" i="11"/>
  <c r="E31" i="13"/>
  <c r="E34" i="13" s="1"/>
  <c r="P34" i="13" s="1"/>
  <c r="AY95" i="9"/>
  <c r="P5" i="13"/>
  <c r="E4" i="13"/>
  <c r="P22" i="14"/>
  <c r="Q139" i="20"/>
  <c r="BF565" i="9"/>
  <c r="AY562" i="9"/>
  <c r="AR556" i="9"/>
  <c r="R35" i="12"/>
  <c r="R19" i="12"/>
  <c r="R36" i="12" s="1"/>
  <c r="R38" i="12" s="1"/>
  <c r="Q200" i="20"/>
  <c r="Q201" i="20" s="1"/>
  <c r="BF556" i="9"/>
  <c r="AY566" i="9"/>
  <c r="AY574" i="9" s="1"/>
  <c r="P24" i="32"/>
  <c r="AR10" i="32"/>
  <c r="AS34" i="32" s="1"/>
  <c r="P53" i="34"/>
  <c r="AR30" i="34"/>
  <c r="AR7" i="32"/>
  <c r="AS31" i="32" s="1"/>
  <c r="P55" i="32"/>
  <c r="P48" i="32"/>
  <c r="P60" i="32"/>
  <c r="P200" i="20"/>
  <c r="P201" i="20" s="1"/>
  <c r="P139" i="20"/>
  <c r="AQ73" i="36"/>
  <c r="O70" i="11"/>
  <c r="N27" i="14" s="1"/>
  <c r="N28" i="14" s="1"/>
  <c r="O70" i="34"/>
  <c r="N42" i="14" s="1"/>
  <c r="N47" i="14" s="1"/>
  <c r="O60" i="32"/>
  <c r="N78" i="14"/>
  <c r="N62" i="14"/>
  <c r="AQ6" i="14"/>
  <c r="N7" i="14"/>
  <c r="O139" i="20"/>
  <c r="N95" i="14"/>
  <c r="O73" i="34"/>
  <c r="O81" i="34" s="1"/>
  <c r="P19" i="12"/>
  <c r="P36" i="12" s="1"/>
  <c r="P39" i="12" s="1"/>
  <c r="M66" i="32"/>
  <c r="AO98" i="9"/>
  <c r="AP98" i="9" s="1"/>
  <c r="AQ98" i="9" s="1"/>
  <c r="L54" i="12"/>
  <c r="N70" i="32"/>
  <c r="N24" i="32"/>
  <c r="N52" i="10"/>
  <c r="N48" i="10"/>
  <c r="AR52" i="11"/>
  <c r="N70" i="34"/>
  <c r="M42" i="14" s="1"/>
  <c r="N28" i="32"/>
  <c r="N47" i="34"/>
  <c r="N200" i="20"/>
  <c r="N201" i="20" s="1"/>
  <c r="O35" i="12"/>
  <c r="O19" i="12"/>
  <c r="O36" i="12" s="1"/>
  <c r="O39" i="12" s="1"/>
  <c r="D91" i="10"/>
  <c r="L60" i="12"/>
  <c r="M59" i="12"/>
  <c r="M28" i="10"/>
  <c r="M28" i="32" s="1"/>
  <c r="M52" i="32" s="1"/>
  <c r="G63" i="32"/>
  <c r="AR16" i="32"/>
  <c r="AS40" i="32" s="1"/>
  <c r="AR64" i="10"/>
  <c r="M64" i="32"/>
  <c r="M55" i="32"/>
  <c r="M24" i="32"/>
  <c r="AR5" i="32"/>
  <c r="AS29" i="32" s="1"/>
  <c r="AT391" i="21"/>
  <c r="M62" i="11"/>
  <c r="M70" i="11" s="1"/>
  <c r="L27" i="14" s="1"/>
  <c r="M47" i="11"/>
  <c r="M29" i="32"/>
  <c r="M53" i="32" s="1"/>
  <c r="AR63" i="34"/>
  <c r="AR61" i="34"/>
  <c r="M70" i="34"/>
  <c r="L42" i="14" s="1"/>
  <c r="AU92" i="9"/>
  <c r="M200" i="20"/>
  <c r="M201" i="20" s="1"/>
  <c r="AR95" i="9"/>
  <c r="N35" i="12"/>
  <c r="N19" i="12"/>
  <c r="N36" i="12" s="1"/>
  <c r="N39" i="12" s="1"/>
  <c r="L21" i="14"/>
  <c r="L91" i="10"/>
  <c r="M54" i="12"/>
  <c r="AS53" i="12"/>
  <c r="AR79" i="10"/>
  <c r="Q58" i="12"/>
  <c r="AR35" i="10"/>
  <c r="AR59" i="10" s="1"/>
  <c r="L59" i="10"/>
  <c r="L35" i="32"/>
  <c r="L38" i="32"/>
  <c r="AR38" i="10"/>
  <c r="AR62" i="10" s="1"/>
  <c r="L62" i="10"/>
  <c r="AR44" i="10"/>
  <c r="AR68" i="10" s="1"/>
  <c r="L68" i="10"/>
  <c r="L44" i="32"/>
  <c r="AR43" i="10"/>
  <c r="AR67" i="10" s="1"/>
  <c r="L67" i="10"/>
  <c r="L43" i="32"/>
  <c r="L60" i="10"/>
  <c r="L36" i="32"/>
  <c r="AR36" i="10"/>
  <c r="AR60" i="10" s="1"/>
  <c r="AR39" i="10"/>
  <c r="AR63" i="10" s="1"/>
  <c r="L63" i="10"/>
  <c r="AR42" i="10"/>
  <c r="AR66" i="10" s="1"/>
  <c r="L66" i="10"/>
  <c r="AR41" i="10"/>
  <c r="AR65" i="10" s="1"/>
  <c r="L65" i="10"/>
  <c r="L54" i="10"/>
  <c r="AR30" i="10"/>
  <c r="AR54" i="10" s="1"/>
  <c r="L61" i="10"/>
  <c r="L37" i="32"/>
  <c r="AR37" i="10"/>
  <c r="AR61" i="10" s="1"/>
  <c r="L25" i="32"/>
  <c r="M25" i="32" s="1"/>
  <c r="N25" i="32" s="1"/>
  <c r="O25" i="32" s="1"/>
  <c r="P25" i="32" s="1"/>
  <c r="Q25" i="32" s="1"/>
  <c r="R25" i="32" s="1"/>
  <c r="S25" i="32" s="1"/>
  <c r="T25" i="32" s="1"/>
  <c r="U25" i="32" s="1"/>
  <c r="V25" i="32" s="1"/>
  <c r="W25" i="32" s="1"/>
  <c r="X25" i="32" s="1"/>
  <c r="Y25" i="32" s="1"/>
  <c r="Z25" i="32" s="1"/>
  <c r="AA25" i="32" s="1"/>
  <c r="AB25" i="32" s="1"/>
  <c r="AC25" i="32" s="1"/>
  <c r="AD25" i="32" s="1"/>
  <c r="AE25" i="32" s="1"/>
  <c r="AF25" i="32" s="1"/>
  <c r="AG25" i="32" s="1"/>
  <c r="AH25" i="32" s="1"/>
  <c r="AI25" i="32" s="1"/>
  <c r="AJ25" i="32" s="1"/>
  <c r="AK25" i="32" s="1"/>
  <c r="AL25" i="32" s="1"/>
  <c r="AM25" i="32" s="1"/>
  <c r="AN25" i="32" s="1"/>
  <c r="AO25" i="32" s="1"/>
  <c r="AP25" i="32" s="1"/>
  <c r="AQ25" i="32" s="1"/>
  <c r="AR13" i="32"/>
  <c r="AS37" i="32" s="1"/>
  <c r="L48" i="10"/>
  <c r="L58" i="10"/>
  <c r="AR34" i="10"/>
  <c r="AR58" i="10" s="1"/>
  <c r="AT92" i="16"/>
  <c r="AR45" i="10"/>
  <c r="AR69" i="10" s="1"/>
  <c r="L69" i="10"/>
  <c r="L56" i="10"/>
  <c r="AR32" i="10"/>
  <c r="AR56" i="10" s="1"/>
  <c r="AR29" i="10"/>
  <c r="AR53" i="10" s="1"/>
  <c r="L53" i="10"/>
  <c r="AT432" i="21"/>
  <c r="AR55" i="11"/>
  <c r="AR32" i="11"/>
  <c r="L33" i="32"/>
  <c r="L57" i="32" s="1"/>
  <c r="L54" i="32"/>
  <c r="AR61" i="11"/>
  <c r="L58" i="32"/>
  <c r="AR56" i="11"/>
  <c r="L47" i="11"/>
  <c r="AR28" i="11"/>
  <c r="L66" i="32"/>
  <c r="L65" i="32"/>
  <c r="AR41" i="32"/>
  <c r="AR65" i="32" s="1"/>
  <c r="L64" i="32"/>
  <c r="AR40" i="32"/>
  <c r="AR51" i="34"/>
  <c r="AX95" i="9"/>
  <c r="AX93" i="9"/>
  <c r="AY93" i="9" s="1"/>
  <c r="AZ93" i="9" s="1"/>
  <c r="BA93" i="9" s="1"/>
  <c r="BB93" i="9" s="1"/>
  <c r="BC93" i="9" s="1"/>
  <c r="BD93" i="9" s="1"/>
  <c r="BE93" i="9" s="1"/>
  <c r="O5" i="13"/>
  <c r="D31" i="13"/>
  <c r="D34" i="13" s="1"/>
  <c r="O34" i="13" s="1"/>
  <c r="W9" i="13"/>
  <c r="O14" i="13"/>
  <c r="O21" i="13"/>
  <c r="L21" i="13"/>
  <c r="AX562" i="9"/>
  <c r="BF555" i="9"/>
  <c r="AX574" i="9"/>
  <c r="L36" i="13"/>
  <c r="AS5" i="12"/>
  <c r="M17" i="12"/>
  <c r="M19" i="12" s="1"/>
  <c r="M36" i="12" s="1"/>
  <c r="M37" i="12" s="1"/>
  <c r="L200" i="20"/>
  <c r="L201" i="20" s="1"/>
  <c r="M35" i="12"/>
  <c r="L73" i="34"/>
  <c r="U22" i="14"/>
  <c r="U31" i="14"/>
  <c r="S22" i="14"/>
  <c r="S31" i="14"/>
  <c r="AQ52" i="36"/>
  <c r="M22" i="14"/>
  <c r="M31" i="14"/>
  <c r="X22" i="14"/>
  <c r="X31" i="14"/>
  <c r="N22" i="14"/>
  <c r="N31" i="14"/>
  <c r="AQ26" i="14"/>
  <c r="K31" i="14"/>
  <c r="AB31" i="14"/>
  <c r="L31" i="14"/>
  <c r="V22" i="14"/>
  <c r="V31" i="14"/>
  <c r="K49" i="14"/>
  <c r="Q22" i="14"/>
  <c r="Q31" i="14"/>
  <c r="AQ20" i="14"/>
  <c r="K22" i="14"/>
  <c r="O22" i="14"/>
  <c r="O31" i="14"/>
  <c r="S7" i="14"/>
  <c r="AQ5" i="14"/>
  <c r="S16" i="14"/>
  <c r="O12" i="36"/>
  <c r="AQ11" i="36"/>
  <c r="Z22" i="14"/>
  <c r="Z31" i="14"/>
  <c r="Y31" i="14"/>
  <c r="W22" i="14"/>
  <c r="W31" i="14"/>
  <c r="Q14" i="36"/>
  <c r="P14" i="36"/>
  <c r="R14" i="36"/>
  <c r="O50" i="36"/>
  <c r="AQ50" i="36" s="1"/>
  <c r="AQ48" i="36"/>
  <c r="AQ9" i="36"/>
  <c r="R22" i="14"/>
  <c r="R31" i="14"/>
  <c r="AA22" i="14"/>
  <c r="AA31" i="14"/>
  <c r="L55" i="32"/>
  <c r="K48" i="10"/>
  <c r="K46" i="32"/>
  <c r="K70" i="10"/>
  <c r="AR39" i="32"/>
  <c r="AR63" i="32" s="1"/>
  <c r="K63" i="32"/>
  <c r="K55" i="32"/>
  <c r="AT69" i="33"/>
  <c r="AT97" i="33"/>
  <c r="K70" i="34"/>
  <c r="N13" i="13"/>
  <c r="L13" i="13"/>
  <c r="N34" i="13"/>
  <c r="L16" i="12"/>
  <c r="AS4" i="12"/>
  <c r="L18" i="12"/>
  <c r="K73" i="34" s="1"/>
  <c r="BF569" i="9"/>
  <c r="AW574" i="9"/>
  <c r="K200" i="20"/>
  <c r="K201" i="20" s="1"/>
  <c r="AS6" i="12"/>
  <c r="J95" i="14"/>
  <c r="J32" i="14"/>
  <c r="J22" i="14"/>
  <c r="I12" i="14" l="1"/>
  <c r="AT72" i="10"/>
  <c r="AR32" i="32"/>
  <c r="U5" i="13"/>
  <c r="L5" i="13"/>
  <c r="T5" i="13"/>
  <c r="W5" i="13" s="1"/>
  <c r="AR415" i="21"/>
  <c r="AL70" i="11"/>
  <c r="AK27" i="14" s="1"/>
  <c r="AK28" i="14" s="1"/>
  <c r="AR64" i="11"/>
  <c r="X27" i="14"/>
  <c r="X32" i="14" s="1"/>
  <c r="R200" i="20"/>
  <c r="R201" i="20" s="1"/>
  <c r="G23" i="14"/>
  <c r="R77" i="10"/>
  <c r="R91" i="10" s="1"/>
  <c r="S19" i="12"/>
  <c r="S36" i="12" s="1"/>
  <c r="S37" i="12" s="1"/>
  <c r="M8" i="37"/>
  <c r="N8" i="37" s="1"/>
  <c r="O8" i="37" s="1"/>
  <c r="P8" i="37" s="1"/>
  <c r="Q8" i="37" s="1"/>
  <c r="R8" i="37" s="1"/>
  <c r="S8" i="37" s="1"/>
  <c r="T8" i="37" s="1"/>
  <c r="U8" i="37" s="1"/>
  <c r="V8" i="37" s="1"/>
  <c r="W8" i="37" s="1"/>
  <c r="X8" i="37" s="1"/>
  <c r="Y8" i="37" s="1"/>
  <c r="Z8" i="37" s="1"/>
  <c r="AA8" i="37" s="1"/>
  <c r="AB8" i="37" s="1"/>
  <c r="AC8" i="37" s="1"/>
  <c r="AD8" i="37" s="1"/>
  <c r="AE8" i="37" s="1"/>
  <c r="AF8" i="37" s="1"/>
  <c r="AG8" i="37" s="1"/>
  <c r="AH8" i="37" s="1"/>
  <c r="AI8" i="37" s="1"/>
  <c r="AJ8" i="37" s="1"/>
  <c r="AK8" i="37" s="1"/>
  <c r="AL8" i="37" s="1"/>
  <c r="AM8" i="37" s="1"/>
  <c r="AN8" i="37" s="1"/>
  <c r="AO8" i="37" s="1"/>
  <c r="AP8" i="37" s="1"/>
  <c r="E8" i="14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Q8" i="14" s="1"/>
  <c r="R8" i="14" s="1"/>
  <c r="S8" i="14" s="1"/>
  <c r="T8" i="14" s="1"/>
  <c r="U8" i="14" s="1"/>
  <c r="V8" i="14" s="1"/>
  <c r="W8" i="14" s="1"/>
  <c r="X8" i="14" s="1"/>
  <c r="Y8" i="14" s="1"/>
  <c r="Z8" i="14" s="1"/>
  <c r="AA8" i="14" s="1"/>
  <c r="AB8" i="14" s="1"/>
  <c r="AC8" i="14" s="1"/>
  <c r="AD8" i="14" s="1"/>
  <c r="AE8" i="14" s="1"/>
  <c r="AF8" i="14" s="1"/>
  <c r="AG8" i="14" s="1"/>
  <c r="AH8" i="14" s="1"/>
  <c r="AI8" i="14" s="1"/>
  <c r="AJ8" i="14" s="1"/>
  <c r="AK8" i="14" s="1"/>
  <c r="AL8" i="14" s="1"/>
  <c r="AM8" i="14" s="1"/>
  <c r="AN8" i="14" s="1"/>
  <c r="AO8" i="14" s="1"/>
  <c r="AP8" i="14" s="1"/>
  <c r="AR67" i="34"/>
  <c r="AR45" i="32"/>
  <c r="AR69" i="32" s="1"/>
  <c r="Q37" i="12"/>
  <c r="P77" i="10"/>
  <c r="AQ11" i="37"/>
  <c r="E77" i="10"/>
  <c r="F19" i="12"/>
  <c r="AQ6" i="37"/>
  <c r="H77" i="10"/>
  <c r="H91" i="10" s="1"/>
  <c r="I19" i="12"/>
  <c r="I36" i="12" s="1"/>
  <c r="U139" i="20"/>
  <c r="G19" i="12"/>
  <c r="C25" i="13"/>
  <c r="N25" i="13" s="1"/>
  <c r="C41" i="13"/>
  <c r="N41" i="13" s="1"/>
  <c r="N40" i="13"/>
  <c r="J77" i="10"/>
  <c r="J91" i="10" s="1"/>
  <c r="K19" i="12"/>
  <c r="K36" i="12" s="1"/>
  <c r="T70" i="11"/>
  <c r="S27" i="14" s="1"/>
  <c r="S28" i="14" s="1"/>
  <c r="AY529" i="9"/>
  <c r="D40" i="13"/>
  <c r="AQ5" i="37"/>
  <c r="D50" i="11"/>
  <c r="AM77" i="10"/>
  <c r="AM91" i="10" s="1"/>
  <c r="AN19" i="12"/>
  <c r="AN36" i="12" s="1"/>
  <c r="V13" i="37"/>
  <c r="AQ7" i="37"/>
  <c r="T22" i="14"/>
  <c r="N72" i="10"/>
  <c r="M12" i="14" s="1"/>
  <c r="T47" i="14"/>
  <c r="S47" i="14"/>
  <c r="O12" i="14"/>
  <c r="O27" i="14"/>
  <c r="O32" i="14" s="1"/>
  <c r="G43" i="12"/>
  <c r="H42" i="12"/>
  <c r="L81" i="34"/>
  <c r="L47" i="34"/>
  <c r="L28" i="32"/>
  <c r="L52" i="32" s="1"/>
  <c r="H70" i="34"/>
  <c r="AQ62" i="14"/>
  <c r="AQ78" i="14"/>
  <c r="AB22" i="14"/>
  <c r="AQ109" i="14"/>
  <c r="I47" i="14"/>
  <c r="I22" i="14"/>
  <c r="I95" i="14"/>
  <c r="I32" i="14"/>
  <c r="AR36" i="14"/>
  <c r="H23" i="14"/>
  <c r="I38" i="14"/>
  <c r="J38" i="14" s="1"/>
  <c r="K38" i="14" s="1"/>
  <c r="L38" i="14" s="1"/>
  <c r="M38" i="14" s="1"/>
  <c r="N38" i="14" s="1"/>
  <c r="O38" i="14" s="1"/>
  <c r="P38" i="14" s="1"/>
  <c r="Q38" i="14" s="1"/>
  <c r="R38" i="14" s="1"/>
  <c r="AQ46" i="14"/>
  <c r="AQ16" i="14"/>
  <c r="AQ49" i="14"/>
  <c r="AR54" i="11"/>
  <c r="N70" i="11"/>
  <c r="M27" i="14" s="1"/>
  <c r="M32" i="14" s="1"/>
  <c r="L56" i="32"/>
  <c r="T72" i="10"/>
  <c r="S12" i="14" s="1"/>
  <c r="G47" i="34"/>
  <c r="AB64" i="34"/>
  <c r="AB70" i="34" s="1"/>
  <c r="AA42" i="14" s="1"/>
  <c r="AA43" i="14" s="1"/>
  <c r="AR65" i="34"/>
  <c r="AR56" i="32"/>
  <c r="V70" i="34"/>
  <c r="U42" i="14" s="1"/>
  <c r="U43" i="14" s="1"/>
  <c r="AR24" i="11"/>
  <c r="W70" i="11"/>
  <c r="V27" i="14" s="1"/>
  <c r="V28" i="14" s="1"/>
  <c r="Q58" i="11"/>
  <c r="AR57" i="11"/>
  <c r="AR30" i="32"/>
  <c r="AR54" i="32" s="1"/>
  <c r="AB95" i="14"/>
  <c r="F82" i="34"/>
  <c r="G82" i="34" s="1"/>
  <c r="H82" i="34" s="1"/>
  <c r="I82" i="34" s="1"/>
  <c r="J82" i="34" s="1"/>
  <c r="L95" i="14"/>
  <c r="M139" i="20"/>
  <c r="N13" i="14"/>
  <c r="N17" i="14"/>
  <c r="O48" i="32"/>
  <c r="O50" i="32" s="1"/>
  <c r="AO43" i="14"/>
  <c r="AO47" i="14"/>
  <c r="AN139" i="20"/>
  <c r="AM22" i="14"/>
  <c r="AM32" i="14"/>
  <c r="AM95" i="14"/>
  <c r="AL43" i="14"/>
  <c r="AL47" i="14"/>
  <c r="AQ37" i="14"/>
  <c r="AG13" i="14"/>
  <c r="AG17" i="14"/>
  <c r="AG95" i="14"/>
  <c r="AG32" i="14"/>
  <c r="AH139" i="20"/>
  <c r="AD13" i="14"/>
  <c r="AD17" i="14"/>
  <c r="L4" i="13"/>
  <c r="AR34" i="32"/>
  <c r="AR58" i="32" s="1"/>
  <c r="AB24" i="32"/>
  <c r="AB37" i="12"/>
  <c r="AB39" i="12"/>
  <c r="AR51" i="11"/>
  <c r="G25" i="34"/>
  <c r="H25" i="34" s="1"/>
  <c r="I25" i="34" s="1"/>
  <c r="J25" i="34" s="1"/>
  <c r="K25" i="34" s="1"/>
  <c r="L25" i="34" s="1"/>
  <c r="M25" i="34" s="1"/>
  <c r="N25" i="34" s="1"/>
  <c r="O25" i="34" s="1"/>
  <c r="P25" i="34" s="1"/>
  <c r="Q25" i="34" s="1"/>
  <c r="R25" i="34" s="1"/>
  <c r="S25" i="34" s="1"/>
  <c r="T25" i="34" s="1"/>
  <c r="U25" i="34" s="1"/>
  <c r="V25" i="34" s="1"/>
  <c r="W25" i="34" s="1"/>
  <c r="X25" i="34" s="1"/>
  <c r="Y25" i="34" s="1"/>
  <c r="Z25" i="34" s="1"/>
  <c r="AC72" i="10"/>
  <c r="AB12" i="14" s="1"/>
  <c r="AB12" i="37" s="1"/>
  <c r="AB13" i="37" s="1"/>
  <c r="AB70" i="11"/>
  <c r="AA27" i="14" s="1"/>
  <c r="AB47" i="34"/>
  <c r="AR41" i="34"/>
  <c r="AB42" i="32"/>
  <c r="AA50" i="11"/>
  <c r="AA70" i="11" s="1"/>
  <c r="Z27" i="14" s="1"/>
  <c r="Z32" i="14" s="1"/>
  <c r="AK50" i="34"/>
  <c r="AK70" i="34" s="1"/>
  <c r="AJ42" i="14" s="1"/>
  <c r="AC50" i="11"/>
  <c r="AC70" i="11" s="1"/>
  <c r="G50" i="11"/>
  <c r="G70" i="11" s="1"/>
  <c r="F27" i="14" s="1"/>
  <c r="F28" i="14" s="1"/>
  <c r="J28" i="32"/>
  <c r="J48" i="32" s="1"/>
  <c r="AD50" i="34"/>
  <c r="AD70" i="34" s="1"/>
  <c r="AC42" i="14" s="1"/>
  <c r="G50" i="34"/>
  <c r="AM52" i="10"/>
  <c r="AM72" i="10" s="1"/>
  <c r="AL12" i="14" s="1"/>
  <c r="AM48" i="10"/>
  <c r="AM28" i="32"/>
  <c r="AJ50" i="34"/>
  <c r="AJ70" i="34" s="1"/>
  <c r="AI42" i="14" s="1"/>
  <c r="AF50" i="11"/>
  <c r="AF70" i="11" s="1"/>
  <c r="AE27" i="14" s="1"/>
  <c r="AE28" i="14" s="1"/>
  <c r="AG50" i="34"/>
  <c r="J50" i="11"/>
  <c r="J70" i="11" s="1"/>
  <c r="I27" i="14" s="1"/>
  <c r="I28" i="14" s="1"/>
  <c r="E50" i="11"/>
  <c r="E70" i="11" s="1"/>
  <c r="D27" i="14" s="1"/>
  <c r="D28" i="14" s="1"/>
  <c r="K47" i="11"/>
  <c r="K28" i="32"/>
  <c r="K52" i="32" s="1"/>
  <c r="AP52" i="10"/>
  <c r="AP72" i="10" s="1"/>
  <c r="AO12" i="14" s="1"/>
  <c r="AP48" i="10"/>
  <c r="AC50" i="34"/>
  <c r="AC47" i="34"/>
  <c r="AR27" i="11"/>
  <c r="AC28" i="32"/>
  <c r="AC52" i="32" s="1"/>
  <c r="AC72" i="32" s="1"/>
  <c r="AQ50" i="34"/>
  <c r="AQ70" i="34" s="1"/>
  <c r="AP42" i="14" s="1"/>
  <c r="AP43" i="14" s="1"/>
  <c r="AI52" i="10"/>
  <c r="AI72" i="10" s="1"/>
  <c r="AH12" i="14" s="1"/>
  <c r="AH12" i="37" s="1"/>
  <c r="AH13" i="37" s="1"/>
  <c r="AI48" i="10"/>
  <c r="AQ50" i="11"/>
  <c r="AQ70" i="11" s="1"/>
  <c r="AP27" i="14" s="1"/>
  <c r="AP28" i="14" s="1"/>
  <c r="AN48" i="10"/>
  <c r="AN52" i="10"/>
  <c r="AN72" i="10" s="1"/>
  <c r="AM12" i="14" s="1"/>
  <c r="AM17" i="14" s="1"/>
  <c r="X47" i="14"/>
  <c r="AO28" i="32"/>
  <c r="AO48" i="32" s="1"/>
  <c r="AO50" i="32" s="1"/>
  <c r="AO50" i="11"/>
  <c r="AO70" i="11" s="1"/>
  <c r="AN27" i="14" s="1"/>
  <c r="AN28" i="14" s="1"/>
  <c r="AO50" i="34"/>
  <c r="AO70" i="34" s="1"/>
  <c r="AN42" i="14" s="1"/>
  <c r="AA48" i="10"/>
  <c r="AA52" i="10"/>
  <c r="AA72" i="10" s="1"/>
  <c r="AG28" i="14"/>
  <c r="I50" i="34"/>
  <c r="I70" i="34" s="1"/>
  <c r="H42" i="14" s="1"/>
  <c r="D47" i="11"/>
  <c r="D28" i="32"/>
  <c r="AD50" i="11"/>
  <c r="AD70" i="11" s="1"/>
  <c r="AC27" i="14" s="1"/>
  <c r="AK52" i="10"/>
  <c r="AK72" i="10" s="1"/>
  <c r="AJ12" i="14" s="1"/>
  <c r="AK28" i="32"/>
  <c r="AK48" i="10"/>
  <c r="F28" i="32"/>
  <c r="F48" i="10"/>
  <c r="F52" i="10"/>
  <c r="F72" i="10" s="1"/>
  <c r="E12" i="14" s="1"/>
  <c r="AA28" i="32"/>
  <c r="AB52" i="10"/>
  <c r="AB72" i="10" s="1"/>
  <c r="AA12" i="14" s="1"/>
  <c r="AB28" i="32"/>
  <c r="AB48" i="10"/>
  <c r="D25" i="11"/>
  <c r="E25" i="11" s="1"/>
  <c r="F25" i="11" s="1"/>
  <c r="G25" i="11" s="1"/>
  <c r="H25" i="11" s="1"/>
  <c r="I25" i="11" s="1"/>
  <c r="J25" i="11" s="1"/>
  <c r="K25" i="11" s="1"/>
  <c r="L25" i="11" s="1"/>
  <c r="M25" i="11" s="1"/>
  <c r="N25" i="11" s="1"/>
  <c r="O25" i="11" s="1"/>
  <c r="P25" i="11" s="1"/>
  <c r="Q25" i="11" s="1"/>
  <c r="R25" i="11" s="1"/>
  <c r="S25" i="11" s="1"/>
  <c r="T25" i="11" s="1"/>
  <c r="U25" i="11" s="1"/>
  <c r="V25" i="11" s="1"/>
  <c r="W25" i="11" s="1"/>
  <c r="X25" i="11" s="1"/>
  <c r="Y25" i="11" s="1"/>
  <c r="Z25" i="11" s="1"/>
  <c r="AA25" i="11" s="1"/>
  <c r="AB25" i="11" s="1"/>
  <c r="AC25" i="11" s="1"/>
  <c r="AD25" i="11" s="1"/>
  <c r="AE25" i="11" s="1"/>
  <c r="AF25" i="11" s="1"/>
  <c r="AG25" i="11" s="1"/>
  <c r="AH25" i="11" s="1"/>
  <c r="AI25" i="11" s="1"/>
  <c r="AJ25" i="11" s="1"/>
  <c r="AK25" i="11" s="1"/>
  <c r="AL25" i="11" s="1"/>
  <c r="AM25" i="11" s="1"/>
  <c r="AN25" i="11" s="1"/>
  <c r="AO25" i="11" s="1"/>
  <c r="AP25" i="11" s="1"/>
  <c r="AQ25" i="11" s="1"/>
  <c r="AH50" i="34"/>
  <c r="AH70" i="34" s="1"/>
  <c r="AG42" i="14" s="1"/>
  <c r="AR4" i="32"/>
  <c r="AS28" i="32" s="1"/>
  <c r="AD28" i="32"/>
  <c r="AD52" i="10"/>
  <c r="AD72" i="10" s="1"/>
  <c r="AC12" i="14" s="1"/>
  <c r="AD48" i="10"/>
  <c r="AD50" i="14"/>
  <c r="AD43" i="14"/>
  <c r="AH47" i="11"/>
  <c r="AH28" i="32"/>
  <c r="AO28" i="14"/>
  <c r="I50" i="11"/>
  <c r="I70" i="11" s="1"/>
  <c r="H27" i="14" s="1"/>
  <c r="H28" i="14" s="1"/>
  <c r="AG52" i="10"/>
  <c r="AG28" i="32"/>
  <c r="AG48" i="10"/>
  <c r="AE47" i="34"/>
  <c r="AE28" i="32"/>
  <c r="AF28" i="32"/>
  <c r="AF48" i="10"/>
  <c r="AF52" i="10"/>
  <c r="AF72" i="10" s="1"/>
  <c r="AE12" i="14" s="1"/>
  <c r="AL50" i="34"/>
  <c r="AL70" i="34" s="1"/>
  <c r="AK42" i="14" s="1"/>
  <c r="G28" i="32"/>
  <c r="G52" i="10"/>
  <c r="G72" i="10" s="1"/>
  <c r="F12" i="14" s="1"/>
  <c r="F13" i="14" s="1"/>
  <c r="G48" i="10"/>
  <c r="AP47" i="11"/>
  <c r="AP28" i="32"/>
  <c r="H52" i="10"/>
  <c r="H72" i="10" s="1"/>
  <c r="G12" i="14" s="1"/>
  <c r="H48" i="10"/>
  <c r="H28" i="32"/>
  <c r="AN47" i="11"/>
  <c r="AN28" i="32"/>
  <c r="AR27" i="34"/>
  <c r="AN13" i="14"/>
  <c r="AJ48" i="10"/>
  <c r="AJ52" i="10"/>
  <c r="AJ72" i="10" s="1"/>
  <c r="AI12" i="14" s="1"/>
  <c r="AJ28" i="32"/>
  <c r="AQ52" i="10"/>
  <c r="AQ72" i="10" s="1"/>
  <c r="AP12" i="14" s="1"/>
  <c r="AP12" i="37" s="1"/>
  <c r="AP13" i="37" s="1"/>
  <c r="AQ28" i="32"/>
  <c r="AQ48" i="10"/>
  <c r="AG50" i="11"/>
  <c r="C12" i="14"/>
  <c r="D73" i="10"/>
  <c r="E48" i="10"/>
  <c r="E52" i="10"/>
  <c r="E28" i="32"/>
  <c r="C42" i="14"/>
  <c r="C43" i="14" s="1"/>
  <c r="C44" i="14" s="1"/>
  <c r="D44" i="14" s="1"/>
  <c r="E44" i="14" s="1"/>
  <c r="D71" i="34"/>
  <c r="E71" i="34" s="1"/>
  <c r="F71" i="34" s="1"/>
  <c r="AL52" i="10"/>
  <c r="AL72" i="10" s="1"/>
  <c r="AK12" i="14" s="1"/>
  <c r="AL48" i="10"/>
  <c r="AL28" i="32"/>
  <c r="I13" i="14"/>
  <c r="AJ50" i="11"/>
  <c r="AJ70" i="11" s="1"/>
  <c r="AI27" i="14" s="1"/>
  <c r="AI28" i="14" s="1"/>
  <c r="AF50" i="34"/>
  <c r="AF70" i="34" s="1"/>
  <c r="AE42" i="14" s="1"/>
  <c r="AN50" i="34"/>
  <c r="AN70" i="34" s="1"/>
  <c r="AM42" i="14" s="1"/>
  <c r="I28" i="32"/>
  <c r="I52" i="10"/>
  <c r="I72" i="10" s="1"/>
  <c r="H12" i="14" s="1"/>
  <c r="I48" i="10"/>
  <c r="AI28" i="32"/>
  <c r="AI50" i="34"/>
  <c r="AI70" i="34" s="1"/>
  <c r="AH42" i="14" s="1"/>
  <c r="AH47" i="14" s="1"/>
  <c r="W42" i="14"/>
  <c r="W47" i="14" s="1"/>
  <c r="D92" i="10"/>
  <c r="Y17" i="14"/>
  <c r="Y13" i="14"/>
  <c r="Y28" i="14"/>
  <c r="Y43" i="14"/>
  <c r="Y50" i="14"/>
  <c r="Z48" i="32"/>
  <c r="Z50" i="32" s="1"/>
  <c r="Z60" i="32"/>
  <c r="Z72" i="32" s="1"/>
  <c r="Z74" i="32" s="1"/>
  <c r="X17" i="14"/>
  <c r="X13" i="14"/>
  <c r="Y53" i="32"/>
  <c r="Y72" i="32" s="1"/>
  <c r="Y74" i="32" s="1"/>
  <c r="Y48" i="32"/>
  <c r="Y50" i="32" s="1"/>
  <c r="S58" i="34"/>
  <c r="S36" i="32"/>
  <c r="S60" i="32" s="1"/>
  <c r="S72" i="32" s="1"/>
  <c r="W72" i="32"/>
  <c r="W48" i="32"/>
  <c r="W50" i="32" s="1"/>
  <c r="W17" i="14"/>
  <c r="W13" i="14"/>
  <c r="X72" i="32"/>
  <c r="X74" i="32" s="1"/>
  <c r="X48" i="32"/>
  <c r="X50" i="32" s="1"/>
  <c r="AR31" i="32"/>
  <c r="AR55" i="32" s="1"/>
  <c r="AR68" i="11"/>
  <c r="W32" i="14"/>
  <c r="W28" i="14"/>
  <c r="Y38" i="12"/>
  <c r="Y37" i="12"/>
  <c r="V43" i="14"/>
  <c r="V17" i="14"/>
  <c r="V13" i="14"/>
  <c r="U13" i="14"/>
  <c r="U17" i="14"/>
  <c r="V72" i="32"/>
  <c r="V48" i="32"/>
  <c r="V50" i="32" s="1"/>
  <c r="U28" i="14"/>
  <c r="W37" i="12"/>
  <c r="W39" i="12"/>
  <c r="T50" i="14"/>
  <c r="T32" i="14"/>
  <c r="T13" i="14"/>
  <c r="T17" i="14"/>
  <c r="U52" i="32"/>
  <c r="U72" i="32" s="1"/>
  <c r="U74" i="32" s="1"/>
  <c r="U48" i="32"/>
  <c r="U50" i="32" s="1"/>
  <c r="T60" i="32"/>
  <c r="T72" i="32" s="1"/>
  <c r="T48" i="32"/>
  <c r="T50" i="32" s="1"/>
  <c r="U37" i="12"/>
  <c r="U39" i="12"/>
  <c r="AQ30" i="36"/>
  <c r="R13" i="14"/>
  <c r="R17" i="14"/>
  <c r="S47" i="34"/>
  <c r="AR35" i="34"/>
  <c r="R32" i="14"/>
  <c r="R28" i="14"/>
  <c r="T38" i="12"/>
  <c r="T37" i="12"/>
  <c r="Q47" i="14"/>
  <c r="Q28" i="14"/>
  <c r="S39" i="12"/>
  <c r="S38" i="12"/>
  <c r="O72" i="32"/>
  <c r="O74" i="32" s="1"/>
  <c r="P70" i="34"/>
  <c r="O42" i="14" s="1"/>
  <c r="Q52" i="10"/>
  <c r="Q48" i="10"/>
  <c r="Q24" i="32"/>
  <c r="Q28" i="32"/>
  <c r="Q52" i="32" s="1"/>
  <c r="AR28" i="10"/>
  <c r="AR52" i="10" s="1"/>
  <c r="P43" i="14"/>
  <c r="P47" i="14"/>
  <c r="AR58" i="11"/>
  <c r="Q36" i="32"/>
  <c r="Q47" i="11"/>
  <c r="AR35" i="11"/>
  <c r="AR12" i="32"/>
  <c r="AS36" i="32" s="1"/>
  <c r="R37" i="12"/>
  <c r="R39" i="12"/>
  <c r="BF566" i="9"/>
  <c r="BF574" i="9" s="1"/>
  <c r="P50" i="32"/>
  <c r="AR53" i="34"/>
  <c r="P72" i="32"/>
  <c r="Q39" i="12"/>
  <c r="AR41" i="14"/>
  <c r="AR6" i="14"/>
  <c r="AQ7" i="14"/>
  <c r="AQ101" i="36"/>
  <c r="N32" i="14"/>
  <c r="N43" i="14"/>
  <c r="N50" i="14"/>
  <c r="P37" i="12"/>
  <c r="P38" i="12"/>
  <c r="M43" i="14"/>
  <c r="M47" i="14"/>
  <c r="N52" i="32"/>
  <c r="N72" i="32" s="1"/>
  <c r="N48" i="32"/>
  <c r="N50" i="32" s="1"/>
  <c r="O38" i="12"/>
  <c r="O37" i="12"/>
  <c r="N59" i="12"/>
  <c r="M60" i="12"/>
  <c r="M48" i="10"/>
  <c r="M52" i="10"/>
  <c r="M72" i="10" s="1"/>
  <c r="L12" i="14" s="1"/>
  <c r="AR64" i="32"/>
  <c r="L32" i="14"/>
  <c r="L28" i="14"/>
  <c r="AR62" i="11"/>
  <c r="M72" i="32"/>
  <c r="AR29" i="32"/>
  <c r="AR53" i="32" s="1"/>
  <c r="M48" i="32"/>
  <c r="M50" i="32" s="1"/>
  <c r="L47" i="14"/>
  <c r="L43" i="14"/>
  <c r="N37" i="12"/>
  <c r="N38" i="12"/>
  <c r="L22" i="14"/>
  <c r="AQ21" i="14"/>
  <c r="AR21" i="14" s="1"/>
  <c r="R58" i="12"/>
  <c r="L59" i="32"/>
  <c r="AR35" i="32"/>
  <c r="AR59" i="32" s="1"/>
  <c r="AR44" i="32"/>
  <c r="AR68" i="32" s="1"/>
  <c r="L68" i="32"/>
  <c r="L60" i="32"/>
  <c r="AR43" i="32"/>
  <c r="AR67" i="32" s="1"/>
  <c r="L67" i="32"/>
  <c r="L62" i="32"/>
  <c r="AR38" i="32"/>
  <c r="AR62" i="32" s="1"/>
  <c r="L61" i="32"/>
  <c r="AR37" i="32"/>
  <c r="AR61" i="32" s="1"/>
  <c r="L72" i="10"/>
  <c r="K12" i="14" s="1"/>
  <c r="AR33" i="32"/>
  <c r="AR57" i="32" s="1"/>
  <c r="K27" i="14"/>
  <c r="K43" i="14"/>
  <c r="L34" i="13"/>
  <c r="L31" i="13"/>
  <c r="W34" i="13"/>
  <c r="W21" i="13"/>
  <c r="W22" i="13" s="1"/>
  <c r="O22" i="13"/>
  <c r="AS35" i="12"/>
  <c r="L73" i="11"/>
  <c r="AS17" i="12"/>
  <c r="AR73" i="34"/>
  <c r="AR81" i="34" s="1"/>
  <c r="M38" i="12"/>
  <c r="M39" i="12"/>
  <c r="L14" i="36"/>
  <c r="N14" i="36"/>
  <c r="O14" i="36"/>
  <c r="M14" i="36"/>
  <c r="AQ31" i="14"/>
  <c r="AQ114" i="36"/>
  <c r="K72" i="10"/>
  <c r="K70" i="32"/>
  <c r="J42" i="14"/>
  <c r="AT5" i="12"/>
  <c r="AU4" i="12"/>
  <c r="AS16" i="12"/>
  <c r="AU16" i="12" s="1"/>
  <c r="K77" i="10"/>
  <c r="N14" i="13"/>
  <c r="W13" i="13"/>
  <c r="W14" i="13" s="1"/>
  <c r="K81" i="34"/>
  <c r="L19" i="12"/>
  <c r="L36" i="12" s="1"/>
  <c r="L38" i="12" s="1"/>
  <c r="AS18" i="12"/>
  <c r="AU18" i="12" s="1"/>
  <c r="AB27" i="14" l="1"/>
  <c r="AB28" i="14" s="1"/>
  <c r="AG70" i="34"/>
  <c r="AF42" i="14" s="1"/>
  <c r="AG72" i="10"/>
  <c r="AF12" i="14" s="1"/>
  <c r="AF13" i="14" s="1"/>
  <c r="AG70" i="11"/>
  <c r="AF27" i="14" s="1"/>
  <c r="AF28" i="14" s="1"/>
  <c r="S32" i="14"/>
  <c r="AR418" i="21"/>
  <c r="AR416" i="21"/>
  <c r="AT437" i="21"/>
  <c r="AR438" i="21"/>
  <c r="AT438" i="21" s="1"/>
  <c r="AC28" i="14"/>
  <c r="AC32" i="14"/>
  <c r="X50" i="14"/>
  <c r="AR26" i="14"/>
  <c r="AR11" i="14"/>
  <c r="X28" i="14"/>
  <c r="P91" i="10"/>
  <c r="AK17" i="14"/>
  <c r="AK12" i="37"/>
  <c r="AK13" i="37" s="1"/>
  <c r="AM13" i="14"/>
  <c r="AM12" i="37"/>
  <c r="AM13" i="37" s="1"/>
  <c r="D70" i="11"/>
  <c r="C27" i="14" s="1"/>
  <c r="C28" i="14" s="1"/>
  <c r="C29" i="14" s="1"/>
  <c r="D29" i="14" s="1"/>
  <c r="E29" i="14" s="1"/>
  <c r="F29" i="14" s="1"/>
  <c r="G29" i="14" s="1"/>
  <c r="H29" i="14" s="1"/>
  <c r="I29" i="14" s="1"/>
  <c r="J29" i="14" s="1"/>
  <c r="K17" i="14"/>
  <c r="K12" i="37"/>
  <c r="D25" i="13"/>
  <c r="O25" i="13" s="1"/>
  <c r="O40" i="13"/>
  <c r="D41" i="13"/>
  <c r="O41" i="13" s="1"/>
  <c r="AF12" i="37"/>
  <c r="AF13" i="37" s="1"/>
  <c r="AO13" i="14"/>
  <c r="AO12" i="37"/>
  <c r="AO13" i="37" s="1"/>
  <c r="O13" i="14"/>
  <c r="O12" i="37"/>
  <c r="O13" i="37" s="1"/>
  <c r="AZ529" i="9"/>
  <c r="E40" i="13"/>
  <c r="L50" i="14"/>
  <c r="L12" i="37"/>
  <c r="L13" i="37" s="1"/>
  <c r="AE17" i="14"/>
  <c r="AE12" i="37"/>
  <c r="AE13" i="37" s="1"/>
  <c r="AC17" i="14"/>
  <c r="AC12" i="37"/>
  <c r="AC13" i="37" s="1"/>
  <c r="AA17" i="14"/>
  <c r="AA12" i="37"/>
  <c r="AA13" i="37" s="1"/>
  <c r="AJ17" i="14"/>
  <c r="AJ12" i="37"/>
  <c r="AJ13" i="37" s="1"/>
  <c r="Q70" i="11"/>
  <c r="P27" i="14" s="1"/>
  <c r="P32" i="14" s="1"/>
  <c r="S13" i="14"/>
  <c r="S12" i="37"/>
  <c r="S13" i="37" s="1"/>
  <c r="S38" i="14"/>
  <c r="T38" i="14" s="1"/>
  <c r="U38" i="14" s="1"/>
  <c r="V38" i="14" s="1"/>
  <c r="W38" i="14" s="1"/>
  <c r="X38" i="14" s="1"/>
  <c r="Y38" i="14" s="1"/>
  <c r="Z38" i="14" s="1"/>
  <c r="AA38" i="14" s="1"/>
  <c r="AB38" i="14" s="1"/>
  <c r="AC38" i="14" s="1"/>
  <c r="AD38" i="14" s="1"/>
  <c r="AE38" i="14" s="1"/>
  <c r="AF38" i="14" s="1"/>
  <c r="AG38" i="14" s="1"/>
  <c r="AH38" i="14" s="1"/>
  <c r="AI38" i="14" s="1"/>
  <c r="AJ38" i="14" s="1"/>
  <c r="AK38" i="14" s="1"/>
  <c r="AL38" i="14" s="1"/>
  <c r="AM38" i="14" s="1"/>
  <c r="AN38" i="14" s="1"/>
  <c r="AO38" i="14" s="1"/>
  <c r="AP38" i="14" s="1"/>
  <c r="E91" i="10"/>
  <c r="AI17" i="14"/>
  <c r="AI12" i="37"/>
  <c r="AI13" i="37" s="1"/>
  <c r="AL17" i="14"/>
  <c r="AL12" i="37"/>
  <c r="AL13" i="37" s="1"/>
  <c r="M13" i="14"/>
  <c r="M12" i="37"/>
  <c r="M13" i="37" s="1"/>
  <c r="U47" i="14"/>
  <c r="M17" i="14"/>
  <c r="S17" i="14"/>
  <c r="O17" i="14"/>
  <c r="O50" i="14"/>
  <c r="O28" i="14"/>
  <c r="AZ87" i="34"/>
  <c r="BA87" i="34" s="1"/>
  <c r="I42" i="12"/>
  <c r="H43" i="12"/>
  <c r="L48" i="32"/>
  <c r="L50" i="32" s="1"/>
  <c r="G42" i="14"/>
  <c r="V32" i="14"/>
  <c r="I23" i="14"/>
  <c r="J23" i="14" s="1"/>
  <c r="K23" i="14" s="1"/>
  <c r="L23" i="14" s="1"/>
  <c r="M23" i="14" s="1"/>
  <c r="N23" i="14" s="1"/>
  <c r="O23" i="14" s="1"/>
  <c r="P23" i="14" s="1"/>
  <c r="Q23" i="14" s="1"/>
  <c r="R23" i="14" s="1"/>
  <c r="S23" i="14" s="1"/>
  <c r="T23" i="14" s="1"/>
  <c r="U23" i="14" s="1"/>
  <c r="V23" i="14" s="1"/>
  <c r="W23" i="14" s="1"/>
  <c r="X23" i="14" s="1"/>
  <c r="Y23" i="14" s="1"/>
  <c r="Z23" i="14" s="1"/>
  <c r="AA23" i="14" s="1"/>
  <c r="AB23" i="14" s="1"/>
  <c r="AC23" i="14" s="1"/>
  <c r="AD23" i="14" s="1"/>
  <c r="AE23" i="14" s="1"/>
  <c r="AF23" i="14" s="1"/>
  <c r="AG23" i="14" s="1"/>
  <c r="AH23" i="14" s="1"/>
  <c r="AI23" i="14" s="1"/>
  <c r="AJ23" i="14" s="1"/>
  <c r="AK23" i="14" s="1"/>
  <c r="AL23" i="14" s="1"/>
  <c r="AM23" i="14" s="1"/>
  <c r="AN23" i="14" s="1"/>
  <c r="AO23" i="14" s="1"/>
  <c r="AP23" i="14" s="1"/>
  <c r="H43" i="14"/>
  <c r="H47" i="14"/>
  <c r="W74" i="32"/>
  <c r="T74" i="32"/>
  <c r="M28" i="14"/>
  <c r="V50" i="14"/>
  <c r="S50" i="14"/>
  <c r="V74" i="32"/>
  <c r="U50" i="14"/>
  <c r="N74" i="32"/>
  <c r="M50" i="14"/>
  <c r="AR64" i="34"/>
  <c r="J52" i="32"/>
  <c r="J72" i="32" s="1"/>
  <c r="J74" i="32" s="1"/>
  <c r="G70" i="34"/>
  <c r="K82" i="34"/>
  <c r="L82" i="34" s="1"/>
  <c r="M82" i="34" s="1"/>
  <c r="N82" i="34" s="1"/>
  <c r="O82" i="34" s="1"/>
  <c r="P82" i="34" s="1"/>
  <c r="Q82" i="34" s="1"/>
  <c r="R82" i="34" s="1"/>
  <c r="S82" i="34" s="1"/>
  <c r="T82" i="34" s="1"/>
  <c r="U82" i="34" s="1"/>
  <c r="V82" i="34" s="1"/>
  <c r="W82" i="34" s="1"/>
  <c r="X82" i="34" s="1"/>
  <c r="Y82" i="34" s="1"/>
  <c r="Z82" i="34" s="1"/>
  <c r="AA82" i="34" s="1"/>
  <c r="AB82" i="34" s="1"/>
  <c r="AC82" i="34" s="1"/>
  <c r="AD82" i="34" s="1"/>
  <c r="AE82" i="34" s="1"/>
  <c r="AF82" i="34" s="1"/>
  <c r="AG82" i="34" s="1"/>
  <c r="AH82" i="34" s="1"/>
  <c r="AI82" i="34" s="1"/>
  <c r="AJ82" i="34" s="1"/>
  <c r="AK82" i="34" s="1"/>
  <c r="AL82" i="34" s="1"/>
  <c r="AM82" i="34" s="1"/>
  <c r="AN82" i="34" s="1"/>
  <c r="AO82" i="34" s="1"/>
  <c r="AP82" i="34" s="1"/>
  <c r="AQ82" i="34" s="1"/>
  <c r="AR36" i="32"/>
  <c r="AR60" i="32" s="1"/>
  <c r="S48" i="32"/>
  <c r="S50" i="32" s="1"/>
  <c r="AN43" i="14"/>
  <c r="AN47" i="14"/>
  <c r="AM43" i="14"/>
  <c r="AM47" i="14"/>
  <c r="AQ95" i="14"/>
  <c r="AQ22" i="14"/>
  <c r="AK43" i="14"/>
  <c r="AK47" i="14"/>
  <c r="AJ43" i="14"/>
  <c r="AJ47" i="14"/>
  <c r="AI43" i="14"/>
  <c r="AI47" i="14"/>
  <c r="AH13" i="14"/>
  <c r="AH17" i="14"/>
  <c r="AG43" i="14"/>
  <c r="AG47" i="14"/>
  <c r="AF43" i="14"/>
  <c r="AF47" i="14"/>
  <c r="AE43" i="14"/>
  <c r="AE47" i="14"/>
  <c r="AC70" i="34"/>
  <c r="Z12" i="14"/>
  <c r="Z17" i="14" s="1"/>
  <c r="AC43" i="14"/>
  <c r="AC47" i="14"/>
  <c r="AB13" i="14"/>
  <c r="AB17" i="14"/>
  <c r="AA47" i="14"/>
  <c r="AR47" i="11"/>
  <c r="AB66" i="32"/>
  <c r="AR42" i="32"/>
  <c r="AR66" i="32" s="1"/>
  <c r="AA32" i="14"/>
  <c r="AA28" i="14"/>
  <c r="AC48" i="32"/>
  <c r="AC50" i="32" s="1"/>
  <c r="AO50" i="14"/>
  <c r="Z28" i="14"/>
  <c r="K72" i="32"/>
  <c r="K74" i="32" s="1"/>
  <c r="AO52" i="32"/>
  <c r="AO72" i="32" s="1"/>
  <c r="AO74" i="32" s="1"/>
  <c r="AN50" i="14"/>
  <c r="AR50" i="11"/>
  <c r="AR70" i="11" s="1"/>
  <c r="AR50" i="34"/>
  <c r="I50" i="14"/>
  <c r="AM48" i="32"/>
  <c r="AM50" i="32" s="1"/>
  <c r="AM52" i="32"/>
  <c r="AM72" i="32" s="1"/>
  <c r="AM74" i="32" s="1"/>
  <c r="AL50" i="14"/>
  <c r="AL13" i="14"/>
  <c r="K48" i="32"/>
  <c r="H50" i="14"/>
  <c r="H13" i="14"/>
  <c r="E72" i="10"/>
  <c r="AP50" i="14"/>
  <c r="AP13" i="14"/>
  <c r="AM50" i="14"/>
  <c r="AG52" i="32"/>
  <c r="AG72" i="32" s="1"/>
  <c r="AG48" i="32"/>
  <c r="AG50" i="32" s="1"/>
  <c r="AC50" i="14"/>
  <c r="AC13" i="14"/>
  <c r="D52" i="32"/>
  <c r="D72" i="32" s="1"/>
  <c r="D48" i="32"/>
  <c r="I48" i="32"/>
  <c r="I52" i="32"/>
  <c r="I72" i="32" s="1"/>
  <c r="I74" i="32" s="1"/>
  <c r="AL52" i="32"/>
  <c r="AL72" i="32" s="1"/>
  <c r="AL74" i="32" s="1"/>
  <c r="AL48" i="32"/>
  <c r="AL50" i="32" s="1"/>
  <c r="AJ48" i="32"/>
  <c r="AJ50" i="32" s="1"/>
  <c r="AJ52" i="32"/>
  <c r="AJ72" i="32" s="1"/>
  <c r="AJ74" i="32" s="1"/>
  <c r="AP48" i="32"/>
  <c r="AP50" i="32" s="1"/>
  <c r="AP52" i="32"/>
  <c r="AP72" i="32" s="1"/>
  <c r="AP74" i="32" s="1"/>
  <c r="AD48" i="32"/>
  <c r="AD50" i="32" s="1"/>
  <c r="AD52" i="32"/>
  <c r="AD72" i="32" s="1"/>
  <c r="AD74" i="32" s="1"/>
  <c r="AB52" i="32"/>
  <c r="AB48" i="32"/>
  <c r="AB50" i="32" s="1"/>
  <c r="AI50" i="14"/>
  <c r="AI13" i="14"/>
  <c r="AE50" i="14"/>
  <c r="AE13" i="14"/>
  <c r="AA50" i="14"/>
  <c r="AA13" i="14"/>
  <c r="AK50" i="14"/>
  <c r="AK13" i="14"/>
  <c r="C13" i="14"/>
  <c r="C14" i="14" s="1"/>
  <c r="AN52" i="32"/>
  <c r="AN72" i="32" s="1"/>
  <c r="AN74" i="32" s="1"/>
  <c r="AN48" i="32"/>
  <c r="AN50" i="32" s="1"/>
  <c r="AA52" i="32"/>
  <c r="AK52" i="32"/>
  <c r="AK72" i="32" s="1"/>
  <c r="AK74" i="32" s="1"/>
  <c r="AK48" i="32"/>
  <c r="AK50" i="32" s="1"/>
  <c r="W43" i="14"/>
  <c r="AF52" i="32"/>
  <c r="AF72" i="32" s="1"/>
  <c r="AF74" i="32" s="1"/>
  <c r="AF48" i="32"/>
  <c r="AF50" i="32" s="1"/>
  <c r="AJ50" i="14"/>
  <c r="AJ13" i="14"/>
  <c r="AH43" i="14"/>
  <c r="AH50" i="14"/>
  <c r="H52" i="32"/>
  <c r="H72" i="32" s="1"/>
  <c r="H74" i="32" s="1"/>
  <c r="H48" i="32"/>
  <c r="AE48" i="32"/>
  <c r="AE50" i="32" s="1"/>
  <c r="AE52" i="32"/>
  <c r="AE72" i="32" s="1"/>
  <c r="AE74" i="32" s="1"/>
  <c r="E50" i="14"/>
  <c r="E13" i="14"/>
  <c r="AI52" i="32"/>
  <c r="AI72" i="32" s="1"/>
  <c r="AI74" i="32" s="1"/>
  <c r="AI48" i="32"/>
  <c r="AI50" i="32" s="1"/>
  <c r="G52" i="32"/>
  <c r="G72" i="32" s="1"/>
  <c r="G48" i="32"/>
  <c r="AH52" i="32"/>
  <c r="AH72" i="32" s="1"/>
  <c r="AH74" i="32" s="1"/>
  <c r="AH48" i="32"/>
  <c r="AH50" i="32" s="1"/>
  <c r="W50" i="14"/>
  <c r="E48" i="32"/>
  <c r="E52" i="32"/>
  <c r="E72" i="32" s="1"/>
  <c r="AQ48" i="32"/>
  <c r="AQ50" i="32" s="1"/>
  <c r="AQ52" i="32"/>
  <c r="AQ72" i="32" s="1"/>
  <c r="AQ74" i="32" s="1"/>
  <c r="G13" i="14"/>
  <c r="F52" i="32"/>
  <c r="F72" i="32" s="1"/>
  <c r="F74" i="32" s="1"/>
  <c r="F48" i="32"/>
  <c r="AG50" i="14"/>
  <c r="S70" i="34"/>
  <c r="R42" i="14" s="1"/>
  <c r="AR58" i="34"/>
  <c r="Q72" i="10"/>
  <c r="P12" i="14" s="1"/>
  <c r="P74" i="32"/>
  <c r="O47" i="14"/>
  <c r="O43" i="14"/>
  <c r="AR28" i="32"/>
  <c r="Q48" i="32"/>
  <c r="Q50" i="32" s="1"/>
  <c r="Q60" i="32"/>
  <c r="Q72" i="32" s="1"/>
  <c r="O59" i="12"/>
  <c r="N60" i="12"/>
  <c r="M74" i="32"/>
  <c r="L17" i="14"/>
  <c r="L13" i="14"/>
  <c r="AU17" i="12"/>
  <c r="S58" i="12"/>
  <c r="AS36" i="12"/>
  <c r="L39" i="12"/>
  <c r="L37" i="12"/>
  <c r="L72" i="32"/>
  <c r="L74" i="32" s="1"/>
  <c r="K13" i="14"/>
  <c r="K32" i="14"/>
  <c r="K28" i="14"/>
  <c r="K50" i="14"/>
  <c r="AR73" i="11"/>
  <c r="AR81" i="11" s="1"/>
  <c r="L81" i="11"/>
  <c r="AQ14" i="36"/>
  <c r="J12" i="14"/>
  <c r="J50" i="14" s="1"/>
  <c r="J43" i="14"/>
  <c r="J47" i="14"/>
  <c r="AR77" i="10"/>
  <c r="AR91" i="10" s="1"/>
  <c r="K91" i="10"/>
  <c r="AS19" i="12"/>
  <c r="AT17" i="12" s="1"/>
  <c r="AG74" i="32" l="1"/>
  <c r="AF50" i="14"/>
  <c r="AT85" i="11"/>
  <c r="AB32" i="14"/>
  <c r="E92" i="10"/>
  <c r="F92" i="10" s="1"/>
  <c r="G92" i="10" s="1"/>
  <c r="H92" i="10" s="1"/>
  <c r="I92" i="10" s="1"/>
  <c r="J92" i="10" s="1"/>
  <c r="AZ85" i="34"/>
  <c r="BA85" i="34" s="1"/>
  <c r="AF17" i="14"/>
  <c r="AC74" i="32"/>
  <c r="D71" i="11"/>
  <c r="E71" i="11" s="1"/>
  <c r="F71" i="11" s="1"/>
  <c r="G71" i="11" s="1"/>
  <c r="H71" i="11" s="1"/>
  <c r="I71" i="11" s="1"/>
  <c r="J71" i="11" s="1"/>
  <c r="K71" i="11" s="1"/>
  <c r="L71" i="11" s="1"/>
  <c r="M71" i="11" s="1"/>
  <c r="N71" i="11" s="1"/>
  <c r="O71" i="11" s="1"/>
  <c r="P71" i="11" s="1"/>
  <c r="Q71" i="11" s="1"/>
  <c r="R71" i="11" s="1"/>
  <c r="S71" i="11" s="1"/>
  <c r="T71" i="11" s="1"/>
  <c r="U71" i="11" s="1"/>
  <c r="V71" i="11" s="1"/>
  <c r="W71" i="11" s="1"/>
  <c r="X71" i="11" s="1"/>
  <c r="Y71" i="11" s="1"/>
  <c r="Z71" i="11" s="1"/>
  <c r="AA71" i="11" s="1"/>
  <c r="AB71" i="11" s="1"/>
  <c r="AC71" i="11" s="1"/>
  <c r="AD71" i="11" s="1"/>
  <c r="AE71" i="11" s="1"/>
  <c r="AF71" i="11" s="1"/>
  <c r="AG71" i="11" s="1"/>
  <c r="AH71" i="11" s="1"/>
  <c r="AI71" i="11" s="1"/>
  <c r="AJ71" i="11" s="1"/>
  <c r="AK71" i="11" s="1"/>
  <c r="AL71" i="11" s="1"/>
  <c r="AM71" i="11" s="1"/>
  <c r="AN71" i="11" s="1"/>
  <c r="AO71" i="11" s="1"/>
  <c r="AP71" i="11" s="1"/>
  <c r="AQ71" i="11" s="1"/>
  <c r="P28" i="14"/>
  <c r="AQ28" i="14" s="1"/>
  <c r="E73" i="10"/>
  <c r="F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G71" i="34"/>
  <c r="H71" i="34" s="1"/>
  <c r="I71" i="34" s="1"/>
  <c r="J71" i="34" s="1"/>
  <c r="K71" i="34" s="1"/>
  <c r="L71" i="34" s="1"/>
  <c r="M71" i="34" s="1"/>
  <c r="N71" i="34" s="1"/>
  <c r="O71" i="34" s="1"/>
  <c r="P71" i="34" s="1"/>
  <c r="Q71" i="34" s="1"/>
  <c r="R71" i="34" s="1"/>
  <c r="K13" i="37"/>
  <c r="P13" i="14"/>
  <c r="P12" i="37"/>
  <c r="P13" i="37" s="1"/>
  <c r="E25" i="13"/>
  <c r="P25" i="13" s="1"/>
  <c r="P40" i="13"/>
  <c r="E41" i="13"/>
  <c r="P41" i="13" s="1"/>
  <c r="BA529" i="9"/>
  <c r="F40" i="13"/>
  <c r="Z13" i="14"/>
  <c r="Z12" i="37"/>
  <c r="Z13" i="37" s="1"/>
  <c r="J42" i="12"/>
  <c r="I43" i="12"/>
  <c r="G47" i="14"/>
  <c r="G43" i="14"/>
  <c r="G50" i="14"/>
  <c r="G74" i="32"/>
  <c r="F42" i="14"/>
  <c r="AB72" i="32"/>
  <c r="AB74" i="32" s="1"/>
  <c r="L82" i="11"/>
  <c r="M82" i="11" s="1"/>
  <c r="N82" i="11" s="1"/>
  <c r="O82" i="11" s="1"/>
  <c r="P82" i="11" s="1"/>
  <c r="Q82" i="11" s="1"/>
  <c r="R82" i="11" s="1"/>
  <c r="S82" i="11" s="1"/>
  <c r="T82" i="11" s="1"/>
  <c r="U82" i="11" s="1"/>
  <c r="V82" i="11" s="1"/>
  <c r="W82" i="11" s="1"/>
  <c r="X82" i="11" s="1"/>
  <c r="Y82" i="11" s="1"/>
  <c r="Z82" i="11" s="1"/>
  <c r="AA82" i="11" s="1"/>
  <c r="AB82" i="11" s="1"/>
  <c r="AC82" i="11" s="1"/>
  <c r="AD82" i="11" s="1"/>
  <c r="AE82" i="11" s="1"/>
  <c r="AF82" i="11" s="1"/>
  <c r="AG82" i="11" s="1"/>
  <c r="AH82" i="11" s="1"/>
  <c r="AI82" i="11" s="1"/>
  <c r="AJ82" i="11" s="1"/>
  <c r="AK82" i="11" s="1"/>
  <c r="AL82" i="11" s="1"/>
  <c r="AM82" i="11" s="1"/>
  <c r="AN82" i="11" s="1"/>
  <c r="AO82" i="11" s="1"/>
  <c r="AP82" i="11" s="1"/>
  <c r="AQ82" i="11" s="1"/>
  <c r="AB42" i="14"/>
  <c r="AQ27" i="14"/>
  <c r="AQ32" i="14" s="1"/>
  <c r="P17" i="14"/>
  <c r="C50" i="14"/>
  <c r="C51" i="14" s="1"/>
  <c r="P50" i="14"/>
  <c r="D74" i="32"/>
  <c r="D73" i="32"/>
  <c r="E73" i="32" s="1"/>
  <c r="F73" i="32" s="1"/>
  <c r="G73" i="32" s="1"/>
  <c r="H73" i="32" s="1"/>
  <c r="I73" i="32" s="1"/>
  <c r="J73" i="32" s="1"/>
  <c r="K73" i="32" s="1"/>
  <c r="L73" i="32" s="1"/>
  <c r="M73" i="32" s="1"/>
  <c r="N73" i="32" s="1"/>
  <c r="O73" i="32" s="1"/>
  <c r="P73" i="32" s="1"/>
  <c r="Q73" i="32" s="1"/>
  <c r="Q74" i="32"/>
  <c r="E74" i="32"/>
  <c r="D12" i="14"/>
  <c r="K92" i="10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W92" i="10" s="1"/>
  <c r="X92" i="10" s="1"/>
  <c r="Y92" i="10" s="1"/>
  <c r="Z92" i="10" s="1"/>
  <c r="AA92" i="10" s="1"/>
  <c r="AB92" i="10" s="1"/>
  <c r="AC92" i="10" s="1"/>
  <c r="AD92" i="10" s="1"/>
  <c r="AE92" i="10" s="1"/>
  <c r="AF92" i="10" s="1"/>
  <c r="AG92" i="10" s="1"/>
  <c r="AH92" i="10" s="1"/>
  <c r="AI92" i="10" s="1"/>
  <c r="AJ92" i="10" s="1"/>
  <c r="AK92" i="10" s="1"/>
  <c r="AL92" i="10" s="1"/>
  <c r="AM92" i="10" s="1"/>
  <c r="AN92" i="10" s="1"/>
  <c r="AO92" i="10" s="1"/>
  <c r="AP92" i="10" s="1"/>
  <c r="AQ92" i="10" s="1"/>
  <c r="R50" i="14"/>
  <c r="R43" i="14"/>
  <c r="R47" i="14"/>
  <c r="S71" i="34"/>
  <c r="T71" i="34" s="1"/>
  <c r="U71" i="34" s="1"/>
  <c r="V71" i="34" s="1"/>
  <c r="W71" i="34" s="1"/>
  <c r="X71" i="34" s="1"/>
  <c r="Y71" i="34" s="1"/>
  <c r="Z71" i="34" s="1"/>
  <c r="S74" i="32"/>
  <c r="AR52" i="32"/>
  <c r="O60" i="12"/>
  <c r="P59" i="12"/>
  <c r="T58" i="12"/>
  <c r="K29" i="14"/>
  <c r="L29" i="14" s="1"/>
  <c r="M29" i="14" s="1"/>
  <c r="N29" i="14" s="1"/>
  <c r="O29" i="14" s="1"/>
  <c r="J13" i="14"/>
  <c r="J17" i="14"/>
  <c r="AT18" i="12"/>
  <c r="AS21" i="12"/>
  <c r="AT16" i="12"/>
  <c r="AW70" i="11" l="1"/>
  <c r="P29" i="14"/>
  <c r="Q29" i="14" s="1"/>
  <c r="R29" i="14" s="1"/>
  <c r="S29" i="14" s="1"/>
  <c r="T29" i="14" s="1"/>
  <c r="U29" i="14" s="1"/>
  <c r="V29" i="14" s="1"/>
  <c r="W29" i="14" s="1"/>
  <c r="X29" i="14" s="1"/>
  <c r="Y29" i="14" s="1"/>
  <c r="Z29" i="14" s="1"/>
  <c r="AA29" i="14" s="1"/>
  <c r="AB29" i="14" s="1"/>
  <c r="AC29" i="14" s="1"/>
  <c r="AD29" i="14" s="1"/>
  <c r="AE29" i="14" s="1"/>
  <c r="AF29" i="14" s="1"/>
  <c r="AG29" i="14" s="1"/>
  <c r="AH29" i="14" s="1"/>
  <c r="AI29" i="14" s="1"/>
  <c r="AJ29" i="14" s="1"/>
  <c r="AK29" i="14" s="1"/>
  <c r="AL29" i="14" s="1"/>
  <c r="AM29" i="14" s="1"/>
  <c r="AN29" i="14" s="1"/>
  <c r="AO29" i="14" s="1"/>
  <c r="AP29" i="14" s="1"/>
  <c r="F41" i="13"/>
  <c r="Q41" i="13" s="1"/>
  <c r="Q40" i="13"/>
  <c r="F25" i="13"/>
  <c r="Q25" i="13" s="1"/>
  <c r="K14" i="37"/>
  <c r="L14" i="37" s="1"/>
  <c r="M14" i="37" s="1"/>
  <c r="N14" i="37" s="1"/>
  <c r="O14" i="37" s="1"/>
  <c r="P14" i="37" s="1"/>
  <c r="G40" i="13"/>
  <c r="BB529" i="9"/>
  <c r="AZ86" i="34"/>
  <c r="BA86" i="34" s="1"/>
  <c r="K42" i="12"/>
  <c r="J43" i="12"/>
  <c r="F47" i="14"/>
  <c r="F43" i="14"/>
  <c r="F44" i="14" s="1"/>
  <c r="G44" i="14" s="1"/>
  <c r="H44" i="14" s="1"/>
  <c r="I44" i="14" s="1"/>
  <c r="J44" i="14" s="1"/>
  <c r="K44" i="14" s="1"/>
  <c r="L44" i="14" s="1"/>
  <c r="M44" i="14" s="1"/>
  <c r="N44" i="14" s="1"/>
  <c r="O44" i="14" s="1"/>
  <c r="P44" i="14" s="1"/>
  <c r="Q44" i="14" s="1"/>
  <c r="R44" i="14" s="1"/>
  <c r="S44" i="14" s="1"/>
  <c r="T44" i="14" s="1"/>
  <c r="U44" i="14" s="1"/>
  <c r="V44" i="14" s="1"/>
  <c r="W44" i="14" s="1"/>
  <c r="X44" i="14" s="1"/>
  <c r="Y44" i="14" s="1"/>
  <c r="F50" i="14"/>
  <c r="AB43" i="14"/>
  <c r="AB47" i="14"/>
  <c r="AB50" i="14"/>
  <c r="AR27" i="14"/>
  <c r="D50" i="14"/>
  <c r="D51" i="14" s="1"/>
  <c r="E51" i="14" s="1"/>
  <c r="D13" i="14"/>
  <c r="D14" i="14" s="1"/>
  <c r="E14" i="14" s="1"/>
  <c r="F14" i="14" s="1"/>
  <c r="G14" i="14" s="1"/>
  <c r="H14" i="14" s="1"/>
  <c r="I14" i="14" s="1"/>
  <c r="J14" i="14" s="1"/>
  <c r="K14" i="14" s="1"/>
  <c r="L14" i="14" s="1"/>
  <c r="M14" i="14" s="1"/>
  <c r="N14" i="14" s="1"/>
  <c r="O14" i="14" s="1"/>
  <c r="P14" i="14" s="1"/>
  <c r="P60" i="12"/>
  <c r="Q59" i="12"/>
  <c r="U58" i="12"/>
  <c r="BC529" i="9" l="1"/>
  <c r="H40" i="13"/>
  <c r="R40" i="13"/>
  <c r="G25" i="13"/>
  <c r="R25" i="13" s="1"/>
  <c r="G41" i="13"/>
  <c r="R41" i="13" s="1"/>
  <c r="K43" i="12"/>
  <c r="L42" i="12"/>
  <c r="F51" i="14"/>
  <c r="G51" i="14" s="1"/>
  <c r="H51" i="14" s="1"/>
  <c r="I51" i="14" s="1"/>
  <c r="J51" i="14" s="1"/>
  <c r="K51" i="14" s="1"/>
  <c r="L51" i="14" s="1"/>
  <c r="M51" i="14" s="1"/>
  <c r="N51" i="14" s="1"/>
  <c r="O51" i="14" s="1"/>
  <c r="P51" i="14" s="1"/>
  <c r="R59" i="12"/>
  <c r="Q60" i="12"/>
  <c r="V58" i="12"/>
  <c r="H41" i="13" l="1"/>
  <c r="H25" i="13"/>
  <c r="S40" i="13"/>
  <c r="I40" i="13"/>
  <c r="BD529" i="9"/>
  <c r="M42" i="12"/>
  <c r="L43" i="12"/>
  <c r="R60" i="12"/>
  <c r="S59" i="12"/>
  <c r="W58" i="12"/>
  <c r="BE529" i="9" l="1"/>
  <c r="K40" i="13" s="1"/>
  <c r="J40" i="13"/>
  <c r="L40" i="13" s="1"/>
  <c r="S25" i="13"/>
  <c r="I25" i="13"/>
  <c r="T25" i="13" s="1"/>
  <c r="T40" i="13"/>
  <c r="I41" i="13"/>
  <c r="T41" i="13" s="1"/>
  <c r="S41" i="13"/>
  <c r="N42" i="12"/>
  <c r="M43" i="12"/>
  <c r="S60" i="12"/>
  <c r="T59" i="12"/>
  <c r="X58" i="12"/>
  <c r="U40" i="13" l="1"/>
  <c r="J41" i="13"/>
  <c r="U41" i="13" s="1"/>
  <c r="J25" i="13"/>
  <c r="U25" i="13" s="1"/>
  <c r="K41" i="13"/>
  <c r="V41" i="13" s="1"/>
  <c r="K25" i="13"/>
  <c r="V25" i="13" s="1"/>
  <c r="V40" i="13"/>
  <c r="W40" i="13" s="1"/>
  <c r="N43" i="12"/>
  <c r="O42" i="12"/>
  <c r="U59" i="12"/>
  <c r="T60" i="12"/>
  <c r="Y58" i="12"/>
  <c r="W41" i="13" l="1"/>
  <c r="L41" i="13"/>
  <c r="W25" i="13"/>
  <c r="L25" i="13"/>
  <c r="P42" i="12"/>
  <c r="O43" i="12"/>
  <c r="V59" i="12"/>
  <c r="U60" i="12"/>
  <c r="Z58" i="12"/>
  <c r="Q42" i="12" l="1"/>
  <c r="P43" i="12"/>
  <c r="W59" i="12"/>
  <c r="V60" i="12"/>
  <c r="AA58" i="12"/>
  <c r="R42" i="12" l="1"/>
  <c r="Q43" i="12"/>
  <c r="X59" i="12"/>
  <c r="W60" i="12"/>
  <c r="AB58" i="12"/>
  <c r="R43" i="12" l="1"/>
  <c r="S42" i="12"/>
  <c r="Y59" i="12"/>
  <c r="X60" i="12"/>
  <c r="AC58" i="12"/>
  <c r="T42" i="12" l="1"/>
  <c r="S43" i="12"/>
  <c r="Y60" i="12"/>
  <c r="Z59" i="12"/>
  <c r="AD58" i="12"/>
  <c r="T43" i="12" l="1"/>
  <c r="U42" i="12"/>
  <c r="AA59" i="12"/>
  <c r="Z60" i="12"/>
  <c r="AE58" i="12"/>
  <c r="U43" i="12" l="1"/>
  <c r="V42" i="12"/>
  <c r="AB59" i="12"/>
  <c r="AA60" i="12"/>
  <c r="AF58" i="12"/>
  <c r="W42" i="12" l="1"/>
  <c r="V43" i="12"/>
  <c r="AC59" i="12"/>
  <c r="AB60" i="12"/>
  <c r="AG58" i="12"/>
  <c r="X42" i="12" l="1"/>
  <c r="W43" i="12"/>
  <c r="AD59" i="12"/>
  <c r="AC60" i="12"/>
  <c r="AH58" i="12"/>
  <c r="X43" i="12" l="1"/>
  <c r="Y42" i="12"/>
  <c r="AE59" i="12"/>
  <c r="AD60" i="12"/>
  <c r="AI58" i="12"/>
  <c r="Y43" i="12" l="1"/>
  <c r="Z42" i="12"/>
  <c r="AE60" i="12"/>
  <c r="AF59" i="12"/>
  <c r="AJ58" i="12"/>
  <c r="AA42" i="12" l="1"/>
  <c r="Z43" i="12"/>
  <c r="AG59" i="12"/>
  <c r="AF60" i="12"/>
  <c r="AK58" i="12"/>
  <c r="AB42" i="12" l="1"/>
  <c r="AA43" i="12"/>
  <c r="AH59" i="12"/>
  <c r="AG60" i="12"/>
  <c r="AL58" i="12"/>
  <c r="AC42" i="12" l="1"/>
  <c r="AB43" i="12"/>
  <c r="AI59" i="12"/>
  <c r="AH60" i="12"/>
  <c r="AM58" i="12"/>
  <c r="AC43" i="12" l="1"/>
  <c r="AD42" i="12"/>
  <c r="AJ59" i="12"/>
  <c r="AI60" i="12"/>
  <c r="AN58" i="12"/>
  <c r="AE42" i="12" l="1"/>
  <c r="AD43" i="12"/>
  <c r="AK59" i="12"/>
  <c r="AJ60" i="12"/>
  <c r="AO58" i="12"/>
  <c r="AF42" i="12" l="1"/>
  <c r="AE43" i="12"/>
  <c r="AK60" i="12"/>
  <c r="AL59" i="12"/>
  <c r="AP58" i="12"/>
  <c r="AF43" i="12" l="1"/>
  <c r="AG42" i="12"/>
  <c r="AM59" i="12"/>
  <c r="AL60" i="12"/>
  <c r="AQ58" i="12"/>
  <c r="AH42" i="12" l="1"/>
  <c r="AG43" i="12"/>
  <c r="AN59" i="12"/>
  <c r="AM60" i="12"/>
  <c r="AI42" i="12" l="1"/>
  <c r="AH43" i="12"/>
  <c r="AO59" i="12"/>
  <c r="AN60" i="12"/>
  <c r="AJ42" i="12" l="1"/>
  <c r="AI43" i="12"/>
  <c r="AP59" i="12"/>
  <c r="AO60" i="12"/>
  <c r="AK42" i="12" l="1"/>
  <c r="AJ43" i="12"/>
  <c r="AQ59" i="12"/>
  <c r="AQ60" i="12" s="1"/>
  <c r="AP60" i="12"/>
  <c r="AK43" i="12" l="1"/>
  <c r="AL42" i="12"/>
  <c r="AM42" i="12" l="1"/>
  <c r="AL43" i="12"/>
  <c r="AA93" i="33"/>
  <c r="AA94" i="33" s="1"/>
  <c r="AB94" i="33" s="1"/>
  <c r="AC94" i="33" s="1"/>
  <c r="AD94" i="33" s="1"/>
  <c r="AE94" i="33" s="1"/>
  <c r="AF94" i="33" s="1"/>
  <c r="AG94" i="33" s="1"/>
  <c r="AH94" i="33" s="1"/>
  <c r="AI94" i="33" s="1"/>
  <c r="AJ94" i="33" s="1"/>
  <c r="AK94" i="33" s="1"/>
  <c r="AL94" i="33" s="1"/>
  <c r="AM94" i="33" s="1"/>
  <c r="AN94" i="33" s="1"/>
  <c r="AO94" i="33" s="1"/>
  <c r="AP94" i="33" s="1"/>
  <c r="AQ94" i="33" s="1"/>
  <c r="AR91" i="33"/>
  <c r="AR115" i="33" s="1"/>
  <c r="AA115" i="33"/>
  <c r="AA22" i="34" s="1"/>
  <c r="AM43" i="12" l="1"/>
  <c r="AN42" i="12"/>
  <c r="AR22" i="34"/>
  <c r="AR24" i="34" s="1"/>
  <c r="AA22" i="32"/>
  <c r="AA24" i="32" s="1"/>
  <c r="AA24" i="34"/>
  <c r="AA116" i="33"/>
  <c r="AA117" i="33" s="1"/>
  <c r="AB117" i="33" s="1"/>
  <c r="AC117" i="33" s="1"/>
  <c r="AD117" i="33" s="1"/>
  <c r="AE117" i="33" s="1"/>
  <c r="AF117" i="33" s="1"/>
  <c r="AG117" i="33" s="1"/>
  <c r="AH117" i="33" s="1"/>
  <c r="AI117" i="33" s="1"/>
  <c r="AJ117" i="33" s="1"/>
  <c r="AK117" i="33" s="1"/>
  <c r="AL117" i="33" s="1"/>
  <c r="AM117" i="33" s="1"/>
  <c r="AN117" i="33" s="1"/>
  <c r="AO117" i="33" s="1"/>
  <c r="AP117" i="33" s="1"/>
  <c r="AQ117" i="33" s="1"/>
  <c r="AR116" i="33"/>
  <c r="AT116" i="33" s="1"/>
  <c r="AT115" i="33"/>
  <c r="AR93" i="33"/>
  <c r="AR96" i="33" s="1"/>
  <c r="AA45" i="34"/>
  <c r="AN43" i="12" l="1"/>
  <c r="AO42" i="12"/>
  <c r="AA25" i="34"/>
  <c r="AB25" i="34" s="1"/>
  <c r="AC25" i="34" s="1"/>
  <c r="AD25" i="34" s="1"/>
  <c r="AE25" i="34" s="1"/>
  <c r="AF25" i="34" s="1"/>
  <c r="AG25" i="34" s="1"/>
  <c r="AH25" i="34" s="1"/>
  <c r="AI25" i="34" s="1"/>
  <c r="AJ25" i="34" s="1"/>
  <c r="AK25" i="34" s="1"/>
  <c r="AL25" i="34" s="1"/>
  <c r="AM25" i="34" s="1"/>
  <c r="AN25" i="34" s="1"/>
  <c r="AO25" i="34" s="1"/>
  <c r="AP25" i="34" s="1"/>
  <c r="AQ25" i="34" s="1"/>
  <c r="AR94" i="33"/>
  <c r="AA47" i="34"/>
  <c r="AR45" i="34"/>
  <c r="AR47" i="34" s="1"/>
  <c r="AA46" i="32"/>
  <c r="AA68" i="34"/>
  <c r="AO43" i="12" l="1"/>
  <c r="AP42" i="12"/>
  <c r="AA48" i="32"/>
  <c r="AA50" i="32" s="1"/>
  <c r="AA70" i="32"/>
  <c r="AA72" i="32" s="1"/>
  <c r="AR68" i="34"/>
  <c r="AR70" i="34" s="1"/>
  <c r="AA70" i="34"/>
  <c r="AQ42" i="12" l="1"/>
  <c r="AP43" i="12"/>
  <c r="AW70" i="34"/>
  <c r="AA71" i="34"/>
  <c r="AB71" i="34" s="1"/>
  <c r="AC71" i="34" s="1"/>
  <c r="AD71" i="34" s="1"/>
  <c r="AE71" i="34" s="1"/>
  <c r="AF71" i="34" s="1"/>
  <c r="AG71" i="34" s="1"/>
  <c r="AH71" i="34" s="1"/>
  <c r="AI71" i="34" s="1"/>
  <c r="AJ71" i="34" s="1"/>
  <c r="AK71" i="34" s="1"/>
  <c r="AL71" i="34" s="1"/>
  <c r="AM71" i="34" s="1"/>
  <c r="AN71" i="34" s="1"/>
  <c r="AO71" i="34" s="1"/>
  <c r="AP71" i="34" s="1"/>
  <c r="AQ71" i="34" s="1"/>
  <c r="Z42" i="14"/>
  <c r="AA74" i="32"/>
  <c r="AR42" i="12" l="1"/>
  <c r="AR43" i="12" s="1"/>
  <c r="AQ43" i="12"/>
  <c r="AQ42" i="14"/>
  <c r="Z50" i="14"/>
  <c r="Z43" i="14"/>
  <c r="Z47" i="14"/>
  <c r="AQ43" i="14" l="1"/>
  <c r="Z44" i="14"/>
  <c r="AA44" i="14" s="1"/>
  <c r="AB44" i="14" s="1"/>
  <c r="AC44" i="14" s="1"/>
  <c r="AD44" i="14" s="1"/>
  <c r="AE44" i="14" s="1"/>
  <c r="AF44" i="14" s="1"/>
  <c r="AG44" i="14" s="1"/>
  <c r="AH44" i="14" s="1"/>
  <c r="AI44" i="14" s="1"/>
  <c r="AJ44" i="14" s="1"/>
  <c r="AK44" i="14" s="1"/>
  <c r="AL44" i="14" s="1"/>
  <c r="AM44" i="14" s="1"/>
  <c r="AN44" i="14" s="1"/>
  <c r="AO44" i="14" s="1"/>
  <c r="AP44" i="14" s="1"/>
  <c r="AR42" i="14"/>
  <c r="AQ47" i="14"/>
  <c r="AR114" i="16"/>
  <c r="AR116" i="16" s="1"/>
  <c r="R138" i="16"/>
  <c r="R22" i="10" s="1"/>
  <c r="R116" i="16"/>
  <c r="R117" i="16" s="1"/>
  <c r="S117" i="16" s="1"/>
  <c r="T117" i="16" s="1"/>
  <c r="U117" i="16" s="1"/>
  <c r="V117" i="16" s="1"/>
  <c r="W117" i="16" s="1"/>
  <c r="X117" i="16" s="1"/>
  <c r="Y117" i="16" s="1"/>
  <c r="Z117" i="16" s="1"/>
  <c r="AA117" i="16" s="1"/>
  <c r="AB117" i="16" s="1"/>
  <c r="AC117" i="16" s="1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R24" i="10" l="1"/>
  <c r="AR138" i="16"/>
  <c r="AT138" i="16" s="1"/>
  <c r="R139" i="16"/>
  <c r="R141" i="16" s="1"/>
  <c r="AR117" i="16"/>
  <c r="AR119" i="16"/>
  <c r="R140" i="16"/>
  <c r="S140" i="16" s="1"/>
  <c r="T140" i="16" s="1"/>
  <c r="U140" i="16" s="1"/>
  <c r="V140" i="16" s="1"/>
  <c r="W140" i="16" s="1"/>
  <c r="X140" i="16" s="1"/>
  <c r="Y140" i="16" s="1"/>
  <c r="Z140" i="16" s="1"/>
  <c r="AA140" i="16" s="1"/>
  <c r="AB140" i="16" s="1"/>
  <c r="AC140" i="16" s="1"/>
  <c r="AD140" i="16" s="1"/>
  <c r="AE140" i="16" s="1"/>
  <c r="AF140" i="16" s="1"/>
  <c r="AG140" i="16" s="1"/>
  <c r="AH140" i="16" s="1"/>
  <c r="AI140" i="16" s="1"/>
  <c r="AJ140" i="16" s="1"/>
  <c r="AK140" i="16" s="1"/>
  <c r="AL140" i="16" s="1"/>
  <c r="AM140" i="16" s="1"/>
  <c r="AN140" i="16" s="1"/>
  <c r="AO140" i="16" s="1"/>
  <c r="AP140" i="16" s="1"/>
  <c r="AQ140" i="16" s="1"/>
  <c r="R46" i="10"/>
  <c r="R22" i="32"/>
  <c r="AR22" i="10"/>
  <c r="AR24" i="10" s="1"/>
  <c r="AR139" i="16" l="1"/>
  <c r="AT139" i="16" s="1"/>
  <c r="AR22" i="32"/>
  <c r="R24" i="32"/>
  <c r="R70" i="10"/>
  <c r="R46" i="32"/>
  <c r="R48" i="10"/>
  <c r="AR46" i="10"/>
  <c r="R72" i="10" l="1"/>
  <c r="R70" i="32"/>
  <c r="R72" i="32" s="1"/>
  <c r="R48" i="32"/>
  <c r="R50" i="32" s="1"/>
  <c r="AR46" i="32"/>
  <c r="AR48" i="10"/>
  <c r="AR70" i="10"/>
  <c r="AR72" i="10" s="1"/>
  <c r="Q12" i="14"/>
  <c r="Q12" i="37" s="1"/>
  <c r="R73" i="10"/>
  <c r="S73" i="10" s="1"/>
  <c r="T73" i="10" s="1"/>
  <c r="U73" i="10" s="1"/>
  <c r="V73" i="10" s="1"/>
  <c r="W73" i="10" s="1"/>
  <c r="X73" i="10" s="1"/>
  <c r="Y73" i="10" s="1"/>
  <c r="Z73" i="10" s="1"/>
  <c r="AA73" i="10" s="1"/>
  <c r="AB73" i="10" s="1"/>
  <c r="AC73" i="10" s="1"/>
  <c r="AD73" i="10" s="1"/>
  <c r="AE73" i="10" s="1"/>
  <c r="AF73" i="10" s="1"/>
  <c r="AG73" i="10" s="1"/>
  <c r="AH73" i="10" s="1"/>
  <c r="AI73" i="10" s="1"/>
  <c r="AJ73" i="10" s="1"/>
  <c r="AK73" i="10" s="1"/>
  <c r="AL73" i="10" s="1"/>
  <c r="AM73" i="10" s="1"/>
  <c r="AN73" i="10" s="1"/>
  <c r="AO73" i="10" s="1"/>
  <c r="AP73" i="10" s="1"/>
  <c r="AQ73" i="10" s="1"/>
  <c r="AS46" i="32"/>
  <c r="AR24" i="32"/>
  <c r="AT93" i="10" l="1"/>
  <c r="Q13" i="37"/>
  <c r="AQ12" i="37"/>
  <c r="AR48" i="32"/>
  <c r="AR50" i="32" s="1"/>
  <c r="AR70" i="32"/>
  <c r="Q50" i="14"/>
  <c r="Q51" i="14" s="1"/>
  <c r="R51" i="14" s="1"/>
  <c r="S51" i="14" s="1"/>
  <c r="T51" i="14" s="1"/>
  <c r="U51" i="14" s="1"/>
  <c r="V51" i="14" s="1"/>
  <c r="W51" i="14" s="1"/>
  <c r="X51" i="14" s="1"/>
  <c r="Y51" i="14" s="1"/>
  <c r="Z51" i="14" s="1"/>
  <c r="AA51" i="14" s="1"/>
  <c r="AB51" i="14" s="1"/>
  <c r="AC51" i="14" s="1"/>
  <c r="AD51" i="14" s="1"/>
  <c r="AE51" i="14" s="1"/>
  <c r="AF51" i="14" s="1"/>
  <c r="AG51" i="14" s="1"/>
  <c r="AH51" i="14" s="1"/>
  <c r="AI51" i="14" s="1"/>
  <c r="AJ51" i="14" s="1"/>
  <c r="AK51" i="14" s="1"/>
  <c r="AL51" i="14" s="1"/>
  <c r="AM51" i="14" s="1"/>
  <c r="AN51" i="14" s="1"/>
  <c r="AO51" i="14" s="1"/>
  <c r="AP51" i="14" s="1"/>
  <c r="Q13" i="14"/>
  <c r="Q17" i="14"/>
  <c r="AQ12" i="14"/>
  <c r="R73" i="32"/>
  <c r="S73" i="32" s="1"/>
  <c r="T73" i="32" s="1"/>
  <c r="U73" i="32" s="1"/>
  <c r="V73" i="32" s="1"/>
  <c r="W73" i="32" s="1"/>
  <c r="X73" i="32" s="1"/>
  <c r="Y73" i="32" s="1"/>
  <c r="Z73" i="32" s="1"/>
  <c r="AA73" i="32" s="1"/>
  <c r="AB73" i="32" s="1"/>
  <c r="AC73" i="32" s="1"/>
  <c r="AD73" i="32" s="1"/>
  <c r="AE73" i="32" s="1"/>
  <c r="AF73" i="32" s="1"/>
  <c r="AG73" i="32" s="1"/>
  <c r="AH73" i="32" s="1"/>
  <c r="AI73" i="32" s="1"/>
  <c r="AJ73" i="32" s="1"/>
  <c r="AK73" i="32" s="1"/>
  <c r="AL73" i="32" s="1"/>
  <c r="AM73" i="32" s="1"/>
  <c r="AN73" i="32" s="1"/>
  <c r="AO73" i="32" s="1"/>
  <c r="AP73" i="32" s="1"/>
  <c r="AQ73" i="32" s="1"/>
  <c r="R74" i="32"/>
  <c r="AQ13" i="37" l="1"/>
  <c r="Q14" i="37"/>
  <c r="R14" i="37" s="1"/>
  <c r="S14" i="37" s="1"/>
  <c r="T14" i="37" s="1"/>
  <c r="U14" i="37" s="1"/>
  <c r="V14" i="37" s="1"/>
  <c r="W14" i="37" s="1"/>
  <c r="X14" i="37" s="1"/>
  <c r="Y14" i="37" s="1"/>
  <c r="Z14" i="37" s="1"/>
  <c r="AA14" i="37" s="1"/>
  <c r="AB14" i="37" s="1"/>
  <c r="AC14" i="37" s="1"/>
  <c r="AD14" i="37" s="1"/>
  <c r="AE14" i="37" s="1"/>
  <c r="AF14" i="37" s="1"/>
  <c r="AG14" i="37" s="1"/>
  <c r="AH14" i="37" s="1"/>
  <c r="AI14" i="37" s="1"/>
  <c r="AJ14" i="37" s="1"/>
  <c r="AK14" i="37" s="1"/>
  <c r="AL14" i="37" s="1"/>
  <c r="AM14" i="37" s="1"/>
  <c r="AN14" i="37" s="1"/>
  <c r="AO14" i="37" s="1"/>
  <c r="AP14" i="37" s="1"/>
  <c r="AQ50" i="14"/>
  <c r="AQ51" i="14" s="1"/>
  <c r="AQ17" i="14"/>
  <c r="AR12" i="14"/>
  <c r="AQ13" i="14"/>
  <c r="Q14" i="14"/>
  <c r="R14" i="14" s="1"/>
  <c r="S14" i="14" s="1"/>
  <c r="T14" i="14" s="1"/>
  <c r="U14" i="14" s="1"/>
  <c r="V14" i="14" s="1"/>
  <c r="W14" i="14" s="1"/>
  <c r="X14" i="14" s="1"/>
  <c r="Y14" i="14" s="1"/>
  <c r="Z14" i="14" s="1"/>
  <c r="AA14" i="14" s="1"/>
  <c r="AB14" i="14" s="1"/>
  <c r="AC14" i="14" s="1"/>
  <c r="AD14" i="14" s="1"/>
  <c r="AE14" i="14" s="1"/>
  <c r="AF14" i="14" s="1"/>
  <c r="AG14" i="14" s="1"/>
  <c r="AH14" i="14" s="1"/>
  <c r="AI14" i="14" s="1"/>
  <c r="AJ14" i="14" s="1"/>
  <c r="AK14" i="14" s="1"/>
  <c r="AL14" i="14" s="1"/>
  <c r="AM14" i="14" s="1"/>
  <c r="AN14" i="14" s="1"/>
  <c r="AO14" i="14" s="1"/>
  <c r="AP14" i="14" s="1"/>
  <c r="AR72" i="32"/>
  <c r="AS52" i="32" l="1"/>
  <c r="AS69" i="32"/>
  <c r="AS65" i="32"/>
  <c r="AS58" i="32"/>
  <c r="AS53" i="32"/>
  <c r="AS54" i="32"/>
  <c r="AS60" i="32"/>
  <c r="AS59" i="32"/>
  <c r="AS72" i="32"/>
  <c r="AS68" i="32"/>
  <c r="AS63" i="32"/>
  <c r="AS71" i="32"/>
  <c r="AS61" i="32"/>
  <c r="AS57" i="32"/>
  <c r="AS64" i="32"/>
  <c r="AS66" i="32"/>
  <c r="AS56" i="32"/>
  <c r="AS55" i="32"/>
  <c r="AS62" i="32"/>
  <c r="AS67" i="32"/>
  <c r="AS70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Alistair Hill</author>
  </authors>
  <commentList>
    <comment ref="J29" authorId="0" shapeId="0" xr:uid="{AD638F93-3D66-4A37-8331-EA0730288C90}">
      <text>
        <r>
          <rPr>
            <b/>
            <sz val="9"/>
            <color indexed="81"/>
            <rFont val="Tahoma"/>
            <charset val="1"/>
          </rPr>
          <t>Alistair Hill:</t>
        </r>
        <r>
          <rPr>
            <sz val="9"/>
            <color indexed="81"/>
            <rFont val="Tahoma"/>
            <charset val="1"/>
          </rPr>
          <t xml:space="preserve">
600 Annual supplier fee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Alistair Hill</author>
  </authors>
  <commentList>
    <comment ref="G33" authorId="0" shapeId="0" xr:uid="{BFCB3FFC-CAB8-45F2-AD43-09C13BA6B976}">
      <text>
        <r>
          <rPr>
            <b/>
            <sz val="9"/>
            <color indexed="81"/>
            <rFont val="Tahoma"/>
            <family val="2"/>
          </rPr>
          <t>Alistair Hill:</t>
        </r>
        <r>
          <rPr>
            <sz val="9"/>
            <color indexed="81"/>
            <rFont val="Tahoma"/>
            <family val="2"/>
          </rPr>
          <t xml:space="preserve">
Wk19 2022 Adj - missed invoice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<sst xmlns="http://schemas.openxmlformats.org/spreadsheetml/2006/main" count="4301" uniqueCount="768">
  <si>
    <t>Dobbies</t>
  </si>
  <si>
    <t>Revenue</t>
  </si>
  <si>
    <t>Total</t>
  </si>
  <si>
    <t>Transport</t>
  </si>
  <si>
    <t>Total Revenue</t>
  </si>
  <si>
    <t>GCG</t>
  </si>
  <si>
    <t>Homebase</t>
  </si>
  <si>
    <t>Sovereign</t>
  </si>
  <si>
    <t>Sovereign (trailer)</t>
  </si>
  <si>
    <t>Richard King</t>
  </si>
  <si>
    <t>Total Transport</t>
  </si>
  <si>
    <t>wk9</t>
  </si>
  <si>
    <t>wk10</t>
  </si>
  <si>
    <t>wk11</t>
  </si>
  <si>
    <t>wk12</t>
  </si>
  <si>
    <t>wk13</t>
  </si>
  <si>
    <t>wk14</t>
  </si>
  <si>
    <t>wk15</t>
  </si>
  <si>
    <t>wk16</t>
  </si>
  <si>
    <t>wk17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</si>
  <si>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</si>
  <si>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</si>
  <si>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</si>
  <si>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</si>
  <si>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</si>
  <si>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</si>
  <si>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</si>
  <si>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</si>
  <si>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</si>
  <si>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</si>
  <si>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</si>
  <si>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</si>
  <si>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</si>
  <si>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</si>
  <si>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</si>
  <si>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Feb</t>
  </si>
  <si>
    <t>March</t>
  </si>
  <si>
    <t>April</t>
  </si>
  <si>
    <t>May</t>
  </si>
  <si>
    <t>June</t>
  </si>
  <si>
    <t>Richard King (trailer)</t>
  </si>
  <si>
    <t>Tillington</t>
  </si>
  <si>
    <t>Nottcutts</t>
  </si>
  <si>
    <t>Passfield Analysis</t>
  </si>
  <si>
    <t>Garden Centres</t>
  </si>
  <si>
    <t>Altons Garden Centre</t>
  </si>
  <si>
    <t>Bents</t>
  </si>
  <si>
    <t>Frost Group</t>
  </si>
  <si>
    <t>Hayes Ambleside</t>
  </si>
  <si>
    <t>Ruxley Manor</t>
  </si>
  <si>
    <t>Van Hage</t>
  </si>
  <si>
    <t>Webbs</t>
  </si>
  <si>
    <t>Whitehall</t>
  </si>
  <si>
    <t xml:space="preserve">Volume </t>
  </si>
  <si>
    <t>wk18</t>
  </si>
  <si>
    <t>wk34</t>
  </si>
  <si>
    <t>wk35</t>
  </si>
  <si>
    <t>wk36</t>
  </si>
  <si>
    <t>wk37</t>
  </si>
  <si>
    <t>wk38</t>
  </si>
  <si>
    <t>wk39</t>
  </si>
  <si>
    <t>wk40</t>
  </si>
  <si>
    <t>Veg Strip Revenue</t>
  </si>
  <si>
    <t>Total Veg Strip Revenue</t>
  </si>
  <si>
    <t>Strawberry Strip Revenue</t>
  </si>
  <si>
    <t>Total Strawberry Strip Revenue</t>
  </si>
  <si>
    <t>Sweet Pea Strip Revenue</t>
  </si>
  <si>
    <t>Total Sweet Pea Strip Revenue</t>
  </si>
  <si>
    <t>Pot Revenue</t>
  </si>
  <si>
    <t>Veg Strip Volume</t>
  </si>
  <si>
    <t>Total Veg Strip Volume</t>
  </si>
  <si>
    <t>Strawberry Strip Volume</t>
  </si>
  <si>
    <t>Total Strawberry Strip Volume</t>
  </si>
  <si>
    <t>Sweet Pea Strip Volume</t>
  </si>
  <si>
    <t>Total Pot Volume</t>
  </si>
  <si>
    <t>Total Sweet Pea Strip Volume</t>
  </si>
  <si>
    <t>Total Strip Revenue</t>
  </si>
  <si>
    <t>Total Pot Revenue</t>
  </si>
  <si>
    <t>Total Strip Volume</t>
  </si>
  <si>
    <t>Total Credits</t>
  </si>
  <si>
    <t>Rebates</t>
  </si>
  <si>
    <t>Total accrued revenue</t>
  </si>
  <si>
    <t>Total Rebates</t>
  </si>
  <si>
    <t>Number of trollies (Homebase)</t>
  </si>
  <si>
    <t>Number of boxes - Strips</t>
  </si>
  <si>
    <t>Number of boxes - Pots</t>
  </si>
  <si>
    <t>July</t>
  </si>
  <si>
    <t>Sept</t>
  </si>
  <si>
    <t>Accrual</t>
  </si>
  <si>
    <t>Actual</t>
  </si>
  <si>
    <t>Total Actual</t>
  </si>
  <si>
    <t>Accrual/box</t>
  </si>
  <si>
    <t>Actual Rate/box</t>
  </si>
  <si>
    <t>Accrual rate/trolley</t>
  </si>
  <si>
    <t>Actual rate/trolley</t>
  </si>
  <si>
    <t>Own Trolleys (Internal Transport)</t>
  </si>
  <si>
    <t>Strips</t>
  </si>
  <si>
    <t>Cum</t>
  </si>
  <si>
    <t>Trays Sold</t>
  </si>
  <si>
    <t>STRIPS</t>
  </si>
  <si>
    <t>Less Homebase</t>
  </si>
  <si>
    <t>POTS</t>
  </si>
  <si>
    <t>cum</t>
  </si>
  <si>
    <t>Trolley Hire (CC)</t>
  </si>
  <si>
    <t>Reserve Credit</t>
  </si>
  <si>
    <t>Pick 1</t>
  </si>
  <si>
    <t>Pick 2</t>
  </si>
  <si>
    <t>Pick 3</t>
  </si>
  <si>
    <t>Pick 4</t>
  </si>
  <si>
    <t>Pick 5</t>
  </si>
  <si>
    <t>Pick 6</t>
  </si>
  <si>
    <t>Landgard</t>
  </si>
  <si>
    <t>Cum Act</t>
  </si>
  <si>
    <t>Cum Act rate/box</t>
  </si>
  <si>
    <t>Cum Boxes</t>
  </si>
  <si>
    <t>Cum actual charge</t>
  </si>
  <si>
    <t>Cum trollies</t>
  </si>
  <si>
    <t>cum rate/trolley</t>
  </si>
  <si>
    <t>Scotsdale</t>
  </si>
  <si>
    <t>Comparison of Actual Volumes to Budget</t>
  </si>
  <si>
    <t>Strip Sales</t>
  </si>
  <si>
    <t>Budget</t>
  </si>
  <si>
    <t>Strip avg ord size</t>
  </si>
  <si>
    <t>2013 Trays Total</t>
  </si>
  <si>
    <t>2012 Trays Total</t>
  </si>
  <si>
    <t>2011 Trays Total</t>
  </si>
  <si>
    <t>2010 Trays Total</t>
  </si>
  <si>
    <t>2013 Trays GC</t>
  </si>
  <si>
    <t>2012 Trays GC</t>
  </si>
  <si>
    <t>2011 Trays GC</t>
  </si>
  <si>
    <t>2010 Trays GC</t>
  </si>
  <si>
    <t>2014 Trays GC</t>
  </si>
  <si>
    <t>2014 Trays Total</t>
  </si>
  <si>
    <t>Tates</t>
  </si>
  <si>
    <t>Tillington Group</t>
  </si>
  <si>
    <t>Strip Credits</t>
  </si>
  <si>
    <t>Total Strip Credits</t>
  </si>
  <si>
    <t>Pot Credits</t>
  </si>
  <si>
    <t>Total Pot Credits</t>
  </si>
  <si>
    <t>Daily Information</t>
  </si>
  <si>
    <t>8.5cm Pot Volume</t>
  </si>
  <si>
    <t>No. of Boxes Strips</t>
  </si>
  <si>
    <t>Grafted Pot Volume</t>
  </si>
  <si>
    <t>Total Grafted Pot Volume</t>
  </si>
  <si>
    <t>Total  Pot Volume</t>
  </si>
  <si>
    <t xml:space="preserve">Strip Revenue </t>
  </si>
  <si>
    <t>8.5cm Pot Revenue</t>
  </si>
  <si>
    <t>Grafted Pot Revenue</t>
  </si>
  <si>
    <t>8.5cm Herb Revenue</t>
  </si>
  <si>
    <t>Total 8.5cm Pot Revenue</t>
  </si>
  <si>
    <t>Total Grafted Pot Revenue</t>
  </si>
  <si>
    <t>Total 8.5cm Herb Revenue</t>
  </si>
  <si>
    <t>Total Pot  Revenue</t>
  </si>
  <si>
    <t>Total Pot Revenue(after credits)</t>
  </si>
  <si>
    <t>Total 8.5cm Pot Volume</t>
  </si>
  <si>
    <t>8.5cm Herb Pot Volume</t>
  </si>
  <si>
    <t>Total 8.5cm Herb Pot Volume</t>
  </si>
  <si>
    <t>Sovereign Actual</t>
  </si>
  <si>
    <t>cum Var to budget</t>
  </si>
  <si>
    <t>Strip Revenue</t>
  </si>
  <si>
    <t>Strip Orders</t>
  </si>
  <si>
    <t>Total Orders</t>
  </si>
  <si>
    <t>Av order size - Strips</t>
  </si>
  <si>
    <t>8.5cm Premium Pot Volume</t>
  </si>
  <si>
    <t>Total Premium Pot Volume</t>
  </si>
  <si>
    <t>8.5cm Pot Premium Revenue</t>
  </si>
  <si>
    <t>Total 8.5cm Premium Pot Revenue</t>
  </si>
  <si>
    <t>"Daily" Volume Total</t>
  </si>
  <si>
    <t>"Daily" Volume Total - Cum</t>
  </si>
  <si>
    <t>"Daily" Volume Total - cum</t>
  </si>
  <si>
    <t>Homebase cum</t>
  </si>
  <si>
    <t>Difference</t>
  </si>
  <si>
    <t>Adjustments - RK</t>
  </si>
  <si>
    <t>Adjustments - Sov</t>
  </si>
  <si>
    <t>Jul-Dec</t>
  </si>
  <si>
    <t>Tot Till</t>
  </si>
  <si>
    <t>for Rebate</t>
  </si>
  <si>
    <t>Rebate</t>
  </si>
  <si>
    <t>@ 2.5%</t>
  </si>
  <si>
    <t>Mar/Apr</t>
  </si>
  <si>
    <t>June/July</t>
  </si>
  <si>
    <t>August</t>
  </si>
  <si>
    <t>Budget (pots)</t>
  </si>
  <si>
    <t>Herbs</t>
  </si>
  <si>
    <t xml:space="preserve">Pots </t>
  </si>
  <si>
    <t>Grafted HB</t>
  </si>
  <si>
    <t>Grafted GC</t>
  </si>
  <si>
    <t>2015 Trays GC</t>
  </si>
  <si>
    <t>2015 Trays Total</t>
  </si>
  <si>
    <t>week Var to budget</t>
  </si>
  <si>
    <t>Blue Diamond</t>
  </si>
  <si>
    <t>Hilliers</t>
  </si>
  <si>
    <t>QD Stores</t>
  </si>
  <si>
    <t>Wyevale</t>
  </si>
  <si>
    <t>Other</t>
  </si>
  <si>
    <t>Sweet Potatoes (10cm)</t>
  </si>
  <si>
    <t>Con Sweet  Pea (8.5cm)</t>
  </si>
  <si>
    <t>Total Con Sweet Pea Pot Volume</t>
  </si>
  <si>
    <t>Total Sweet Potato Revenue</t>
  </si>
  <si>
    <t>Total Sweet Potato Volume</t>
  </si>
  <si>
    <t>Total Revenue prior to credits</t>
  </si>
  <si>
    <t>Total Strip Revenue (after credits)</t>
  </si>
  <si>
    <t>Blue Diamond Group</t>
  </si>
  <si>
    <t>3 Shires</t>
  </si>
  <si>
    <t>Chatsworth</t>
  </si>
  <si>
    <t>Derby</t>
  </si>
  <si>
    <t>Evesham</t>
  </si>
  <si>
    <t>Fermoy</t>
  </si>
  <si>
    <t>Fryers</t>
  </si>
  <si>
    <t>Grosvenor</t>
  </si>
  <si>
    <t>Le Frique</t>
  </si>
  <si>
    <t>Matlock</t>
  </si>
  <si>
    <t>Redfield</t>
  </si>
  <si>
    <t>Trelawney</t>
  </si>
  <si>
    <t>Trentham</t>
  </si>
  <si>
    <t>Wilton</t>
  </si>
  <si>
    <t>Newbridge Nurseries</t>
  </si>
  <si>
    <t>Misc Adjustments</t>
  </si>
  <si>
    <t>Total Con Sweet Pea Pot Revenue</t>
  </si>
  <si>
    <t>Total pots by week</t>
  </si>
  <si>
    <t>Weekly Pots</t>
  </si>
  <si>
    <t>(excl HB)</t>
  </si>
  <si>
    <t>Brambridge Park</t>
  </si>
  <si>
    <t>Pot</t>
  </si>
  <si>
    <t>Sweet Potato</t>
  </si>
  <si>
    <t>Grafted</t>
  </si>
  <si>
    <t>Herb</t>
  </si>
  <si>
    <t>Sweet Pea Order Summary - Volume</t>
  </si>
  <si>
    <t>Grafted Summary - Volume</t>
  </si>
  <si>
    <t>Pot Order Summary - Order Nos.</t>
  </si>
  <si>
    <t>Sweet Pea Order Summary - Order Nos.</t>
  </si>
  <si>
    <t>Herb Order Summary - Order Nos.</t>
  </si>
  <si>
    <t>Grafted Summary - Order Nos.</t>
  </si>
  <si>
    <t>Strip Boxes</t>
  </si>
  <si>
    <t>Other (Est)</t>
  </si>
  <si>
    <t>Pot boxes</t>
  </si>
  <si>
    <t>Grafted pot boxes</t>
  </si>
  <si>
    <t>?</t>
  </si>
  <si>
    <t>8.5cm pots</t>
  </si>
  <si>
    <t>8.5cm trays</t>
  </si>
  <si>
    <t>10cm pots</t>
  </si>
  <si>
    <t>10cm trays</t>
  </si>
  <si>
    <t>1 litre pots</t>
  </si>
  <si>
    <t>1 litre trays</t>
  </si>
  <si>
    <t>Strip Labels</t>
  </si>
  <si>
    <t>Strip Handles</t>
  </si>
  <si>
    <t>Pot Labels</t>
  </si>
  <si>
    <t>Standard</t>
  </si>
  <si>
    <t>Total Pots</t>
  </si>
  <si>
    <t>Mar</t>
  </si>
  <si>
    <t>Apr</t>
  </si>
  <si>
    <t>Stock Usage Calculation</t>
  </si>
  <si>
    <t>September</t>
  </si>
  <si>
    <t>October</t>
  </si>
  <si>
    <t>February</t>
  </si>
  <si>
    <t>Volume</t>
  </si>
  <si>
    <t>£</t>
  </si>
  <si>
    <t>as a % of strip orders</t>
  </si>
  <si>
    <t>£ YTD</t>
  </si>
  <si>
    <t>Transfer Strip/Pots</t>
  </si>
  <si>
    <t>Wyevale Pack</t>
  </si>
  <si>
    <t>Kondyke/Strikes</t>
  </si>
  <si>
    <t>Klondyke/Strikes</t>
  </si>
  <si>
    <t>wk7</t>
  </si>
  <si>
    <t>wk8</t>
  </si>
  <si>
    <t>Haskins</t>
  </si>
  <si>
    <t>1 Litre Herb Pot Volume</t>
  </si>
  <si>
    <t>Total I Litre Herb Pot Volume</t>
  </si>
  <si>
    <t>10cm Chllli Collection</t>
  </si>
  <si>
    <t>Total 10cm Chilli Collection Volume</t>
  </si>
  <si>
    <t>Total 1 Litre Herb Revenue</t>
  </si>
  <si>
    <t>1 Litre Herb Revenue</t>
  </si>
  <si>
    <t>Total Chilli Collection Revenue</t>
  </si>
  <si>
    <t>Chilli Collection Revenue</t>
  </si>
  <si>
    <t>D J Squires</t>
  </si>
  <si>
    <t>Rev</t>
  </si>
  <si>
    <t>2016 Trays GC</t>
  </si>
  <si>
    <t>2016 Trays Total</t>
  </si>
  <si>
    <t>2016 Pots</t>
  </si>
  <si>
    <t>2015 Pots</t>
  </si>
  <si>
    <t>2014 Pots</t>
  </si>
  <si>
    <t>2013 Pots</t>
  </si>
  <si>
    <t>Oct</t>
  </si>
  <si>
    <t>1 litre Herb Order Summary - Volume</t>
  </si>
  <si>
    <t>8.5cm Pot Order Summary - Volume</t>
  </si>
  <si>
    <t>10cm</t>
  </si>
  <si>
    <t>boxes</t>
  </si>
  <si>
    <t>Harlow</t>
  </si>
  <si>
    <t>Strip</t>
  </si>
  <si>
    <t>Sweet pea</t>
  </si>
  <si>
    <t>Total boxes</t>
  </si>
  <si>
    <t>to June16</t>
  </si>
  <si>
    <t>Cotton Orchard</t>
  </si>
  <si>
    <t>2017 Trays GC</t>
  </si>
  <si>
    <t>2017 Trays Total</t>
  </si>
  <si>
    <t>2017 Pots</t>
  </si>
  <si>
    <t>Great Western</t>
  </si>
  <si>
    <t>Woodcote Green</t>
  </si>
  <si>
    <t>Bernaville</t>
  </si>
  <si>
    <t>Brimsmore</t>
  </si>
  <si>
    <t>Castle</t>
  </si>
  <si>
    <t>Merry Harriers</t>
  </si>
  <si>
    <t>Monkton Elm</t>
  </si>
  <si>
    <t>Plymouth</t>
  </si>
  <si>
    <t>Poundbury</t>
  </si>
  <si>
    <t>Herb Revenue</t>
  </si>
  <si>
    <t>Pot Sales Volume</t>
  </si>
  <si>
    <t>Herb Sales Volume</t>
  </si>
  <si>
    <t>Number of boxes - Herb Pots</t>
  </si>
  <si>
    <t>Revenue pot (excl.herb)</t>
  </si>
  <si>
    <t>Total accrued pot revenue (excl. herbs)</t>
  </si>
  <si>
    <t>Total pot revenue (excl. herbs)</t>
  </si>
  <si>
    <t>Pot Transport (excl. herbs)</t>
  </si>
  <si>
    <t>Total pot transport</t>
  </si>
  <si>
    <t>Pot Sales Herbs</t>
  </si>
  <si>
    <t>2017 Herb Pots</t>
  </si>
  <si>
    <t>2016 Herb Pots</t>
  </si>
  <si>
    <t>Pots (incl.Herbs)</t>
  </si>
  <si>
    <t>1 litre</t>
  </si>
  <si>
    <t>Pot Avg Rev - Actual</t>
  </si>
  <si>
    <t>Pot Avg Rev - Budget</t>
  </si>
  <si>
    <t>Sweet Potato &amp; Chilli Order Summary - Order Nos.</t>
  </si>
  <si>
    <t>10cm Pea &amp; Bean Collection</t>
  </si>
  <si>
    <t>Woodcote Green Nurseries (Wye)</t>
  </si>
  <si>
    <t>Homebase Tomato Hanging Baskets</t>
  </si>
  <si>
    <t>Neame Lea/Home Bargain</t>
  </si>
  <si>
    <t>Sopvereign Credit (invoice adj)</t>
  </si>
  <si>
    <t>Martin Lane</t>
  </si>
  <si>
    <t>Trays</t>
  </si>
  <si>
    <t>Pots</t>
  </si>
  <si>
    <t>New</t>
  </si>
  <si>
    <t>Used</t>
  </si>
  <si>
    <t>MHN</t>
  </si>
  <si>
    <t>Wyevale (Red)</t>
  </si>
  <si>
    <t>Add</t>
  </si>
  <si>
    <t>Stock on ground</t>
  </si>
  <si>
    <t>8.5cm pot stock as at 30/9/17</t>
  </si>
  <si>
    <t>Fridge Trailer (strawberry runners)</t>
  </si>
  <si>
    <t>Total 2L/3L Patio</t>
  </si>
  <si>
    <t>Total Hanging basket</t>
  </si>
  <si>
    <t>Homebase (incl. £3k max store)</t>
  </si>
  <si>
    <t>Total 2L/3L Patio Revenue</t>
  </si>
  <si>
    <t>Total Hanging Basket Revenue</t>
  </si>
  <si>
    <t>Prosper Group</t>
  </si>
  <si>
    <t>Stewarts GC Wimborne</t>
  </si>
  <si>
    <t>Stewarts GC Abbey</t>
  </si>
  <si>
    <t>Knights GC Betchworth</t>
  </si>
  <si>
    <t>Stewarts (Prosper Group)</t>
  </si>
  <si>
    <t>Stewarts GC Christchurch (QS39)</t>
  </si>
  <si>
    <t>Chessington GC (QC184)</t>
  </si>
  <si>
    <t>Total 10cm Pea &amp; Bean Collection</t>
  </si>
  <si>
    <t>HB Jumbo 6pck strawberries</t>
  </si>
  <si>
    <t>Accrual Strip</t>
  </si>
  <si>
    <t>Accrual Pot</t>
  </si>
  <si>
    <t>Grovewell Group</t>
  </si>
  <si>
    <t>Canterbury (QC157)</t>
  </si>
  <si>
    <t>Folkestone (QF119)</t>
  </si>
  <si>
    <t>Grovewell Tenterden (QT34)</t>
  </si>
  <si>
    <t>2018 Trays Total</t>
  </si>
  <si>
    <t>2018 herb Pots</t>
  </si>
  <si>
    <t>2018 Pots</t>
  </si>
  <si>
    <t>Homebase Trollies (Total)</t>
  </si>
  <si>
    <t>n/a</t>
  </si>
  <si>
    <t>East Bridgford</t>
  </si>
  <si>
    <t>HB Hanging Baskets</t>
  </si>
  <si>
    <t>GC Hanging Baskets</t>
  </si>
  <si>
    <t>Orchard Park</t>
  </si>
  <si>
    <t>Label Usage Calculation</t>
  </si>
  <si>
    <t>Total Label</t>
  </si>
  <si>
    <t>Usage</t>
  </si>
  <si>
    <t>Herb Avg Rev - Budget</t>
  </si>
  <si>
    <t>Herb Avg Rev - Actual</t>
  </si>
  <si>
    <t>Retailer Strip Revenue (Incl. Pack)</t>
  </si>
  <si>
    <t>Hare Hatch</t>
  </si>
  <si>
    <t>%</t>
  </si>
  <si>
    <t>Total 8.5cm trays</t>
  </si>
  <si>
    <t>Total 10cm Trays</t>
  </si>
  <si>
    <t>Total 1Litre Trays</t>
  </si>
  <si>
    <t>Total 2Litre Trays</t>
  </si>
  <si>
    <t>Total 3Litre Trays</t>
  </si>
  <si>
    <t>Total Hanging Baskets</t>
  </si>
  <si>
    <t>Check</t>
  </si>
  <si>
    <t>Total Jumbo Packs</t>
  </si>
  <si>
    <t>Total 8.5cm pots</t>
  </si>
  <si>
    <t>Total 1Litre pots</t>
  </si>
  <si>
    <t>Total 3Litre pots</t>
  </si>
  <si>
    <t>Total 10cm pots - black</t>
  </si>
  <si>
    <t>Total 10cm pots - red</t>
  </si>
  <si>
    <t>Total 10cm pots - blue</t>
  </si>
  <si>
    <t>Total 2Litre pots - red</t>
  </si>
  <si>
    <t>GC Pack Veg - Trolley Nos</t>
  </si>
  <si>
    <t>to June18</t>
  </si>
  <si>
    <t>HB Pack Veg - vol</t>
  </si>
  <si>
    <t>8.5cm Strawberry Pot Volume</t>
  </si>
  <si>
    <t>10cm Summer Salad</t>
  </si>
  <si>
    <t>10cm Heritage Tomato</t>
  </si>
  <si>
    <t>Total 10cm Heritage Tomato</t>
  </si>
  <si>
    <t>8.5cm Strawberry Pot Revenue</t>
  </si>
  <si>
    <t>Total 8.5cm Strawberry Pot Revenue</t>
  </si>
  <si>
    <t>Bicester</t>
  </si>
  <si>
    <t>Cadbury</t>
  </si>
  <si>
    <t>Cardiff</t>
  </si>
  <si>
    <t>Endsleigh</t>
  </si>
  <si>
    <t>Festival (Springfield)</t>
  </si>
  <si>
    <t>Melbicks</t>
  </si>
  <si>
    <t>Percy Throwers</t>
  </si>
  <si>
    <t>Sanders</t>
  </si>
  <si>
    <t>Weybridge</t>
  </si>
  <si>
    <t>Nailsworth</t>
  </si>
  <si>
    <t>Birkacre</t>
  </si>
  <si>
    <t>Abercorn</t>
  </si>
  <si>
    <t>Bradley Fold</t>
  </si>
  <si>
    <t>Busy Bee</t>
  </si>
  <si>
    <t>Fakenham</t>
  </si>
  <si>
    <t>Fletchers</t>
  </si>
  <si>
    <t>Fron Goch</t>
  </si>
  <si>
    <t>Glendoick</t>
  </si>
  <si>
    <t>Goulds</t>
  </si>
  <si>
    <t>Hearts Delight</t>
  </si>
  <si>
    <t>Mackenzie Cruikshank</t>
  </si>
  <si>
    <t>Raemor</t>
  </si>
  <si>
    <t>Summerseat</t>
  </si>
  <si>
    <t>Sussex Country</t>
  </si>
  <si>
    <t>Torwood</t>
  </si>
  <si>
    <t>Choice</t>
  </si>
  <si>
    <t>Total Strawberry Pot Volume</t>
  </si>
  <si>
    <t>Total Summer Salad</t>
  </si>
  <si>
    <t>Total Heritage Tomato</t>
  </si>
  <si>
    <t>Total 10cm Summer Salad Revenue</t>
  </si>
  <si>
    <t>2L/3L Patio</t>
  </si>
  <si>
    <t>Knights GC Nags Hall (Plant &amp; Life)</t>
  </si>
  <si>
    <t>Choice (sub £200or£600-at£100k t/o)</t>
  </si>
  <si>
    <t>Trolley Adjustment</t>
  </si>
  <si>
    <t>HB Pot trollies</t>
  </si>
  <si>
    <t>Homebase (30 trays/trolley)</t>
  </si>
  <si>
    <t>Blue Diamond (£2k for new stores)</t>
  </si>
  <si>
    <t>2019 Trays Total</t>
  </si>
  <si>
    <t>2019 Pots</t>
  </si>
  <si>
    <t>2019 herb Pots</t>
  </si>
  <si>
    <t>Trollies</t>
  </si>
  <si>
    <t>Additional accrual</t>
  </si>
  <si>
    <t>Total Pots excluding herbs</t>
  </si>
  <si>
    <t>2L &amp; 3L Patio &amp; Straw</t>
  </si>
  <si>
    <t>GC Trollies</t>
  </si>
  <si>
    <t>Fairweathers (Christopher)</t>
  </si>
  <si>
    <t>Dobbies (£5k store opening)</t>
  </si>
  <si>
    <t>Number of trollies (GC)</t>
  </si>
  <si>
    <t xml:space="preserve">Bridgemere </t>
  </si>
  <si>
    <t>Canterbury Chartham</t>
  </si>
  <si>
    <t>Hereford</t>
  </si>
  <si>
    <t>Lower Morden</t>
  </si>
  <si>
    <t>Rake</t>
  </si>
  <si>
    <t>Tunbridge Wells</t>
  </si>
  <si>
    <t>Worcester</t>
  </si>
  <si>
    <t>1 Litre Pot Veg</t>
  </si>
  <si>
    <t>Total 1 Litre Pot Veg</t>
  </si>
  <si>
    <t>Total Other</t>
  </si>
  <si>
    <t>Highfield Garden World</t>
  </si>
  <si>
    <t>Thirsk GC</t>
  </si>
  <si>
    <t xml:space="preserve">Pot Sales Comparison </t>
  </si>
  <si>
    <t>2020 Pots</t>
  </si>
  <si>
    <t>2020 herb Pots</t>
  </si>
  <si>
    <t>2020 Trays Total</t>
  </si>
  <si>
    <t>2020 Trays GC</t>
  </si>
  <si>
    <t>8.5cm Herb Order Summary - Volume</t>
  </si>
  <si>
    <t xml:space="preserve">2018 Trays GC </t>
  </si>
  <si>
    <t xml:space="preserve">2019 Trays GC </t>
  </si>
  <si>
    <t>Strip Sales Comparison (Excl. HB)</t>
  </si>
  <si>
    <t xml:space="preserve">Prior YTD </t>
  </si>
  <si>
    <t>Miscellaneous (incl Woodside Log)</t>
  </si>
  <si>
    <t>Strip Avg Rev - Budget</t>
  </si>
  <si>
    <t>Strip Avg Rev - Actual</t>
  </si>
  <si>
    <t>Total Budget Revenue</t>
  </si>
  <si>
    <t>Total Actual Revenue</t>
  </si>
  <si>
    <t>Total Revenue Summary</t>
  </si>
  <si>
    <t>Hamstreet GC (QH148)</t>
  </si>
  <si>
    <t>Aylett Nurseries Ltd</t>
  </si>
  <si>
    <t>Del Days</t>
  </si>
  <si>
    <t>Accrual Herb</t>
  </si>
  <si>
    <t>Cost/£ Revenue</t>
  </si>
  <si>
    <t>wk40 on</t>
  </si>
  <si>
    <t>Otter N Ltd - Jacks Patch (QO63)</t>
  </si>
  <si>
    <t>Otter N Ltd - Lymington (QO64)</t>
  </si>
  <si>
    <t>Otter N Ltd - Plymouth (QO62)</t>
  </si>
  <si>
    <t>Otter N Ltd - Taunton (QO65)</t>
  </si>
  <si>
    <t>Otter N Ltd - Torquay (QO61)</t>
  </si>
  <si>
    <t>Otter N Ltd - Wincanton (QO66)</t>
  </si>
  <si>
    <t>Choice (sub £200or£300-at£100k t/o)</t>
  </si>
  <si>
    <t>Total Herb Revenue(after credits)</t>
  </si>
  <si>
    <t>Total Herb Revenue</t>
  </si>
  <si>
    <t>Jan</t>
  </si>
  <si>
    <t>wk1</t>
  </si>
  <si>
    <t>wk2</t>
  </si>
  <si>
    <t>wk3</t>
  </si>
  <si>
    <t>wk4</t>
  </si>
  <si>
    <t>wk5</t>
  </si>
  <si>
    <t>wk6</t>
  </si>
  <si>
    <t>Retailer herb pot revenue</t>
  </si>
  <si>
    <t>Revenue pot herb</t>
  </si>
  <si>
    <t>Total accrued herb pot revenue</t>
  </si>
  <si>
    <t>Herb Pot Transport</t>
  </si>
  <si>
    <t>Total herb pot transport</t>
  </si>
  <si>
    <t>Herb Pot Revenue</t>
  </si>
  <si>
    <t>check</t>
  </si>
  <si>
    <t>Alanshire - Vanstone Park</t>
  </si>
  <si>
    <t>Moss Cottage - Warbreck</t>
  </si>
  <si>
    <t>Bosworth's (x2)</t>
  </si>
  <si>
    <t>Cum Var</t>
  </si>
  <si>
    <t>2021 Trays GC</t>
  </si>
  <si>
    <t>2021 Trays Total</t>
  </si>
  <si>
    <t>2021 Pots</t>
  </si>
  <si>
    <t>2021 herb Pots</t>
  </si>
  <si>
    <t>Total Trollies</t>
  </si>
  <si>
    <t>Herbs 8.5</t>
  </si>
  <si>
    <t>Herbs 1L</t>
  </si>
  <si>
    <t>Promotion trollies</t>
  </si>
  <si>
    <t>Box Equivalent</t>
  </si>
  <si>
    <t>Total Volume Split</t>
  </si>
  <si>
    <t>Volumes</t>
  </si>
  <si>
    <t>Total Volumes</t>
  </si>
  <si>
    <t>Trolley Cost Accrual Strip</t>
  </si>
  <si>
    <t>Trolley Cost Accrual Pot</t>
  </si>
  <si>
    <t>Trolley Cost Accrual Herb</t>
  </si>
  <si>
    <t>Total Trolley cost</t>
  </si>
  <si>
    <t>Boxes (B4 trolley Adj.)</t>
  </si>
  <si>
    <t>Total boxes per transport analysis</t>
  </si>
  <si>
    <t>Diff</t>
  </si>
  <si>
    <t>Trolley Adj per trolley tab</t>
  </si>
  <si>
    <t>Diff to be allocated</t>
  </si>
  <si>
    <t>Trolley Split</t>
  </si>
  <si>
    <t>Willington - Frosts</t>
  </si>
  <si>
    <t>HB Herb trollies</t>
  </si>
  <si>
    <t>Retailer pot revenue</t>
  </si>
  <si>
    <t>Herb Credits</t>
  </si>
  <si>
    <t>Total Herb Credits</t>
  </si>
  <si>
    <t>Weekend</t>
  </si>
  <si>
    <t>Weekend Volumes</t>
  </si>
  <si>
    <t>HB 1L/2L pots</t>
  </si>
  <si>
    <t>Baskets (incl in above)</t>
  </si>
  <si>
    <t>GC 1L pots</t>
  </si>
  <si>
    <t>Pots 2L &amp; above (incl fruit)</t>
  </si>
  <si>
    <t>GC Fruit Trees</t>
  </si>
  <si>
    <t>5.5L Pot Fruit</t>
  </si>
  <si>
    <t>Fruit trolley</t>
  </si>
  <si>
    <t>to Dobbies</t>
  </si>
  <si>
    <t>Trolley (Excl HB)</t>
  </si>
  <si>
    <t>Rate/unit</t>
  </si>
  <si>
    <t>of Sale</t>
  </si>
  <si>
    <t>Transport Analysis</t>
  </si>
  <si>
    <t>Woodthorpe Hall (BGC)</t>
  </si>
  <si>
    <t>BGC</t>
  </si>
  <si>
    <t>Strawberry</t>
  </si>
  <si>
    <t>Sweet Pea</t>
  </si>
  <si>
    <t>Strip Budget Volume</t>
  </si>
  <si>
    <t>Strip Budget Revenue</t>
  </si>
  <si>
    <t>8.5cm premium</t>
  </si>
  <si>
    <t>8.5cm Sweet Pea</t>
  </si>
  <si>
    <t>10cm pot (sp)</t>
  </si>
  <si>
    <t>Chilli Collection</t>
  </si>
  <si>
    <t>Peas &amp; Beans</t>
  </si>
  <si>
    <t>8.5cm Strawberry</t>
  </si>
  <si>
    <t>1L Pot</t>
  </si>
  <si>
    <t>Salad/5.5L Fruit</t>
  </si>
  <si>
    <t>6Pck Jumbo Straw</t>
  </si>
  <si>
    <t>Heritage Tom</t>
  </si>
  <si>
    <t>25cm Tom/Straw Hang B</t>
  </si>
  <si>
    <t>2/3L Patio</t>
  </si>
  <si>
    <t>Forecast/Master Orders</t>
  </si>
  <si>
    <t>Monthly Total</t>
  </si>
  <si>
    <t>Monthly Total per above</t>
  </si>
  <si>
    <t>Monthly per budget</t>
  </si>
  <si>
    <t>Adjustment</t>
  </si>
  <si>
    <t>Revised Strip Budget Revenue</t>
  </si>
  <si>
    <t>Revised Strip Budget Volume</t>
  </si>
  <si>
    <t>Revised Pot Budget Volume</t>
  </si>
  <si>
    <t>Revised Pot Budget Revenue</t>
  </si>
  <si>
    <t>Herb Volume</t>
  </si>
  <si>
    <t>8.5cm pot</t>
  </si>
  <si>
    <t>1Litre pot</t>
  </si>
  <si>
    <t>Budget Monthly</t>
  </si>
  <si>
    <t xml:space="preserve">Budget Herb Volume </t>
  </si>
  <si>
    <t>8.5cm</t>
  </si>
  <si>
    <t>1L</t>
  </si>
  <si>
    <t>Budget Herb Revenue</t>
  </si>
  <si>
    <t>Total Volume Split %</t>
  </si>
  <si>
    <t>under accrual 2021</t>
  </si>
  <si>
    <t>Flora Link</t>
  </si>
  <si>
    <t>Cost @ £/trolley</t>
  </si>
  <si>
    <t>Driver 30hrs/wk @£15</t>
  </si>
  <si>
    <t>Fuel £100/wk</t>
  </si>
  <si>
    <t>say £1500 per week</t>
  </si>
  <si>
    <t>Pots to ML</t>
  </si>
  <si>
    <t>Andersons HB trollies</t>
  </si>
  <si>
    <t>Homebase Trolley deliveries</t>
  </si>
  <si>
    <t>1-5</t>
  </si>
  <si>
    <t>6 +</t>
  </si>
  <si>
    <t>price 1-5</t>
  </si>
  <si>
    <t>price 6+</t>
  </si>
  <si>
    <t>Fuel surcharge %</t>
  </si>
  <si>
    <t>Total charge</t>
  </si>
  <si>
    <t>Actual Trolley Cost (per invoice)</t>
  </si>
  <si>
    <t>Transport Accrual Strips</t>
  </si>
  <si>
    <t>TransportAccrual Pots</t>
  </si>
  <si>
    <t>Transport Accrual Herb Pots</t>
  </si>
  <si>
    <t>Total Transport Accrual</t>
  </si>
  <si>
    <t>Adjustment Box v Trolley actual</t>
  </si>
  <si>
    <t>Sovereign/Andersons</t>
  </si>
  <si>
    <t>Miscellaneous Adj</t>
  </si>
  <si>
    <t>Actual Trolley Cost (Andersons)</t>
  </si>
  <si>
    <t>Other (Woodside, FloraLinc)</t>
  </si>
  <si>
    <t>Actual Andersons HB</t>
  </si>
  <si>
    <t>ARCADIA GC</t>
  </si>
  <si>
    <t>BIRCHENCLIFFE GC</t>
  </si>
  <si>
    <t>BOLD HEATH GC</t>
  </si>
  <si>
    <t>BOLTON GC</t>
  </si>
  <si>
    <t>BOURNVILLE GC</t>
  </si>
  <si>
    <t>BRESSINGHAM GC</t>
  </si>
  <si>
    <t>BRIDGNORTH GC</t>
  </si>
  <si>
    <t>BRIGG GC</t>
  </si>
  <si>
    <t>BROCKWORTH GC (BGC)</t>
  </si>
  <si>
    <t>BROMSGROVE GC (BGC)</t>
  </si>
  <si>
    <t>BURFORD HOUSE GC (BGC)</t>
  </si>
  <si>
    <t>CARMARTHEN GC (BGC)</t>
  </si>
  <si>
    <t>CARR GATE GC</t>
  </si>
  <si>
    <t>CHAPEL GARDEN CENTRE</t>
  </si>
  <si>
    <t>CHARLBURY GC (OX) (BGC)</t>
  </si>
  <si>
    <t>CHARLECOTE GC (BGC)</t>
  </si>
  <si>
    <t>CHILTON GC (BGC)</t>
  </si>
  <si>
    <t>CHIPPERFIELD GC (BGC)</t>
  </si>
  <si>
    <t>COVENTRY GC</t>
  </si>
  <si>
    <t>CRAWLEY GC (BGC)</t>
  </si>
  <si>
    <t>EAST DURHAM GC</t>
  </si>
  <si>
    <t>ENFIELD GC (BGC)</t>
  </si>
  <si>
    <t>GILBERDYKE GC</t>
  </si>
  <si>
    <t>HARROGATE GC (BGC)</t>
  </si>
  <si>
    <t>HARROW GC (BGC)</t>
  </si>
  <si>
    <t>HEANOR GC (BGC)</t>
  </si>
  <si>
    <t>HEMEL HEMPSTEAD GC</t>
  </si>
  <si>
    <t>HITCHIN GC (BGC)</t>
  </si>
  <si>
    <t>HORNCASTLE  GC</t>
  </si>
  <si>
    <t>HORNSEA GC</t>
  </si>
  <si>
    <t>IRTON GC</t>
  </si>
  <si>
    <t>LEWES GC (BGC)</t>
  </si>
  <si>
    <t>LEYLAND GC</t>
  </si>
  <si>
    <t>LOUTH GC</t>
  </si>
  <si>
    <t>LYTHAM ST ANNES GC (BGC)</t>
  </si>
  <si>
    <t>NEWTON REGIS GC (BGC)</t>
  </si>
  <si>
    <t>ONGAR GC (BGC)</t>
  </si>
  <si>
    <t>OSTERLEY GC (BGC)</t>
  </si>
  <si>
    <t>PADDOCK WOOD GC (BGC)</t>
  </si>
  <si>
    <t>PLAYHATCH GC (BGC)</t>
  </si>
  <si>
    <t>PULBOROUGH GC (BGC)</t>
  </si>
  <si>
    <t>RAMSGATE GC (BGC)</t>
  </si>
  <si>
    <t>ROXTON GARDEN CENTRE</t>
  </si>
  <si>
    <t>SPROWSTON GC (BGC)</t>
  </si>
  <si>
    <t>STANWAY GC (BGC)</t>
  </si>
  <si>
    <t>STEVENAGE GC (BGC)</t>
  </si>
  <si>
    <t>STUDLEY GC (BGC)</t>
  </si>
  <si>
    <t>TANSLEY BARN GC (BGC)</t>
  </si>
  <si>
    <t>TARPORLEY GC</t>
  </si>
  <si>
    <t>THATCHAM GC (BGC)</t>
  </si>
  <si>
    <t>TOWNELEY GC</t>
  </si>
  <si>
    <t>TRING GARDEN CENTRE (BGC)</t>
  </si>
  <si>
    <t>UPMINSTER GC (BGC)</t>
  </si>
  <si>
    <t>WIMBORNE GARDEN CENTRE (BGC)</t>
  </si>
  <si>
    <t>WINNERSH GARDEN CENTRE (BGC)</t>
  </si>
  <si>
    <t>WOLSELEY BRIDGE GC</t>
  </si>
  <si>
    <t>WOODBOROUGH GREEN GC</t>
  </si>
  <si>
    <t>WOODTHORPE GC</t>
  </si>
  <si>
    <t>BRAINTREE GC (BGC) BGC SOUTH</t>
  </si>
  <si>
    <t>ALBRIGHTON GC BGC NORTH</t>
  </si>
  <si>
    <t>RK accrual</t>
  </si>
  <si>
    <t>to wk18</t>
  </si>
  <si>
    <t>St. Peters (QS210)</t>
  </si>
  <si>
    <t>Other Pot volume</t>
  </si>
  <si>
    <t>1L in above</t>
  </si>
  <si>
    <t>Perrywood GC - Tiptree</t>
  </si>
  <si>
    <t>Perrywood GC - Sudbury</t>
  </si>
  <si>
    <t>2022 Trays GC</t>
  </si>
  <si>
    <t>2022 Trays Total</t>
  </si>
  <si>
    <t>2022 Pots</t>
  </si>
  <si>
    <t>2022 herb Pots</t>
  </si>
  <si>
    <t>No. GC strip orders 2023</t>
  </si>
  <si>
    <t>2023 Trays GC</t>
  </si>
  <si>
    <t>2023 Trays Total</t>
  </si>
  <si>
    <t>2023 Pots</t>
  </si>
  <si>
    <t>2023 herb Pots</t>
  </si>
  <si>
    <t>base cost</t>
  </si>
  <si>
    <t>surcharge %</t>
  </si>
  <si>
    <t>accrual rate</t>
  </si>
  <si>
    <t>Wagon £485/week</t>
  </si>
  <si>
    <t>Weekly Rental * 2 @£270 &amp; £170</t>
  </si>
  <si>
    <t>Fuel surcharge</t>
  </si>
  <si>
    <t>GC Trolley Nos.,</t>
  </si>
  <si>
    <t>Pot nos. check</t>
  </si>
  <si>
    <t>No. of pot trollies</t>
  </si>
  <si>
    <t>Other (3L Fruit)</t>
  </si>
  <si>
    <t>Single Pots</t>
  </si>
  <si>
    <t>1 Litre Herbaceous</t>
  </si>
  <si>
    <t>1L Herbaceous</t>
  </si>
  <si>
    <t>Herbaceous</t>
  </si>
  <si>
    <t>Sweet Pot, Chilli &amp; Her tom Coll Order Summary - Volume</t>
  </si>
  <si>
    <t>Blackdown</t>
  </si>
  <si>
    <t>Mere Park</t>
  </si>
  <si>
    <t>Gates</t>
  </si>
  <si>
    <t>Chacewater (220523)</t>
  </si>
  <si>
    <t>Goonhaven (220523)</t>
  </si>
  <si>
    <t>Bay View (260423)</t>
  </si>
  <si>
    <t>Cardwell (141222)</t>
  </si>
  <si>
    <t>Seed</t>
  </si>
  <si>
    <t>Plugs</t>
  </si>
  <si>
    <t>included above</t>
  </si>
  <si>
    <t>Pots Produced</t>
  </si>
  <si>
    <t>to wk26</t>
  </si>
  <si>
    <t>BD credits</t>
  </si>
  <si>
    <t>bud price</t>
  </si>
  <si>
    <t>2024</t>
  </si>
  <si>
    <t>Barton Grange</t>
  </si>
  <si>
    <t>St Peters GC (WR)</t>
  </si>
  <si>
    <t>Cowells GC</t>
  </si>
  <si>
    <t>Otter N (Ottery St Mary) Ltd  (QO6)</t>
  </si>
  <si>
    <t>Beckworth Emporium</t>
  </si>
  <si>
    <t>Berwick (x3) (Dunbar/Plants Plus)</t>
  </si>
  <si>
    <t>Blackbrooks (x 2) (Lower Dick/Sedlescombe)</t>
  </si>
  <si>
    <t>Bow Garden &amp; Aquatic (151122) (West Country Water G)</t>
  </si>
  <si>
    <t>Caulders (x10)</t>
  </si>
  <si>
    <t>Fairways (x2) (Ashbourne/Macclesfield)</t>
  </si>
  <si>
    <t>Gardentime (Totnes)</t>
  </si>
  <si>
    <t>Moss &amp; Moor (Ilkley)</t>
  </si>
  <si>
    <t>Pacific Nurseries (Aldridge)</t>
  </si>
  <si>
    <t>Rosebank (Carluke)</t>
  </si>
  <si>
    <t>Scotts of Southend</t>
  </si>
  <si>
    <t>St. John's GC (x2) (Barnstaple/Ashford)</t>
  </si>
  <si>
    <t>The Old Well</t>
  </si>
  <si>
    <t>Waresley Park</t>
  </si>
  <si>
    <t>8.5cm Wildflower</t>
  </si>
  <si>
    <t>2024 herb Pots</t>
  </si>
  <si>
    <t>2024 Pots</t>
  </si>
  <si>
    <t>2024 Trays Total</t>
  </si>
  <si>
    <t>2024 Trays GC</t>
  </si>
  <si>
    <t>Knights GC Betchworth (QK22)</t>
  </si>
  <si>
    <t>Knights GC Nags Hall (Plant &amp; Life) QK22</t>
  </si>
  <si>
    <t>YGC (2015) Ltd (Tong, Yorkshire GCG)</t>
  </si>
  <si>
    <t>Summary Pot Volume</t>
  </si>
  <si>
    <t>Core 8.5 (Incl. Premium)</t>
  </si>
  <si>
    <t>Sweet Pot</t>
  </si>
  <si>
    <t>Chilli</t>
  </si>
  <si>
    <t>P &amp; B</t>
  </si>
  <si>
    <t>HB Courgettes shortage</t>
  </si>
  <si>
    <t>£000 Adj to reflect write back of 2023 Dobbies rebate</t>
  </si>
  <si>
    <t>Originally accrued as part of 6.5% but reduced for interest</t>
  </si>
  <si>
    <t>on late payments.</t>
  </si>
  <si>
    <t>No. GC strip orders 2024</t>
  </si>
  <si>
    <t>Forest Garden Centre, Matlock</t>
  </si>
  <si>
    <t>shorts</t>
  </si>
  <si>
    <t>Hillierssw pot +3405</t>
  </si>
  <si>
    <t>***</t>
  </si>
  <si>
    <t>***Hilliers swt pot credit of 3405 contrad in wk 16 rev so crediot taken backat bottom.</t>
  </si>
  <si>
    <t>wk22 credits of 4285.66 ignored IL product</t>
  </si>
  <si>
    <t>1L cr reserve</t>
  </si>
  <si>
    <t>325 on reports reissued inv</t>
  </si>
  <si>
    <t>all box</t>
  </si>
  <si>
    <t>gc%</t>
  </si>
  <si>
    <t>wks 34 on were effectively sellouts</t>
  </si>
  <si>
    <t>on strip product</t>
  </si>
  <si>
    <t>Total 8.5cm Wildflower Revenue</t>
  </si>
  <si>
    <t>M2fdacA&amp;S</t>
  </si>
  <si>
    <t>SEPT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</si>
</sst>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&quot;£&quot;#,##0"/>
    <numFmt numFmtId="165" formatCode="_-* #,##0_-;\-* #,##0_-;_-* &quot;-&quot;??_-;_-@_-"/>
    <numFmt numFmtId="166" formatCode="0.0%"/>
    <numFmt numFmtId="167" formatCode="#,##0.000"/>
    <numFmt numFmtId="168" formatCode="0.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ptos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55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4" fontId="0" fillId="0" borderId="0" xfId="0" applyNumberFormat="1"/>
    <xf numFmtId="4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3" fontId="1" fillId="0" borderId="2" xfId="0" applyNumberFormat="1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3" fontId="0" fillId="0" borderId="4" xfId="0" applyNumberFormat="1" applyBorder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4" fontId="5" fillId="0" borderId="0" xfId="0" applyNumberFormat="1" applyFont="1"/>
    <xf numFmtId="0" fontId="5" fillId="0" borderId="0" xfId="0" applyFont="1" applyAlignment="1">
      <alignment horizontal="right"/>
    </xf>
    <xf numFmtId="164" fontId="0" fillId="0" borderId="0" xfId="0" applyNumberFormat="1"/>
    <xf numFmtId="164" fontId="6" fillId="0" borderId="0" xfId="0" applyNumberFormat="1" applyFont="1"/>
    <xf numFmtId="164" fontId="1" fillId="0" borderId="0" xfId="0" applyNumberFormat="1" applyFont="1"/>
    <xf numFmtId="0" fontId="6" fillId="0" borderId="0" xfId="0" applyFont="1"/>
    <xf numFmtId="0" fontId="0" fillId="0" borderId="0" xfId="0" quotePrefix="1"/>
    <xf numFmtId="0" fontId="7" fillId="0" borderId="0" xfId="0" applyFont="1"/>
    <xf numFmtId="1" fontId="0" fillId="0" borderId="0" xfId="0" applyNumberFormat="1"/>
    <xf numFmtId="3" fontId="8" fillId="0" borderId="0" xfId="0" applyNumberFormat="1" applyFont="1"/>
    <xf numFmtId="0" fontId="8" fillId="0" borderId="0" xfId="0" applyFont="1"/>
    <xf numFmtId="3" fontId="5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9" fillId="0" borderId="0" xfId="0" applyFont="1"/>
    <xf numFmtId="3" fontId="9" fillId="0" borderId="0" xfId="0" applyNumberFormat="1" applyFont="1"/>
    <xf numFmtId="2" fontId="5" fillId="0" borderId="0" xfId="0" applyNumberFormat="1" applyFont="1"/>
    <xf numFmtId="3" fontId="5" fillId="0" borderId="0" xfId="0" quotePrefix="1" applyNumberFormat="1" applyFont="1"/>
    <xf numFmtId="165" fontId="0" fillId="0" borderId="0" xfId="1" applyNumberFormat="1" applyFont="1"/>
    <xf numFmtId="165" fontId="0" fillId="0" borderId="0" xfId="0" applyNumberFormat="1"/>
    <xf numFmtId="166" fontId="11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3" fontId="4" fillId="0" borderId="0" xfId="0" applyNumberFormat="1" applyFont="1"/>
    <xf numFmtId="4" fontId="4" fillId="0" borderId="0" xfId="0" applyNumberFormat="1" applyFont="1"/>
    <xf numFmtId="164" fontId="0" fillId="0" borderId="0" xfId="0" applyNumberFormat="1" applyAlignment="1">
      <alignment horizontal="center"/>
    </xf>
    <xf numFmtId="9" fontId="1" fillId="0" borderId="0" xfId="0" applyNumberFormat="1" applyFont="1"/>
    <xf numFmtId="3" fontId="1" fillId="0" borderId="0" xfId="0" applyNumberFormat="1" applyFont="1" applyAlignment="1">
      <alignment horizontal="right"/>
    </xf>
    <xf numFmtId="166" fontId="8" fillId="0" borderId="0" xfId="0" applyNumberFormat="1" applyFont="1"/>
    <xf numFmtId="3" fontId="1" fillId="0" borderId="5" xfId="0" applyNumberFormat="1" applyFont="1" applyBorder="1"/>
    <xf numFmtId="0" fontId="12" fillId="0" borderId="0" xfId="0" applyFont="1"/>
    <xf numFmtId="3" fontId="12" fillId="0" borderId="0" xfId="0" applyNumberFormat="1" applyFont="1"/>
    <xf numFmtId="9" fontId="0" fillId="0" borderId="0" xfId="2" applyFont="1"/>
    <xf numFmtId="0" fontId="13" fillId="0" borderId="0" xfId="0" applyFont="1"/>
    <xf numFmtId="10" fontId="11" fillId="0" borderId="0" xfId="0" applyNumberFormat="1" applyFont="1"/>
    <xf numFmtId="2" fontId="5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5" fillId="0" borderId="6" xfId="0" applyFont="1" applyBorder="1"/>
    <xf numFmtId="0" fontId="5" fillId="0" borderId="7" xfId="0" applyFont="1" applyBorder="1"/>
    <xf numFmtId="3" fontId="5" fillId="0" borderId="7" xfId="0" applyNumberFormat="1" applyFont="1" applyBorder="1"/>
    <xf numFmtId="2" fontId="5" fillId="0" borderId="7" xfId="0" applyNumberFormat="1" applyFont="1" applyBorder="1"/>
    <xf numFmtId="3" fontId="5" fillId="0" borderId="8" xfId="0" applyNumberFormat="1" applyFont="1" applyBorder="1"/>
    <xf numFmtId="0" fontId="5" fillId="0" borderId="9" xfId="0" applyFont="1" applyBorder="1"/>
    <xf numFmtId="3" fontId="5" fillId="0" borderId="10" xfId="0" applyNumberFormat="1" applyFont="1" applyBorder="1"/>
    <xf numFmtId="0" fontId="5" fillId="0" borderId="11" xfId="0" applyFont="1" applyBorder="1"/>
    <xf numFmtId="0" fontId="5" fillId="0" borderId="12" xfId="0" applyFont="1" applyBorder="1"/>
    <xf numFmtId="3" fontId="5" fillId="0" borderId="12" xfId="0" applyNumberFormat="1" applyFont="1" applyBorder="1"/>
    <xf numFmtId="2" fontId="5" fillId="0" borderId="12" xfId="0" applyNumberFormat="1" applyFont="1" applyBorder="1"/>
    <xf numFmtId="3" fontId="5" fillId="0" borderId="13" xfId="0" applyNumberFormat="1" applyFont="1" applyBorder="1"/>
    <xf numFmtId="0" fontId="1" fillId="0" borderId="11" xfId="0" applyFont="1" applyBorder="1"/>
    <xf numFmtId="0" fontId="0" fillId="0" borderId="12" xfId="0" applyBorder="1"/>
    <xf numFmtId="2" fontId="0" fillId="0" borderId="12" xfId="0" applyNumberFormat="1" applyBorder="1"/>
    <xf numFmtId="2" fontId="0" fillId="0" borderId="13" xfId="0" applyNumberFormat="1" applyBorder="1"/>
    <xf numFmtId="0" fontId="5" fillId="0" borderId="12" xfId="0" applyFont="1" applyBorder="1" applyAlignment="1">
      <alignment horizontal="right"/>
    </xf>
    <xf numFmtId="3" fontId="0" fillId="0" borderId="0" xfId="0" applyNumberFormat="1" applyAlignment="1">
      <alignment horizontal="center"/>
    </xf>
    <xf numFmtId="0" fontId="0" fillId="0" borderId="0" xfId="0" quotePrefix="1" applyAlignment="1">
      <alignment horizontal="right"/>
    </xf>
    <xf numFmtId="166" fontId="0" fillId="0" borderId="0" xfId="0" applyNumberFormat="1"/>
    <xf numFmtId="0" fontId="0" fillId="0" borderId="14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1" fillId="0" borderId="17" xfId="0" applyFont="1" applyBorder="1"/>
    <xf numFmtId="3" fontId="1" fillId="0" borderId="18" xfId="0" applyNumberFormat="1" applyFont="1" applyBorder="1"/>
    <xf numFmtId="3" fontId="8" fillId="0" borderId="19" xfId="0" applyNumberFormat="1" applyFont="1" applyBorder="1"/>
    <xf numFmtId="3" fontId="0" fillId="0" borderId="19" xfId="0" applyNumberFormat="1" applyBorder="1"/>
    <xf numFmtId="3" fontId="0" fillId="0" borderId="20" xfId="0" applyNumberFormat="1" applyBorder="1"/>
    <xf numFmtId="3" fontId="1" fillId="0" borderId="21" xfId="0" applyNumberFormat="1" applyFont="1" applyBorder="1"/>
    <xf numFmtId="3" fontId="0" fillId="0" borderId="22" xfId="0" applyNumberFormat="1" applyBorder="1"/>
    <xf numFmtId="3" fontId="0" fillId="0" borderId="21" xfId="0" applyNumberFormat="1" applyBorder="1"/>
    <xf numFmtId="3" fontId="0" fillId="0" borderId="23" xfId="0" applyNumberFormat="1" applyBorder="1"/>
    <xf numFmtId="3" fontId="0" fillId="0" borderId="24" xfId="0" applyNumberFormat="1" applyBorder="1"/>
    <xf numFmtId="3" fontId="0" fillId="0" borderId="25" xfId="0" applyNumberFormat="1" applyBorder="1"/>
    <xf numFmtId="3" fontId="0" fillId="0" borderId="18" xfId="0" applyNumberFormat="1" applyBorder="1"/>
    <xf numFmtId="3" fontId="1" fillId="0" borderId="22" xfId="0" applyNumberFormat="1" applyFont="1" applyBorder="1"/>
    <xf numFmtId="3" fontId="5" fillId="0" borderId="21" xfId="0" applyNumberFormat="1" applyFont="1" applyBorder="1"/>
    <xf numFmtId="3" fontId="5" fillId="0" borderId="22" xfId="0" applyNumberFormat="1" applyFont="1" applyBorder="1"/>
    <xf numFmtId="3" fontId="2" fillId="0" borderId="23" xfId="0" applyNumberFormat="1" applyFont="1" applyBorder="1"/>
    <xf numFmtId="3" fontId="2" fillId="0" borderId="24" xfId="0" applyNumberFormat="1" applyFont="1" applyBorder="1"/>
    <xf numFmtId="3" fontId="2" fillId="0" borderId="25" xfId="0" applyNumberFormat="1" applyFont="1" applyBorder="1"/>
    <xf numFmtId="3" fontId="13" fillId="0" borderId="0" xfId="0" applyNumberFormat="1" applyFont="1"/>
    <xf numFmtId="0" fontId="15" fillId="0" borderId="1" xfId="0" applyFont="1" applyBorder="1"/>
    <xf numFmtId="0" fontId="15" fillId="0" borderId="0" xfId="0" applyFont="1"/>
    <xf numFmtId="0" fontId="3" fillId="0" borderId="0" xfId="0" applyFont="1"/>
    <xf numFmtId="3" fontId="3" fillId="0" borderId="0" xfId="0" applyNumberFormat="1" applyFont="1"/>
    <xf numFmtId="3" fontId="15" fillId="0" borderId="0" xfId="0" applyNumberFormat="1" applyFont="1"/>
    <xf numFmtId="3" fontId="16" fillId="0" borderId="0" xfId="0" applyNumberFormat="1" applyFont="1"/>
    <xf numFmtId="3" fontId="14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" fillId="0" borderId="0" xfId="0" applyNumberFormat="1" applyFont="1" applyAlignment="1">
      <alignment horizontal="center"/>
    </xf>
    <xf numFmtId="3" fontId="5" fillId="2" borderId="0" xfId="0" applyNumberFormat="1" applyFont="1" applyFill="1"/>
    <xf numFmtId="2" fontId="19" fillId="0" borderId="0" xfId="0" applyNumberFormat="1" applyFont="1" applyAlignment="1">
      <alignment horizontal="right"/>
    </xf>
    <xf numFmtId="3" fontId="0" fillId="2" borderId="0" xfId="0" applyNumberFormat="1" applyFill="1"/>
    <xf numFmtId="10" fontId="4" fillId="0" borderId="0" xfId="0" applyNumberFormat="1" applyFon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2" borderId="0" xfId="0" applyFill="1"/>
    <xf numFmtId="0" fontId="1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9" xfId="0" applyFont="1" applyFill="1" applyBorder="1"/>
    <xf numFmtId="0" fontId="0" fillId="3" borderId="0" xfId="0" applyFill="1"/>
    <xf numFmtId="0" fontId="0" fillId="3" borderId="10" xfId="0" applyFill="1" applyBorder="1"/>
    <xf numFmtId="0" fontId="0" fillId="3" borderId="0" xfId="0" quotePrefix="1" applyFill="1"/>
    <xf numFmtId="4" fontId="0" fillId="3" borderId="0" xfId="0" applyNumberFormat="1" applyFill="1"/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9" fontId="5" fillId="0" borderId="0" xfId="0" applyNumberFormat="1" applyFont="1"/>
    <xf numFmtId="167" fontId="1" fillId="0" borderId="0" xfId="0" applyNumberFormat="1" applyFont="1"/>
    <xf numFmtId="3" fontId="0" fillId="3" borderId="0" xfId="0" applyNumberFormat="1" applyFill="1"/>
    <xf numFmtId="0" fontId="5" fillId="4" borderId="14" xfId="0" applyFont="1" applyFill="1" applyBorder="1" applyAlignment="1">
      <alignment horizontal="center"/>
    </xf>
    <xf numFmtId="3" fontId="0" fillId="4" borderId="14" xfId="0" applyNumberFormat="1" applyFill="1" applyBorder="1"/>
    <xf numFmtId="0" fontId="0" fillId="4" borderId="14" xfId="0" applyFill="1" applyBorder="1"/>
    <xf numFmtId="3" fontId="1" fillId="4" borderId="14" xfId="0" applyNumberFormat="1" applyFont="1" applyFill="1" applyBorder="1"/>
    <xf numFmtId="2" fontId="5" fillId="0" borderId="0" xfId="0" quotePrefix="1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7" fontId="0" fillId="0" borderId="0" xfId="0" applyNumberFormat="1"/>
    <xf numFmtId="0" fontId="0" fillId="0" borderId="0" xfId="0" applyAlignment="1">
      <alignment horizontal="left"/>
    </xf>
    <xf numFmtId="0" fontId="23" fillId="0" borderId="0" xfId="0" applyFont="1"/>
    <xf numFmtId="168" fontId="1" fillId="0" borderId="0" xfId="0" applyNumberFormat="1" applyFont="1"/>
    <xf numFmtId="3" fontId="4" fillId="2" borderId="0" xfId="0" applyNumberFormat="1" applyFont="1" applyFill="1"/>
    <xf numFmtId="3" fontId="2" fillId="2" borderId="0" xfId="0" applyNumberFormat="1" applyFont="1" applyFill="1"/>
    <xf numFmtId="9" fontId="2" fillId="0" borderId="0" xfId="0" applyNumberFormat="1" applyFont="1"/>
    <xf numFmtId="17" fontId="0" fillId="2" borderId="0" xfId="0" applyNumberFormat="1" applyFill="1"/>
    <xf numFmtId="3" fontId="1" fillId="2" borderId="0" xfId="0" applyNumberFormat="1" applyFont="1" applyFill="1"/>
    <xf numFmtId="3" fontId="2" fillId="4" borderId="26" xfId="0" applyNumberFormat="1" applyFont="1" applyFill="1" applyBorder="1" applyAlignment="1">
      <alignment horizontal="center"/>
    </xf>
    <xf numFmtId="3" fontId="2" fillId="4" borderId="27" xfId="0" applyNumberFormat="1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42" Type="http://schemas.openxmlformats.org/officeDocument/2006/relationships/sheetMetadata" Target="metadata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styles" Target="styles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externalLink" Target="externalLinks/externalLink14.xml"/><Relationship Id="rId4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listair\2021\Actual%20Revenue%20&amp;%20Volume%20Analysis%20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listair\2014%20Retail%20Veg\Actual%20Revenue%20&amp;%20Volume%20Analysis%20201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listair\2013%20retail%20veg\Initial%20Volume%20Analysisv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ccounts\JT%20Info\Budget%202022-2023\Budget%202022%20-%202023\Volumes%20&amp;%20Revenue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Accounts\JT%20Info\Budget%202024-2025\Copy%20of%20Production%20Volume%20&amp;%20Labour%202024.xlsx" TargetMode="External"/><Relationship Id="rId1" Type="http://schemas.openxmlformats.org/officeDocument/2006/relationships/externalLinkPath" Target="file:///P:\Accounts\JT%20Info\Budget%202024-2025\Copy%20of%20Production%20Volume%20&amp;%20Labour%20202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listair\2022\Master%20Orders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Alistair\2019\Actual%20Revenue%20&amp;%20Volume%20Analysis%202019.xlsx" TargetMode="External"/><Relationship Id="rId1" Type="http://schemas.openxmlformats.org/officeDocument/2006/relationships/externalLinkPath" Target="file:///Z:\Alistair\2019\Actual%20Revenue%20&amp;%20Volume%20Analysis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quantilfarms.sharepoint.com/sites/QuantilShared/Shared%20Documents/2023%20Shared/Actual%20Revenue%20&amp;%20Volume%20Analysis%202023.xlsx" TargetMode="External"/><Relationship Id="rId1" Type="http://schemas.openxmlformats.org/officeDocument/2006/relationships/externalLinkPath" Target="/sites/QuantilShared/Shared%20Documents/2023%20Shared/Actual%20Revenue%20&amp;%20Volume%20Analysis%20202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Alistair\2022\Actual%20Revenue%20&amp;%20Volume%20Analysis%202022.xlsx" TargetMode="External"/><Relationship Id="rId1" Type="http://schemas.openxmlformats.org/officeDocument/2006/relationships/externalLinkPath" Target="file:///Z:\Alistair\2022\Actual%20Revenue%20&amp;%20Volume%20Analysis%2020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listair\2020\Actual%20Revenue%20&amp;%20Volume%20Analysis%20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listair\2018\Actual%20Revenue%20&amp;%20Volume%20Analysis%20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listair\2017%20Retail%20Veg\Actual%20Revenue%20&amp;%20Volume%20Analysis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listair\2016%20Retail%20Veg\Actual%20Revenue%20&amp;%20Volume%20Analysis%20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listair\2015%20Retail%20Veg\Actual%20Revenue%20&amp;%20Volume%20Analysis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Accrualstrip"/>
      <sheetName val="Accrualpot"/>
      <sheetName val="Accrualherb"/>
      <sheetName val="PassVol"/>
      <sheetName val="PassRev Strip"/>
      <sheetName val="PassRev Pot"/>
      <sheetName val="PassRev Herb"/>
      <sheetName val="BD"/>
      <sheetName val="Till"/>
      <sheetName val="Prosper"/>
      <sheetName val="GW"/>
      <sheetName val="Grovewell"/>
      <sheetName val="Choice"/>
      <sheetName val="Wye"/>
      <sheetName val="Daily"/>
      <sheetName val="Analysis"/>
      <sheetName val="Transport"/>
      <sheetName val="Trolley"/>
      <sheetName val="Stock Calculations"/>
      <sheetName val="Calculations"/>
      <sheetName val="October 8.5cm stock"/>
    </sheetNames>
    <sheetDataSet>
      <sheetData sheetId="0"/>
      <sheetData sheetId="1"/>
      <sheetData sheetId="2"/>
      <sheetData sheetId="3"/>
      <sheetData sheetId="4">
        <row r="4">
          <cell r="AU4">
            <v>25466</v>
          </cell>
        </row>
        <row r="5">
          <cell r="AU5">
            <v>5349</v>
          </cell>
        </row>
        <row r="6">
          <cell r="AU6">
            <v>2725</v>
          </cell>
        </row>
        <row r="7">
          <cell r="AU7">
            <v>34733</v>
          </cell>
        </row>
        <row r="8">
          <cell r="AU8">
            <v>2097</v>
          </cell>
        </row>
        <row r="9">
          <cell r="AU9">
            <v>5570</v>
          </cell>
        </row>
        <row r="10">
          <cell r="AU10">
            <v>8116</v>
          </cell>
        </row>
        <row r="11">
          <cell r="AU11">
            <v>0</v>
          </cell>
        </row>
        <row r="12">
          <cell r="AU12">
            <v>0</v>
          </cell>
        </row>
        <row r="13">
          <cell r="AU13">
            <v>26556</v>
          </cell>
        </row>
        <row r="14">
          <cell r="AU14">
            <v>5482</v>
          </cell>
        </row>
        <row r="15">
          <cell r="AU15">
            <v>6174</v>
          </cell>
        </row>
        <row r="16">
          <cell r="AU16">
            <v>4398</v>
          </cell>
        </row>
        <row r="17">
          <cell r="AU17">
            <v>2780</v>
          </cell>
        </row>
        <row r="18">
          <cell r="AU18">
            <v>18377</v>
          </cell>
        </row>
        <row r="19">
          <cell r="AU19">
            <v>0</v>
          </cell>
        </row>
        <row r="20">
          <cell r="AU20">
            <v>0</v>
          </cell>
        </row>
        <row r="21">
          <cell r="AU21">
            <v>2050</v>
          </cell>
        </row>
        <row r="22">
          <cell r="AU22">
            <v>95722</v>
          </cell>
        </row>
        <row r="27">
          <cell r="AU27">
            <v>2771</v>
          </cell>
        </row>
        <row r="28">
          <cell r="AU28">
            <v>695</v>
          </cell>
        </row>
        <row r="29">
          <cell r="AU29">
            <v>596</v>
          </cell>
        </row>
        <row r="30">
          <cell r="AU30">
            <v>3360</v>
          </cell>
        </row>
        <row r="31">
          <cell r="AU31">
            <v>303</v>
          </cell>
        </row>
        <row r="32">
          <cell r="AU32">
            <v>551</v>
          </cell>
        </row>
        <row r="33">
          <cell r="AU33">
            <v>1073</v>
          </cell>
        </row>
        <row r="34">
          <cell r="AU34">
            <v>0</v>
          </cell>
        </row>
        <row r="35">
          <cell r="AU35">
            <v>0</v>
          </cell>
        </row>
        <row r="36">
          <cell r="AU36">
            <v>3597</v>
          </cell>
        </row>
        <row r="37">
          <cell r="AU37">
            <v>1366</v>
          </cell>
        </row>
        <row r="38">
          <cell r="AU38">
            <v>0</v>
          </cell>
        </row>
        <row r="39">
          <cell r="AU39">
            <v>1165</v>
          </cell>
        </row>
        <row r="40">
          <cell r="AU40">
            <v>325</v>
          </cell>
        </row>
        <row r="41">
          <cell r="AU41">
            <v>2664</v>
          </cell>
        </row>
        <row r="42">
          <cell r="AU42">
            <v>0</v>
          </cell>
        </row>
        <row r="43">
          <cell r="AU43">
            <v>0</v>
          </cell>
        </row>
        <row r="44">
          <cell r="AU44">
            <v>576</v>
          </cell>
        </row>
        <row r="45">
          <cell r="AU45">
            <v>9009</v>
          </cell>
        </row>
        <row r="50">
          <cell r="AU50">
            <v>1358</v>
          </cell>
        </row>
        <row r="51">
          <cell r="AU51">
            <v>634</v>
          </cell>
        </row>
        <row r="52">
          <cell r="AU52">
            <v>384</v>
          </cell>
        </row>
        <row r="53">
          <cell r="AU53">
            <v>0</v>
          </cell>
        </row>
        <row r="54">
          <cell r="AU54">
            <v>144</v>
          </cell>
        </row>
        <row r="55">
          <cell r="AU55">
            <v>341</v>
          </cell>
        </row>
        <row r="56">
          <cell r="AU56">
            <v>832</v>
          </cell>
        </row>
        <row r="57">
          <cell r="AU57">
            <v>0</v>
          </cell>
        </row>
        <row r="58">
          <cell r="AU58">
            <v>0</v>
          </cell>
        </row>
        <row r="59">
          <cell r="AU59">
            <v>0</v>
          </cell>
        </row>
        <row r="60">
          <cell r="AU60">
            <v>0</v>
          </cell>
        </row>
        <row r="61">
          <cell r="AU61">
            <v>561</v>
          </cell>
        </row>
        <row r="62">
          <cell r="AU62">
            <v>737</v>
          </cell>
        </row>
        <row r="63">
          <cell r="AU63">
            <v>258</v>
          </cell>
        </row>
        <row r="64">
          <cell r="AU64">
            <v>1745</v>
          </cell>
        </row>
        <row r="65">
          <cell r="AU65">
            <v>0</v>
          </cell>
        </row>
        <row r="66">
          <cell r="AU66">
            <v>0</v>
          </cell>
        </row>
        <row r="67">
          <cell r="AU67">
            <v>167</v>
          </cell>
        </row>
        <row r="68">
          <cell r="AU68">
            <v>5097</v>
          </cell>
        </row>
        <row r="101">
          <cell r="AU101">
            <v>10831</v>
          </cell>
        </row>
        <row r="102">
          <cell r="AU102">
            <v>1255</v>
          </cell>
        </row>
        <row r="103">
          <cell r="AU103">
            <v>851</v>
          </cell>
        </row>
        <row r="104">
          <cell r="AU104">
            <v>14417</v>
          </cell>
        </row>
        <row r="105">
          <cell r="AU105">
            <v>551</v>
          </cell>
        </row>
        <row r="106">
          <cell r="AU106">
            <v>2377</v>
          </cell>
        </row>
        <row r="107">
          <cell r="AU107">
            <v>3373</v>
          </cell>
        </row>
        <row r="108">
          <cell r="AU108">
            <v>0</v>
          </cell>
        </row>
        <row r="109">
          <cell r="AU109">
            <v>0</v>
          </cell>
        </row>
        <row r="110">
          <cell r="AU110">
            <v>0</v>
          </cell>
        </row>
        <row r="111">
          <cell r="AU111">
            <v>2894</v>
          </cell>
        </row>
        <row r="112">
          <cell r="AU112">
            <v>3034</v>
          </cell>
        </row>
        <row r="113">
          <cell r="AU113">
            <v>2023</v>
          </cell>
        </row>
        <row r="114">
          <cell r="AU114">
            <v>1120</v>
          </cell>
        </row>
        <row r="115">
          <cell r="AU115">
            <v>7371</v>
          </cell>
        </row>
        <row r="116">
          <cell r="AU116">
            <v>0</v>
          </cell>
        </row>
        <row r="117">
          <cell r="AU117">
            <v>0</v>
          </cell>
        </row>
        <row r="118">
          <cell r="AU118">
            <v>375</v>
          </cell>
        </row>
        <row r="119">
          <cell r="AU119">
            <v>33614</v>
          </cell>
        </row>
        <row r="125">
          <cell r="AU125">
            <v>2709</v>
          </cell>
        </row>
        <row r="126">
          <cell r="AU126">
            <v>317</v>
          </cell>
        </row>
        <row r="127">
          <cell r="AU127">
            <v>297</v>
          </cell>
        </row>
        <row r="128">
          <cell r="AU128">
            <v>4872</v>
          </cell>
        </row>
        <row r="129">
          <cell r="AU129">
            <v>197</v>
          </cell>
        </row>
        <row r="130">
          <cell r="AU130">
            <v>741</v>
          </cell>
        </row>
        <row r="131">
          <cell r="AU131">
            <v>1109</v>
          </cell>
        </row>
        <row r="132">
          <cell r="AU132">
            <v>0</v>
          </cell>
        </row>
        <row r="133">
          <cell r="AU133">
            <v>0</v>
          </cell>
        </row>
        <row r="134">
          <cell r="AU134">
            <v>0</v>
          </cell>
        </row>
        <row r="135">
          <cell r="AU135">
            <v>1558</v>
          </cell>
        </row>
        <row r="136">
          <cell r="AU136">
            <v>334</v>
          </cell>
        </row>
        <row r="137">
          <cell r="AU137">
            <v>631</v>
          </cell>
        </row>
        <row r="138">
          <cell r="AU138">
            <v>504</v>
          </cell>
        </row>
        <row r="139">
          <cell r="AU139">
            <v>2561</v>
          </cell>
        </row>
        <row r="140">
          <cell r="AU140">
            <v>0</v>
          </cell>
        </row>
        <row r="141">
          <cell r="AU141">
            <v>0</v>
          </cell>
        </row>
        <row r="142">
          <cell r="AU142">
            <v>200</v>
          </cell>
        </row>
        <row r="143">
          <cell r="AU143">
            <v>9624</v>
          </cell>
        </row>
        <row r="149">
          <cell r="AU149">
            <v>49</v>
          </cell>
        </row>
        <row r="150">
          <cell r="AU150">
            <v>504</v>
          </cell>
        </row>
        <row r="151">
          <cell r="AU151">
            <v>291</v>
          </cell>
        </row>
        <row r="152">
          <cell r="AU152">
            <v>0</v>
          </cell>
        </row>
        <row r="153">
          <cell r="AU153">
            <v>327</v>
          </cell>
        </row>
        <row r="154">
          <cell r="AU154">
            <v>0</v>
          </cell>
        </row>
        <row r="155">
          <cell r="AU155">
            <v>311</v>
          </cell>
        </row>
        <row r="156">
          <cell r="AU156">
            <v>0</v>
          </cell>
        </row>
        <row r="157">
          <cell r="AU157">
            <v>0</v>
          </cell>
        </row>
        <row r="158">
          <cell r="AU158">
            <v>500</v>
          </cell>
        </row>
        <row r="159">
          <cell r="AU159">
            <v>168</v>
          </cell>
        </row>
        <row r="160">
          <cell r="AU160">
            <v>307</v>
          </cell>
        </row>
        <row r="161">
          <cell r="AU161">
            <v>379</v>
          </cell>
        </row>
        <row r="162">
          <cell r="AU162">
            <v>47</v>
          </cell>
        </row>
        <row r="163">
          <cell r="AU163">
            <v>838</v>
          </cell>
        </row>
        <row r="164">
          <cell r="AU164">
            <v>0</v>
          </cell>
        </row>
        <row r="165">
          <cell r="AU165">
            <v>0</v>
          </cell>
        </row>
        <row r="166">
          <cell r="AU166">
            <v>137</v>
          </cell>
        </row>
        <row r="167">
          <cell r="AU167">
            <v>4494</v>
          </cell>
        </row>
        <row r="173">
          <cell r="AU173">
            <v>2463</v>
          </cell>
        </row>
        <row r="174">
          <cell r="AU174">
            <v>206</v>
          </cell>
        </row>
        <row r="175">
          <cell r="AU175">
            <v>274</v>
          </cell>
        </row>
        <row r="176">
          <cell r="AU176">
            <v>0</v>
          </cell>
        </row>
        <row r="177">
          <cell r="AU177">
            <v>104</v>
          </cell>
        </row>
        <row r="178">
          <cell r="AU178">
            <v>95</v>
          </cell>
        </row>
        <row r="179">
          <cell r="AU179">
            <v>867</v>
          </cell>
        </row>
        <row r="180">
          <cell r="AU180">
            <v>0</v>
          </cell>
        </row>
        <row r="181">
          <cell r="AU181">
            <v>0</v>
          </cell>
        </row>
        <row r="182">
          <cell r="AU182">
            <v>1032</v>
          </cell>
        </row>
        <row r="183">
          <cell r="AU183">
            <v>386</v>
          </cell>
        </row>
        <row r="184">
          <cell r="AU184">
            <v>320</v>
          </cell>
        </row>
        <row r="185">
          <cell r="AU185">
            <v>562</v>
          </cell>
        </row>
        <row r="186">
          <cell r="AU186">
            <v>106</v>
          </cell>
        </row>
        <row r="187">
          <cell r="AU187">
            <v>1767</v>
          </cell>
        </row>
        <row r="188">
          <cell r="AU188">
            <v>0</v>
          </cell>
        </row>
        <row r="189">
          <cell r="AU189">
            <v>0</v>
          </cell>
        </row>
        <row r="190">
          <cell r="AU190">
            <v>72</v>
          </cell>
        </row>
        <row r="191">
          <cell r="AU191">
            <v>3175</v>
          </cell>
        </row>
        <row r="197">
          <cell r="AU197">
            <v>277</v>
          </cell>
        </row>
        <row r="198">
          <cell r="AU198">
            <v>356</v>
          </cell>
        </row>
        <row r="199">
          <cell r="AU199">
            <v>57</v>
          </cell>
        </row>
        <row r="200">
          <cell r="AU200">
            <v>14522</v>
          </cell>
        </row>
        <row r="201">
          <cell r="AU201">
            <v>61</v>
          </cell>
        </row>
        <row r="202">
          <cell r="AU202">
            <v>100</v>
          </cell>
        </row>
        <row r="203">
          <cell r="AU203">
            <v>3402</v>
          </cell>
        </row>
        <row r="204">
          <cell r="AU204">
            <v>0</v>
          </cell>
        </row>
        <row r="205">
          <cell r="AU205">
            <v>0</v>
          </cell>
        </row>
        <row r="206">
          <cell r="AU206">
            <v>0</v>
          </cell>
        </row>
        <row r="207">
          <cell r="AU207">
            <v>0</v>
          </cell>
        </row>
        <row r="208">
          <cell r="AU208">
            <v>1171</v>
          </cell>
        </row>
        <row r="209">
          <cell r="AU209">
            <v>697</v>
          </cell>
        </row>
        <row r="210">
          <cell r="AU210">
            <v>144</v>
          </cell>
        </row>
        <row r="211">
          <cell r="AU211">
            <v>488</v>
          </cell>
        </row>
        <row r="212">
          <cell r="AU212">
            <v>0</v>
          </cell>
        </row>
        <row r="213">
          <cell r="AU213">
            <v>0</v>
          </cell>
        </row>
        <row r="214">
          <cell r="AU214">
            <v>64</v>
          </cell>
        </row>
        <row r="215">
          <cell r="AU215">
            <v>7915</v>
          </cell>
        </row>
        <row r="221">
          <cell r="AU221">
            <v>374</v>
          </cell>
        </row>
        <row r="222">
          <cell r="AU222">
            <v>342</v>
          </cell>
        </row>
        <row r="223">
          <cell r="AU223">
            <v>105</v>
          </cell>
        </row>
        <row r="224">
          <cell r="AU224">
            <v>12010</v>
          </cell>
        </row>
        <row r="225">
          <cell r="AU225">
            <v>124</v>
          </cell>
        </row>
        <row r="226">
          <cell r="AU226">
            <v>88</v>
          </cell>
        </row>
        <row r="227">
          <cell r="AU227">
            <v>1459</v>
          </cell>
        </row>
        <row r="228">
          <cell r="AU228">
            <v>0</v>
          </cell>
        </row>
        <row r="229">
          <cell r="AU229">
            <v>0</v>
          </cell>
        </row>
        <row r="230">
          <cell r="AU230">
            <v>4677</v>
          </cell>
        </row>
        <row r="231">
          <cell r="AU231">
            <v>0</v>
          </cell>
        </row>
        <row r="232">
          <cell r="AU232">
            <v>828</v>
          </cell>
        </row>
        <row r="233">
          <cell r="AU233">
            <v>796</v>
          </cell>
        </row>
        <row r="234">
          <cell r="AU234">
            <v>150</v>
          </cell>
        </row>
        <row r="235">
          <cell r="AU235">
            <v>330</v>
          </cell>
        </row>
        <row r="236">
          <cell r="AU236">
            <v>0</v>
          </cell>
        </row>
        <row r="237">
          <cell r="AU237">
            <v>0</v>
          </cell>
        </row>
        <row r="238">
          <cell r="AU238">
            <v>67</v>
          </cell>
        </row>
        <row r="239">
          <cell r="AU239">
            <v>8523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495</v>
          </cell>
          <cell r="K62">
            <v>19611</v>
          </cell>
          <cell r="L62">
            <v>20930</v>
          </cell>
          <cell r="M62">
            <v>15626</v>
          </cell>
          <cell r="N62">
            <v>24545</v>
          </cell>
          <cell r="O62">
            <v>27649</v>
          </cell>
          <cell r="P62">
            <v>26845</v>
          </cell>
          <cell r="Q62">
            <v>35950</v>
          </cell>
          <cell r="R62">
            <v>29929</v>
          </cell>
          <cell r="S62">
            <v>29620</v>
          </cell>
          <cell r="T62">
            <v>24551</v>
          </cell>
          <cell r="U62">
            <v>18075</v>
          </cell>
          <cell r="V62">
            <v>14559</v>
          </cell>
          <cell r="W62">
            <v>14934</v>
          </cell>
          <cell r="X62">
            <v>11958</v>
          </cell>
          <cell r="Y62">
            <v>9484</v>
          </cell>
          <cell r="Z62">
            <v>3420</v>
          </cell>
          <cell r="AA62">
            <v>2871</v>
          </cell>
          <cell r="AB62">
            <v>2955</v>
          </cell>
          <cell r="AC62">
            <v>1842</v>
          </cell>
          <cell r="AD62">
            <v>1197</v>
          </cell>
          <cell r="AE62">
            <v>1280</v>
          </cell>
          <cell r="AF62">
            <v>872</v>
          </cell>
          <cell r="AG62">
            <v>7911</v>
          </cell>
          <cell r="AH62">
            <v>2565</v>
          </cell>
          <cell r="AI62">
            <v>3213</v>
          </cell>
          <cell r="AJ62">
            <v>2930</v>
          </cell>
          <cell r="AK62">
            <v>2388</v>
          </cell>
          <cell r="AL62">
            <v>1824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1521</v>
          </cell>
          <cell r="K75">
            <v>24147</v>
          </cell>
          <cell r="L75">
            <v>22718</v>
          </cell>
          <cell r="M75">
            <v>17030</v>
          </cell>
          <cell r="N75">
            <v>26975</v>
          </cell>
          <cell r="O75">
            <v>34718</v>
          </cell>
          <cell r="P75">
            <v>29230</v>
          </cell>
          <cell r="Q75">
            <v>38494</v>
          </cell>
          <cell r="R75">
            <v>31644</v>
          </cell>
          <cell r="S75">
            <v>32446</v>
          </cell>
          <cell r="T75">
            <v>26981</v>
          </cell>
          <cell r="U75">
            <v>19605</v>
          </cell>
          <cell r="V75">
            <v>15909</v>
          </cell>
          <cell r="W75">
            <v>15750</v>
          </cell>
          <cell r="X75">
            <v>12774</v>
          </cell>
          <cell r="Y75">
            <v>10252</v>
          </cell>
          <cell r="Z75">
            <v>4155</v>
          </cell>
          <cell r="AA75">
            <v>3471</v>
          </cell>
          <cell r="AB75">
            <v>3555</v>
          </cell>
          <cell r="AC75">
            <v>1842</v>
          </cell>
          <cell r="AD75">
            <v>1197</v>
          </cell>
          <cell r="AE75">
            <v>1280</v>
          </cell>
          <cell r="AF75">
            <v>872</v>
          </cell>
          <cell r="AG75">
            <v>14391</v>
          </cell>
          <cell r="AH75">
            <v>2565</v>
          </cell>
          <cell r="AI75">
            <v>3213</v>
          </cell>
          <cell r="AJ75">
            <v>5090</v>
          </cell>
          <cell r="AK75">
            <v>2388</v>
          </cell>
          <cell r="AL75">
            <v>1824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168534</v>
          </cell>
          <cell r="L89">
            <v>189846</v>
          </cell>
          <cell r="M89">
            <v>194364</v>
          </cell>
          <cell r="N89">
            <v>207762</v>
          </cell>
          <cell r="O89">
            <v>237610</v>
          </cell>
          <cell r="P89">
            <v>255720</v>
          </cell>
          <cell r="Q89">
            <v>321606</v>
          </cell>
          <cell r="R89">
            <v>324610</v>
          </cell>
          <cell r="S89">
            <v>407194</v>
          </cell>
          <cell r="T89">
            <v>288664</v>
          </cell>
          <cell r="U89">
            <v>221296</v>
          </cell>
          <cell r="V89">
            <v>194524</v>
          </cell>
          <cell r="W89">
            <v>125914</v>
          </cell>
          <cell r="X89">
            <v>93790</v>
          </cell>
          <cell r="Y89">
            <v>78788</v>
          </cell>
          <cell r="Z89">
            <v>26766</v>
          </cell>
          <cell r="AA89">
            <v>3006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12720</v>
          </cell>
          <cell r="G100">
            <v>50400</v>
          </cell>
          <cell r="H100">
            <v>12960</v>
          </cell>
          <cell r="I100">
            <v>0</v>
          </cell>
          <cell r="J100">
            <v>31614</v>
          </cell>
          <cell r="K100">
            <v>61552</v>
          </cell>
          <cell r="L100">
            <v>45752</v>
          </cell>
          <cell r="M100">
            <v>42684</v>
          </cell>
          <cell r="N100">
            <v>75538</v>
          </cell>
          <cell r="O100">
            <v>87470</v>
          </cell>
          <cell r="P100">
            <v>66390</v>
          </cell>
          <cell r="Q100">
            <v>86006</v>
          </cell>
          <cell r="R100">
            <v>65628</v>
          </cell>
          <cell r="S100">
            <v>67896</v>
          </cell>
          <cell r="T100">
            <v>58946</v>
          </cell>
          <cell r="U100">
            <v>34972</v>
          </cell>
          <cell r="V100">
            <v>60226</v>
          </cell>
          <cell r="W100">
            <v>35340</v>
          </cell>
          <cell r="X100">
            <v>37792</v>
          </cell>
          <cell r="Y100">
            <v>31966</v>
          </cell>
          <cell r="Z100">
            <v>32192</v>
          </cell>
          <cell r="AA100">
            <v>18422</v>
          </cell>
          <cell r="AB100">
            <v>10722</v>
          </cell>
          <cell r="AC100">
            <v>7878</v>
          </cell>
          <cell r="AD100">
            <v>3534</v>
          </cell>
          <cell r="AE100">
            <v>14438</v>
          </cell>
          <cell r="AF100">
            <v>16020</v>
          </cell>
          <cell r="AG100">
            <v>20682</v>
          </cell>
          <cell r="AH100">
            <v>4152</v>
          </cell>
          <cell r="AI100">
            <v>3706</v>
          </cell>
          <cell r="AJ100">
            <v>3066</v>
          </cell>
          <cell r="AK100">
            <v>4674</v>
          </cell>
          <cell r="AL100">
            <v>8480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rualstrip"/>
      <sheetName val="Accrualpot"/>
      <sheetName val="PassVol"/>
      <sheetName val="PassRev Strip"/>
      <sheetName val="PassRev Pot"/>
      <sheetName val="Till"/>
      <sheetName val="Daily"/>
      <sheetName val="Analysis"/>
      <sheetName val="Transport"/>
      <sheetName val="Stock Calculations"/>
      <sheetName val="Calculations"/>
      <sheetName val="Market%"/>
    </sheetNames>
    <sheetDataSet>
      <sheetData sheetId="0"/>
      <sheetData sheetId="1"/>
      <sheetData sheetId="2">
        <row r="124">
          <cell r="D124"/>
          <cell r="E124">
            <v>30024</v>
          </cell>
          <cell r="F124">
            <v>32832</v>
          </cell>
          <cell r="G124">
            <v>57534</v>
          </cell>
          <cell r="H124">
            <v>50184</v>
          </cell>
          <cell r="I124">
            <v>78492</v>
          </cell>
          <cell r="J124">
            <v>83422</v>
          </cell>
          <cell r="K124">
            <v>134808</v>
          </cell>
          <cell r="L124">
            <v>101736</v>
          </cell>
          <cell r="M124">
            <v>109458</v>
          </cell>
          <cell r="N124">
            <v>78234</v>
          </cell>
          <cell r="O124">
            <v>57490</v>
          </cell>
          <cell r="P124">
            <v>61237</v>
          </cell>
          <cell r="Q124">
            <v>20021</v>
          </cell>
          <cell r="R124">
            <v>3329</v>
          </cell>
          <cell r="S124">
            <v>954</v>
          </cell>
          <cell r="T124">
            <v>1212</v>
          </cell>
          <cell r="U124">
            <v>1974</v>
          </cell>
          <cell r="V124">
            <v>1470</v>
          </cell>
          <cell r="W124">
            <v>1764</v>
          </cell>
          <cell r="X124">
            <v>1806</v>
          </cell>
          <cell r="Y124">
            <v>1302</v>
          </cell>
          <cell r="Z124">
            <v>1512</v>
          </cell>
          <cell r="AA124">
            <v>2352</v>
          </cell>
          <cell r="AB124">
            <v>1680</v>
          </cell>
          <cell r="AC124">
            <v>4158</v>
          </cell>
          <cell r="AD124">
            <v>630</v>
          </cell>
          <cell r="AE124">
            <v>798</v>
          </cell>
          <cell r="AF124">
            <v>882</v>
          </cell>
          <cell r="AG124">
            <v>756</v>
          </cell>
          <cell r="AH124">
            <v>378</v>
          </cell>
          <cell r="AI124">
            <v>0</v>
          </cell>
        </row>
      </sheetData>
      <sheetData sheetId="3"/>
      <sheetData sheetId="4"/>
      <sheetData sheetId="5"/>
      <sheetData sheetId="6"/>
      <sheetData sheetId="7">
        <row r="52">
          <cell r="C52">
            <v>0</v>
          </cell>
          <cell r="D52">
            <v>96</v>
          </cell>
          <cell r="E52">
            <v>9885</v>
          </cell>
          <cell r="F52">
            <v>11907</v>
          </cell>
          <cell r="G52">
            <v>11835</v>
          </cell>
          <cell r="H52">
            <v>13804</v>
          </cell>
          <cell r="I52">
            <v>16791</v>
          </cell>
          <cell r="J52">
            <v>28515</v>
          </cell>
          <cell r="K52">
            <v>18715</v>
          </cell>
          <cell r="L52">
            <v>20568</v>
          </cell>
          <cell r="M52">
            <v>18513</v>
          </cell>
          <cell r="N52">
            <v>12683</v>
          </cell>
          <cell r="O52">
            <v>17217</v>
          </cell>
          <cell r="P52">
            <v>8403</v>
          </cell>
          <cell r="Q52">
            <v>9315</v>
          </cell>
          <cell r="R52">
            <v>6522</v>
          </cell>
          <cell r="S52">
            <v>4791</v>
          </cell>
          <cell r="T52">
            <v>3483</v>
          </cell>
          <cell r="U52">
            <v>2640</v>
          </cell>
          <cell r="V52">
            <v>1923</v>
          </cell>
          <cell r="W52">
            <v>2055</v>
          </cell>
          <cell r="X52">
            <v>1365</v>
          </cell>
          <cell r="Y52">
            <v>2601</v>
          </cell>
          <cell r="Z52">
            <v>3858</v>
          </cell>
          <cell r="AA52">
            <v>3759</v>
          </cell>
          <cell r="AB52">
            <v>3123</v>
          </cell>
          <cell r="AC52">
            <v>2214</v>
          </cell>
          <cell r="AD52">
            <v>1854</v>
          </cell>
          <cell r="AE52">
            <v>1350</v>
          </cell>
          <cell r="AF52">
            <v>1497</v>
          </cell>
          <cell r="AG52">
            <v>1101</v>
          </cell>
          <cell r="AH52">
            <v>0</v>
          </cell>
        </row>
        <row r="58">
          <cell r="C58">
            <v>0</v>
          </cell>
          <cell r="D58">
            <v>6819</v>
          </cell>
          <cell r="E58">
            <v>16455</v>
          </cell>
          <cell r="F58">
            <v>20252</v>
          </cell>
          <cell r="G58">
            <v>20081</v>
          </cell>
          <cell r="H58">
            <v>19075</v>
          </cell>
          <cell r="I58">
            <v>23581</v>
          </cell>
          <cell r="J58">
            <v>34509</v>
          </cell>
          <cell r="K58">
            <v>27368</v>
          </cell>
          <cell r="L58">
            <v>25984</v>
          </cell>
          <cell r="M58">
            <v>27654</v>
          </cell>
          <cell r="N58">
            <v>20023</v>
          </cell>
          <cell r="O58">
            <v>24859</v>
          </cell>
          <cell r="P58">
            <v>14562</v>
          </cell>
          <cell r="Q58">
            <v>12574</v>
          </cell>
          <cell r="R58">
            <v>7999</v>
          </cell>
          <cell r="S58">
            <v>5633</v>
          </cell>
          <cell r="T58">
            <v>3483</v>
          </cell>
          <cell r="U58">
            <v>2640</v>
          </cell>
          <cell r="V58">
            <v>1923</v>
          </cell>
          <cell r="W58">
            <v>2055</v>
          </cell>
          <cell r="X58">
            <v>3535</v>
          </cell>
          <cell r="Y58">
            <v>3124</v>
          </cell>
          <cell r="Z58">
            <v>5432</v>
          </cell>
          <cell r="AA58">
            <v>5091</v>
          </cell>
          <cell r="AB58">
            <v>3630</v>
          </cell>
          <cell r="AC58">
            <v>2783</v>
          </cell>
          <cell r="AD58">
            <v>2454</v>
          </cell>
          <cell r="AE58">
            <v>1500</v>
          </cell>
          <cell r="AF58">
            <v>1497</v>
          </cell>
          <cell r="AG58">
            <v>1101</v>
          </cell>
          <cell r="AH58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duct List"/>
      <sheetName val="Revised product list 2013"/>
      <sheetName val="Base"/>
      <sheetName val="SalesAvail"/>
      <sheetName val="Production"/>
      <sheetName val="Availwk25on"/>
      <sheetName val="Analysi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Actual Sow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4">
          <cell r="C14">
            <v>1678</v>
          </cell>
          <cell r="D14">
            <v>628</v>
          </cell>
          <cell r="E14">
            <v>794</v>
          </cell>
          <cell r="F14">
            <v>978</v>
          </cell>
          <cell r="G14">
            <v>700</v>
          </cell>
          <cell r="H14">
            <v>958</v>
          </cell>
          <cell r="I14">
            <v>1954</v>
          </cell>
          <cell r="J14">
            <v>3400</v>
          </cell>
          <cell r="K14">
            <v>3630</v>
          </cell>
          <cell r="L14">
            <v>4528</v>
          </cell>
          <cell r="M14">
            <v>3512</v>
          </cell>
          <cell r="N14">
            <v>2044</v>
          </cell>
          <cell r="O14">
            <v>2272</v>
          </cell>
          <cell r="P14">
            <v>1154</v>
          </cell>
          <cell r="Q14">
            <v>316</v>
          </cell>
          <cell r="R14">
            <v>10</v>
          </cell>
          <cell r="S14">
            <v>0</v>
          </cell>
          <cell r="T14">
            <v>0</v>
          </cell>
        </row>
        <row r="27">
          <cell r="C27">
            <v>0</v>
          </cell>
          <cell r="D27">
            <v>0</v>
          </cell>
          <cell r="E27">
            <v>4198</v>
          </cell>
          <cell r="F27">
            <v>5199</v>
          </cell>
          <cell r="G27">
            <v>2895</v>
          </cell>
          <cell r="H27">
            <v>4653</v>
          </cell>
          <cell r="I27">
            <v>13565</v>
          </cell>
          <cell r="J27">
            <v>17724</v>
          </cell>
          <cell r="K27">
            <v>24117</v>
          </cell>
          <cell r="L27">
            <v>23241</v>
          </cell>
          <cell r="M27">
            <v>21547</v>
          </cell>
          <cell r="N27">
            <v>14767</v>
          </cell>
          <cell r="O27">
            <v>16032</v>
          </cell>
          <cell r="P27">
            <v>10779</v>
          </cell>
          <cell r="Q27">
            <v>13899</v>
          </cell>
          <cell r="R27">
            <v>11061</v>
          </cell>
          <cell r="S27">
            <v>6003</v>
          </cell>
          <cell r="T27">
            <v>4035</v>
          </cell>
          <cell r="U27">
            <v>2736</v>
          </cell>
          <cell r="V27">
            <v>1662</v>
          </cell>
          <cell r="W27">
            <v>1551</v>
          </cell>
          <cell r="X27">
            <v>1227</v>
          </cell>
          <cell r="Y27">
            <v>2022</v>
          </cell>
          <cell r="Z27">
            <v>2349</v>
          </cell>
          <cell r="AA27">
            <v>2742</v>
          </cell>
          <cell r="AB27">
            <v>3147</v>
          </cell>
          <cell r="AC27">
            <v>1977</v>
          </cell>
          <cell r="AD27">
            <v>1575</v>
          </cell>
          <cell r="AE27">
            <v>999</v>
          </cell>
          <cell r="AF27">
            <v>486</v>
          </cell>
          <cell r="AG27">
            <v>255</v>
          </cell>
          <cell r="AH27">
            <v>0</v>
          </cell>
        </row>
        <row r="28">
          <cell r="C28">
            <v>768</v>
          </cell>
          <cell r="D28">
            <v>0</v>
          </cell>
          <cell r="E28">
            <v>7644</v>
          </cell>
          <cell r="F28">
            <v>13806</v>
          </cell>
          <cell r="G28">
            <v>17709</v>
          </cell>
          <cell r="H28">
            <v>18469</v>
          </cell>
          <cell r="I28">
            <v>7572</v>
          </cell>
          <cell r="J28">
            <v>13413</v>
          </cell>
          <cell r="K28">
            <v>7611</v>
          </cell>
          <cell r="L28">
            <v>10476</v>
          </cell>
          <cell r="M28">
            <v>10101</v>
          </cell>
          <cell r="N28">
            <v>12477</v>
          </cell>
          <cell r="O28">
            <v>12969</v>
          </cell>
          <cell r="P28">
            <v>16677</v>
          </cell>
          <cell r="Q28">
            <v>7263</v>
          </cell>
          <cell r="R28">
            <v>4740</v>
          </cell>
          <cell r="S28">
            <v>4735</v>
          </cell>
          <cell r="T28">
            <v>3789</v>
          </cell>
          <cell r="U28">
            <v>2266</v>
          </cell>
          <cell r="V28">
            <v>1017</v>
          </cell>
          <cell r="W28">
            <v>597</v>
          </cell>
          <cell r="X28">
            <v>1444</v>
          </cell>
          <cell r="Y28">
            <v>1440</v>
          </cell>
          <cell r="Z28">
            <v>1416</v>
          </cell>
          <cell r="AA28">
            <v>1434</v>
          </cell>
          <cell r="AB28">
            <v>2592</v>
          </cell>
          <cell r="AC28">
            <v>1222</v>
          </cell>
          <cell r="AD28">
            <v>969</v>
          </cell>
          <cell r="AE28">
            <v>1308</v>
          </cell>
          <cell r="AF28">
            <v>649</v>
          </cell>
          <cell r="AG28">
            <v>0</v>
          </cell>
          <cell r="AH28">
            <v>0</v>
          </cell>
        </row>
        <row r="29">
          <cell r="C29">
            <v>0</v>
          </cell>
          <cell r="D29">
            <v>0</v>
          </cell>
          <cell r="E29">
            <v>3969</v>
          </cell>
          <cell r="F29">
            <v>9837</v>
          </cell>
          <cell r="G29">
            <v>14666</v>
          </cell>
          <cell r="H29">
            <v>16271</v>
          </cell>
          <cell r="I29">
            <v>19878</v>
          </cell>
          <cell r="J29">
            <v>23910</v>
          </cell>
          <cell r="K29">
            <v>19349</v>
          </cell>
          <cell r="L29">
            <v>11147</v>
          </cell>
          <cell r="M29">
            <v>10236</v>
          </cell>
          <cell r="N29">
            <v>6711</v>
          </cell>
          <cell r="O29">
            <v>6102</v>
          </cell>
          <cell r="P29">
            <v>3408</v>
          </cell>
          <cell r="Q29">
            <v>3072</v>
          </cell>
          <cell r="R29">
            <v>1940</v>
          </cell>
          <cell r="S29">
            <v>1527</v>
          </cell>
          <cell r="T29">
            <v>1422</v>
          </cell>
          <cell r="U29">
            <v>1245</v>
          </cell>
          <cell r="V29">
            <v>1218</v>
          </cell>
          <cell r="W29">
            <v>1095</v>
          </cell>
          <cell r="X29">
            <v>1972</v>
          </cell>
          <cell r="Y29">
            <v>2658</v>
          </cell>
          <cell r="Z29">
            <v>2931</v>
          </cell>
          <cell r="AA29">
            <v>3228</v>
          </cell>
          <cell r="AB29">
            <v>2973</v>
          </cell>
          <cell r="AC29">
            <v>1650</v>
          </cell>
          <cell r="AD29">
            <v>1782</v>
          </cell>
          <cell r="AE29">
            <v>801</v>
          </cell>
          <cell r="AF29">
            <v>825</v>
          </cell>
          <cell r="AG29">
            <v>468</v>
          </cell>
          <cell r="AH29">
            <v>0</v>
          </cell>
        </row>
        <row r="30">
          <cell r="C30">
            <v>0</v>
          </cell>
          <cell r="D30">
            <v>0</v>
          </cell>
          <cell r="E30">
            <v>3315</v>
          </cell>
          <cell r="F30">
            <v>8304</v>
          </cell>
          <cell r="G30">
            <v>11447</v>
          </cell>
          <cell r="H30">
            <v>7071</v>
          </cell>
          <cell r="I30">
            <v>12342</v>
          </cell>
          <cell r="J30">
            <v>13692</v>
          </cell>
          <cell r="K30">
            <v>19020</v>
          </cell>
          <cell r="L30">
            <v>10581</v>
          </cell>
          <cell r="M30">
            <v>7447</v>
          </cell>
          <cell r="N30">
            <v>8946</v>
          </cell>
          <cell r="O30">
            <v>8985</v>
          </cell>
          <cell r="P30">
            <v>4893</v>
          </cell>
          <cell r="Q30">
            <v>2670</v>
          </cell>
          <cell r="R30">
            <v>1263</v>
          </cell>
          <cell r="S30">
            <v>1224</v>
          </cell>
          <cell r="T30">
            <v>879</v>
          </cell>
          <cell r="U30">
            <v>879</v>
          </cell>
          <cell r="V30">
            <v>885</v>
          </cell>
          <cell r="W30">
            <v>591</v>
          </cell>
          <cell r="X30">
            <v>1497</v>
          </cell>
          <cell r="Y30">
            <v>2259</v>
          </cell>
          <cell r="Z30">
            <v>2697</v>
          </cell>
          <cell r="AA30">
            <v>2382</v>
          </cell>
          <cell r="AB30">
            <v>2664</v>
          </cell>
          <cell r="AC30">
            <v>1702</v>
          </cell>
          <cell r="AD30">
            <v>1755</v>
          </cell>
          <cell r="AE30">
            <v>1362</v>
          </cell>
          <cell r="AF30">
            <v>870</v>
          </cell>
          <cell r="AG30">
            <v>576</v>
          </cell>
          <cell r="AH30">
            <v>0</v>
          </cell>
        </row>
        <row r="34">
          <cell r="C34">
            <v>770</v>
          </cell>
          <cell r="D34">
            <v>3709</v>
          </cell>
          <cell r="E34">
            <v>14867</v>
          </cell>
          <cell r="F34">
            <v>10011</v>
          </cell>
          <cell r="G34">
            <v>4793</v>
          </cell>
          <cell r="H34">
            <v>9973</v>
          </cell>
          <cell r="I34">
            <v>18515</v>
          </cell>
          <cell r="J34">
            <v>25204</v>
          </cell>
          <cell r="K34">
            <v>31392</v>
          </cell>
          <cell r="L34">
            <v>31274</v>
          </cell>
          <cell r="M34">
            <v>35262</v>
          </cell>
          <cell r="N34">
            <v>21827</v>
          </cell>
          <cell r="O34">
            <v>24219</v>
          </cell>
          <cell r="P34">
            <v>17215</v>
          </cell>
          <cell r="Q34">
            <v>20032</v>
          </cell>
          <cell r="R34">
            <v>17964</v>
          </cell>
          <cell r="S34">
            <v>8459</v>
          </cell>
          <cell r="T34">
            <v>5361</v>
          </cell>
          <cell r="U34">
            <v>2736</v>
          </cell>
          <cell r="V34">
            <v>1662</v>
          </cell>
          <cell r="W34">
            <v>1551</v>
          </cell>
          <cell r="X34">
            <v>3897</v>
          </cell>
          <cell r="Y34">
            <v>3613</v>
          </cell>
          <cell r="Z34">
            <v>3325</v>
          </cell>
          <cell r="AA34">
            <v>3667</v>
          </cell>
          <cell r="AB34">
            <v>3860</v>
          </cell>
          <cell r="AC34">
            <v>2572</v>
          </cell>
          <cell r="AD34">
            <v>2048</v>
          </cell>
          <cell r="AE34">
            <v>1366</v>
          </cell>
          <cell r="AF34">
            <v>692</v>
          </cell>
          <cell r="AG34">
            <v>255</v>
          </cell>
          <cell r="AH34"/>
        </row>
        <row r="35">
          <cell r="C35">
            <v>768</v>
          </cell>
          <cell r="D35">
            <v>0</v>
          </cell>
          <cell r="E35">
            <v>18139</v>
          </cell>
          <cell r="F35">
            <v>16732</v>
          </cell>
          <cell r="G35">
            <v>26694</v>
          </cell>
          <cell r="H35">
            <v>35652</v>
          </cell>
          <cell r="I35">
            <v>16670</v>
          </cell>
          <cell r="J35">
            <v>16580</v>
          </cell>
          <cell r="K35">
            <v>13263</v>
          </cell>
          <cell r="L35">
            <v>16225</v>
          </cell>
          <cell r="M35">
            <v>15977</v>
          </cell>
          <cell r="N35">
            <v>17980</v>
          </cell>
          <cell r="O35">
            <v>18539</v>
          </cell>
          <cell r="P35">
            <v>21175</v>
          </cell>
          <cell r="Q35">
            <v>10133</v>
          </cell>
          <cell r="R35">
            <v>8764</v>
          </cell>
          <cell r="S35">
            <v>8322</v>
          </cell>
          <cell r="T35">
            <v>4810</v>
          </cell>
          <cell r="U35">
            <v>2266</v>
          </cell>
          <cell r="V35">
            <v>303</v>
          </cell>
          <cell r="W35">
            <v>597</v>
          </cell>
          <cell r="X35">
            <v>5085</v>
          </cell>
          <cell r="Y35">
            <v>2351</v>
          </cell>
          <cell r="Z35">
            <v>2701</v>
          </cell>
          <cell r="AA35">
            <v>2468</v>
          </cell>
          <cell r="AB35">
            <v>3641</v>
          </cell>
          <cell r="AC35">
            <v>1713</v>
          </cell>
          <cell r="AD35">
            <v>1408</v>
          </cell>
          <cell r="AE35">
            <v>1617</v>
          </cell>
          <cell r="AF35">
            <v>816</v>
          </cell>
        </row>
        <row r="36">
          <cell r="C36">
            <v>0</v>
          </cell>
          <cell r="D36">
            <v>0</v>
          </cell>
          <cell r="E36">
            <v>16803</v>
          </cell>
          <cell r="F36">
            <v>15704</v>
          </cell>
          <cell r="G36">
            <v>21416</v>
          </cell>
          <cell r="H36">
            <v>26242</v>
          </cell>
          <cell r="I36">
            <v>31169</v>
          </cell>
          <cell r="J36">
            <v>32480</v>
          </cell>
          <cell r="K36">
            <v>31531</v>
          </cell>
          <cell r="L36">
            <v>20441</v>
          </cell>
          <cell r="M36">
            <v>17749</v>
          </cell>
          <cell r="N36">
            <v>13846</v>
          </cell>
          <cell r="O36">
            <v>10873</v>
          </cell>
          <cell r="P36">
            <v>5801</v>
          </cell>
          <cell r="Q36">
            <v>5605</v>
          </cell>
          <cell r="R36">
            <v>4191</v>
          </cell>
          <cell r="S36">
            <v>2565</v>
          </cell>
          <cell r="T36">
            <v>2650</v>
          </cell>
          <cell r="U36">
            <v>2030</v>
          </cell>
          <cell r="V36">
            <v>1218</v>
          </cell>
          <cell r="W36">
            <v>1575</v>
          </cell>
          <cell r="X36">
            <v>4120</v>
          </cell>
          <cell r="Y36">
            <v>3845</v>
          </cell>
          <cell r="Z36">
            <v>3867</v>
          </cell>
          <cell r="AA36">
            <v>4246</v>
          </cell>
          <cell r="AB36">
            <v>3879</v>
          </cell>
          <cell r="AC36">
            <v>2572</v>
          </cell>
          <cell r="AD36">
            <v>2374</v>
          </cell>
          <cell r="AE36">
            <v>1402</v>
          </cell>
          <cell r="AF36">
            <v>825</v>
          </cell>
          <cell r="AG36">
            <v>468</v>
          </cell>
        </row>
        <row r="37">
          <cell r="C37">
            <v>0</v>
          </cell>
          <cell r="D37">
            <v>0</v>
          </cell>
          <cell r="E37">
            <v>9893</v>
          </cell>
          <cell r="F37">
            <v>15721</v>
          </cell>
          <cell r="G37">
            <v>16372</v>
          </cell>
          <cell r="H37">
            <v>11639</v>
          </cell>
          <cell r="I37">
            <v>19658</v>
          </cell>
          <cell r="J37">
            <v>24037</v>
          </cell>
          <cell r="K37">
            <v>24987</v>
          </cell>
          <cell r="L37">
            <v>17232</v>
          </cell>
          <cell r="M37">
            <v>17745</v>
          </cell>
          <cell r="N37">
            <v>13488</v>
          </cell>
          <cell r="O37">
            <v>14523</v>
          </cell>
          <cell r="P37">
            <v>6902</v>
          </cell>
          <cell r="Q37">
            <v>5167</v>
          </cell>
          <cell r="R37">
            <v>3085</v>
          </cell>
          <cell r="S37">
            <v>2472</v>
          </cell>
          <cell r="T37">
            <v>2171</v>
          </cell>
          <cell r="U37">
            <v>2091</v>
          </cell>
          <cell r="V37">
            <v>0</v>
          </cell>
          <cell r="W37">
            <v>1203</v>
          </cell>
          <cell r="X37">
            <v>2046</v>
          </cell>
          <cell r="Y37">
            <v>4361</v>
          </cell>
          <cell r="Z37">
            <v>3796</v>
          </cell>
          <cell r="AA37">
            <v>3454</v>
          </cell>
          <cell r="AB37">
            <v>3465</v>
          </cell>
          <cell r="AC37">
            <v>2627</v>
          </cell>
          <cell r="AD37">
            <v>2406</v>
          </cell>
          <cell r="AE37">
            <v>1976</v>
          </cell>
          <cell r="AF37">
            <v>1318</v>
          </cell>
          <cell r="AG37">
            <v>725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1strip V1"/>
      <sheetName val="21strip"/>
      <sheetName val="21pot"/>
      <sheetName val="21pot V1"/>
      <sheetName val="21Herb"/>
      <sheetName val="21Herb V1"/>
      <sheetName val="Homebase Summary"/>
      <sheetName val="Space Vol"/>
    </sheetNames>
    <sheetDataSet>
      <sheetData sheetId="0" refreshError="1"/>
      <sheetData sheetId="1">
        <row r="4">
          <cell r="U4">
            <v>0.1</v>
          </cell>
        </row>
        <row r="31">
          <cell r="F31">
            <v>46008</v>
          </cell>
        </row>
      </sheetData>
      <sheetData sheetId="2">
        <row r="4">
          <cell r="U4">
            <v>0.1</v>
          </cell>
        </row>
        <row r="68">
          <cell r="F68">
            <v>164186</v>
          </cell>
        </row>
      </sheetData>
      <sheetData sheetId="3" refreshError="1"/>
      <sheetData sheetId="4">
        <row r="4">
          <cell r="U4">
            <v>0.1</v>
          </cell>
        </row>
        <row r="20">
          <cell r="F20">
            <v>62680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rip"/>
      <sheetName val="pot"/>
      <sheetName val="herb"/>
      <sheetName val="Wallflowers"/>
      <sheetName val="Stripbyweek"/>
      <sheetName val="potbyweek"/>
      <sheetName val="herbsbyweek"/>
      <sheetName val="Dobbies"/>
      <sheetName val="DobbiesReduced"/>
      <sheetName val="Sheet1"/>
    </sheetNames>
    <sheetDataSet>
      <sheetData sheetId="0"/>
      <sheetData sheetId="1"/>
      <sheetData sheetId="2"/>
      <sheetData sheetId="3"/>
      <sheetData sheetId="4">
        <row r="8">
          <cell r="C8">
            <v>0</v>
          </cell>
          <cell r="D8">
            <v>14667.746200224808</v>
          </cell>
          <cell r="E8">
            <v>11796.670016720323</v>
          </cell>
          <cell r="F8">
            <v>12416.73646951601</v>
          </cell>
          <cell r="G8">
            <v>20430.505156034582</v>
          </cell>
          <cell r="H8">
            <v>24038.121887923982</v>
          </cell>
          <cell r="I8">
            <v>23045.286361681145</v>
          </cell>
          <cell r="J8">
            <v>22606.328845029369</v>
          </cell>
          <cell r="K8">
            <v>26308.103918299079</v>
          </cell>
          <cell r="L8">
            <v>30919.149780801046</v>
          </cell>
          <cell r="M8">
            <v>26987.207906453725</v>
          </cell>
          <cell r="N8">
            <v>27099.046763368791</v>
          </cell>
          <cell r="O8">
            <v>24078.443283309833</v>
          </cell>
          <cell r="P8">
            <v>17328.140756724679</v>
          </cell>
          <cell r="Q8">
            <v>14176.223465053487</v>
          </cell>
          <cell r="R8">
            <v>9625.3539405673437</v>
          </cell>
          <cell r="S8">
            <v>7427.1335695620337</v>
          </cell>
          <cell r="T8">
            <v>3996.0384126032104</v>
          </cell>
          <cell r="U8">
            <v>4110.3967053800252</v>
          </cell>
          <cell r="V8">
            <v>4152.9184180494804</v>
          </cell>
          <cell r="W8">
            <v>3098.2831296937925</v>
          </cell>
          <cell r="X8">
            <v>2615.0471094367472</v>
          </cell>
          <cell r="Y8">
            <v>2710.6424468202326</v>
          </cell>
          <cell r="Z8">
            <v>13058.470101498413</v>
          </cell>
          <cell r="AA8">
            <v>3273.0952041177247</v>
          </cell>
          <cell r="AB8">
            <v>1835.6805521965291</v>
          </cell>
          <cell r="AC8">
            <v>2879.163267485199</v>
          </cell>
          <cell r="AD8">
            <v>1860.5089798436936</v>
          </cell>
          <cell r="AE8">
            <v>1671.7865873467435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</row>
        <row r="9">
          <cell r="C9">
            <v>0</v>
          </cell>
          <cell r="D9">
            <v>4452.2711304795239</v>
          </cell>
          <cell r="E9">
            <v>3004.387295017923</v>
          </cell>
          <cell r="F9">
            <v>3245.1843673432477</v>
          </cell>
          <cell r="G9">
            <v>1870.470721699905</v>
          </cell>
          <cell r="H9">
            <v>2750.8258075259096</v>
          </cell>
          <cell r="I9">
            <v>3250.005132881437</v>
          </cell>
          <cell r="J9">
            <v>2828.3327453979928</v>
          </cell>
          <cell r="K9">
            <v>1466.4954874691846</v>
          </cell>
          <cell r="L9">
            <v>3747.8826903311447</v>
          </cell>
          <cell r="M9">
            <v>1057.182988893212</v>
          </cell>
          <cell r="N9">
            <v>1144.8114821728618</v>
          </cell>
          <cell r="O9">
            <v>1027.0227633630684</v>
          </cell>
          <cell r="P9">
            <v>351.59005551195014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</row>
        <row r="10">
          <cell r="C10">
            <v>0</v>
          </cell>
          <cell r="D10">
            <v>2030.8613412945347</v>
          </cell>
          <cell r="E10">
            <v>1042.0874534800321</v>
          </cell>
          <cell r="F10">
            <v>675.92379341859794</v>
          </cell>
          <cell r="G10">
            <v>571.50363013692663</v>
          </cell>
          <cell r="H10">
            <v>1707.8029188245073</v>
          </cell>
          <cell r="I10">
            <v>1835.1315729909243</v>
          </cell>
          <cell r="J10">
            <v>1070.062947510708</v>
          </cell>
          <cell r="K10">
            <v>265.95756360098324</v>
          </cell>
          <cell r="L10">
            <v>1341.1102469299087</v>
          </cell>
          <cell r="M10">
            <v>327.3303224504462</v>
          </cell>
          <cell r="N10">
            <v>354.43241629119478</v>
          </cell>
          <cell r="O10">
            <v>509.27335200310608</v>
          </cell>
          <cell r="P10">
            <v>188.45393269642682</v>
          </cell>
          <cell r="Q10">
            <v>235.89725926993464</v>
          </cell>
          <cell r="R10">
            <v>163.19185426408737</v>
          </cell>
          <cell r="S10">
            <v>30.723528224191973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</row>
        <row r="15">
          <cell r="C15">
            <v>0</v>
          </cell>
          <cell r="D15">
            <v>120166.25174338587</v>
          </cell>
          <cell r="E15">
            <v>96644.815066485113</v>
          </cell>
          <cell r="F15">
            <v>101724.74080607371</v>
          </cell>
          <cell r="G15">
            <v>167377.94561695965</v>
          </cell>
          <cell r="H15">
            <v>196933.52794570409</v>
          </cell>
          <cell r="I15">
            <v>188799.6727400253</v>
          </cell>
          <cell r="J15">
            <v>185203.49110921551</v>
          </cell>
          <cell r="K15">
            <v>215530.47040649163</v>
          </cell>
          <cell r="L15">
            <v>253306.69657989085</v>
          </cell>
          <cell r="M15">
            <v>221094.0641370184</v>
          </cell>
          <cell r="N15">
            <v>222010.30962226837</v>
          </cell>
          <cell r="O15">
            <v>197263.86301439421</v>
          </cell>
          <cell r="P15">
            <v>141961.66854765243</v>
          </cell>
          <cell r="Q15">
            <v>116139.42690431896</v>
          </cell>
          <cell r="R15">
            <v>78856.198420155313</v>
          </cell>
          <cell r="S15">
            <v>60847.166979073067</v>
          </cell>
          <cell r="T15">
            <v>32737.746570618852</v>
          </cell>
          <cell r="U15">
            <v>33674.632661445263</v>
          </cell>
          <cell r="V15">
            <v>34022.99394063888</v>
          </cell>
          <cell r="W15">
            <v>25382.84106179608</v>
          </cell>
          <cell r="X15">
            <v>21423.905553299894</v>
          </cell>
          <cell r="Y15">
            <v>22207.075184183046</v>
          </cell>
          <cell r="Z15">
            <v>106982.176005751</v>
          </cell>
          <cell r="AA15">
            <v>26814.997812823571</v>
          </cell>
          <cell r="AB15">
            <v>15038.905660387334</v>
          </cell>
          <cell r="AC15">
            <v>23587.69052096314</v>
          </cell>
          <cell r="AD15">
            <v>15242.313808190975</v>
          </cell>
          <cell r="AE15">
            <v>13696.196073616662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C16">
            <v>0</v>
          </cell>
          <cell r="D16">
            <v>46338.025512314642</v>
          </cell>
          <cell r="E16">
            <v>31268.844831204231</v>
          </cell>
          <cell r="F16">
            <v>33774.995187662826</v>
          </cell>
          <cell r="G16">
            <v>19467.34991694738</v>
          </cell>
          <cell r="H16">
            <v>28629.845917613831</v>
          </cell>
          <cell r="I16">
            <v>33825.168402624571</v>
          </cell>
          <cell r="J16">
            <v>29436.517020797783</v>
          </cell>
          <cell r="K16">
            <v>15262.88568700048</v>
          </cell>
          <cell r="L16">
            <v>39006.942441760562</v>
          </cell>
          <cell r="M16">
            <v>11002.872663157548</v>
          </cell>
          <cell r="N16">
            <v>11914.88615878686</v>
          </cell>
          <cell r="O16">
            <v>10688.973248877619</v>
          </cell>
          <cell r="P16">
            <v>3659.2535550354423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</row>
        <row r="17">
          <cell r="C17">
            <v>0</v>
          </cell>
          <cell r="D17">
            <v>23292.136869487265</v>
          </cell>
          <cell r="E17">
            <v>11951.797546631291</v>
          </cell>
          <cell r="F17">
            <v>7752.2326066896749</v>
          </cell>
          <cell r="G17">
            <v>6554.6280801588009</v>
          </cell>
          <cell r="H17">
            <v>19586.94989290322</v>
          </cell>
          <cell r="I17">
            <v>21047.29402371489</v>
          </cell>
          <cell r="J17">
            <v>12272.651079417863</v>
          </cell>
          <cell r="K17">
            <v>3050.2919361893796</v>
          </cell>
          <cell r="L17">
            <v>15381.317667237514</v>
          </cell>
          <cell r="M17">
            <v>3754.1817932233989</v>
          </cell>
          <cell r="N17">
            <v>4065.0182183168104</v>
          </cell>
          <cell r="O17">
            <v>5840.9032550088632</v>
          </cell>
          <cell r="P17">
            <v>2161.3956131344316</v>
          </cell>
          <cell r="Q17">
            <v>2705.5275209236306</v>
          </cell>
          <cell r="R17">
            <v>1871.6624952256022</v>
          </cell>
          <cell r="S17">
            <v>352.37099153961839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</sheetData>
      <sheetData sheetId="5">
        <row r="4">
          <cell r="C4">
            <v>0</v>
          </cell>
          <cell r="D4">
            <v>54562.294489803622</v>
          </cell>
          <cell r="E4">
            <v>62034.902085385933</v>
          </cell>
          <cell r="F4">
            <v>89983.958771941863</v>
          </cell>
          <cell r="G4">
            <v>164251.67408339592</v>
          </cell>
          <cell r="H4">
            <v>140514.97657037777</v>
          </cell>
          <cell r="I4">
            <v>133027.65019726599</v>
          </cell>
          <cell r="J4">
            <v>157964.60014677153</v>
          </cell>
          <cell r="K4">
            <v>182837.70739168639</v>
          </cell>
          <cell r="L4">
            <v>190344.42378776029</v>
          </cell>
          <cell r="M4">
            <v>167304.98067039475</v>
          </cell>
          <cell r="N4">
            <v>137218.07629060798</v>
          </cell>
          <cell r="O4">
            <v>105759.35266326141</v>
          </cell>
          <cell r="P4">
            <v>72468.246843786663</v>
          </cell>
          <cell r="Q4">
            <v>51931.203169863955</v>
          </cell>
          <cell r="R4">
            <v>29877.407370471701</v>
          </cell>
          <cell r="S4">
            <v>13385.809076703925</v>
          </cell>
          <cell r="T4">
            <v>1731.8106701871027</v>
          </cell>
          <cell r="U4">
            <v>100.62572033316553</v>
          </cell>
        </row>
        <row r="5">
          <cell r="C5">
            <v>0</v>
          </cell>
          <cell r="D5">
            <v>4808.880814552117</v>
          </cell>
          <cell r="E5">
            <v>11518.740199389011</v>
          </cell>
          <cell r="F5">
            <v>24356.770568064527</v>
          </cell>
          <cell r="G5">
            <v>50531.607492538889</v>
          </cell>
          <cell r="H5">
            <v>50119.456464242088</v>
          </cell>
          <cell r="I5">
            <v>46801.259475408966</v>
          </cell>
          <cell r="J5">
            <v>54838.251584708043</v>
          </cell>
          <cell r="K5">
            <v>69782.36246416693</v>
          </cell>
          <cell r="L5">
            <v>70966.968407000473</v>
          </cell>
          <cell r="M5">
            <v>58984.314328944376</v>
          </cell>
          <cell r="N5">
            <v>54801.856847330942</v>
          </cell>
          <cell r="O5">
            <v>40073.268883159108</v>
          </cell>
          <cell r="P5">
            <v>27491.773980974122</v>
          </cell>
          <cell r="Q5">
            <v>19702.99437857273</v>
          </cell>
          <cell r="R5">
            <v>13116.794216954806</v>
          </cell>
          <cell r="S5">
            <v>5176.8971573313001</v>
          </cell>
          <cell r="T5">
            <v>1552.135351431112</v>
          </cell>
          <cell r="U5">
            <v>912.76738523055144</v>
          </cell>
        </row>
        <row r="6">
          <cell r="C6">
            <v>0</v>
          </cell>
          <cell r="D6">
            <v>0</v>
          </cell>
          <cell r="E6">
            <v>7872.4800000000005</v>
          </cell>
          <cell r="F6">
            <v>25585.56</v>
          </cell>
          <cell r="G6">
            <v>9840.6</v>
          </cell>
          <cell r="H6">
            <v>7872.4800000000005</v>
          </cell>
          <cell r="I6">
            <v>6888.420000000001</v>
          </cell>
          <cell r="J6">
            <v>23617.439999999999</v>
          </cell>
          <cell r="K6">
            <v>3936.2400000000002</v>
          </cell>
          <cell r="L6">
            <v>6888.420000000001</v>
          </cell>
          <cell r="M6">
            <v>1968.1200000000001</v>
          </cell>
          <cell r="N6">
            <v>0</v>
          </cell>
          <cell r="O6">
            <v>1968.1200000000001</v>
          </cell>
          <cell r="P6">
            <v>984.06000000000006</v>
          </cell>
          <cell r="Q6">
            <v>984.06000000000006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23500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98329.000000000015</v>
          </cell>
          <cell r="J8">
            <v>0</v>
          </cell>
          <cell r="L8">
            <v>0</v>
          </cell>
          <cell r="M8">
            <v>8939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44984.5</v>
          </cell>
          <cell r="K9">
            <v>0</v>
          </cell>
          <cell r="L9">
            <v>36805.5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49643.000000000007</v>
          </cell>
          <cell r="K10">
            <v>0</v>
          </cell>
          <cell r="L10">
            <v>36104</v>
          </cell>
          <cell r="M10">
            <v>0</v>
          </cell>
          <cell r="N10">
            <v>4513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C11">
            <v>0</v>
          </cell>
          <cell r="D11">
            <v>33567.534</v>
          </cell>
          <cell r="E11">
            <v>11189.177999999998</v>
          </cell>
          <cell r="F11">
            <v>14918.903999999999</v>
          </cell>
          <cell r="G11">
            <v>7459.4519999999993</v>
          </cell>
          <cell r="H11">
            <v>14918.903999999999</v>
          </cell>
          <cell r="I11">
            <v>9324.3150000000005</v>
          </cell>
          <cell r="J11">
            <v>18648.63</v>
          </cell>
          <cell r="K11">
            <v>11189.177999999998</v>
          </cell>
          <cell r="L11">
            <v>29837.807999999997</v>
          </cell>
          <cell r="M11">
            <v>11189.177999999998</v>
          </cell>
          <cell r="N11">
            <v>7459.4519999999993</v>
          </cell>
          <cell r="O11">
            <v>7459.4519999999993</v>
          </cell>
          <cell r="P11">
            <v>9324.3150000000005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40264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35830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20">
          <cell r="C20">
            <v>0</v>
          </cell>
          <cell r="D20">
            <v>37441.513684686426</v>
          </cell>
          <cell r="E20">
            <v>42569.335785396877</v>
          </cell>
          <cell r="F20">
            <v>61748.422702266143</v>
          </cell>
          <cell r="G20">
            <v>112712.10935008203</v>
          </cell>
          <cell r="H20">
            <v>96423.610248765544</v>
          </cell>
          <cell r="I20">
            <v>91285.687888976099</v>
          </cell>
          <cell r="J20">
            <v>108397.81928886131</v>
          </cell>
          <cell r="K20">
            <v>125466.14081014902</v>
          </cell>
          <cell r="L20">
            <v>130617.36891187749</v>
          </cell>
          <cell r="M20">
            <v>114807.33685892558</v>
          </cell>
          <cell r="N20">
            <v>94161.224876297099</v>
          </cell>
          <cell r="O20">
            <v>72573.748722482153</v>
          </cell>
          <cell r="P20">
            <v>49728.862784792283</v>
          </cell>
          <cell r="Q20">
            <v>35636.017002731634</v>
          </cell>
          <cell r="R20">
            <v>20502.351805119139</v>
          </cell>
          <cell r="S20">
            <v>9185.554940686543</v>
          </cell>
          <cell r="T20">
            <v>1188.3960070486719</v>
          </cell>
          <cell r="U20">
            <v>69.05096862430733</v>
          </cell>
        </row>
        <row r="21">
          <cell r="C21">
            <v>0</v>
          </cell>
          <cell r="D21">
            <v>3812.5847377574869</v>
          </cell>
          <cell r="E21">
            <v>9132.3064089028321</v>
          </cell>
          <cell r="F21">
            <v>19310.574603523928</v>
          </cell>
          <cell r="G21">
            <v>40062.551543679496</v>
          </cell>
          <cell r="H21">
            <v>39735.78929260013</v>
          </cell>
          <cell r="I21">
            <v>37105.050939049092</v>
          </cell>
          <cell r="J21">
            <v>43476.952143309834</v>
          </cell>
          <cell r="K21">
            <v>55324.966526608099</v>
          </cell>
          <cell r="L21">
            <v>56264.147744041664</v>
          </cell>
          <cell r="M21">
            <v>46764.040376527482</v>
          </cell>
          <cell r="N21">
            <v>43448.097608209122</v>
          </cell>
          <cell r="O21">
            <v>31770.954454443905</v>
          </cell>
          <cell r="P21">
            <v>21796.073127152853</v>
          </cell>
          <cell r="Q21">
            <v>15620.960167810752</v>
          </cell>
          <cell r="R21">
            <v>10399.278203888116</v>
          </cell>
          <cell r="S21">
            <v>4104.3560554161304</v>
          </cell>
          <cell r="T21">
            <v>1230.5664831394372</v>
          </cell>
          <cell r="U21">
            <v>723.66172842587378</v>
          </cell>
        </row>
        <row r="22">
          <cell r="C22">
            <v>0</v>
          </cell>
          <cell r="D22">
            <v>0</v>
          </cell>
          <cell r="E22">
            <v>7279.9068160000015</v>
          </cell>
          <cell r="F22">
            <v>23659.697152000008</v>
          </cell>
          <cell r="G22">
            <v>9099.8835200000012</v>
          </cell>
          <cell r="H22">
            <v>7279.9068160000015</v>
          </cell>
          <cell r="I22">
            <v>6369.9184640000021</v>
          </cell>
          <cell r="J22">
            <v>21839.720448000004</v>
          </cell>
          <cell r="K22">
            <v>3639.9534080000008</v>
          </cell>
          <cell r="L22">
            <v>6369.9184640000021</v>
          </cell>
          <cell r="M22">
            <v>1819.9767040000004</v>
          </cell>
          <cell r="N22">
            <v>0</v>
          </cell>
          <cell r="O22">
            <v>1819.9767040000004</v>
          </cell>
          <cell r="P22">
            <v>909.98835200000019</v>
          </cell>
          <cell r="Q22">
            <v>909.98835200000019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56556.136000000006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280993.62720000005</v>
          </cell>
          <cell r="J24">
            <v>0</v>
          </cell>
          <cell r="K24">
            <v>204359.00160000005</v>
          </cell>
          <cell r="L24">
            <v>0</v>
          </cell>
          <cell r="M24">
            <v>25544.875200000006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87091.919200000004</v>
          </cell>
          <cell r="K25">
            <v>0</v>
          </cell>
          <cell r="L25">
            <v>71257.024799999999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54331.591600000007</v>
          </cell>
          <cell r="K26">
            <v>0</v>
          </cell>
          <cell r="L26">
            <v>39513.8848</v>
          </cell>
          <cell r="M26">
            <v>0</v>
          </cell>
          <cell r="N26">
            <v>4939.2356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C27">
            <v>0</v>
          </cell>
          <cell r="D27">
            <v>36326.705688000009</v>
          </cell>
          <cell r="E27">
            <v>12108.901895999999</v>
          </cell>
          <cell r="F27">
            <v>16145.202528000002</v>
          </cell>
          <cell r="G27">
            <v>8072.6012640000008</v>
          </cell>
          <cell r="H27">
            <v>16145.202528000002</v>
          </cell>
          <cell r="I27">
            <v>10090.751580000002</v>
          </cell>
          <cell r="J27">
            <v>20181.503160000004</v>
          </cell>
          <cell r="K27">
            <v>12108.901895999999</v>
          </cell>
          <cell r="L27">
            <v>32290.405056000003</v>
          </cell>
          <cell r="M27">
            <v>12108.901895999999</v>
          </cell>
          <cell r="N27">
            <v>8072.6012640000008</v>
          </cell>
          <cell r="O27">
            <v>8072.6012640000008</v>
          </cell>
          <cell r="P27">
            <v>10090.751580000002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66083.804800000013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40781.312000000005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</row>
      </sheetData>
      <sheetData sheetId="6">
        <row r="4">
          <cell r="C4">
            <v>0</v>
          </cell>
          <cell r="D4">
            <v>0</v>
          </cell>
          <cell r="E4">
            <v>0</v>
          </cell>
          <cell r="F4">
            <v>36288</v>
          </cell>
          <cell r="G4">
            <v>4941</v>
          </cell>
          <cell r="H4">
            <v>0</v>
          </cell>
          <cell r="I4">
            <v>793.80000000000007</v>
          </cell>
          <cell r="J4">
            <v>20088</v>
          </cell>
          <cell r="K4">
            <v>70534.8</v>
          </cell>
          <cell r="L4">
            <v>28657.800000000003</v>
          </cell>
          <cell r="M4">
            <v>46014.246000000006</v>
          </cell>
          <cell r="N4">
            <v>29642.760000000006</v>
          </cell>
          <cell r="O4">
            <v>50459.364000000001</v>
          </cell>
          <cell r="P4">
            <v>59369.759999999987</v>
          </cell>
          <cell r="Q4">
            <v>66337.946999999986</v>
          </cell>
          <cell r="R4">
            <v>50342.922000000006</v>
          </cell>
          <cell r="S4">
            <v>73259.64</v>
          </cell>
          <cell r="T4">
            <v>64453.12200000001</v>
          </cell>
          <cell r="U4">
            <v>60160.117499999986</v>
          </cell>
          <cell r="V4">
            <v>32173.001999999997</v>
          </cell>
          <cell r="W4">
            <v>44744.4</v>
          </cell>
          <cell r="X4">
            <v>37256.76</v>
          </cell>
          <cell r="Y4">
            <v>28003.320000000007</v>
          </cell>
          <cell r="Z4">
            <v>15827.400000000001</v>
          </cell>
          <cell r="AA4">
            <v>20332.822500000002</v>
          </cell>
          <cell r="AB4">
            <v>21683.753999999997</v>
          </cell>
          <cell r="AC4">
            <v>12976.199999999999</v>
          </cell>
          <cell r="AD4">
            <v>13101.021000000001</v>
          </cell>
          <cell r="AE4">
            <v>14887.800000000001</v>
          </cell>
          <cell r="AF4">
            <v>7646.4000000000005</v>
          </cell>
          <cell r="AG4">
            <v>18306</v>
          </cell>
          <cell r="AH4">
            <v>9212.8319999999985</v>
          </cell>
          <cell r="AI4">
            <v>10449</v>
          </cell>
          <cell r="AJ4">
            <v>10935</v>
          </cell>
          <cell r="AK4">
            <v>3272.4</v>
          </cell>
          <cell r="AL4">
            <v>6447.5999999999995</v>
          </cell>
          <cell r="AM4">
            <v>4698</v>
          </cell>
          <cell r="AN4">
            <v>6253.2000000000007</v>
          </cell>
          <cell r="AO4">
            <v>0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15040.800000000001</v>
          </cell>
          <cell r="G5">
            <v>3312</v>
          </cell>
          <cell r="H5">
            <v>0</v>
          </cell>
          <cell r="I5">
            <v>2440.8000000000002</v>
          </cell>
          <cell r="J5">
            <v>9568.8000000000011</v>
          </cell>
          <cell r="K5">
            <v>20239.2</v>
          </cell>
          <cell r="L5">
            <v>16790.400000000001</v>
          </cell>
          <cell r="M5">
            <v>13298.4</v>
          </cell>
          <cell r="N5">
            <v>20507.362559999998</v>
          </cell>
          <cell r="O5">
            <v>16735.679999999997</v>
          </cell>
          <cell r="P5">
            <v>24219.359999999997</v>
          </cell>
          <cell r="Q5">
            <v>18781.199999999997</v>
          </cell>
          <cell r="R5">
            <v>20232.408960000004</v>
          </cell>
          <cell r="S5">
            <v>28527.84</v>
          </cell>
          <cell r="T5">
            <v>22397.040000000005</v>
          </cell>
          <cell r="U5">
            <v>28887.390719999996</v>
          </cell>
          <cell r="V5">
            <v>19766.16</v>
          </cell>
          <cell r="W5">
            <v>23176.799999999999</v>
          </cell>
          <cell r="X5">
            <v>19104.48</v>
          </cell>
          <cell r="Y5">
            <v>14423.040000000005</v>
          </cell>
          <cell r="Z5">
            <v>12751.67808</v>
          </cell>
          <cell r="AA5">
            <v>6739.2</v>
          </cell>
          <cell r="AB5">
            <v>6120</v>
          </cell>
          <cell r="AC5">
            <v>9999.0316800000001</v>
          </cell>
          <cell r="AD5">
            <v>4363.2</v>
          </cell>
          <cell r="AE5">
            <v>5220</v>
          </cell>
          <cell r="AF5">
            <v>3441.6</v>
          </cell>
          <cell r="AG5">
            <v>10768.32</v>
          </cell>
          <cell r="AH5">
            <v>2988</v>
          </cell>
          <cell r="AI5">
            <v>5572.8</v>
          </cell>
          <cell r="AJ5">
            <v>2872.8</v>
          </cell>
          <cell r="AK5">
            <v>1987.2</v>
          </cell>
          <cell r="AL5">
            <v>1980</v>
          </cell>
          <cell r="AM5">
            <v>2872.8</v>
          </cell>
          <cell r="AN5">
            <v>2037.6000000000001</v>
          </cell>
          <cell r="AO5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33008.48983309594</v>
          </cell>
          <cell r="G10">
            <v>4494.4595531670811</v>
          </cell>
          <cell r="H10">
            <v>0</v>
          </cell>
          <cell r="I10">
            <v>722.06071509897379</v>
          </cell>
          <cell r="J10">
            <v>18272.556871892397</v>
          </cell>
          <cell r="K10">
            <v>64160.252113080242</v>
          </cell>
          <cell r="L10">
            <v>21067.865408369074</v>
          </cell>
          <cell r="M10">
            <v>36855.731130637563</v>
          </cell>
          <cell r="N10">
            <v>21963.810132410254</v>
          </cell>
          <cell r="O10">
            <v>40899.123775862201</v>
          </cell>
          <cell r="P10">
            <v>54004.247116218743</v>
          </cell>
          <cell r="Q10">
            <v>60342.68764048603</v>
          </cell>
          <cell r="R10">
            <v>45793.205164388841</v>
          </cell>
          <cell r="S10">
            <v>66638.836037154673</v>
          </cell>
          <cell r="T10">
            <v>58628.202773597135</v>
          </cell>
          <cell r="U10">
            <v>54723.176445563462</v>
          </cell>
          <cell r="V10">
            <v>29265.382755102935</v>
          </cell>
          <cell r="W10">
            <v>40700.646838844194</v>
          </cell>
          <cell r="X10">
            <v>33889.698624175915</v>
          </cell>
          <cell r="Y10">
            <v>25472.533716736456</v>
          </cell>
          <cell r="Z10">
            <v>14397.006503095865</v>
          </cell>
          <cell r="AA10">
            <v>18495.253658768586</v>
          </cell>
          <cell r="AB10">
            <v>19724.095388347479</v>
          </cell>
          <cell r="AC10">
            <v>11803.482301924039</v>
          </cell>
          <cell r="AD10">
            <v>11917.022665390114</v>
          </cell>
          <cell r="AE10">
            <v>13542.322391346059</v>
          </cell>
          <cell r="AF10">
            <v>6955.3603576880741</v>
          </cell>
          <cell r="AG10">
            <v>16651.604246160008</v>
          </cell>
          <cell r="AH10">
            <v>8380.2268354833795</v>
          </cell>
          <cell r="AI10">
            <v>9504.6767599762861</v>
          </cell>
          <cell r="AJ10">
            <v>9946.7547488123928</v>
          </cell>
          <cell r="AK10">
            <v>2976.6584581631164</v>
          </cell>
          <cell r="AL10">
            <v>5864.9013185590111</v>
          </cell>
          <cell r="AM10">
            <v>4273.4205587490278</v>
          </cell>
          <cell r="AN10">
            <v>5688.0701230245695</v>
          </cell>
          <cell r="AO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26166.457792644673</v>
          </cell>
          <cell r="G11">
            <v>5761.881562765222</v>
          </cell>
          <cell r="H11">
            <v>0</v>
          </cell>
          <cell r="I11">
            <v>4246.2561951682837</v>
          </cell>
          <cell r="J11">
            <v>16646.827384597786</v>
          </cell>
          <cell r="K11">
            <v>35210.106680289216</v>
          </cell>
          <cell r="L11">
            <v>29210.234357322825</v>
          </cell>
          <cell r="M11">
            <v>23135.207057450792</v>
          </cell>
          <cell r="N11">
            <v>35676.628694265033</v>
          </cell>
          <cell r="O11">
            <v>29115.038053242348</v>
          </cell>
          <cell r="P11">
            <v>42134.385219194897</v>
          </cell>
          <cell r="Q11">
            <v>32673.626209724087</v>
          </cell>
          <cell r="R11">
            <v>35198.292317919659</v>
          </cell>
          <cell r="S11">
            <v>49629.841582583402</v>
          </cell>
          <cell r="T11">
            <v>38964.097776725612</v>
          </cell>
          <cell r="U11">
            <v>50255.35144503718</v>
          </cell>
          <cell r="V11">
            <v>34387.159683172533</v>
          </cell>
          <cell r="W11">
            <v>40320.645109872283</v>
          </cell>
          <cell r="X11">
            <v>33236.035953567916</v>
          </cell>
          <cell r="Y11">
            <v>25091.741622894122</v>
          </cell>
          <cell r="Z11">
            <v>22184.07573172386</v>
          </cell>
          <cell r="AA11">
            <v>11724.176397278799</v>
          </cell>
          <cell r="AB11">
            <v>10646.955061631388</v>
          </cell>
          <cell r="AC11">
            <v>17395.300809932778</v>
          </cell>
          <cell r="AD11">
            <v>7590.6526674689667</v>
          </cell>
          <cell r="AE11">
            <v>9081.2263760973601</v>
          </cell>
          <cell r="AF11">
            <v>5987.3464934821222</v>
          </cell>
          <cell r="AG11">
            <v>18733.630576677533</v>
          </cell>
          <cell r="AH11">
            <v>5198.2192359729725</v>
          </cell>
          <cell r="AI11">
            <v>9694.9920208266994</v>
          </cell>
          <cell r="AJ11">
            <v>4997.8059642246171</v>
          </cell>
          <cell r="AK11">
            <v>3457.1289376591335</v>
          </cell>
          <cell r="AL11">
            <v>3444.6031081748611</v>
          </cell>
          <cell r="AM11">
            <v>4997.8059642246171</v>
          </cell>
          <cell r="AN11">
            <v>3544.8097440490392</v>
          </cell>
          <cell r="AO11">
            <v>0</v>
          </cell>
        </row>
      </sheetData>
      <sheetData sheetId="7"/>
      <sheetData sheetId="8"/>
      <sheetData sheetId="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2"/>
      <sheetName val="Old Targets"/>
      <sheetName val="Reserve Phoning in"/>
      <sheetName val="Targets 2020"/>
      <sheetName val="Total Reserve Value"/>
      <sheetName val="Trolley Deliveries"/>
      <sheetName val="Autumn Strip Range "/>
      <sheetName val="2019"/>
    </sheetNames>
    <sheetDataSet>
      <sheetData sheetId="0">
        <row r="3">
          <cell r="AD3">
            <v>2204</v>
          </cell>
          <cell r="AE3">
            <v>1256</v>
          </cell>
          <cell r="AF3">
            <v>608</v>
          </cell>
          <cell r="AG3">
            <v>704</v>
          </cell>
          <cell r="AH3">
            <v>1412</v>
          </cell>
          <cell r="AI3">
            <v>903</v>
          </cell>
          <cell r="AJ3">
            <v>999</v>
          </cell>
          <cell r="AK3">
            <v>603</v>
          </cell>
          <cell r="AL3">
            <v>879</v>
          </cell>
          <cell r="AM3">
            <v>1035</v>
          </cell>
          <cell r="AN3">
            <v>543</v>
          </cell>
          <cell r="AO3">
            <v>243</v>
          </cell>
          <cell r="AP3">
            <v>279</v>
          </cell>
          <cell r="BL3">
            <v>950</v>
          </cell>
          <cell r="BM3">
            <v>1450</v>
          </cell>
          <cell r="BN3">
            <v>450</v>
          </cell>
          <cell r="BO3">
            <v>500</v>
          </cell>
          <cell r="BP3">
            <v>350</v>
          </cell>
          <cell r="BQ3">
            <v>1550</v>
          </cell>
          <cell r="BR3">
            <v>300</v>
          </cell>
          <cell r="BS3">
            <v>300</v>
          </cell>
          <cell r="BT3">
            <v>200</v>
          </cell>
          <cell r="BU3">
            <v>200</v>
          </cell>
          <cell r="CA3">
            <v>3346</v>
          </cell>
          <cell r="CB3">
            <v>8278</v>
          </cell>
          <cell r="CC3">
            <v>4130</v>
          </cell>
          <cell r="CD3">
            <v>2860</v>
          </cell>
          <cell r="DB3">
            <v>5760</v>
          </cell>
          <cell r="DC3">
            <v>5574</v>
          </cell>
          <cell r="DD3">
            <v>2490</v>
          </cell>
          <cell r="DS3">
            <v>5024</v>
          </cell>
          <cell r="DT3">
            <v>698</v>
          </cell>
          <cell r="DZ3">
            <v>3190</v>
          </cell>
          <cell r="EA3">
            <v>3850</v>
          </cell>
        </row>
        <row r="4">
          <cell r="CS4">
            <v>7104</v>
          </cell>
          <cell r="CU4">
            <v>3144</v>
          </cell>
          <cell r="DJ4">
            <v>604</v>
          </cell>
          <cell r="DL4">
            <v>1540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crualstrip"/>
      <sheetName val="Accrualpot"/>
      <sheetName val="PassVol"/>
      <sheetName val="PassRev Strip"/>
      <sheetName val="PassRev Pot"/>
      <sheetName val="BD"/>
      <sheetName val="Till"/>
      <sheetName val="Prosper"/>
      <sheetName val="GW"/>
      <sheetName val="Grovewell"/>
      <sheetName val="Choice"/>
      <sheetName val="Wye"/>
      <sheetName val="Daily"/>
      <sheetName val="Analysis"/>
      <sheetName val="Transport"/>
      <sheetName val="Stock Calculations"/>
      <sheetName val="Calculations"/>
      <sheetName val="October 8.5cm stock"/>
    </sheetNames>
    <sheetDataSet>
      <sheetData sheetId="0"/>
      <sheetData sheetId="1"/>
      <sheetData sheetId="2">
        <row r="82">
          <cell r="E82">
            <v>1106</v>
          </cell>
          <cell r="F82">
            <v>1710</v>
          </cell>
          <cell r="G82">
            <v>830</v>
          </cell>
          <cell r="H82">
            <v>6168</v>
          </cell>
          <cell r="I82">
            <v>4686</v>
          </cell>
          <cell r="J82">
            <v>6375</v>
          </cell>
          <cell r="K82">
            <v>5622</v>
          </cell>
          <cell r="L82">
            <v>5856</v>
          </cell>
          <cell r="M82">
            <v>5752</v>
          </cell>
          <cell r="N82">
            <v>7570</v>
          </cell>
          <cell r="O82">
            <v>5964</v>
          </cell>
          <cell r="P82">
            <v>4786</v>
          </cell>
          <cell r="Q82">
            <v>4132</v>
          </cell>
          <cell r="R82">
            <v>3815</v>
          </cell>
          <cell r="S82">
            <v>2272</v>
          </cell>
          <cell r="T82">
            <v>1015</v>
          </cell>
          <cell r="U82">
            <v>384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</row>
        <row r="245">
          <cell r="AN245">
            <v>348</v>
          </cell>
        </row>
        <row r="246">
          <cell r="AN246">
            <v>6</v>
          </cell>
        </row>
        <row r="247">
          <cell r="AN247">
            <v>34</v>
          </cell>
        </row>
        <row r="248">
          <cell r="AN248">
            <v>344</v>
          </cell>
        </row>
        <row r="249">
          <cell r="AN249">
            <v>0</v>
          </cell>
        </row>
        <row r="250">
          <cell r="AN250">
            <v>48</v>
          </cell>
        </row>
        <row r="251">
          <cell r="AN251">
            <v>0</v>
          </cell>
        </row>
        <row r="252">
          <cell r="AN252">
            <v>0</v>
          </cell>
        </row>
        <row r="253">
          <cell r="AN253">
            <v>0</v>
          </cell>
        </row>
        <row r="254">
          <cell r="AN254">
            <v>0</v>
          </cell>
        </row>
        <row r="255">
          <cell r="AN255">
            <v>128</v>
          </cell>
        </row>
        <row r="256">
          <cell r="AN256">
            <v>0</v>
          </cell>
        </row>
        <row r="257">
          <cell r="AN257">
            <v>0</v>
          </cell>
        </row>
        <row r="258">
          <cell r="AN258">
            <v>0</v>
          </cell>
        </row>
        <row r="259">
          <cell r="AN259">
            <v>50</v>
          </cell>
        </row>
        <row r="260">
          <cell r="AN260">
            <v>0</v>
          </cell>
        </row>
        <row r="261">
          <cell r="AN261">
            <v>0</v>
          </cell>
        </row>
        <row r="262">
          <cell r="AN262">
            <v>12</v>
          </cell>
        </row>
        <row r="263">
          <cell r="AN263">
            <v>100</v>
          </cell>
        </row>
        <row r="264">
          <cell r="AN264">
            <v>1070</v>
          </cell>
        </row>
        <row r="269">
          <cell r="AN269">
            <v>0</v>
          </cell>
        </row>
        <row r="270">
          <cell r="AN270">
            <v>0</v>
          </cell>
        </row>
        <row r="271">
          <cell r="AN271">
            <v>0</v>
          </cell>
        </row>
        <row r="272">
          <cell r="AN272">
            <v>0</v>
          </cell>
        </row>
        <row r="273">
          <cell r="AN273">
            <v>0</v>
          </cell>
        </row>
        <row r="274">
          <cell r="AN274">
            <v>0</v>
          </cell>
        </row>
        <row r="275">
          <cell r="AN275">
            <v>0</v>
          </cell>
        </row>
        <row r="276">
          <cell r="AN276">
            <v>0</v>
          </cell>
        </row>
        <row r="277">
          <cell r="AN277">
            <v>0</v>
          </cell>
        </row>
        <row r="278">
          <cell r="AN278">
            <v>0</v>
          </cell>
        </row>
        <row r="279">
          <cell r="AN279">
            <v>0</v>
          </cell>
        </row>
        <row r="280">
          <cell r="AN280">
            <v>0</v>
          </cell>
        </row>
        <row r="281">
          <cell r="AN281">
            <v>0</v>
          </cell>
        </row>
        <row r="282">
          <cell r="AN282">
            <v>0</v>
          </cell>
        </row>
        <row r="283">
          <cell r="AN283">
            <v>0</v>
          </cell>
        </row>
        <row r="284">
          <cell r="AN284">
            <v>0</v>
          </cell>
        </row>
        <row r="285">
          <cell r="AN285">
            <v>0</v>
          </cell>
        </row>
        <row r="286">
          <cell r="AN286">
            <v>0</v>
          </cell>
        </row>
        <row r="287">
          <cell r="AN287">
            <v>0</v>
          </cell>
        </row>
        <row r="288">
          <cell r="AN288">
            <v>0</v>
          </cell>
        </row>
        <row r="293">
          <cell r="AN293">
            <v>0</v>
          </cell>
        </row>
        <row r="294">
          <cell r="AN294">
            <v>0</v>
          </cell>
        </row>
        <row r="295">
          <cell r="AN295">
            <v>0</v>
          </cell>
        </row>
        <row r="296">
          <cell r="AN296">
            <v>0</v>
          </cell>
        </row>
        <row r="297">
          <cell r="AN297">
            <v>0</v>
          </cell>
        </row>
        <row r="298">
          <cell r="AN298">
            <v>0</v>
          </cell>
        </row>
        <row r="299">
          <cell r="AN299">
            <v>0</v>
          </cell>
        </row>
        <row r="300">
          <cell r="AN300">
            <v>0</v>
          </cell>
        </row>
        <row r="301">
          <cell r="AN301">
            <v>0</v>
          </cell>
        </row>
        <row r="302">
          <cell r="AN302">
            <v>0</v>
          </cell>
        </row>
        <row r="303">
          <cell r="AN303">
            <v>0</v>
          </cell>
        </row>
        <row r="304">
          <cell r="AN304">
            <v>0</v>
          </cell>
        </row>
        <row r="305">
          <cell r="AN305">
            <v>0</v>
          </cell>
        </row>
        <row r="306">
          <cell r="AN306">
            <v>0</v>
          </cell>
        </row>
        <row r="307">
          <cell r="AN307">
            <v>0</v>
          </cell>
        </row>
        <row r="308">
          <cell r="AN308">
            <v>0</v>
          </cell>
        </row>
        <row r="309">
          <cell r="AN309">
            <v>0</v>
          </cell>
        </row>
        <row r="310">
          <cell r="AN310">
            <v>0</v>
          </cell>
        </row>
        <row r="311">
          <cell r="AN311">
            <v>0</v>
          </cell>
        </row>
        <row r="312">
          <cell r="AN312">
            <v>0</v>
          </cell>
        </row>
        <row r="317">
          <cell r="AN317">
            <v>0</v>
          </cell>
        </row>
        <row r="318">
          <cell r="AN318">
            <v>0</v>
          </cell>
        </row>
        <row r="319">
          <cell r="AN319">
            <v>0</v>
          </cell>
        </row>
        <row r="320">
          <cell r="AN320">
            <v>0</v>
          </cell>
        </row>
        <row r="321">
          <cell r="AN321">
            <v>0</v>
          </cell>
        </row>
        <row r="322">
          <cell r="AN322">
            <v>0</v>
          </cell>
        </row>
        <row r="323">
          <cell r="AN323">
            <v>0</v>
          </cell>
        </row>
        <row r="324">
          <cell r="AN324">
            <v>0</v>
          </cell>
        </row>
        <row r="325">
          <cell r="AN325">
            <v>0</v>
          </cell>
        </row>
        <row r="326">
          <cell r="AN326">
            <v>0</v>
          </cell>
        </row>
        <row r="327">
          <cell r="AN327">
            <v>0</v>
          </cell>
        </row>
        <row r="328">
          <cell r="AN328">
            <v>0</v>
          </cell>
        </row>
        <row r="329">
          <cell r="AN329">
            <v>0</v>
          </cell>
        </row>
        <row r="330">
          <cell r="AN330">
            <v>0</v>
          </cell>
        </row>
        <row r="331">
          <cell r="AN331">
            <v>0</v>
          </cell>
        </row>
        <row r="332">
          <cell r="AN332">
            <v>0</v>
          </cell>
        </row>
        <row r="333">
          <cell r="AN333">
            <v>0</v>
          </cell>
        </row>
        <row r="334">
          <cell r="AN334">
            <v>0</v>
          </cell>
        </row>
        <row r="335">
          <cell r="AN335">
            <v>0</v>
          </cell>
        </row>
        <row r="336">
          <cell r="AN336">
            <v>0</v>
          </cell>
        </row>
        <row r="341">
          <cell r="AN341">
            <v>0</v>
          </cell>
        </row>
        <row r="342">
          <cell r="AN342">
            <v>0</v>
          </cell>
        </row>
        <row r="343">
          <cell r="AN343">
            <v>0</v>
          </cell>
        </row>
        <row r="344">
          <cell r="AN344">
            <v>0</v>
          </cell>
        </row>
        <row r="345">
          <cell r="AN345">
            <v>0</v>
          </cell>
        </row>
        <row r="346">
          <cell r="AN346">
            <v>0</v>
          </cell>
        </row>
        <row r="347">
          <cell r="AN347">
            <v>0</v>
          </cell>
        </row>
        <row r="348">
          <cell r="AN348">
            <v>0</v>
          </cell>
        </row>
        <row r="349">
          <cell r="AN349">
            <v>0</v>
          </cell>
        </row>
        <row r="350">
          <cell r="AN350">
            <v>0</v>
          </cell>
        </row>
        <row r="351">
          <cell r="AN351">
            <v>0</v>
          </cell>
        </row>
        <row r="352">
          <cell r="AN352">
            <v>0</v>
          </cell>
        </row>
        <row r="353">
          <cell r="AN353">
            <v>0</v>
          </cell>
        </row>
        <row r="354">
          <cell r="AN354">
            <v>0</v>
          </cell>
        </row>
        <row r="355">
          <cell r="AN355">
            <v>0</v>
          </cell>
        </row>
        <row r="356">
          <cell r="AN356">
            <v>0</v>
          </cell>
        </row>
        <row r="357">
          <cell r="AN357">
            <v>0</v>
          </cell>
        </row>
        <row r="358">
          <cell r="AN358">
            <v>0</v>
          </cell>
        </row>
        <row r="359">
          <cell r="AN359">
            <v>0</v>
          </cell>
        </row>
        <row r="360">
          <cell r="AN360">
            <v>0</v>
          </cell>
        </row>
        <row r="365">
          <cell r="AN365">
            <v>0</v>
          </cell>
        </row>
        <row r="366">
          <cell r="AN366">
            <v>0</v>
          </cell>
        </row>
        <row r="367">
          <cell r="AN367">
            <v>0</v>
          </cell>
        </row>
        <row r="368">
          <cell r="AN368">
            <v>0</v>
          </cell>
        </row>
        <row r="369">
          <cell r="AN369">
            <v>0</v>
          </cell>
        </row>
        <row r="370">
          <cell r="AN370">
            <v>0</v>
          </cell>
        </row>
        <row r="371">
          <cell r="AN371">
            <v>0</v>
          </cell>
        </row>
        <row r="372">
          <cell r="AN372">
            <v>0</v>
          </cell>
        </row>
        <row r="373">
          <cell r="AN373">
            <v>0</v>
          </cell>
        </row>
        <row r="374">
          <cell r="AN374">
            <v>0</v>
          </cell>
        </row>
        <row r="375">
          <cell r="AN375">
            <v>0</v>
          </cell>
        </row>
        <row r="376">
          <cell r="AN376">
            <v>0</v>
          </cell>
        </row>
        <row r="377">
          <cell r="AN377">
            <v>0</v>
          </cell>
        </row>
        <row r="378">
          <cell r="AN378">
            <v>0</v>
          </cell>
        </row>
        <row r="379">
          <cell r="AN379">
            <v>0</v>
          </cell>
        </row>
        <row r="380">
          <cell r="AN380">
            <v>0</v>
          </cell>
        </row>
        <row r="381">
          <cell r="AN381">
            <v>0</v>
          </cell>
        </row>
        <row r="382">
          <cell r="AN382">
            <v>0</v>
          </cell>
        </row>
        <row r="383">
          <cell r="AN383">
            <v>0</v>
          </cell>
        </row>
        <row r="384">
          <cell r="AN384">
            <v>0</v>
          </cell>
        </row>
        <row r="389">
          <cell r="AN389">
            <v>0</v>
          </cell>
        </row>
        <row r="390">
          <cell r="AN390">
            <v>0</v>
          </cell>
        </row>
        <row r="391">
          <cell r="AN391">
            <v>0</v>
          </cell>
        </row>
        <row r="392">
          <cell r="AN392">
            <v>0</v>
          </cell>
        </row>
        <row r="393">
          <cell r="AN393">
            <v>0</v>
          </cell>
        </row>
        <row r="394">
          <cell r="AN394">
            <v>0</v>
          </cell>
        </row>
        <row r="395">
          <cell r="AN395">
            <v>0</v>
          </cell>
        </row>
        <row r="396">
          <cell r="AN396">
            <v>0</v>
          </cell>
        </row>
        <row r="397">
          <cell r="AN397">
            <v>0</v>
          </cell>
        </row>
        <row r="398">
          <cell r="AN398">
            <v>0</v>
          </cell>
        </row>
        <row r="399">
          <cell r="AN399">
            <v>0</v>
          </cell>
        </row>
        <row r="400">
          <cell r="AN400">
            <v>0</v>
          </cell>
        </row>
        <row r="401">
          <cell r="AN401">
            <v>0</v>
          </cell>
        </row>
        <row r="402">
          <cell r="AN402">
            <v>0</v>
          </cell>
        </row>
        <row r="403">
          <cell r="AN403">
            <v>0</v>
          </cell>
        </row>
        <row r="404">
          <cell r="AN404">
            <v>0</v>
          </cell>
        </row>
        <row r="405">
          <cell r="AN405">
            <v>0</v>
          </cell>
        </row>
        <row r="406">
          <cell r="AN406">
            <v>0</v>
          </cell>
        </row>
        <row r="407">
          <cell r="AN407">
            <v>0</v>
          </cell>
        </row>
        <row r="408">
          <cell r="AN408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C6">
            <v>312</v>
          </cell>
          <cell r="D6">
            <v>1106</v>
          </cell>
          <cell r="E6">
            <v>8881</v>
          </cell>
          <cell r="F6">
            <v>11036</v>
          </cell>
          <cell r="G6">
            <v>14157</v>
          </cell>
          <cell r="H6">
            <v>14102</v>
          </cell>
          <cell r="I6">
            <v>23621</v>
          </cell>
          <cell r="J6">
            <v>24824</v>
          </cell>
          <cell r="K6">
            <v>25105</v>
          </cell>
          <cell r="L6">
            <v>37555</v>
          </cell>
          <cell r="M6">
            <v>36141</v>
          </cell>
          <cell r="N6">
            <v>35736</v>
          </cell>
          <cell r="O6">
            <v>23892</v>
          </cell>
          <cell r="P6">
            <v>24187</v>
          </cell>
          <cell r="Q6">
            <v>24952</v>
          </cell>
          <cell r="R6">
            <v>14572</v>
          </cell>
          <cell r="S6">
            <v>10280</v>
          </cell>
          <cell r="T6">
            <v>5552</v>
          </cell>
          <cell r="U6">
            <v>2712</v>
          </cell>
          <cell r="V6">
            <v>2868</v>
          </cell>
          <cell r="W6">
            <v>2271</v>
          </cell>
          <cell r="X6">
            <v>2379</v>
          </cell>
          <cell r="Y6">
            <v>2064</v>
          </cell>
          <cell r="Z6">
            <v>2226</v>
          </cell>
          <cell r="AA6">
            <v>20247</v>
          </cell>
          <cell r="AB6">
            <v>1662</v>
          </cell>
          <cell r="AC6">
            <v>1998</v>
          </cell>
          <cell r="AD6">
            <v>22072</v>
          </cell>
          <cell r="AE6">
            <v>3231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</row>
        <row r="30">
          <cell r="D30">
            <v>5868</v>
          </cell>
          <cell r="E30">
            <v>3510</v>
          </cell>
          <cell r="F30">
            <v>140804</v>
          </cell>
          <cell r="G30">
            <v>93128</v>
          </cell>
          <cell r="H30">
            <v>102857</v>
          </cell>
          <cell r="I30">
            <v>196372</v>
          </cell>
          <cell r="J30">
            <v>334729</v>
          </cell>
          <cell r="K30">
            <v>250443</v>
          </cell>
          <cell r="L30">
            <v>415645</v>
          </cell>
          <cell r="M30">
            <v>318965</v>
          </cell>
          <cell r="N30">
            <v>321266</v>
          </cell>
          <cell r="O30">
            <v>146908</v>
          </cell>
          <cell r="P30">
            <v>171983</v>
          </cell>
          <cell r="Q30">
            <v>191505</v>
          </cell>
          <cell r="R30">
            <v>50263</v>
          </cell>
          <cell r="S30">
            <v>52977</v>
          </cell>
          <cell r="T30">
            <v>24138</v>
          </cell>
          <cell r="U30">
            <v>5094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</row>
        <row r="45">
          <cell r="D45">
            <v>6434</v>
          </cell>
          <cell r="E45">
            <v>13542</v>
          </cell>
          <cell r="F45">
            <v>19836</v>
          </cell>
          <cell r="G45">
            <v>8846</v>
          </cell>
          <cell r="H45">
            <v>12652</v>
          </cell>
          <cell r="I45">
            <v>31274</v>
          </cell>
          <cell r="J45">
            <v>37762</v>
          </cell>
          <cell r="K45">
            <v>41684</v>
          </cell>
          <cell r="L45">
            <v>54070</v>
          </cell>
          <cell r="M45">
            <v>53568</v>
          </cell>
          <cell r="N45">
            <v>52826</v>
          </cell>
          <cell r="O45">
            <v>35366</v>
          </cell>
          <cell r="P45">
            <v>26544</v>
          </cell>
          <cell r="Q45">
            <v>31644</v>
          </cell>
          <cell r="R45">
            <v>15440</v>
          </cell>
          <cell r="S45">
            <v>13166</v>
          </cell>
          <cell r="T45">
            <v>11574</v>
          </cell>
          <cell r="U45">
            <v>9398</v>
          </cell>
          <cell r="V45">
            <v>8370</v>
          </cell>
          <cell r="W45">
            <v>7660</v>
          </cell>
          <cell r="X45">
            <v>10852</v>
          </cell>
          <cell r="Y45">
            <v>9342</v>
          </cell>
          <cell r="Z45">
            <v>6794</v>
          </cell>
          <cell r="AA45">
            <v>5344</v>
          </cell>
          <cell r="AB45">
            <v>7138</v>
          </cell>
          <cell r="AC45">
            <v>3088</v>
          </cell>
          <cell r="AD45">
            <v>2192</v>
          </cell>
          <cell r="AE45">
            <v>300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</row>
        <row r="51">
          <cell r="C51">
            <v>0</v>
          </cell>
        </row>
        <row r="92">
          <cell r="C92">
            <v>0</v>
          </cell>
        </row>
      </sheetData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"/>
      <sheetName val="Accrualstrip"/>
      <sheetName val="Accrualpot"/>
      <sheetName val="Accrualherb"/>
      <sheetName val="PassVol"/>
      <sheetName val="PassRev Strip"/>
      <sheetName val="PassRev Pot"/>
      <sheetName val="PassRev Herb"/>
      <sheetName val="BD"/>
      <sheetName val="Till"/>
      <sheetName val="Prosper"/>
      <sheetName val="GW"/>
      <sheetName val="Grovewell"/>
      <sheetName val="Choice"/>
      <sheetName val="BGC"/>
      <sheetName val="Daily"/>
      <sheetName val="Analysis"/>
      <sheetName val="Transport"/>
      <sheetName val="Trolley"/>
      <sheetName val="Stock Calculations"/>
      <sheetName val="Calculations"/>
      <sheetName val="October 8.5cm stock"/>
      <sheetName val="Budg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369</v>
          </cell>
          <cell r="L53">
            <v>289</v>
          </cell>
          <cell r="M53">
            <v>289</v>
          </cell>
          <cell r="N53">
            <v>476</v>
          </cell>
          <cell r="O53">
            <v>545</v>
          </cell>
          <cell r="P53">
            <v>626</v>
          </cell>
          <cell r="Q53">
            <v>618</v>
          </cell>
          <cell r="R53">
            <v>577</v>
          </cell>
          <cell r="S53">
            <v>629</v>
          </cell>
          <cell r="T53">
            <v>604</v>
          </cell>
          <cell r="U53">
            <v>580</v>
          </cell>
          <cell r="V53">
            <v>515</v>
          </cell>
          <cell r="W53">
            <v>552</v>
          </cell>
          <cell r="X53">
            <v>368</v>
          </cell>
          <cell r="Y53">
            <v>249</v>
          </cell>
          <cell r="Z53">
            <v>180</v>
          </cell>
          <cell r="AA53">
            <v>158</v>
          </cell>
          <cell r="AB53">
            <v>129</v>
          </cell>
          <cell r="AC53">
            <v>89</v>
          </cell>
          <cell r="AD53">
            <v>58</v>
          </cell>
          <cell r="AE53">
            <v>66</v>
          </cell>
          <cell r="AF53">
            <v>57</v>
          </cell>
          <cell r="AG53">
            <v>256</v>
          </cell>
          <cell r="AH53">
            <v>60</v>
          </cell>
          <cell r="AI53">
            <v>85</v>
          </cell>
          <cell r="AJ53">
            <v>91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55.918699186991873</v>
          </cell>
          <cell r="L57">
            <v>31.695501730103807</v>
          </cell>
          <cell r="M57">
            <v>31.394463667820069</v>
          </cell>
          <cell r="N57">
            <v>34.502100840336134</v>
          </cell>
          <cell r="O57">
            <v>37.455045871559633</v>
          </cell>
          <cell r="P57">
            <v>40.621405750798722</v>
          </cell>
          <cell r="Q57">
            <v>40.954692556634306</v>
          </cell>
          <cell r="R57">
            <v>42.558058925476601</v>
          </cell>
          <cell r="S57">
            <v>38.678855325914149</v>
          </cell>
          <cell r="T57">
            <v>43.736754966887418</v>
          </cell>
          <cell r="U57">
            <v>48.594827586206897</v>
          </cell>
          <cell r="V57">
            <v>43.592233009708735</v>
          </cell>
          <cell r="W57">
            <v>42.543478260869563</v>
          </cell>
          <cell r="X57">
            <v>35.301630434782609</v>
          </cell>
          <cell r="Y57">
            <v>35.365461847389561</v>
          </cell>
          <cell r="Z57">
            <v>29.872222222222224</v>
          </cell>
          <cell r="AA57">
            <v>30.151898734177216</v>
          </cell>
          <cell r="AB57">
            <v>30.395348837209301</v>
          </cell>
          <cell r="AC57">
            <v>34.629213483146067</v>
          </cell>
          <cell r="AD57">
            <v>24.362068965517242</v>
          </cell>
          <cell r="AE57">
            <v>33.560606060606062</v>
          </cell>
          <cell r="AF57">
            <v>22.192982456140349</v>
          </cell>
          <cell r="AG57">
            <v>29.953125</v>
          </cell>
          <cell r="AH57">
            <v>29.5</v>
          </cell>
          <cell r="AI57">
            <v>28.011764705882353</v>
          </cell>
          <cell r="AJ57">
            <v>30.241758241758241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6</v>
          </cell>
          <cell r="K62">
            <v>20580</v>
          </cell>
          <cell r="L62">
            <v>9160</v>
          </cell>
          <cell r="M62">
            <v>9073</v>
          </cell>
          <cell r="N62">
            <v>16414</v>
          </cell>
          <cell r="O62">
            <v>20413</v>
          </cell>
          <cell r="P62">
            <v>25429</v>
          </cell>
          <cell r="Q62">
            <v>25308</v>
          </cell>
          <cell r="R62">
            <v>24525</v>
          </cell>
          <cell r="S62">
            <v>24307</v>
          </cell>
          <cell r="T62">
            <v>26402</v>
          </cell>
          <cell r="U62">
            <v>28220</v>
          </cell>
          <cell r="V62">
            <v>22441</v>
          </cell>
          <cell r="W62">
            <v>23484</v>
          </cell>
          <cell r="X62">
            <v>12991</v>
          </cell>
          <cell r="Y62">
            <v>8806</v>
          </cell>
          <cell r="Z62">
            <v>5342</v>
          </cell>
          <cell r="AA62">
            <v>4764</v>
          </cell>
          <cell r="AB62">
            <v>3921</v>
          </cell>
          <cell r="AC62">
            <v>3082</v>
          </cell>
          <cell r="AD62">
            <v>1413</v>
          </cell>
          <cell r="AE62">
            <v>2199</v>
          </cell>
          <cell r="AF62">
            <v>1265</v>
          </cell>
          <cell r="AG62">
            <v>7668</v>
          </cell>
          <cell r="AH62">
            <v>1770</v>
          </cell>
          <cell r="AI62">
            <v>2381</v>
          </cell>
          <cell r="AJ62">
            <v>2752</v>
          </cell>
          <cell r="AK62">
            <v>1212</v>
          </cell>
          <cell r="AL62">
            <v>658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6</v>
          </cell>
          <cell r="K77">
            <v>27060</v>
          </cell>
          <cell r="L77">
            <v>11860</v>
          </cell>
          <cell r="M77">
            <v>9073</v>
          </cell>
          <cell r="N77">
            <v>19528</v>
          </cell>
          <cell r="O77">
            <v>22933</v>
          </cell>
          <cell r="P77">
            <v>35689</v>
          </cell>
          <cell r="Q77">
            <v>27414</v>
          </cell>
          <cell r="R77">
            <v>26955</v>
          </cell>
          <cell r="S77">
            <v>26707</v>
          </cell>
          <cell r="T77">
            <v>28562</v>
          </cell>
          <cell r="U77">
            <v>29870</v>
          </cell>
          <cell r="V77">
            <v>23953</v>
          </cell>
          <cell r="W77">
            <v>23484</v>
          </cell>
          <cell r="X77">
            <v>14611</v>
          </cell>
          <cell r="Y77">
            <v>8806</v>
          </cell>
          <cell r="Z77">
            <v>6667</v>
          </cell>
          <cell r="AA77">
            <v>4764</v>
          </cell>
          <cell r="AB77">
            <v>5271</v>
          </cell>
          <cell r="AC77">
            <v>3082</v>
          </cell>
          <cell r="AD77">
            <v>2493</v>
          </cell>
          <cell r="AE77">
            <v>2199</v>
          </cell>
          <cell r="AF77">
            <v>1265</v>
          </cell>
          <cell r="AG77">
            <v>13068</v>
          </cell>
          <cell r="AH77">
            <v>1770</v>
          </cell>
          <cell r="AI77">
            <v>2381</v>
          </cell>
          <cell r="AJ77">
            <v>2752</v>
          </cell>
          <cell r="AK77">
            <v>1212</v>
          </cell>
          <cell r="AL77">
            <v>658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95148</v>
          </cell>
          <cell r="L93">
            <v>86490</v>
          </cell>
          <cell r="M93">
            <v>69048</v>
          </cell>
          <cell r="N93">
            <v>112536</v>
          </cell>
          <cell r="O93">
            <v>161622</v>
          </cell>
          <cell r="P93">
            <v>309990</v>
          </cell>
          <cell r="Q93">
            <v>324094</v>
          </cell>
          <cell r="R93">
            <v>315850</v>
          </cell>
          <cell r="S93">
            <v>318334</v>
          </cell>
          <cell r="T93">
            <v>267322</v>
          </cell>
          <cell r="U93">
            <v>288884</v>
          </cell>
          <cell r="V93">
            <v>209218</v>
          </cell>
          <cell r="W93">
            <v>227724</v>
          </cell>
          <cell r="X93">
            <v>115590</v>
          </cell>
          <cell r="Y93">
            <v>38304</v>
          </cell>
          <cell r="Z93">
            <v>28470</v>
          </cell>
          <cell r="AA93">
            <v>9756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72400</v>
          </cell>
          <cell r="G106">
            <v>9170</v>
          </cell>
          <cell r="H106">
            <v>0</v>
          </cell>
          <cell r="I106">
            <v>4850</v>
          </cell>
          <cell r="J106">
            <v>46210</v>
          </cell>
          <cell r="K106">
            <v>79660</v>
          </cell>
          <cell r="L106">
            <v>54886</v>
          </cell>
          <cell r="M106">
            <v>42284</v>
          </cell>
          <cell r="N106">
            <v>43396</v>
          </cell>
          <cell r="O106">
            <v>77216</v>
          </cell>
          <cell r="P106">
            <v>107588</v>
          </cell>
          <cell r="Q106">
            <v>77540</v>
          </cell>
          <cell r="R106">
            <v>57464</v>
          </cell>
          <cell r="S106">
            <v>68254</v>
          </cell>
          <cell r="T106">
            <v>82028</v>
          </cell>
          <cell r="U106">
            <v>64554</v>
          </cell>
          <cell r="V106">
            <v>38636</v>
          </cell>
          <cell r="W106">
            <v>55884</v>
          </cell>
          <cell r="X106">
            <v>70032</v>
          </cell>
          <cell r="Y106">
            <v>36286</v>
          </cell>
          <cell r="Z106">
            <v>25508</v>
          </cell>
          <cell r="AA106">
            <v>25884</v>
          </cell>
          <cell r="AB106">
            <v>16318</v>
          </cell>
          <cell r="AC106">
            <v>11568</v>
          </cell>
          <cell r="AD106">
            <v>8656</v>
          </cell>
          <cell r="AE106">
            <v>5648</v>
          </cell>
          <cell r="AF106">
            <v>22330</v>
          </cell>
          <cell r="AG106">
            <v>26168</v>
          </cell>
          <cell r="AH106">
            <v>2780</v>
          </cell>
          <cell r="AI106">
            <v>7584</v>
          </cell>
          <cell r="AJ106">
            <v>2278</v>
          </cell>
          <cell r="AK106">
            <v>4236</v>
          </cell>
          <cell r="AL106">
            <v>5168</v>
          </cell>
          <cell r="AM106">
            <v>5840</v>
          </cell>
          <cell r="AN106">
            <v>11372</v>
          </cell>
          <cell r="AO106">
            <v>1370</v>
          </cell>
          <cell r="AP106">
            <v>0</v>
          </cell>
        </row>
      </sheetData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"/>
      <sheetName val="Accrualstrip"/>
      <sheetName val="Accrualpot"/>
      <sheetName val="Accrualherb"/>
      <sheetName val="PassVol"/>
      <sheetName val="PassRev Strip"/>
      <sheetName val="PassRev Pot"/>
      <sheetName val="PassRev Herb"/>
      <sheetName val="BD"/>
      <sheetName val="Till"/>
      <sheetName val="Prosper"/>
      <sheetName val="GW"/>
      <sheetName val="Grovewell"/>
      <sheetName val="Choice"/>
      <sheetName val="BGC"/>
      <sheetName val="Daily"/>
      <sheetName val="Analysis"/>
      <sheetName val="Transport"/>
      <sheetName val="Trolley"/>
      <sheetName val="Stock Calculations"/>
      <sheetName val="Calculations"/>
      <sheetName val="October 8.5cm stock"/>
      <sheetName val="Budg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7">
          <cell r="AQ57">
            <v>40.720451201569396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14943</v>
          </cell>
          <cell r="L62">
            <v>13080</v>
          </cell>
          <cell r="M62">
            <v>13373</v>
          </cell>
          <cell r="N62">
            <v>19418</v>
          </cell>
          <cell r="O62">
            <v>25570</v>
          </cell>
          <cell r="P62">
            <v>21197</v>
          </cell>
          <cell r="Q62">
            <v>23582</v>
          </cell>
          <cell r="R62">
            <v>24412</v>
          </cell>
          <cell r="S62">
            <v>32340</v>
          </cell>
          <cell r="T62">
            <v>24915</v>
          </cell>
          <cell r="U62">
            <v>25384</v>
          </cell>
          <cell r="V62">
            <v>22876</v>
          </cell>
          <cell r="W62">
            <v>16948</v>
          </cell>
          <cell r="X62">
            <v>11992</v>
          </cell>
          <cell r="Y62">
            <v>9188</v>
          </cell>
          <cell r="Z62">
            <v>5663</v>
          </cell>
          <cell r="AA62">
            <v>3794</v>
          </cell>
          <cell r="AB62">
            <v>2628</v>
          </cell>
          <cell r="AC62">
            <v>3929</v>
          </cell>
          <cell r="AD62">
            <v>1644</v>
          </cell>
          <cell r="AE62">
            <v>2528</v>
          </cell>
          <cell r="AF62">
            <v>2598</v>
          </cell>
          <cell r="AG62">
            <v>7282</v>
          </cell>
          <cell r="AH62">
            <v>3117</v>
          </cell>
          <cell r="AI62">
            <v>1752</v>
          </cell>
          <cell r="AJ62">
            <v>2754</v>
          </cell>
          <cell r="AK62">
            <v>1767</v>
          </cell>
          <cell r="AL62">
            <v>1536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21423</v>
          </cell>
          <cell r="L76">
            <v>15780</v>
          </cell>
          <cell r="M76">
            <v>15911</v>
          </cell>
          <cell r="N76">
            <v>21956</v>
          </cell>
          <cell r="O76">
            <v>27730</v>
          </cell>
          <cell r="P76">
            <v>27622</v>
          </cell>
          <cell r="Q76">
            <v>25634</v>
          </cell>
          <cell r="R76">
            <v>26842</v>
          </cell>
          <cell r="S76">
            <v>35034</v>
          </cell>
          <cell r="T76">
            <v>26959</v>
          </cell>
          <cell r="V76">
            <v>24172</v>
          </cell>
          <cell r="W76">
            <v>16948</v>
          </cell>
          <cell r="X76">
            <v>13612</v>
          </cell>
          <cell r="Y76">
            <v>9188</v>
          </cell>
          <cell r="Z76">
            <v>7229</v>
          </cell>
          <cell r="AA76">
            <v>3794</v>
          </cell>
          <cell r="AB76">
            <v>4248</v>
          </cell>
          <cell r="AC76">
            <v>3929</v>
          </cell>
          <cell r="AD76">
            <v>3264</v>
          </cell>
          <cell r="AE76">
            <v>2528</v>
          </cell>
          <cell r="AF76">
            <v>2598</v>
          </cell>
          <cell r="AG76">
            <v>12628</v>
          </cell>
          <cell r="AH76">
            <v>3117</v>
          </cell>
          <cell r="AI76">
            <v>1752</v>
          </cell>
          <cell r="AJ76">
            <v>2754</v>
          </cell>
          <cell r="AK76">
            <v>1767</v>
          </cell>
          <cell r="AL76">
            <v>1536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99990</v>
          </cell>
          <cell r="L91">
            <v>95670</v>
          </cell>
          <cell r="M91">
            <v>168318</v>
          </cell>
          <cell r="N91">
            <v>253854</v>
          </cell>
          <cell r="O91">
            <v>252812</v>
          </cell>
          <cell r="P91">
            <v>250290</v>
          </cell>
          <cell r="Q91">
            <v>439248</v>
          </cell>
          <cell r="R91">
            <v>300344</v>
          </cell>
          <cell r="S91">
            <v>433014</v>
          </cell>
          <cell r="T91">
            <v>267228</v>
          </cell>
          <cell r="U91">
            <v>290484</v>
          </cell>
          <cell r="V91">
            <v>183778</v>
          </cell>
          <cell r="W91">
            <v>111266</v>
          </cell>
          <cell r="X91">
            <v>100524</v>
          </cell>
          <cell r="Y91">
            <v>43470</v>
          </cell>
          <cell r="Z91">
            <v>25155</v>
          </cell>
          <cell r="AA91">
            <v>7020</v>
          </cell>
          <cell r="AB91">
            <v>3186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</row>
        <row r="103">
          <cell r="C103">
            <v>0</v>
          </cell>
          <cell r="D103">
            <v>0</v>
          </cell>
          <cell r="E103">
            <v>5888</v>
          </cell>
          <cell r="F103">
            <v>67734</v>
          </cell>
          <cell r="G103">
            <v>37846</v>
          </cell>
          <cell r="H103">
            <v>19590</v>
          </cell>
          <cell r="I103">
            <v>42702</v>
          </cell>
          <cell r="J103">
            <v>8688</v>
          </cell>
          <cell r="K103">
            <v>9680</v>
          </cell>
          <cell r="L103">
            <v>66808</v>
          </cell>
          <cell r="M103">
            <v>47864</v>
          </cell>
          <cell r="N103">
            <v>78036</v>
          </cell>
          <cell r="O103">
            <v>66038</v>
          </cell>
          <cell r="P103">
            <v>56204</v>
          </cell>
          <cell r="Q103">
            <v>56830</v>
          </cell>
          <cell r="R103">
            <v>64260</v>
          </cell>
          <cell r="S103">
            <v>70588</v>
          </cell>
          <cell r="T103">
            <v>53064</v>
          </cell>
          <cell r="U103">
            <v>65150</v>
          </cell>
          <cell r="V103">
            <v>39908</v>
          </cell>
          <cell r="W103">
            <v>62306</v>
          </cell>
          <cell r="X103">
            <v>27434</v>
          </cell>
          <cell r="Y103">
            <v>33320</v>
          </cell>
          <cell r="Z103">
            <v>12456</v>
          </cell>
          <cell r="AA103">
            <v>6848</v>
          </cell>
          <cell r="AB103">
            <v>7912</v>
          </cell>
          <cell r="AC103">
            <v>7388</v>
          </cell>
          <cell r="AD103">
            <v>12182</v>
          </cell>
          <cell r="AE103">
            <v>11566</v>
          </cell>
          <cell r="AF103">
            <v>6764</v>
          </cell>
          <cell r="AG103">
            <v>11130</v>
          </cell>
          <cell r="AH103">
            <v>3106</v>
          </cell>
          <cell r="AI103">
            <v>4920</v>
          </cell>
          <cell r="AJ103">
            <v>7122</v>
          </cell>
          <cell r="AK103">
            <v>2828</v>
          </cell>
          <cell r="AL103">
            <v>3034</v>
          </cell>
          <cell r="AM103">
            <v>270</v>
          </cell>
          <cell r="AN103">
            <v>2880</v>
          </cell>
          <cell r="AO103">
            <v>0</v>
          </cell>
          <cell r="AP103">
            <v>0</v>
          </cell>
        </row>
      </sheetData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Accrualstrip"/>
      <sheetName val="Accrualpot"/>
      <sheetName val="PassVol"/>
      <sheetName val="PassRev Strip"/>
      <sheetName val="PassRev Pot"/>
      <sheetName val="BD"/>
      <sheetName val="Till"/>
      <sheetName val="Prosper"/>
      <sheetName val="GW"/>
      <sheetName val="Grovewell"/>
      <sheetName val="Choice"/>
      <sheetName val="Wye"/>
      <sheetName val="Daily"/>
      <sheetName val="Analysis"/>
      <sheetName val="Transport"/>
      <sheetName val="Stock Calculations"/>
      <sheetName val="Calculations"/>
      <sheetName val="October 8.5cm sto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3">
          <cell r="D63">
            <v>0</v>
          </cell>
          <cell r="E63">
            <v>13743</v>
          </cell>
          <cell r="F63">
            <v>4437</v>
          </cell>
          <cell r="G63">
            <v>8837</v>
          </cell>
          <cell r="H63">
            <v>19965</v>
          </cell>
          <cell r="I63">
            <v>6669</v>
          </cell>
          <cell r="J63">
            <v>75</v>
          </cell>
          <cell r="K63">
            <v>3333</v>
          </cell>
          <cell r="L63">
            <v>4677</v>
          </cell>
          <cell r="M63">
            <v>7887</v>
          </cell>
          <cell r="N63">
            <v>7164</v>
          </cell>
          <cell r="O63">
            <v>12858</v>
          </cell>
          <cell r="P63">
            <v>17630</v>
          </cell>
          <cell r="Q63">
            <v>29237</v>
          </cell>
          <cell r="R63">
            <v>23979</v>
          </cell>
          <cell r="S63">
            <v>22569</v>
          </cell>
          <cell r="T63">
            <v>13065</v>
          </cell>
          <cell r="U63">
            <v>11493</v>
          </cell>
          <cell r="V63">
            <v>8046</v>
          </cell>
          <cell r="W63">
            <v>5445</v>
          </cell>
          <cell r="X63">
            <v>3942</v>
          </cell>
          <cell r="Y63">
            <v>2322</v>
          </cell>
          <cell r="Z63">
            <v>3549</v>
          </cell>
          <cell r="AA63">
            <v>6473</v>
          </cell>
          <cell r="AB63">
            <v>3093</v>
          </cell>
          <cell r="AC63">
            <v>2748</v>
          </cell>
          <cell r="AD63">
            <v>2256</v>
          </cell>
          <cell r="AE63">
            <v>1293</v>
          </cell>
          <cell r="AF63">
            <v>930</v>
          </cell>
          <cell r="AG63">
            <v>957</v>
          </cell>
          <cell r="AH63">
            <v>0</v>
          </cell>
          <cell r="AI63">
            <v>0</v>
          </cell>
          <cell r="AJ63">
            <v>0</v>
          </cell>
        </row>
        <row r="75">
          <cell r="D75">
            <v>1639</v>
          </cell>
          <cell r="E75">
            <v>17674</v>
          </cell>
          <cell r="F75">
            <v>6576</v>
          </cell>
          <cell r="G75">
            <v>12190</v>
          </cell>
          <cell r="H75">
            <v>24811</v>
          </cell>
          <cell r="I75">
            <v>13594</v>
          </cell>
          <cell r="J75">
            <v>75</v>
          </cell>
          <cell r="K75">
            <v>3333</v>
          </cell>
          <cell r="L75">
            <v>4677</v>
          </cell>
          <cell r="M75">
            <v>10047</v>
          </cell>
          <cell r="N75">
            <v>12564</v>
          </cell>
          <cell r="O75">
            <v>19338</v>
          </cell>
          <cell r="P75">
            <v>27308</v>
          </cell>
          <cell r="Q75">
            <v>36743</v>
          </cell>
          <cell r="R75">
            <v>28299</v>
          </cell>
          <cell r="S75">
            <v>25701</v>
          </cell>
          <cell r="T75">
            <v>22893</v>
          </cell>
          <cell r="U75">
            <v>17703</v>
          </cell>
          <cell r="V75">
            <v>13122</v>
          </cell>
          <cell r="W75">
            <v>7281</v>
          </cell>
          <cell r="X75">
            <v>3942</v>
          </cell>
          <cell r="Y75">
            <v>2322</v>
          </cell>
          <cell r="Z75">
            <v>3549</v>
          </cell>
          <cell r="AA75">
            <v>12593</v>
          </cell>
          <cell r="AB75">
            <v>3093</v>
          </cell>
          <cell r="AC75">
            <v>2748</v>
          </cell>
          <cell r="AD75">
            <v>2256</v>
          </cell>
          <cell r="AE75">
            <v>1293</v>
          </cell>
          <cell r="AF75">
            <v>930</v>
          </cell>
          <cell r="AG75">
            <v>957</v>
          </cell>
          <cell r="AH75">
            <v>0</v>
          </cell>
          <cell r="AI75">
            <v>0</v>
          </cell>
          <cell r="AJ75">
            <v>0</v>
          </cell>
        </row>
        <row r="88">
          <cell r="D88">
            <v>0</v>
          </cell>
          <cell r="E88">
            <v>0</v>
          </cell>
          <cell r="F88">
            <v>132912</v>
          </cell>
          <cell r="G88">
            <v>58050</v>
          </cell>
          <cell r="H88">
            <v>112192</v>
          </cell>
          <cell r="I88">
            <v>58752</v>
          </cell>
          <cell r="J88">
            <v>34398</v>
          </cell>
          <cell r="K88">
            <v>59442</v>
          </cell>
          <cell r="L88">
            <v>57676</v>
          </cell>
          <cell r="M88">
            <v>107886</v>
          </cell>
          <cell r="N88">
            <v>123626</v>
          </cell>
          <cell r="O88">
            <v>139354</v>
          </cell>
          <cell r="P88">
            <v>193410</v>
          </cell>
          <cell r="Q88">
            <v>345552</v>
          </cell>
          <cell r="R88">
            <v>115598</v>
          </cell>
          <cell r="S88">
            <v>179718</v>
          </cell>
          <cell r="T88">
            <v>133500</v>
          </cell>
          <cell r="U88">
            <v>169064</v>
          </cell>
          <cell r="V88">
            <v>48146</v>
          </cell>
          <cell r="W88">
            <v>27600</v>
          </cell>
          <cell r="X88">
            <v>22088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</row>
        <row r="98">
          <cell r="D98">
            <v>12820</v>
          </cell>
          <cell r="E98">
            <v>6758</v>
          </cell>
          <cell r="F98">
            <v>17066</v>
          </cell>
          <cell r="G98">
            <v>10910</v>
          </cell>
          <cell r="H98">
            <v>24786</v>
          </cell>
          <cell r="I98">
            <v>28792</v>
          </cell>
          <cell r="J98">
            <v>18</v>
          </cell>
          <cell r="K98">
            <v>1856</v>
          </cell>
          <cell r="L98">
            <v>1360</v>
          </cell>
          <cell r="M98">
            <v>16048</v>
          </cell>
          <cell r="N98">
            <v>25440</v>
          </cell>
          <cell r="O98">
            <v>32556</v>
          </cell>
          <cell r="P98">
            <v>35744</v>
          </cell>
          <cell r="Q98">
            <v>46948</v>
          </cell>
          <cell r="R98">
            <v>33948</v>
          </cell>
          <cell r="S98">
            <v>20582</v>
          </cell>
          <cell r="T98">
            <v>17458</v>
          </cell>
          <cell r="U98">
            <v>11902</v>
          </cell>
          <cell r="V98">
            <v>6716</v>
          </cell>
          <cell r="W98">
            <v>20104</v>
          </cell>
          <cell r="X98">
            <v>32354</v>
          </cell>
          <cell r="Y98">
            <v>12104</v>
          </cell>
          <cell r="Z98">
            <v>24000</v>
          </cell>
          <cell r="AA98">
            <v>25138</v>
          </cell>
          <cell r="AB98">
            <v>19672</v>
          </cell>
          <cell r="AC98">
            <v>13616</v>
          </cell>
          <cell r="AD98">
            <v>396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</row>
      </sheetData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rualstrip"/>
      <sheetName val="Accrualpot"/>
      <sheetName val="PassVol"/>
      <sheetName val="PassRev Strip"/>
      <sheetName val="PassRev Pot"/>
      <sheetName val="BD"/>
      <sheetName val="Till"/>
      <sheetName val="GW"/>
      <sheetName val="Prosper"/>
      <sheetName val="Grovewell"/>
      <sheetName val="Wye"/>
      <sheetName val="Daily"/>
      <sheetName val="Analysis"/>
      <sheetName val="Transport"/>
      <sheetName val="Stock Calculations"/>
      <sheetName val="Calculations"/>
      <sheetName val="October 8.5cm sto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69">
          <cell r="C69">
            <v>0</v>
          </cell>
          <cell r="D69">
            <v>0</v>
          </cell>
          <cell r="E69">
            <v>1161</v>
          </cell>
          <cell r="F69">
            <v>8580</v>
          </cell>
          <cell r="G69">
            <v>6867</v>
          </cell>
          <cell r="H69">
            <v>5666</v>
          </cell>
          <cell r="I69">
            <v>14201</v>
          </cell>
          <cell r="J69">
            <v>11150</v>
          </cell>
          <cell r="K69">
            <v>17970</v>
          </cell>
          <cell r="L69">
            <v>21332</v>
          </cell>
          <cell r="M69">
            <v>28502</v>
          </cell>
          <cell r="N69">
            <v>24028</v>
          </cell>
          <cell r="O69">
            <v>26534</v>
          </cell>
          <cell r="P69">
            <v>26668</v>
          </cell>
          <cell r="Q69">
            <v>23226</v>
          </cell>
          <cell r="R69">
            <v>13761</v>
          </cell>
          <cell r="S69">
            <v>9871</v>
          </cell>
          <cell r="T69">
            <v>7737</v>
          </cell>
          <cell r="U69">
            <v>4505</v>
          </cell>
          <cell r="V69">
            <v>3103</v>
          </cell>
          <cell r="W69">
            <v>2171</v>
          </cell>
          <cell r="X69">
            <v>1173</v>
          </cell>
          <cell r="Y69">
            <v>1317</v>
          </cell>
          <cell r="Z69">
            <v>1430</v>
          </cell>
          <cell r="AA69">
            <v>21058</v>
          </cell>
          <cell r="AB69">
            <v>2469</v>
          </cell>
          <cell r="AC69">
            <v>13142</v>
          </cell>
          <cell r="AD69">
            <v>10974</v>
          </cell>
          <cell r="AE69">
            <v>2539</v>
          </cell>
          <cell r="AF69">
            <v>993</v>
          </cell>
          <cell r="AG69">
            <v>480</v>
          </cell>
          <cell r="AH69">
            <v>291</v>
          </cell>
          <cell r="AI69">
            <v>0</v>
          </cell>
          <cell r="AJ69">
            <v>0</v>
          </cell>
        </row>
        <row r="79">
          <cell r="C79">
            <v>0</v>
          </cell>
          <cell r="D79">
            <v>390</v>
          </cell>
          <cell r="E79">
            <v>2002</v>
          </cell>
          <cell r="F79">
            <v>10469</v>
          </cell>
          <cell r="G79">
            <v>11485</v>
          </cell>
          <cell r="H79">
            <v>12397</v>
          </cell>
          <cell r="I79">
            <v>20563</v>
          </cell>
          <cell r="J79">
            <v>12184</v>
          </cell>
          <cell r="K79">
            <v>26353</v>
          </cell>
          <cell r="L79">
            <v>31174</v>
          </cell>
          <cell r="M79">
            <v>38093</v>
          </cell>
          <cell r="N79">
            <v>32846</v>
          </cell>
          <cell r="O79">
            <v>31652</v>
          </cell>
          <cell r="P79">
            <v>30304</v>
          </cell>
          <cell r="Q79">
            <v>28554</v>
          </cell>
          <cell r="R79">
            <v>16619</v>
          </cell>
          <cell r="S79">
            <v>12719</v>
          </cell>
          <cell r="T79">
            <v>9451</v>
          </cell>
          <cell r="U79">
            <v>4774</v>
          </cell>
          <cell r="V79">
            <v>3103</v>
          </cell>
          <cell r="W79">
            <v>2171</v>
          </cell>
          <cell r="X79">
            <v>1173</v>
          </cell>
          <cell r="Y79">
            <v>1317</v>
          </cell>
          <cell r="Z79">
            <v>1430</v>
          </cell>
          <cell r="AA79">
            <v>21058</v>
          </cell>
          <cell r="AB79">
            <v>2469</v>
          </cell>
          <cell r="AC79">
            <v>13142</v>
          </cell>
          <cell r="AD79">
            <v>10974</v>
          </cell>
          <cell r="AE79">
            <v>2539</v>
          </cell>
          <cell r="AF79">
            <v>993</v>
          </cell>
          <cell r="AG79">
            <v>480</v>
          </cell>
          <cell r="AH79">
            <v>291</v>
          </cell>
          <cell r="AI79">
            <v>0</v>
          </cell>
          <cell r="AJ79">
            <v>0</v>
          </cell>
        </row>
        <row r="90">
          <cell r="C90">
            <v>0</v>
          </cell>
          <cell r="D90">
            <v>0</v>
          </cell>
          <cell r="E90">
            <v>3888</v>
          </cell>
          <cell r="F90">
            <v>63604</v>
          </cell>
          <cell r="G90">
            <v>54466</v>
          </cell>
          <cell r="H90">
            <v>51824</v>
          </cell>
          <cell r="I90">
            <v>116928</v>
          </cell>
          <cell r="J90">
            <v>164092</v>
          </cell>
          <cell r="K90">
            <v>223835</v>
          </cell>
          <cell r="L90">
            <v>269798</v>
          </cell>
          <cell r="M90">
            <v>297276</v>
          </cell>
          <cell r="N90">
            <v>270955</v>
          </cell>
          <cell r="O90">
            <v>232328</v>
          </cell>
          <cell r="P90">
            <v>230958</v>
          </cell>
          <cell r="Q90">
            <v>186826</v>
          </cell>
          <cell r="R90">
            <v>93324</v>
          </cell>
          <cell r="S90">
            <v>54218</v>
          </cell>
          <cell r="T90">
            <v>28752</v>
          </cell>
          <cell r="U90">
            <v>11632</v>
          </cell>
          <cell r="V90">
            <v>10630</v>
          </cell>
          <cell r="W90">
            <v>6036</v>
          </cell>
          <cell r="X90">
            <v>2070</v>
          </cell>
          <cell r="Y90">
            <v>1256</v>
          </cell>
          <cell r="Z90">
            <v>1550</v>
          </cell>
          <cell r="AA90">
            <v>4794</v>
          </cell>
          <cell r="AB90">
            <v>1940</v>
          </cell>
          <cell r="AC90">
            <v>1872</v>
          </cell>
          <cell r="AD90">
            <v>2056</v>
          </cell>
          <cell r="AE90">
            <v>1826</v>
          </cell>
          <cell r="AF90">
            <v>108</v>
          </cell>
          <cell r="AG90">
            <v>216</v>
          </cell>
          <cell r="AH90">
            <v>144</v>
          </cell>
          <cell r="AI90">
            <v>0</v>
          </cell>
          <cell r="AJ90">
            <v>0</v>
          </cell>
        </row>
        <row r="98">
          <cell r="C98">
            <v>0</v>
          </cell>
          <cell r="D98">
            <v>0</v>
          </cell>
          <cell r="E98">
            <v>3888</v>
          </cell>
          <cell r="F98">
            <v>14464</v>
          </cell>
          <cell r="G98">
            <v>7366</v>
          </cell>
          <cell r="H98">
            <v>5926</v>
          </cell>
          <cell r="I98">
            <v>17332</v>
          </cell>
          <cell r="J98">
            <v>11992</v>
          </cell>
          <cell r="K98">
            <v>20566</v>
          </cell>
          <cell r="L98">
            <v>23468</v>
          </cell>
          <cell r="M98">
            <v>39756</v>
          </cell>
          <cell r="N98">
            <v>21300</v>
          </cell>
          <cell r="O98">
            <v>39068</v>
          </cell>
          <cell r="P98">
            <v>31068</v>
          </cell>
          <cell r="Q98">
            <v>21868</v>
          </cell>
          <cell r="R98">
            <v>16768</v>
          </cell>
          <cell r="S98">
            <v>11846</v>
          </cell>
          <cell r="T98">
            <v>8364</v>
          </cell>
          <cell r="U98">
            <v>3784</v>
          </cell>
          <cell r="V98">
            <v>5446</v>
          </cell>
          <cell r="W98">
            <v>6036</v>
          </cell>
          <cell r="X98">
            <v>2070</v>
          </cell>
          <cell r="Y98">
            <v>1256</v>
          </cell>
          <cell r="Z98">
            <v>1550</v>
          </cell>
          <cell r="AA98">
            <v>4794</v>
          </cell>
          <cell r="AB98">
            <v>1940</v>
          </cell>
          <cell r="AC98">
            <v>1872</v>
          </cell>
          <cell r="AD98">
            <v>2056</v>
          </cell>
          <cell r="AE98">
            <v>1826</v>
          </cell>
          <cell r="AF98">
            <v>108</v>
          </cell>
          <cell r="AG98">
            <v>216</v>
          </cell>
          <cell r="AH98">
            <v>144</v>
          </cell>
          <cell r="AI98">
            <v>0</v>
          </cell>
          <cell r="AJ98">
            <v>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rualstrip"/>
      <sheetName val="Accrualpot"/>
      <sheetName val="PassVol"/>
      <sheetName val="PassRev Strip"/>
      <sheetName val="PassRev Pot"/>
      <sheetName val="BD"/>
      <sheetName val="Till"/>
      <sheetName val="GW"/>
      <sheetName val="Wye"/>
      <sheetName val="Daily"/>
      <sheetName val="Analysis"/>
      <sheetName val="October 8.5cm stock"/>
      <sheetName val="Transport"/>
      <sheetName val="Stock Calculations"/>
      <sheetName val="Calcul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7">
          <cell r="C67">
            <v>0</v>
          </cell>
          <cell r="D67">
            <v>0</v>
          </cell>
          <cell r="E67">
            <v>6006</v>
          </cell>
          <cell r="F67">
            <v>9100</v>
          </cell>
          <cell r="G67">
            <v>11226</v>
          </cell>
          <cell r="H67">
            <v>12016</v>
          </cell>
          <cell r="I67">
            <v>16912</v>
          </cell>
          <cell r="J67">
            <v>23147</v>
          </cell>
          <cell r="K67">
            <v>31771</v>
          </cell>
          <cell r="L67">
            <v>20227</v>
          </cell>
          <cell r="M67">
            <v>22509</v>
          </cell>
          <cell r="N67">
            <v>14477</v>
          </cell>
          <cell r="O67">
            <v>17456</v>
          </cell>
          <cell r="P67">
            <v>18079</v>
          </cell>
          <cell r="Q67">
            <v>19005</v>
          </cell>
          <cell r="R67">
            <v>10572</v>
          </cell>
          <cell r="S67">
            <v>6631</v>
          </cell>
          <cell r="T67">
            <v>3690</v>
          </cell>
          <cell r="U67">
            <v>2858</v>
          </cell>
          <cell r="V67">
            <v>2238</v>
          </cell>
          <cell r="W67">
            <v>1668</v>
          </cell>
          <cell r="X67">
            <v>1242</v>
          </cell>
          <cell r="Y67">
            <v>2034</v>
          </cell>
          <cell r="Z67">
            <v>1512</v>
          </cell>
          <cell r="AA67">
            <v>3221</v>
          </cell>
          <cell r="AB67">
            <v>2043</v>
          </cell>
          <cell r="AC67">
            <v>2502</v>
          </cell>
          <cell r="AD67">
            <v>2286</v>
          </cell>
          <cell r="AE67">
            <v>1461</v>
          </cell>
          <cell r="AF67">
            <v>1158</v>
          </cell>
          <cell r="AG67">
            <v>630</v>
          </cell>
          <cell r="AH67">
            <v>393</v>
          </cell>
          <cell r="AI67">
            <v>264</v>
          </cell>
          <cell r="AJ67">
            <v>0</v>
          </cell>
        </row>
        <row r="76">
          <cell r="C76">
            <v>0</v>
          </cell>
          <cell r="D76">
            <v>1740</v>
          </cell>
          <cell r="E76">
            <v>9035</v>
          </cell>
          <cell r="F76">
            <v>16382</v>
          </cell>
          <cell r="G76">
            <v>17011</v>
          </cell>
          <cell r="H76">
            <v>18484</v>
          </cell>
          <cell r="I76">
            <v>22892</v>
          </cell>
          <cell r="J76">
            <v>32018</v>
          </cell>
          <cell r="K76">
            <v>38082</v>
          </cell>
          <cell r="L76">
            <v>32836</v>
          </cell>
          <cell r="M76">
            <v>26601</v>
          </cell>
          <cell r="N76">
            <v>21958</v>
          </cell>
          <cell r="O76">
            <v>25094</v>
          </cell>
          <cell r="P76">
            <v>25085</v>
          </cell>
          <cell r="Q76">
            <v>24868</v>
          </cell>
          <cell r="R76">
            <v>15275</v>
          </cell>
          <cell r="S76">
            <v>9709</v>
          </cell>
          <cell r="T76">
            <v>5140</v>
          </cell>
          <cell r="U76">
            <v>3532</v>
          </cell>
          <cell r="V76">
            <v>2238</v>
          </cell>
          <cell r="W76">
            <v>1668</v>
          </cell>
          <cell r="X76">
            <v>1242</v>
          </cell>
          <cell r="Y76">
            <v>2034</v>
          </cell>
          <cell r="Z76">
            <v>1512</v>
          </cell>
          <cell r="AA76">
            <v>3221</v>
          </cell>
          <cell r="AB76">
            <v>2043</v>
          </cell>
          <cell r="AC76">
            <v>2502</v>
          </cell>
          <cell r="AD76">
            <v>2286</v>
          </cell>
          <cell r="AE76">
            <v>1461</v>
          </cell>
          <cell r="AF76">
            <v>1158</v>
          </cell>
          <cell r="AG76">
            <v>630</v>
          </cell>
          <cell r="AH76">
            <v>393</v>
          </cell>
          <cell r="AI76">
            <v>264</v>
          </cell>
          <cell r="AJ76">
            <v>0</v>
          </cell>
        </row>
        <row r="86">
          <cell r="C86">
            <v>0</v>
          </cell>
          <cell r="D86">
            <v>7308</v>
          </cell>
          <cell r="E86">
            <v>21326</v>
          </cell>
          <cell r="F86">
            <v>105022</v>
          </cell>
          <cell r="G86">
            <v>112198</v>
          </cell>
          <cell r="H86">
            <v>123810</v>
          </cell>
          <cell r="I86">
            <v>172402</v>
          </cell>
          <cell r="J86">
            <v>248420</v>
          </cell>
          <cell r="K86">
            <v>398228</v>
          </cell>
          <cell r="L86">
            <v>257456</v>
          </cell>
          <cell r="M86">
            <v>305308</v>
          </cell>
          <cell r="N86">
            <v>153298</v>
          </cell>
          <cell r="O86">
            <v>175531</v>
          </cell>
          <cell r="P86">
            <v>186218</v>
          </cell>
          <cell r="Q86">
            <v>232592</v>
          </cell>
          <cell r="R86">
            <v>70138</v>
          </cell>
          <cell r="S86">
            <v>20092</v>
          </cell>
          <cell r="T86">
            <v>11774</v>
          </cell>
          <cell r="U86">
            <v>3666</v>
          </cell>
          <cell r="V86">
            <v>2544</v>
          </cell>
          <cell r="W86">
            <v>4660</v>
          </cell>
          <cell r="X86">
            <v>584</v>
          </cell>
          <cell r="Y86">
            <v>3804</v>
          </cell>
          <cell r="Z86">
            <v>3496</v>
          </cell>
          <cell r="AA86">
            <v>12524</v>
          </cell>
          <cell r="AB86">
            <v>2892</v>
          </cell>
          <cell r="AC86">
            <v>4213</v>
          </cell>
          <cell r="AD86">
            <v>8180</v>
          </cell>
          <cell r="AE86">
            <v>18960</v>
          </cell>
          <cell r="AF86">
            <v>6260</v>
          </cell>
          <cell r="AG86">
            <v>2876</v>
          </cell>
          <cell r="AH86">
            <v>6196</v>
          </cell>
          <cell r="AI86">
            <v>1660</v>
          </cell>
          <cell r="AJ86">
            <v>0</v>
          </cell>
        </row>
        <row r="93">
          <cell r="C93">
            <v>0</v>
          </cell>
          <cell r="D93">
            <v>7308</v>
          </cell>
          <cell r="E93">
            <v>7592</v>
          </cell>
          <cell r="F93">
            <v>11710</v>
          </cell>
          <cell r="G93">
            <v>11686</v>
          </cell>
          <cell r="H93">
            <v>10232</v>
          </cell>
          <cell r="I93">
            <v>16732</v>
          </cell>
          <cell r="J93">
            <v>20510</v>
          </cell>
          <cell r="K93">
            <v>26832</v>
          </cell>
          <cell r="L93">
            <v>18546</v>
          </cell>
          <cell r="M93">
            <v>21470</v>
          </cell>
          <cell r="N93">
            <v>13456</v>
          </cell>
          <cell r="O93">
            <v>14712</v>
          </cell>
          <cell r="P93">
            <v>16338</v>
          </cell>
          <cell r="Q93">
            <v>17968</v>
          </cell>
          <cell r="R93">
            <v>9776</v>
          </cell>
          <cell r="S93">
            <v>1018</v>
          </cell>
          <cell r="T93">
            <v>5168</v>
          </cell>
          <cell r="U93">
            <v>3666</v>
          </cell>
          <cell r="V93">
            <v>2544</v>
          </cell>
          <cell r="W93">
            <v>4660</v>
          </cell>
          <cell r="X93">
            <v>584</v>
          </cell>
          <cell r="Y93">
            <v>3804</v>
          </cell>
          <cell r="Z93">
            <v>3496</v>
          </cell>
          <cell r="AA93">
            <v>1184</v>
          </cell>
          <cell r="AB93">
            <v>2892</v>
          </cell>
          <cell r="AC93">
            <v>1336</v>
          </cell>
          <cell r="AD93">
            <v>8180</v>
          </cell>
          <cell r="AE93">
            <v>18960</v>
          </cell>
          <cell r="AF93">
            <v>6260</v>
          </cell>
          <cell r="AG93">
            <v>2876</v>
          </cell>
          <cell r="AH93">
            <v>6196</v>
          </cell>
          <cell r="AI93">
            <v>1660</v>
          </cell>
          <cell r="AJ93">
            <v>0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rualstrip"/>
      <sheetName val="Accrualpot"/>
      <sheetName val="PassVol"/>
      <sheetName val="PassRev Strip"/>
      <sheetName val="PassRev Pot"/>
      <sheetName val="price rise impact"/>
      <sheetName val="BD"/>
      <sheetName val="Till"/>
      <sheetName val="HV"/>
      <sheetName val="Wye"/>
      <sheetName val="Daily"/>
      <sheetName val="Analysis"/>
      <sheetName val="Transport"/>
      <sheetName val="Stock Calculations"/>
      <sheetName val="Calcul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3">
          <cell r="C53">
            <v>0</v>
          </cell>
          <cell r="D53">
            <v>0</v>
          </cell>
          <cell r="E53">
            <v>0</v>
          </cell>
          <cell r="F53">
            <v>6267</v>
          </cell>
          <cell r="G53">
            <v>13176</v>
          </cell>
          <cell r="H53">
            <v>11772</v>
          </cell>
          <cell r="I53">
            <v>13268</v>
          </cell>
          <cell r="J53">
            <v>18972</v>
          </cell>
          <cell r="K53">
            <v>17546</v>
          </cell>
          <cell r="L53">
            <v>17666</v>
          </cell>
          <cell r="M53">
            <v>21918</v>
          </cell>
          <cell r="N53">
            <v>18941</v>
          </cell>
          <cell r="O53">
            <v>26156</v>
          </cell>
          <cell r="P53">
            <v>21224</v>
          </cell>
          <cell r="Q53">
            <v>21085</v>
          </cell>
          <cell r="R53">
            <v>13833</v>
          </cell>
          <cell r="S53">
            <v>10048</v>
          </cell>
          <cell r="T53">
            <v>5566</v>
          </cell>
          <cell r="U53">
            <v>3008</v>
          </cell>
          <cell r="V53">
            <v>2286</v>
          </cell>
          <cell r="W53">
            <v>2001</v>
          </cell>
          <cell r="X53">
            <v>1630</v>
          </cell>
          <cell r="Y53">
            <v>1449</v>
          </cell>
          <cell r="Z53">
            <v>1749</v>
          </cell>
          <cell r="AA53">
            <v>2448</v>
          </cell>
          <cell r="AB53">
            <v>1992</v>
          </cell>
          <cell r="AC53">
            <v>1590</v>
          </cell>
          <cell r="AD53">
            <v>1719</v>
          </cell>
          <cell r="AE53">
            <v>1254</v>
          </cell>
          <cell r="AF53">
            <v>1101</v>
          </cell>
          <cell r="AG53">
            <v>924</v>
          </cell>
          <cell r="AH53">
            <v>708</v>
          </cell>
          <cell r="AI53">
            <v>0</v>
          </cell>
          <cell r="AJ53">
            <v>0</v>
          </cell>
        </row>
        <row r="61">
          <cell r="C61">
            <v>0</v>
          </cell>
          <cell r="D61">
            <v>782</v>
          </cell>
          <cell r="E61">
            <v>2891</v>
          </cell>
          <cell r="F61">
            <v>12418</v>
          </cell>
          <cell r="G61">
            <v>21777</v>
          </cell>
          <cell r="H61">
            <v>20514</v>
          </cell>
          <cell r="I61">
            <v>17249</v>
          </cell>
          <cell r="J61">
            <v>29817</v>
          </cell>
          <cell r="K61">
            <v>23397</v>
          </cell>
          <cell r="L61">
            <v>21408</v>
          </cell>
          <cell r="M61">
            <v>29304</v>
          </cell>
          <cell r="N61">
            <v>24897</v>
          </cell>
          <cell r="O61">
            <v>33606</v>
          </cell>
          <cell r="P61">
            <v>27735</v>
          </cell>
          <cell r="Q61">
            <v>27337</v>
          </cell>
          <cell r="R61">
            <v>17985</v>
          </cell>
          <cell r="S61">
            <v>14988</v>
          </cell>
          <cell r="T61">
            <v>11482</v>
          </cell>
          <cell r="U61">
            <v>4616</v>
          </cell>
          <cell r="V61">
            <v>2286</v>
          </cell>
          <cell r="W61">
            <v>2001</v>
          </cell>
          <cell r="X61">
            <v>1630</v>
          </cell>
          <cell r="Y61">
            <v>5014</v>
          </cell>
          <cell r="Z61">
            <v>2497</v>
          </cell>
          <cell r="AA61">
            <v>3163</v>
          </cell>
          <cell r="AB61">
            <v>2728</v>
          </cell>
          <cell r="AC61">
            <v>2519</v>
          </cell>
          <cell r="AD61">
            <v>1719</v>
          </cell>
          <cell r="AE61">
            <v>1254</v>
          </cell>
          <cell r="AF61">
            <v>1101</v>
          </cell>
          <cell r="AG61">
            <v>924</v>
          </cell>
          <cell r="AH61">
            <v>708</v>
          </cell>
          <cell r="AI61">
            <v>0</v>
          </cell>
          <cell r="AJ61">
            <v>0</v>
          </cell>
        </row>
        <row r="70">
          <cell r="C70">
            <v>0</v>
          </cell>
          <cell r="D70">
            <v>6390</v>
          </cell>
          <cell r="E70">
            <v>22932</v>
          </cell>
          <cell r="F70">
            <v>52740</v>
          </cell>
          <cell r="G70">
            <v>123832</v>
          </cell>
          <cell r="H70">
            <v>89910</v>
          </cell>
          <cell r="I70">
            <v>152536</v>
          </cell>
          <cell r="J70">
            <v>158212</v>
          </cell>
          <cell r="K70">
            <v>226584</v>
          </cell>
          <cell r="L70">
            <v>208792</v>
          </cell>
          <cell r="M70">
            <v>205550</v>
          </cell>
          <cell r="N70">
            <v>282092</v>
          </cell>
          <cell r="O70">
            <v>223928</v>
          </cell>
          <cell r="P70">
            <v>176152</v>
          </cell>
          <cell r="Q70">
            <v>150472</v>
          </cell>
          <cell r="R70">
            <v>69522</v>
          </cell>
          <cell r="S70">
            <v>40926</v>
          </cell>
          <cell r="T70">
            <v>23498</v>
          </cell>
          <cell r="U70">
            <v>9424</v>
          </cell>
          <cell r="V70">
            <v>2776</v>
          </cell>
          <cell r="W70">
            <v>1376</v>
          </cell>
          <cell r="X70">
            <v>1132</v>
          </cell>
          <cell r="Y70">
            <v>1116</v>
          </cell>
          <cell r="Z70">
            <v>9866</v>
          </cell>
          <cell r="AA70">
            <v>1888</v>
          </cell>
          <cell r="AB70">
            <v>14867</v>
          </cell>
          <cell r="AC70">
            <v>9285</v>
          </cell>
          <cell r="AD70">
            <v>1772</v>
          </cell>
          <cell r="AE70">
            <v>1212</v>
          </cell>
          <cell r="AF70">
            <v>980</v>
          </cell>
          <cell r="AG70">
            <v>288</v>
          </cell>
          <cell r="AH70">
            <v>144</v>
          </cell>
          <cell r="AI70">
            <v>0</v>
          </cell>
          <cell r="AJ70">
            <v>0</v>
          </cell>
        </row>
      </sheetData>
      <sheetData sheetId="12"/>
      <sheetData sheetId="13"/>
      <sheetData sheetId="1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bate Summary"/>
      <sheetName val="Accrualstrip"/>
      <sheetName val="Accrualpot"/>
      <sheetName val="PassVol"/>
      <sheetName val="PassRev Strip"/>
      <sheetName val="PassRev Pot"/>
      <sheetName val="Till"/>
      <sheetName val="BD"/>
      <sheetName val="HV"/>
      <sheetName val="Daily"/>
      <sheetName val="Analysis"/>
      <sheetName val="Transport"/>
      <sheetName val="Stock Calculations"/>
      <sheetName val="Calculations"/>
      <sheetName val="Market%"/>
    </sheetNames>
    <sheetDataSet>
      <sheetData sheetId="0"/>
      <sheetData sheetId="1"/>
      <sheetData sheetId="2"/>
      <sheetData sheetId="3">
        <row r="64">
          <cell r="D64">
            <v>1793</v>
          </cell>
          <cell r="E64">
            <v>4564</v>
          </cell>
          <cell r="F64">
            <v>6882</v>
          </cell>
          <cell r="G64">
            <v>2040</v>
          </cell>
          <cell r="H64">
            <v>7840</v>
          </cell>
          <cell r="I64">
            <v>9770</v>
          </cell>
          <cell r="J64">
            <v>4767</v>
          </cell>
          <cell r="K64">
            <v>8390</v>
          </cell>
          <cell r="L64">
            <v>7331</v>
          </cell>
          <cell r="M64">
            <v>6942</v>
          </cell>
          <cell r="N64">
            <v>5330</v>
          </cell>
          <cell r="O64">
            <v>5998</v>
          </cell>
          <cell r="P64">
            <v>6446</v>
          </cell>
          <cell r="Q64">
            <v>5881</v>
          </cell>
          <cell r="R64">
            <v>4656</v>
          </cell>
          <cell r="S64">
            <v>4511</v>
          </cell>
          <cell r="T64">
            <v>2724</v>
          </cell>
          <cell r="U64">
            <v>1044</v>
          </cell>
          <cell r="V64">
            <v>0</v>
          </cell>
          <cell r="W64">
            <v>0</v>
          </cell>
          <cell r="X64">
            <v>0</v>
          </cell>
          <cell r="Y64">
            <v>3324</v>
          </cell>
          <cell r="Z64">
            <v>468</v>
          </cell>
          <cell r="AA64">
            <v>960</v>
          </cell>
          <cell r="AB64">
            <v>541</v>
          </cell>
          <cell r="AC64">
            <v>518</v>
          </cell>
          <cell r="AD64">
            <v>443</v>
          </cell>
          <cell r="AE64">
            <v>408</v>
          </cell>
          <cell r="AF64">
            <v>248</v>
          </cell>
          <cell r="AG64">
            <v>240</v>
          </cell>
          <cell r="AH64">
            <v>0</v>
          </cell>
          <cell r="AI64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22971</v>
          </cell>
          <cell r="AC78">
            <v>55904</v>
          </cell>
          <cell r="AD78">
            <v>0</v>
          </cell>
          <cell r="AE78">
            <v>27587</v>
          </cell>
          <cell r="AF78">
            <v>2715</v>
          </cell>
          <cell r="AG78">
            <v>5346</v>
          </cell>
          <cell r="AH78">
            <v>0</v>
          </cell>
          <cell r="AI78">
            <v>0</v>
          </cell>
        </row>
        <row r="80">
          <cell r="D80">
            <v>1793</v>
          </cell>
          <cell r="E80">
            <v>4564</v>
          </cell>
          <cell r="F80">
            <v>17376</v>
          </cell>
          <cell r="G80">
            <v>10712</v>
          </cell>
          <cell r="H80">
            <v>21731</v>
          </cell>
          <cell r="I80">
            <v>27479</v>
          </cell>
          <cell r="J80">
            <v>21009</v>
          </cell>
          <cell r="K80">
            <v>34830</v>
          </cell>
          <cell r="L80">
            <v>30608</v>
          </cell>
          <cell r="M80">
            <v>32919</v>
          </cell>
          <cell r="N80">
            <v>19351</v>
          </cell>
          <cell r="O80">
            <v>21838</v>
          </cell>
          <cell r="P80">
            <v>26161</v>
          </cell>
          <cell r="Q80">
            <v>18379</v>
          </cell>
          <cell r="R80">
            <v>14787</v>
          </cell>
          <cell r="S80">
            <v>13973</v>
          </cell>
          <cell r="T80">
            <v>10596</v>
          </cell>
          <cell r="U80">
            <v>5514</v>
          </cell>
          <cell r="V80">
            <v>3269</v>
          </cell>
          <cell r="W80">
            <v>3177</v>
          </cell>
          <cell r="X80">
            <v>1810</v>
          </cell>
          <cell r="Y80">
            <v>6096</v>
          </cell>
          <cell r="Z80">
            <v>3231</v>
          </cell>
          <cell r="AA80">
            <v>3726</v>
          </cell>
          <cell r="AB80">
            <v>26194</v>
          </cell>
          <cell r="AC80">
            <v>58741</v>
          </cell>
          <cell r="AD80">
            <v>2630</v>
          </cell>
          <cell r="AE80">
            <v>29600</v>
          </cell>
          <cell r="AF80">
            <v>4421</v>
          </cell>
          <cell r="AG80">
            <v>6528</v>
          </cell>
          <cell r="AH80">
            <v>201</v>
          </cell>
          <cell r="AI80">
            <v>0</v>
          </cell>
        </row>
        <row r="233">
          <cell r="D233">
            <v>0</v>
          </cell>
          <cell r="E233">
            <v>13608</v>
          </cell>
          <cell r="F233">
            <v>66906</v>
          </cell>
          <cell r="G233">
            <v>35208</v>
          </cell>
          <cell r="H233">
            <v>76104</v>
          </cell>
          <cell r="I233">
            <v>98424</v>
          </cell>
          <cell r="J233">
            <v>107496</v>
          </cell>
          <cell r="K233">
            <v>185636</v>
          </cell>
          <cell r="L233">
            <v>147610</v>
          </cell>
          <cell r="M233">
            <v>175882</v>
          </cell>
          <cell r="N233">
            <v>94222</v>
          </cell>
          <cell r="O233">
            <v>99260</v>
          </cell>
          <cell r="P233">
            <v>122992</v>
          </cell>
          <cell r="Q233">
            <v>61290</v>
          </cell>
          <cell r="R233">
            <v>53158</v>
          </cell>
          <cell r="S233">
            <v>29802</v>
          </cell>
          <cell r="T233">
            <v>13908</v>
          </cell>
          <cell r="U233">
            <v>6336</v>
          </cell>
          <cell r="V233">
            <v>4428</v>
          </cell>
          <cell r="W233">
            <v>6624</v>
          </cell>
          <cell r="X233">
            <v>2052</v>
          </cell>
          <cell r="Y233">
            <v>2394</v>
          </cell>
          <cell r="Z233">
            <v>2052</v>
          </cell>
          <cell r="AA233">
            <v>1692</v>
          </cell>
          <cell r="AB233">
            <v>1800</v>
          </cell>
          <cell r="AC233">
            <v>1728</v>
          </cell>
          <cell r="AD233">
            <v>2484</v>
          </cell>
          <cell r="AE233">
            <v>2772</v>
          </cell>
          <cell r="AF233">
            <v>1008</v>
          </cell>
          <cell r="AG233">
            <v>936</v>
          </cell>
          <cell r="AH233">
            <v>288</v>
          </cell>
          <cell r="AI233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74"/>
  <sheetViews>
    <sheetView workbookViewId="0">
      <pane xSplit="3" ySplit="2" topLeftCell="AO22" activePane="bottomRight" state="frozen"/>
      <selection pane="topRight" activeCell="D1" sqref="D1"/>
      <selection pane="bottomLeft" activeCell="A3" sqref="A3"/>
      <selection pane="bottomRight" activeCell="AR29" sqref="AR29"/>
    </sheetView>
  </sheetViews>
  <sheetFormatPr defaultRowHeight="15" x14ac:dyDescent="0.25"/>
  <cols>
    <col min="1" max="1" width="3.42578125" style="2" customWidth="1"/>
    <col min="2" max="2" width="5.42578125" style="2" customWidth="1"/>
    <col min="3" max="3" width="28.85546875" customWidth="1"/>
    <col min="4" max="14" width="9.140625" style="1"/>
    <col min="15" max="43" width="9.140625" style="1" customWidth="1"/>
    <col min="44" max="44" width="11" style="3" customWidth="1"/>
  </cols>
  <sheetData>
    <row r="1" spans="1:45" x14ac:dyDescent="0.25">
      <c r="A1" s="2" t="s">
        <v>474</v>
      </c>
      <c r="D1" s="142">
        <v>45292</v>
      </c>
      <c r="E1" s="142">
        <v>45292</v>
      </c>
      <c r="F1" s="142">
        <v>45292</v>
      </c>
      <c r="G1" s="142">
        <v>45292</v>
      </c>
      <c r="H1" s="142">
        <v>45292</v>
      </c>
      <c r="I1" s="142">
        <v>45323</v>
      </c>
      <c r="J1" s="142">
        <v>45323</v>
      </c>
      <c r="K1" s="142">
        <v>45323</v>
      </c>
      <c r="L1" s="142">
        <v>45323</v>
      </c>
      <c r="M1" s="142">
        <v>45352</v>
      </c>
      <c r="N1" s="142">
        <v>45352</v>
      </c>
      <c r="O1" s="142">
        <v>45352</v>
      </c>
      <c r="P1" s="142">
        <v>45352</v>
      </c>
      <c r="Q1" s="142">
        <v>45383</v>
      </c>
      <c r="R1" s="142">
        <v>45383</v>
      </c>
      <c r="S1" s="142">
        <v>45383</v>
      </c>
      <c r="T1" s="142">
        <v>45383</v>
      </c>
      <c r="U1" s="142">
        <v>45413</v>
      </c>
      <c r="V1" s="142">
        <v>45413</v>
      </c>
      <c r="W1" s="142">
        <v>45413</v>
      </c>
      <c r="X1" s="142">
        <v>45413</v>
      </c>
      <c r="Y1" s="142">
        <v>45413</v>
      </c>
      <c r="Z1" s="142">
        <v>45444</v>
      </c>
      <c r="AA1" s="142">
        <v>45444</v>
      </c>
      <c r="AB1" s="142">
        <v>45444</v>
      </c>
      <c r="AC1" s="142">
        <v>45444</v>
      </c>
      <c r="AD1" s="142">
        <v>45474</v>
      </c>
      <c r="AE1" s="142">
        <v>45474</v>
      </c>
      <c r="AF1" s="142">
        <v>45474</v>
      </c>
      <c r="AG1" s="142">
        <v>45474</v>
      </c>
      <c r="AH1" s="142">
        <v>45474</v>
      </c>
      <c r="AI1" s="142">
        <v>45505</v>
      </c>
      <c r="AJ1" s="142">
        <v>45505</v>
      </c>
      <c r="AK1" s="142">
        <v>45505</v>
      </c>
      <c r="AL1" s="142">
        <v>45505</v>
      </c>
      <c r="AM1" s="142">
        <v>45536</v>
      </c>
      <c r="AN1" s="142">
        <v>45536</v>
      </c>
      <c r="AO1" s="142">
        <v>45536</v>
      </c>
      <c r="AP1" s="142">
        <v>45536</v>
      </c>
      <c r="AQ1" s="13" t="s">
        <v>282</v>
      </c>
      <c r="AR1" s="52"/>
    </row>
    <row r="2" spans="1:45" x14ac:dyDescent="0.25">
      <c r="D2" s="13" t="s">
        <v>491</v>
      </c>
      <c r="E2" s="13" t="s">
        <v>492</v>
      </c>
      <c r="F2" s="13" t="s">
        <v>493</v>
      </c>
      <c r="G2" s="13" t="s">
        <v>494</v>
      </c>
      <c r="H2" s="13" t="s">
        <v>495</v>
      </c>
      <c r="I2" s="13" t="s">
        <v>496</v>
      </c>
      <c r="J2" s="13" t="s">
        <v>263</v>
      </c>
      <c r="K2" s="13" t="s">
        <v>264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3" t="s">
        <v>54</v>
      </c>
      <c r="V2" s="13" t="s">
        <v>20</v>
      </c>
      <c r="W2" s="13" t="s">
        <v>21</v>
      </c>
      <c r="X2" s="13" t="s">
        <v>22</v>
      </c>
      <c r="Y2" s="13" t="s">
        <v>23</v>
      </c>
      <c r="Z2" s="13" t="s">
        <v>24</v>
      </c>
      <c r="AA2" s="13" t="s">
        <v>25</v>
      </c>
      <c r="AB2" s="13" t="s">
        <v>26</v>
      </c>
      <c r="AC2" s="13" t="s">
        <v>27</v>
      </c>
      <c r="AD2" s="13" t="s">
        <v>28</v>
      </c>
      <c r="AE2" s="13" t="s">
        <v>29</v>
      </c>
      <c r="AF2" s="13" t="s">
        <v>30</v>
      </c>
      <c r="AG2" s="13" t="s">
        <v>31</v>
      </c>
      <c r="AH2" s="13" t="s">
        <v>32</v>
      </c>
      <c r="AI2" s="13" t="s">
        <v>33</v>
      </c>
      <c r="AJ2" s="13" t="s">
        <v>34</v>
      </c>
      <c r="AK2" s="13" t="s">
        <v>55</v>
      </c>
      <c r="AL2" s="13" t="s">
        <v>56</v>
      </c>
      <c r="AM2" s="13" t="s">
        <v>57</v>
      </c>
      <c r="AN2" s="13" t="s">
        <v>58</v>
      </c>
      <c r="AO2" s="13" t="s">
        <v>59</v>
      </c>
      <c r="AP2" s="13" t="s">
        <v>60</v>
      </c>
      <c r="AQ2" s="4" t="s">
        <v>61</v>
      </c>
      <c r="AR2" s="52" t="s">
        <v>2</v>
      </c>
    </row>
    <row r="3" spans="1:45" x14ac:dyDescent="0.25">
      <c r="A3" s="2" t="s">
        <v>1</v>
      </c>
    </row>
    <row r="4" spans="1:45" x14ac:dyDescent="0.25">
      <c r="B4"/>
      <c r="C4" t="s">
        <v>190</v>
      </c>
      <c r="D4" s="1">
        <f>+Accrualstrip!D4+Accrualpot!D4+Accrualherb!D4</f>
        <v>0</v>
      </c>
      <c r="E4" s="1">
        <f>+Accrualstrip!E4+Accrualpot!E4+Accrualherb!E4</f>
        <v>0</v>
      </c>
      <c r="F4" s="1">
        <f>+Accrualstrip!F4+Accrualpot!F4+Accrualherb!F4</f>
        <v>0</v>
      </c>
      <c r="G4" s="1">
        <f>+Accrualstrip!G4+Accrualpot!G4+Accrualherb!G4</f>
        <v>10029.32</v>
      </c>
      <c r="H4" s="1">
        <f>+Accrualstrip!H4+Accrualpot!H4+Accrualherb!H4</f>
        <v>-58.67</v>
      </c>
      <c r="I4" s="1">
        <f>+Accrualstrip!I4+Accrualpot!I4+Accrualherb!I4</f>
        <v>0</v>
      </c>
      <c r="J4" s="1">
        <f>+Accrualstrip!J4+Accrualpot!J4+Accrualherb!J4</f>
        <v>403.28</v>
      </c>
      <c r="K4" s="1">
        <f>+Accrualstrip!K4+Accrualpot!K4+Accrualherb!K4</f>
        <v>901.18000000000006</v>
      </c>
      <c r="L4" s="1">
        <f>+Accrualstrip!L4+Accrualpot!L4+Accrualherb!L4</f>
        <v>46432.91</v>
      </c>
      <c r="M4" s="1">
        <f>+Accrualstrip!M4+Accrualpot!M4+Accrualherb!M4</f>
        <v>123.53999999999999</v>
      </c>
      <c r="N4" s="1">
        <f>+Accrualstrip!N4+Accrualpot!N4+Accrualherb!N4</f>
        <v>5885.86</v>
      </c>
      <c r="O4" s="1">
        <f>+Accrualstrip!O4+Accrualpot!O4+Accrualherb!O4</f>
        <v>21606.86</v>
      </c>
      <c r="P4" s="1">
        <f>+Accrualstrip!P4+Accrualpot!P4+Accrualherb!P4</f>
        <v>16849.68</v>
      </c>
      <c r="Q4" s="1">
        <f>+Accrualstrip!Q4+Accrualpot!Q4+Accrualherb!Q4</f>
        <v>82336.340000000011</v>
      </c>
      <c r="R4" s="1">
        <f>+Accrualstrip!R4+Accrualpot!R4+Accrualherb!R4</f>
        <v>49759.9</v>
      </c>
      <c r="S4" s="1">
        <f>+Accrualstrip!S4+Accrualpot!S4+Accrualherb!S4</f>
        <v>51013.409999999989</v>
      </c>
      <c r="T4" s="1">
        <f>+Accrualstrip!T4+Accrualpot!T4+Accrualherb!T4</f>
        <v>38702.769999999997</v>
      </c>
      <c r="U4" s="1">
        <f>+Accrualstrip!U4+Accrualpot!U4+Accrualherb!U4</f>
        <v>43997.729999999996</v>
      </c>
      <c r="V4" s="1">
        <f>+Accrualstrip!V4+Accrualpot!V4+Accrualherb!V4</f>
        <v>26929.21</v>
      </c>
      <c r="W4" s="1">
        <f>+Accrualstrip!W4+Accrualpot!W4+Accrualherb!W4</f>
        <v>27803.14</v>
      </c>
      <c r="X4" s="1">
        <f>+Accrualstrip!X4+Accrualpot!X4+Accrualherb!X4</f>
        <v>35397.279999999999</v>
      </c>
      <c r="Y4" s="1">
        <f>+Accrualstrip!Y4+Accrualpot!Y4+Accrualherb!Y4</f>
        <v>8356.7849999999999</v>
      </c>
      <c r="Z4" s="1">
        <f>+Accrualstrip!Z4+Accrualpot!Z4+Accrualherb!Z4</f>
        <v>9100.84</v>
      </c>
      <c r="AA4" s="1">
        <f>+Accrualstrip!AA4+Accrualpot!AA4+Accrualherb!AA4</f>
        <v>2779.3799999999997</v>
      </c>
      <c r="AB4" s="1">
        <f>+Accrualstrip!AB4+Accrualpot!AB4+Accrualherb!AB4</f>
        <v>7161.24</v>
      </c>
      <c r="AC4" s="1">
        <f>+Accrualstrip!AC4+Accrualpot!AC4+Accrualherb!AC4</f>
        <v>3717.54</v>
      </c>
      <c r="AD4" s="1">
        <f>+Accrualstrip!AD4+Accrualpot!AD4+Accrualherb!AD4</f>
        <v>1827.72</v>
      </c>
      <c r="AE4" s="1">
        <f>+Accrualstrip!AE4+Accrualpot!AE4+Accrualherb!AE4</f>
        <v>3140.0200000000004</v>
      </c>
      <c r="AF4" s="1">
        <f>+Accrualstrip!AF4+Accrualpot!AF4+Accrualherb!AF4</f>
        <v>2979.37</v>
      </c>
      <c r="AG4" s="1">
        <f>+Accrualstrip!AG4+Accrualpot!AG4+Accrualherb!AG4</f>
        <v>1718.28</v>
      </c>
      <c r="AH4" s="1">
        <f>+Accrualstrip!AH4+Accrualpot!AH4+Accrualherb!AH4</f>
        <v>14251.93</v>
      </c>
      <c r="AI4" s="1">
        <f>+Accrualstrip!AI4+Accrualpot!AI4+Accrualherb!AI4</f>
        <v>8310.9900000000016</v>
      </c>
      <c r="AJ4" s="1">
        <f>+Accrualstrip!AJ4+Accrualpot!AJ4+Accrualherb!AJ4</f>
        <v>16502.5</v>
      </c>
      <c r="AK4" s="1">
        <f>+Accrualstrip!AK4+Accrualpot!AK4+Accrualherb!AK4</f>
        <v>3156.92</v>
      </c>
      <c r="AL4" s="1">
        <f>+Accrualstrip!AL4+Accrualpot!AL4+Accrualherb!AL4</f>
        <v>3998.92</v>
      </c>
      <c r="AM4" s="1">
        <f>+Accrualstrip!AM4+Accrualpot!AM4+Accrualherb!AM4</f>
        <v>1440.52</v>
      </c>
      <c r="AN4" s="1">
        <f>+Accrualstrip!AN4+Accrualpot!AN4+Accrualherb!AN4</f>
        <v>-42.3</v>
      </c>
      <c r="AO4" s="1">
        <f>+Accrualstrip!AO4+Accrualpot!AO4+Accrualherb!AO4</f>
        <v>0</v>
      </c>
      <c r="AP4" s="1">
        <f>+Accrualstrip!AP4+Accrualpot!AP4+Accrualherb!AP4</f>
        <v>-10.65</v>
      </c>
      <c r="AQ4" s="1">
        <f>+Accrualstrip!AQ4+Accrualpot!AQ4+Accrualherb!AQ4</f>
        <v>0</v>
      </c>
      <c r="AR4" s="3">
        <f>SUM(D4:AQ4)</f>
        <v>546503.745</v>
      </c>
      <c r="AS4" s="1"/>
    </row>
    <row r="5" spans="1:45" x14ac:dyDescent="0.25">
      <c r="B5"/>
      <c r="C5" t="s">
        <v>424</v>
      </c>
      <c r="D5" s="1">
        <f>+Accrualstrip!D5+Accrualpot!D5+Accrualherb!D5</f>
        <v>0</v>
      </c>
      <c r="E5" s="1">
        <f>+Accrualstrip!E5+Accrualpot!E5+Accrualherb!E5</f>
        <v>0</v>
      </c>
      <c r="F5" s="1">
        <f>+Accrualstrip!F5+Accrualpot!F5+Accrualherb!F5</f>
        <v>0</v>
      </c>
      <c r="G5" s="1">
        <f>+Accrualstrip!G5+Accrualpot!G5+Accrualherb!G5</f>
        <v>0</v>
      </c>
      <c r="H5" s="1">
        <f>+Accrualstrip!H5+Accrualpot!H5+Accrualherb!H5</f>
        <v>535.36</v>
      </c>
      <c r="I5" s="1">
        <f>+Accrualstrip!I5+Accrualpot!I5+Accrualherb!I5</f>
        <v>720.64</v>
      </c>
      <c r="J5" s="1">
        <f>+Accrualstrip!J5+Accrualpot!J5+Accrualherb!J5</f>
        <v>0</v>
      </c>
      <c r="K5" s="1">
        <f>+Accrualstrip!K5+Accrualpot!K5+Accrualherb!K5</f>
        <v>0</v>
      </c>
      <c r="L5" s="1">
        <f>+Accrualstrip!L5+Accrualpot!L5+Accrualherb!L5</f>
        <v>5604.76</v>
      </c>
      <c r="M5" s="1">
        <f>+Accrualstrip!M5+Accrualpot!M5+Accrualherb!M5</f>
        <v>11490.86</v>
      </c>
      <c r="N5" s="1">
        <f>+Accrualstrip!N5+Accrualpot!N5+Accrualherb!N5</f>
        <v>7310.42</v>
      </c>
      <c r="O5" s="1">
        <f>+Accrualstrip!O5+Accrualpot!O5+Accrualherb!O5</f>
        <v>12480.84</v>
      </c>
      <c r="P5" s="1">
        <f>+Accrualstrip!P5+Accrualpot!P5+Accrualherb!P5</f>
        <v>19263.599999999999</v>
      </c>
      <c r="Q5" s="1">
        <f>+Accrualstrip!Q5+Accrualpot!Q5+Accrualherb!Q5</f>
        <v>18333.64</v>
      </c>
      <c r="R5" s="1">
        <f>+Accrualstrip!R5+Accrualpot!R5+Accrualherb!R5</f>
        <v>18656.440000000002</v>
      </c>
      <c r="S5" s="1">
        <f>+Accrualstrip!S5+Accrualpot!S5+Accrualherb!S5</f>
        <v>22100.41</v>
      </c>
      <c r="T5" s="1">
        <f>+Accrualstrip!T5+Accrualpot!T5+Accrualherb!T5</f>
        <v>26069.819999999996</v>
      </c>
      <c r="U5" s="1">
        <f>+Accrualstrip!U5+Accrualpot!U5+Accrualherb!U5</f>
        <v>23283.960000000003</v>
      </c>
      <c r="V5" s="1">
        <f>+Accrualstrip!V5+Accrualpot!V5+Accrualherb!V5</f>
        <v>18962.36</v>
      </c>
      <c r="W5" s="1">
        <f>+Accrualstrip!W5+Accrualpot!W5+Accrualherb!W5</f>
        <v>25942.260000000002</v>
      </c>
      <c r="X5" s="1">
        <f>+Accrualstrip!X5+Accrualpot!X5+Accrualherb!X5</f>
        <v>12515.22</v>
      </c>
      <c r="Y5" s="1">
        <f>+Accrualstrip!Y5+Accrualpot!Y5+Accrualherb!Y5</f>
        <v>8624.56</v>
      </c>
      <c r="Z5" s="1">
        <f>+Accrualstrip!Z5+Accrualpot!Z5+Accrualherb!Z5</f>
        <v>5186.7000000000007</v>
      </c>
      <c r="AA5" s="1">
        <f>+Accrualstrip!AA5+Accrualpot!AA5+Accrualherb!AA5</f>
        <v>2713.46</v>
      </c>
      <c r="AB5" s="1">
        <f>+Accrualstrip!AB5+Accrualpot!AB5+Accrualherb!AB5</f>
        <v>2800.9799999999996</v>
      </c>
      <c r="AC5" s="1">
        <f>+Accrualstrip!AC5+Accrualpot!AC5+Accrualherb!AC5</f>
        <v>1212.6399999999999</v>
      </c>
      <c r="AD5" s="1">
        <f>+Accrualstrip!AD5+Accrualpot!AD5+Accrualherb!AD5</f>
        <v>463.2</v>
      </c>
      <c r="AE5" s="1">
        <f>+Accrualstrip!AE5+Accrualpot!AE5+Accrualherb!AE5</f>
        <v>875.52</v>
      </c>
      <c r="AF5" s="1">
        <f>+Accrualstrip!AF5+Accrualpot!AF5+Accrualherb!AF5</f>
        <v>698.09999999999991</v>
      </c>
      <c r="AG5" s="1">
        <f>+Accrualstrip!AG5+Accrualpot!AG5+Accrualherb!AG5</f>
        <v>0</v>
      </c>
      <c r="AH5" s="1">
        <f>+Accrualstrip!AH5+Accrualpot!AH5+Accrualherb!AH5</f>
        <v>558</v>
      </c>
      <c r="AI5" s="1">
        <f>+Accrualstrip!AI5+Accrualpot!AI5+Accrualherb!AI5</f>
        <v>948.6</v>
      </c>
      <c r="AJ5" s="1">
        <f>+Accrualstrip!AJ5+Accrualpot!AJ5+Accrualherb!AJ5</f>
        <v>1023.7199999999999</v>
      </c>
      <c r="AK5" s="1">
        <f>+Accrualstrip!AK5+Accrualpot!AK5+Accrualherb!AK5</f>
        <v>0</v>
      </c>
      <c r="AL5" s="1">
        <f>+Accrualstrip!AL5+Accrualpot!AL5+Accrualherb!AL5</f>
        <v>2024.62</v>
      </c>
      <c r="AM5" s="1">
        <f>+Accrualstrip!AM5+Accrualpot!AM5+Accrualherb!AM5</f>
        <v>0</v>
      </c>
      <c r="AN5" s="1">
        <f>+Accrualstrip!AN5+Accrualpot!AN5+Accrualherb!AN5</f>
        <v>-311.34000000000003</v>
      </c>
      <c r="AO5" s="1">
        <f>+Accrualstrip!AO5+Accrualpot!AO5+Accrualherb!AO5</f>
        <v>0</v>
      </c>
      <c r="AP5" s="1">
        <f>+Accrualstrip!AP5+Accrualpot!AP5+Accrualherb!AP5</f>
        <v>0</v>
      </c>
      <c r="AQ5" s="1">
        <f>+Accrualstrip!AQ5+Accrualpot!AQ5+Accrualherb!AQ5</f>
        <v>0</v>
      </c>
      <c r="AR5" s="3">
        <f t="shared" ref="AR5:AR23" si="0">SUM(D5:AQ5)</f>
        <v>250089.35000000003</v>
      </c>
    </row>
    <row r="6" spans="1:45" x14ac:dyDescent="0.25">
      <c r="B6"/>
      <c r="C6" t="s">
        <v>347</v>
      </c>
      <c r="D6" s="1">
        <f>+Accrualstrip!D6+Accrualpot!D6+Accrualherb!D6</f>
        <v>0</v>
      </c>
      <c r="E6" s="1">
        <f>+Accrualstrip!E6+Accrualpot!E6+Accrualherb!E6</f>
        <v>0</v>
      </c>
      <c r="F6" s="1">
        <f>+Accrualstrip!F6+Accrualpot!F6+Accrualherb!F6</f>
        <v>0</v>
      </c>
      <c r="G6" s="1">
        <f>+Accrualstrip!G6+Accrualpot!G6+Accrualherb!G6</f>
        <v>0</v>
      </c>
      <c r="H6" s="1">
        <f>+Accrualstrip!H6+Accrualpot!H6+Accrualherb!H6</f>
        <v>0</v>
      </c>
      <c r="I6" s="1">
        <f>+Accrualstrip!I6+Accrualpot!I6+Accrualherb!I6</f>
        <v>0</v>
      </c>
      <c r="J6" s="1">
        <f>+Accrualstrip!J6+Accrualpot!J6+Accrualherb!J6</f>
        <v>0</v>
      </c>
      <c r="K6" s="1">
        <f>+Accrualstrip!K6+Accrualpot!K6+Accrualherb!K6</f>
        <v>0</v>
      </c>
      <c r="L6" s="1">
        <f>+Accrualstrip!L6+Accrualpot!L6+Accrualherb!L6</f>
        <v>5035.28</v>
      </c>
      <c r="M6" s="1">
        <f>+Accrualstrip!M6+Accrualpot!M6+Accrualherb!M6</f>
        <v>7870.58</v>
      </c>
      <c r="N6" s="1">
        <f>+Accrualstrip!N6+Accrualpot!N6+Accrualherb!N6</f>
        <v>4749.54</v>
      </c>
      <c r="O6" s="1">
        <f>+Accrualstrip!O6+Accrualpot!O6+Accrualherb!O6</f>
        <v>6577.66</v>
      </c>
      <c r="P6" s="1">
        <f>+Accrualstrip!P6+Accrualpot!P6+Accrualherb!P6</f>
        <v>16447.739999999998</v>
      </c>
      <c r="Q6" s="1">
        <f>+Accrualstrip!Q6+Accrualpot!Q6+Accrualherb!Q6</f>
        <v>17411.72</v>
      </c>
      <c r="R6" s="1">
        <f>+Accrualstrip!R6+Accrualpot!R6+Accrualherb!R6</f>
        <v>19982.2</v>
      </c>
      <c r="S6" s="1">
        <f>+Accrualstrip!S6+Accrualpot!S6+Accrualherb!S6</f>
        <v>22159.08</v>
      </c>
      <c r="T6" s="1">
        <f>+Accrualstrip!T6+Accrualpot!T6+Accrualherb!T6</f>
        <v>21029.52</v>
      </c>
      <c r="U6" s="1">
        <f>+Accrualstrip!U6+Accrualpot!U6+Accrualherb!U6</f>
        <v>23353.239999999998</v>
      </c>
      <c r="V6" s="1">
        <f>+Accrualstrip!V6+Accrualpot!V6+Accrualherb!V6</f>
        <v>15122.88</v>
      </c>
      <c r="W6" s="1">
        <f>+Accrualstrip!W6+Accrualpot!W6+Accrualherb!W6</f>
        <v>17882.439999999999</v>
      </c>
      <c r="X6" s="1">
        <f>+Accrualstrip!X6+Accrualpot!X6+Accrualherb!X6</f>
        <v>12403.4</v>
      </c>
      <c r="Y6" s="1">
        <f>+Accrualstrip!Y6+Accrualpot!Y6+Accrualherb!Y6</f>
        <v>5160.1400000000003</v>
      </c>
      <c r="Z6" s="1">
        <f>+Accrualstrip!Z6+Accrualpot!Z6+Accrualherb!Z6</f>
        <v>1919.52</v>
      </c>
      <c r="AA6" s="1">
        <f>+Accrualstrip!AA6+Accrualpot!AA6+Accrualherb!AA6</f>
        <v>699.48</v>
      </c>
      <c r="AB6" s="1">
        <f>+Accrualstrip!AB6+Accrualpot!AB6+Accrualherb!AB6</f>
        <v>680.52</v>
      </c>
      <c r="AC6" s="1">
        <f>+Accrualstrip!AC6+Accrualpot!AC6+Accrualherb!AC6</f>
        <v>386.53999999999996</v>
      </c>
      <c r="AD6" s="1">
        <f>+Accrualstrip!AD6+Accrualpot!AD6+Accrualherb!AD6</f>
        <v>436.5</v>
      </c>
      <c r="AE6" s="1">
        <f>+Accrualstrip!AE6+Accrualpot!AE6+Accrualherb!AE6</f>
        <v>0</v>
      </c>
      <c r="AF6" s="1">
        <f>+Accrualstrip!AF6+Accrualpot!AF6+Accrualherb!AF6</f>
        <v>642.42000000000007</v>
      </c>
      <c r="AG6" s="1">
        <f>+Accrualstrip!AG6+Accrualpot!AG6+Accrualherb!AG6</f>
        <v>894.78</v>
      </c>
      <c r="AH6" s="1">
        <f>+Accrualstrip!AH6+Accrualpot!AH6+Accrualherb!AH6</f>
        <v>279</v>
      </c>
      <c r="AI6" s="1">
        <f>+Accrualstrip!AI6+Accrualpot!AI6+Accrualherb!AI6</f>
        <v>349.70000000000005</v>
      </c>
      <c r="AJ6" s="1">
        <f>+Accrualstrip!AJ6+Accrualpot!AJ6+Accrualherb!AJ6</f>
        <v>651.3599999999999</v>
      </c>
      <c r="AK6" s="1">
        <f>+Accrualstrip!AK6+Accrualpot!AK6+Accrualherb!AK6</f>
        <v>469.29999999999995</v>
      </c>
      <c r="AL6" s="1">
        <f>+Accrualstrip!AL6+Accrualpot!AL6+Accrualherb!AL6</f>
        <v>279</v>
      </c>
      <c r="AM6" s="1">
        <f>+Accrualstrip!AM6+Accrualpot!AM6+Accrualherb!AM6</f>
        <v>0</v>
      </c>
      <c r="AN6" s="1">
        <f>+Accrualstrip!AN6+Accrualpot!AN6+Accrualherb!AN6</f>
        <v>279</v>
      </c>
      <c r="AO6" s="1">
        <f>+Accrualstrip!AO6+Accrualpot!AO6+Accrualherb!AO6</f>
        <v>0</v>
      </c>
      <c r="AP6" s="1">
        <f>+Accrualstrip!AP6+Accrualpot!AP6+Accrualherb!AP6</f>
        <v>0</v>
      </c>
      <c r="AQ6" s="1">
        <f>+Accrualstrip!AQ6+Accrualpot!AQ6+Accrualherb!AQ6</f>
        <v>0</v>
      </c>
      <c r="AR6" s="3">
        <f t="shared" si="0"/>
        <v>203152.54</v>
      </c>
    </row>
    <row r="7" spans="1:45" x14ac:dyDescent="0.25">
      <c r="B7"/>
      <c r="C7" t="s">
        <v>0</v>
      </c>
      <c r="D7" s="1">
        <f>+Accrualstrip!D7+Accrualpot!D7+Accrualherb!D7</f>
        <v>0</v>
      </c>
      <c r="E7" s="1">
        <f>+Accrualstrip!E7+Accrualpot!E7+Accrualherb!E7</f>
        <v>0</v>
      </c>
      <c r="F7" s="1">
        <f>+Accrualstrip!F7+Accrualpot!F7+Accrualherb!F7</f>
        <v>0</v>
      </c>
      <c r="G7" s="1">
        <f>+Accrualstrip!G7+Accrualpot!G7+Accrualherb!G7</f>
        <v>63991.040000000001</v>
      </c>
      <c r="H7" s="1">
        <f>+Accrualstrip!H7+Accrualpot!H7+Accrualherb!H7</f>
        <v>0</v>
      </c>
      <c r="I7" s="1">
        <f>+Accrualstrip!I7+Accrualpot!I7+Accrualherb!I7</f>
        <v>0</v>
      </c>
      <c r="J7" s="1">
        <f>+Accrualstrip!J7+Accrualpot!J7+Accrualherb!J7</f>
        <v>17078</v>
      </c>
      <c r="K7" s="1">
        <f>+Accrualstrip!K7+Accrualpot!K7+Accrualherb!K7</f>
        <v>22903.200000000001</v>
      </c>
      <c r="L7" s="1">
        <f>+Accrualstrip!L7+Accrualpot!L7+Accrualherb!L7</f>
        <v>45274.32</v>
      </c>
      <c r="M7" s="1">
        <f>+Accrualstrip!M7+Accrualpot!M7+Accrualherb!M7</f>
        <v>58937.5</v>
      </c>
      <c r="N7" s="1">
        <f>+Accrualstrip!N7+Accrualpot!N7+Accrualherb!N7</f>
        <v>60762.62</v>
      </c>
      <c r="O7" s="1">
        <f>+Accrualstrip!O7+Accrualpot!O7+Accrualherb!O7</f>
        <v>67726.899999999994</v>
      </c>
      <c r="P7" s="1">
        <f>+Accrualstrip!P7+Accrualpot!P7+Accrualherb!P7</f>
        <v>59342.14</v>
      </c>
      <c r="Q7" s="1">
        <f>+Accrualstrip!Q7+Accrualpot!Q7+Accrualherb!Q7</f>
        <v>124596.98000000001</v>
      </c>
      <c r="R7" s="1">
        <f>+Accrualstrip!R7+Accrualpot!R7+Accrualherb!R7</f>
        <v>94495.06</v>
      </c>
      <c r="S7" s="1">
        <f>+Accrualstrip!S7+Accrualpot!S7+Accrualherb!S7</f>
        <v>112753.68000000001</v>
      </c>
      <c r="T7" s="1">
        <f>+Accrualstrip!T7+Accrualpot!T7+Accrualherb!T7</f>
        <v>100401.2</v>
      </c>
      <c r="U7" s="1">
        <f>+Accrualstrip!U7+Accrualpot!U7+Accrualherb!U7</f>
        <v>119339.27999999998</v>
      </c>
      <c r="V7" s="1">
        <f>+Accrualstrip!V7+Accrualpot!V7+Accrualherb!V7</f>
        <v>68017.48000000001</v>
      </c>
      <c r="W7" s="1">
        <f>+Accrualstrip!W7+Accrualpot!W7+Accrualherb!W7</f>
        <v>78058.5</v>
      </c>
      <c r="X7" s="1">
        <f>+Accrualstrip!X7+Accrualpot!X7+Accrualherb!X7</f>
        <v>90820.88</v>
      </c>
      <c r="Y7" s="1">
        <f>+Accrualstrip!Y7+Accrualpot!Y7+Accrualherb!Y7</f>
        <v>79626.62</v>
      </c>
      <c r="Z7" s="1">
        <f>+Accrualstrip!Z7+Accrualpot!Z7+Accrualherb!Z7</f>
        <v>56619.7</v>
      </c>
      <c r="AA7" s="1">
        <f>+Accrualstrip!AA7+Accrualpot!AA7+Accrualherb!AA7</f>
        <v>43472.26</v>
      </c>
      <c r="AB7" s="1">
        <f>+Accrualstrip!AB7+Accrualpot!AB7+Accrualherb!AB7</f>
        <v>39402.729999999996</v>
      </c>
      <c r="AC7" s="1">
        <f>+Accrualstrip!AC7+Accrualpot!AC7+Accrualherb!AC7</f>
        <v>19885.120000000003</v>
      </c>
      <c r="AD7" s="1">
        <f>+Accrualstrip!AD7+Accrualpot!AD7+Accrualherb!AD7</f>
        <v>43289.440000000002</v>
      </c>
      <c r="AE7" s="1">
        <f>+Accrualstrip!AE7+Accrualpot!AE7+Accrualherb!AE7</f>
        <v>7558.8799999999992</v>
      </c>
      <c r="AF7" s="1">
        <f>+Accrualstrip!AF7+Accrualpot!AF7+Accrualherb!AF7</f>
        <v>3978.56</v>
      </c>
      <c r="AG7" s="1">
        <f>+Accrualstrip!AG7+Accrualpot!AG7+Accrualherb!AG7</f>
        <v>11667.599999999999</v>
      </c>
      <c r="AH7" s="1">
        <f>+Accrualstrip!AH7+Accrualpot!AH7+Accrualherb!AH7</f>
        <v>20369.68</v>
      </c>
      <c r="AI7" s="1">
        <f>+Accrualstrip!AI7+Accrualpot!AI7+Accrualherb!AI7</f>
        <v>8237.36</v>
      </c>
      <c r="AJ7" s="1">
        <f>+Accrualstrip!AJ7+Accrualpot!AJ7+Accrualherb!AJ7</f>
        <v>6220</v>
      </c>
      <c r="AK7" s="1">
        <f>+Accrualstrip!AK7+Accrualpot!AK7+Accrualherb!AK7</f>
        <v>15824.400000000001</v>
      </c>
      <c r="AL7" s="1">
        <f>+Accrualstrip!AL7+Accrualpot!AL7+Accrualherb!AL7</f>
        <v>6603.6</v>
      </c>
      <c r="AM7" s="1">
        <f>+Accrualstrip!AM7+Accrualpot!AM7+Accrualherb!AM7</f>
        <v>5068.8</v>
      </c>
      <c r="AN7" s="1">
        <f>+Accrualstrip!AN7+Accrualpot!AN7+Accrualherb!AN7</f>
        <v>2965.2</v>
      </c>
      <c r="AO7" s="1">
        <f>+Accrualstrip!AO7+Accrualpot!AO7+Accrualherb!AO7</f>
        <v>0</v>
      </c>
      <c r="AP7" s="1">
        <f>+Accrualstrip!AP7+Accrualpot!AP7+Accrualherb!AP7</f>
        <v>0</v>
      </c>
      <c r="AQ7" s="1">
        <f>+Accrualstrip!AQ7+Accrualpot!AQ7+Accrualherb!AQ7</f>
        <v>0</v>
      </c>
      <c r="AR7" s="3">
        <f t="shared" si="0"/>
        <v>1555288.73</v>
      </c>
      <c r="AS7" s="1"/>
    </row>
    <row r="8" spans="1:45" x14ac:dyDescent="0.25">
      <c r="B8"/>
      <c r="C8" t="s">
        <v>354</v>
      </c>
      <c r="D8" s="1">
        <f>+Accrualstrip!D8+Accrualpot!D8+Accrualherb!D8</f>
        <v>0</v>
      </c>
      <c r="E8" s="1">
        <f>+Accrualstrip!E8+Accrualpot!E8+Accrualherb!E8</f>
        <v>0</v>
      </c>
      <c r="F8" s="1">
        <f>+Accrualstrip!F8+Accrualpot!F8+Accrualherb!F8</f>
        <v>0</v>
      </c>
      <c r="G8" s="1">
        <f>+Accrualstrip!G8+Accrualpot!G8+Accrualherb!G8</f>
        <v>0</v>
      </c>
      <c r="H8" s="1">
        <f>+Accrualstrip!H8+Accrualpot!H8+Accrualherb!H8</f>
        <v>0</v>
      </c>
      <c r="I8" s="1">
        <f>+Accrualstrip!I8+Accrualpot!I8+Accrualherb!I8</f>
        <v>0</v>
      </c>
      <c r="J8" s="1">
        <f>+Accrualstrip!J8+Accrualpot!J8+Accrualherb!J8</f>
        <v>0</v>
      </c>
      <c r="K8" s="1">
        <f>+Accrualstrip!K8+Accrualpot!K8+Accrualherb!K8</f>
        <v>0</v>
      </c>
      <c r="L8" s="1">
        <f>+Accrualstrip!L8+Accrualpot!L8+Accrualherb!L8</f>
        <v>3780</v>
      </c>
      <c r="M8" s="1">
        <f>+Accrualstrip!M8+Accrualpot!M8+Accrualherb!M8</f>
        <v>307.26</v>
      </c>
      <c r="N8" s="1">
        <f>+Accrualstrip!N8+Accrualpot!N8+Accrualherb!N8</f>
        <v>1212.3600000000001</v>
      </c>
      <c r="O8" s="1">
        <f>+Accrualstrip!O8+Accrualpot!O8+Accrualherb!O8</f>
        <v>2986.6400000000003</v>
      </c>
      <c r="P8" s="1">
        <f>+Accrualstrip!P8+Accrualpot!P8+Accrualherb!P8</f>
        <v>4948.1400000000003</v>
      </c>
      <c r="Q8" s="1">
        <f>+Accrualstrip!Q8+Accrualpot!Q8+Accrualherb!Q8</f>
        <v>3290.2</v>
      </c>
      <c r="R8" s="1">
        <f>+Accrualstrip!R8+Accrualpot!R8+Accrualherb!R8</f>
        <v>4144.76</v>
      </c>
      <c r="S8" s="1">
        <f>+Accrualstrip!S8+Accrualpot!S8+Accrualherb!S8</f>
        <v>4970.7</v>
      </c>
      <c r="T8" s="1">
        <f>+Accrualstrip!T8+Accrualpot!T8+Accrualherb!T8</f>
        <v>6935.8399999999992</v>
      </c>
      <c r="U8" s="1">
        <f>+Accrualstrip!U8+Accrualpot!U8+Accrualherb!U8</f>
        <v>2680.48</v>
      </c>
      <c r="V8" s="1">
        <f>+Accrualstrip!V8+Accrualpot!V8+Accrualherb!V8</f>
        <v>1500.62</v>
      </c>
      <c r="W8" s="1">
        <f>+Accrualstrip!W8+Accrualpot!W8+Accrualherb!W8</f>
        <v>3587.5799999999995</v>
      </c>
      <c r="X8" s="1">
        <f>+Accrualstrip!X8+Accrualpot!X8+Accrualherb!X8</f>
        <v>3674.58</v>
      </c>
      <c r="Y8" s="1">
        <f>+Accrualstrip!Y8+Accrualpot!Y8+Accrualherb!Y8</f>
        <v>3339.2</v>
      </c>
      <c r="Z8" s="1">
        <f>+Accrualstrip!Z8+Accrualpot!Z8+Accrualherb!Z8</f>
        <v>1091.3200000000002</v>
      </c>
      <c r="AA8" s="1">
        <f>+Accrualstrip!AA8+Accrualpot!AA8+Accrualherb!AA8</f>
        <v>1418.94</v>
      </c>
      <c r="AB8" s="1">
        <f>+Accrualstrip!AB8+Accrualpot!AB8+Accrualherb!AB8</f>
        <v>645.83999999999992</v>
      </c>
      <c r="AC8" s="1">
        <f>+Accrualstrip!AC8+Accrualpot!AC8+Accrualherb!AC8</f>
        <v>279</v>
      </c>
      <c r="AD8" s="1">
        <f>+Accrualstrip!AD8+Accrualpot!AD8+Accrualherb!AD8</f>
        <v>0</v>
      </c>
      <c r="AE8" s="1">
        <f>+Accrualstrip!AE8+Accrualpot!AE8+Accrualherb!AE8</f>
        <v>0</v>
      </c>
      <c r="AF8" s="1">
        <f>+Accrualstrip!AF8+Accrualpot!AF8+Accrualherb!AF8</f>
        <v>0</v>
      </c>
      <c r="AG8" s="1">
        <f>+Accrualstrip!AG8+Accrualpot!AG8+Accrualherb!AG8</f>
        <v>0</v>
      </c>
      <c r="AH8" s="1">
        <f>+Accrualstrip!AH8+Accrualpot!AH8+Accrualherb!AH8</f>
        <v>1116</v>
      </c>
      <c r="AI8" s="1">
        <f>+Accrualstrip!AI8+Accrualpot!AI8+Accrualherb!AI8</f>
        <v>0</v>
      </c>
      <c r="AJ8" s="1">
        <f>+Accrualstrip!AJ8+Accrualpot!AJ8+Accrualherb!AJ8</f>
        <v>0</v>
      </c>
      <c r="AK8" s="1">
        <f>+Accrualstrip!AK8+Accrualpot!AK8+Accrualherb!AK8</f>
        <v>0</v>
      </c>
      <c r="AL8" s="1">
        <f>+Accrualstrip!AL8+Accrualpot!AL8+Accrualherb!AL8</f>
        <v>0</v>
      </c>
      <c r="AM8" s="1">
        <f>+Accrualstrip!AM8+Accrualpot!AM8+Accrualherb!AM8</f>
        <v>0</v>
      </c>
      <c r="AN8" s="1">
        <f>+Accrualstrip!AN8+Accrualpot!AN8+Accrualherb!AN8</f>
        <v>0</v>
      </c>
      <c r="AO8" s="1">
        <f>+Accrualstrip!AO8+Accrualpot!AO8+Accrualherb!AO8</f>
        <v>0</v>
      </c>
      <c r="AP8" s="1">
        <f>+Accrualstrip!AP8+Accrualpot!AP8+Accrualherb!AP8</f>
        <v>0</v>
      </c>
      <c r="AQ8" s="1">
        <f>+Accrualstrip!AQ8+Accrualpot!AQ8+Accrualherb!AQ8</f>
        <v>-1.62</v>
      </c>
      <c r="AR8" s="3">
        <f t="shared" si="0"/>
        <v>51907.840000000004</v>
      </c>
    </row>
    <row r="9" spans="1:45" x14ac:dyDescent="0.25">
      <c r="B9"/>
      <c r="C9" t="s">
        <v>265</v>
      </c>
      <c r="D9" s="1">
        <f>+Accrualstrip!D9+Accrualpot!D9+Accrualherb!D9</f>
        <v>0</v>
      </c>
      <c r="E9" s="1">
        <f>+Accrualstrip!E9+Accrualpot!E9+Accrualherb!E9</f>
        <v>0</v>
      </c>
      <c r="F9" s="1">
        <f>+Accrualstrip!F9+Accrualpot!F9+Accrualherb!F9</f>
        <v>0</v>
      </c>
      <c r="G9" s="1">
        <f>+Accrualstrip!G9+Accrualpot!G9+Accrualherb!G9</f>
        <v>0</v>
      </c>
      <c r="H9" s="1">
        <f>+Accrualstrip!H9+Accrualpot!H9+Accrualherb!H9</f>
        <v>0</v>
      </c>
      <c r="I9" s="1">
        <f>+Accrualstrip!I9+Accrualpot!I9+Accrualherb!I9</f>
        <v>2700</v>
      </c>
      <c r="J9" s="1">
        <f>+Accrualstrip!J9+Accrualpot!J9+Accrualherb!J9</f>
        <v>-16.2</v>
      </c>
      <c r="K9" s="1">
        <f>+Accrualstrip!K9+Accrualpot!K9+Accrualherb!K9</f>
        <v>0</v>
      </c>
      <c r="L9" s="1">
        <f>+Accrualstrip!L9+Accrualpot!L9+Accrualherb!L9</f>
        <v>5782.079999999999</v>
      </c>
      <c r="M9" s="1">
        <f>+Accrualstrip!M9+Accrualpot!M9+Accrualherb!M9</f>
        <v>5157.6000000000004</v>
      </c>
      <c r="N9" s="1">
        <f>+Accrualstrip!N9+Accrualpot!N9+Accrualherb!N9</f>
        <v>3437.5</v>
      </c>
      <c r="O9" s="1">
        <f>+Accrualstrip!O9+Accrualpot!O9+Accrualherb!O9</f>
        <v>4933.08</v>
      </c>
      <c r="P9" s="1">
        <f>+Accrualstrip!P9+Accrualpot!P9+Accrualherb!P9</f>
        <v>14416.62</v>
      </c>
      <c r="Q9" s="1">
        <f>+Accrualstrip!Q9+Accrualpot!Q9+Accrualherb!Q9</f>
        <v>18049.919999999998</v>
      </c>
      <c r="R9" s="1">
        <f>+Accrualstrip!R9+Accrualpot!R9+Accrualherb!R9</f>
        <v>12177.18</v>
      </c>
      <c r="S9" s="1">
        <f>+Accrualstrip!S9+Accrualpot!S9+Accrualherb!S9</f>
        <v>22144.800000000003</v>
      </c>
      <c r="T9" s="1">
        <f>+Accrualstrip!T9+Accrualpot!T9+Accrualherb!T9</f>
        <v>12494.66</v>
      </c>
      <c r="U9" s="1">
        <f>+Accrualstrip!U9+Accrualpot!U9+Accrualherb!U9</f>
        <v>23393.040000000001</v>
      </c>
      <c r="V9" s="1">
        <f>+Accrualstrip!V9+Accrualpot!V9+Accrualherb!V9</f>
        <v>12709.32</v>
      </c>
      <c r="W9" s="1">
        <f>+Accrualstrip!W9+Accrualpot!W9+Accrualherb!W9</f>
        <v>9782.26</v>
      </c>
      <c r="X9" s="1">
        <f>+Accrualstrip!X9+Accrualpot!X9+Accrualherb!X9</f>
        <v>12512.22</v>
      </c>
      <c r="Y9" s="1">
        <f>+Accrualstrip!Y9+Accrualpot!Y9+Accrualherb!Y9</f>
        <v>4527.2800000000007</v>
      </c>
      <c r="Z9" s="1">
        <f>+Accrualstrip!Z9+Accrualpot!Z9+Accrualherb!Z9</f>
        <v>-1191.2399999999998</v>
      </c>
      <c r="AA9" s="1">
        <f>+Accrualstrip!AA9+Accrualpot!AA9+Accrualherb!AA9</f>
        <v>1483.02</v>
      </c>
      <c r="AB9" s="1">
        <f>+Accrualstrip!AB9+Accrualpot!AB9+Accrualherb!AB9</f>
        <v>-44.28</v>
      </c>
      <c r="AC9" s="1">
        <f>+Accrualstrip!AC9+Accrualpot!AC9+Accrualherb!AC9</f>
        <v>0</v>
      </c>
      <c r="AD9" s="1">
        <f>+Accrualstrip!AD9+Accrualpot!AD9+Accrualherb!AD9</f>
        <v>0</v>
      </c>
      <c r="AE9" s="1">
        <f>+Accrualstrip!AE9+Accrualpot!AE9+Accrualherb!AE9</f>
        <v>0</v>
      </c>
      <c r="AF9" s="1">
        <f>+Accrualstrip!AF9+Accrualpot!AF9+Accrualherb!AF9</f>
        <v>0</v>
      </c>
      <c r="AG9" s="1">
        <f>+Accrualstrip!AG9+Accrualpot!AG9+Accrualherb!AG9</f>
        <v>0</v>
      </c>
      <c r="AH9" s="1">
        <f>+Accrualstrip!AH9+Accrualpot!AH9+Accrualherb!AH9</f>
        <v>4239.2999999999993</v>
      </c>
      <c r="AI9" s="1">
        <f>+Accrualstrip!AI9+Accrualpot!AI9+Accrualherb!AI9</f>
        <v>-17.64</v>
      </c>
      <c r="AJ9" s="1">
        <f>+Accrualstrip!AJ9+Accrualpot!AJ9+Accrualherb!AJ9</f>
        <v>0</v>
      </c>
      <c r="AK9" s="1">
        <f>+Accrualstrip!AK9+Accrualpot!AK9+Accrualherb!AK9</f>
        <v>1253.28</v>
      </c>
      <c r="AL9" s="1">
        <f>+Accrualstrip!AL9+Accrualpot!AL9+Accrualherb!AL9</f>
        <v>-8.82</v>
      </c>
      <c r="AM9" s="1">
        <f>+Accrualstrip!AM9+Accrualpot!AM9+Accrualherb!AM9</f>
        <v>0</v>
      </c>
      <c r="AN9" s="1">
        <f>+Accrualstrip!AN9+Accrualpot!AN9+Accrualherb!AN9</f>
        <v>0</v>
      </c>
      <c r="AO9" s="1">
        <f>+Accrualstrip!AO9+Accrualpot!AO9+Accrualherb!AO9</f>
        <v>0</v>
      </c>
      <c r="AP9" s="1">
        <f>+Accrualstrip!AP9+Accrualpot!AP9+Accrualherb!AP9</f>
        <v>0</v>
      </c>
      <c r="AQ9" s="1">
        <f>+Accrualstrip!AQ9+Accrualpot!AQ9+Accrualherb!AQ9</f>
        <v>0</v>
      </c>
      <c r="AR9" s="3">
        <f t="shared" si="0"/>
        <v>169914.97999999998</v>
      </c>
    </row>
    <row r="10" spans="1:45" x14ac:dyDescent="0.25">
      <c r="B10"/>
      <c r="C10" t="s">
        <v>191</v>
      </c>
      <c r="D10" s="1">
        <f>+Accrualstrip!D10+Accrualpot!D10+Accrualherb!D10</f>
        <v>0</v>
      </c>
      <c r="E10" s="1">
        <f>+Accrualstrip!E10+Accrualpot!E10+Accrualherb!E10</f>
        <v>0</v>
      </c>
      <c r="F10" s="1">
        <f>+Accrualstrip!F10+Accrualpot!F10+Accrualherb!F10</f>
        <v>0</v>
      </c>
      <c r="G10" s="1">
        <f>+Accrualstrip!G10+Accrualpot!G10+Accrualherb!G10</f>
        <v>0</v>
      </c>
      <c r="H10" s="1">
        <f>+Accrualstrip!H10+Accrualpot!H10+Accrualherb!H10</f>
        <v>11998.8</v>
      </c>
      <c r="I10" s="1">
        <f>+Accrualstrip!I10+Accrualpot!I10+Accrualherb!I10</f>
        <v>-79.790000000000006</v>
      </c>
      <c r="J10" s="1">
        <f>+Accrualstrip!J10+Accrualpot!J10+Accrualherb!J10</f>
        <v>0</v>
      </c>
      <c r="K10" s="1">
        <f>+Accrualstrip!K10+Accrualpot!K10+Accrualherb!K10</f>
        <v>9873.6</v>
      </c>
      <c r="L10" s="1">
        <f>+Accrualstrip!L10+Accrualpot!L10+Accrualherb!L10</f>
        <v>0</v>
      </c>
      <c r="M10" s="1">
        <f>+Accrualstrip!M10+Accrualpot!M10+Accrualherb!M10</f>
        <v>36101.279999999999</v>
      </c>
      <c r="N10" s="1">
        <f>+Accrualstrip!N10+Accrualpot!N10+Accrualherb!N10</f>
        <v>5368.9</v>
      </c>
      <c r="O10" s="1">
        <f>+Accrualstrip!O10+Accrualpot!O10+Accrualherb!O10</f>
        <v>8869.5399999999991</v>
      </c>
      <c r="P10" s="1">
        <f>+Accrualstrip!P10+Accrualpot!P10+Accrualherb!P10</f>
        <v>32500.36</v>
      </c>
      <c r="Q10" s="1">
        <f>+Accrualstrip!Q10+Accrualpot!Q10+Accrualherb!Q10</f>
        <v>35593.42</v>
      </c>
      <c r="R10" s="1">
        <f>+Accrualstrip!R10+Accrualpot!R10+Accrualherb!R10</f>
        <v>48103.889999999992</v>
      </c>
      <c r="S10" s="1">
        <f>+Accrualstrip!S10+Accrualpot!S10+Accrualherb!S10</f>
        <v>51920.819999999992</v>
      </c>
      <c r="T10" s="1">
        <f>+Accrualstrip!T10+Accrualpot!T10+Accrualherb!T10</f>
        <v>27729.010000000002</v>
      </c>
      <c r="U10" s="1">
        <f>+Accrualstrip!U10+Accrualpot!U10+Accrualherb!U10</f>
        <v>20325.080000000002</v>
      </c>
      <c r="V10" s="1">
        <f>+Accrualstrip!V10+Accrualpot!V10+Accrualherb!V10</f>
        <v>-3032.36</v>
      </c>
      <c r="W10" s="1">
        <f>+Accrualstrip!W10+Accrualpot!W10+Accrualherb!W10</f>
        <v>26731.340000000004</v>
      </c>
      <c r="X10" s="1">
        <f>+Accrualstrip!X10+Accrualpot!X10+Accrualherb!X10</f>
        <v>17979.68</v>
      </c>
      <c r="Y10" s="1">
        <f>+Accrualstrip!Y10+Accrualpot!Y10+Accrualherb!Y10</f>
        <v>16987.14</v>
      </c>
      <c r="Z10" s="1">
        <f>+Accrualstrip!Z10+Accrualpot!Z10+Accrualherb!Z10</f>
        <v>11945.12</v>
      </c>
      <c r="AA10" s="1">
        <f>+Accrualstrip!AA10+Accrualpot!AA10+Accrualherb!AA10</f>
        <v>13908.66</v>
      </c>
      <c r="AB10" s="1">
        <f>+Accrualstrip!AB10+Accrualpot!AB10+Accrualherb!AB10</f>
        <v>4827.5299999999988</v>
      </c>
      <c r="AC10" s="1">
        <f>+Accrualstrip!AC10+Accrualpot!AC10+Accrualherb!AC10</f>
        <v>655.29999999999995</v>
      </c>
      <c r="AD10" s="1">
        <f>+Accrualstrip!AD10+Accrualpot!AD10+Accrualherb!AD10</f>
        <v>-101.34</v>
      </c>
      <c r="AE10" s="1">
        <f>+Accrualstrip!AE10+Accrualpot!AE10+Accrualherb!AE10</f>
        <v>-576</v>
      </c>
      <c r="AF10" s="1">
        <f>+Accrualstrip!AF10+Accrualpot!AF10+Accrualherb!AF10</f>
        <v>-14.04</v>
      </c>
      <c r="AG10" s="1">
        <f>+Accrualstrip!AG10+Accrualpot!AG10+Accrualherb!AG10</f>
        <v>0</v>
      </c>
      <c r="AH10" s="1">
        <f>+Accrualstrip!AH10+Accrualpot!AH10+Accrualherb!AH10</f>
        <v>0</v>
      </c>
      <c r="AI10" s="1">
        <f>+Accrualstrip!AI10+Accrualpot!AI10+Accrualherb!AI10</f>
        <v>-557.46</v>
      </c>
      <c r="AJ10" s="1">
        <f>+Accrualstrip!AJ10+Accrualpot!AJ10+Accrualherb!AJ10</f>
        <v>0</v>
      </c>
      <c r="AK10" s="1">
        <f>+Accrualstrip!AK10+Accrualpot!AK10+Accrualherb!AK10</f>
        <v>0</v>
      </c>
      <c r="AL10" s="1">
        <f>+Accrualstrip!AL10+Accrualpot!AL10+Accrualherb!AL10</f>
        <v>312.95999999999998</v>
      </c>
      <c r="AM10" s="1">
        <f>+Accrualstrip!AM10+Accrualpot!AM10+Accrualherb!AM10</f>
        <v>1095.24</v>
      </c>
      <c r="AN10" s="1">
        <f>+Accrualstrip!AN10+Accrualpot!AN10+Accrualherb!AN10</f>
        <v>929.53</v>
      </c>
      <c r="AO10" s="1">
        <f>+Accrualstrip!AO10+Accrualpot!AO10+Accrualherb!AO10</f>
        <v>-93</v>
      </c>
      <c r="AP10" s="1">
        <f>+Accrualstrip!AP10+Accrualpot!AP10+Accrualherb!AP10</f>
        <v>484.22</v>
      </c>
      <c r="AQ10" s="1">
        <f>+Accrualstrip!AQ10+Accrualpot!AQ10+Accrualherb!AQ10</f>
        <v>0</v>
      </c>
      <c r="AR10" s="3">
        <f t="shared" si="0"/>
        <v>379787.43</v>
      </c>
      <c r="AS10" s="1"/>
    </row>
    <row r="11" spans="1:45" x14ac:dyDescent="0.25">
      <c r="B11"/>
      <c r="C11" t="s">
        <v>549</v>
      </c>
      <c r="D11" s="1">
        <f>+Accrualstrip!D11+Accrualpot!D11+Accrualherb!D11</f>
        <v>0</v>
      </c>
      <c r="E11" s="1">
        <f>+Accrualstrip!E11+Accrualpot!E11+Accrualherb!E11</f>
        <v>0</v>
      </c>
      <c r="F11" s="1">
        <f>+Accrualstrip!F11+Accrualpot!F11+Accrualherb!F11</f>
        <v>0</v>
      </c>
      <c r="G11" s="1">
        <f>+Accrualstrip!G11+Accrualpot!G11+Accrualherb!G11</f>
        <v>0</v>
      </c>
      <c r="H11" s="1">
        <f>+Accrualstrip!H11+Accrualpot!H11+Accrualherb!H11</f>
        <v>0</v>
      </c>
      <c r="I11" s="1">
        <f>+Accrualstrip!I11+Accrualpot!I11+Accrualherb!I11</f>
        <v>0</v>
      </c>
      <c r="J11" s="1">
        <f>+Accrualstrip!J11+Accrualpot!J11+Accrualherb!J11</f>
        <v>0</v>
      </c>
      <c r="K11" s="1">
        <f>+Accrualstrip!K11+Accrualpot!K11+Accrualherb!K11</f>
        <v>0</v>
      </c>
      <c r="L11" s="1">
        <f>+Accrualstrip!L11+Accrualpot!L11+Accrualherb!L11</f>
        <v>0</v>
      </c>
      <c r="M11" s="1">
        <f>+Accrualstrip!M11+Accrualpot!M11+Accrualherb!M11</f>
        <v>0</v>
      </c>
      <c r="N11" s="1">
        <f>+Accrualstrip!N11+Accrualpot!N11+Accrualherb!N11</f>
        <v>0</v>
      </c>
      <c r="O11" s="1">
        <f>+Accrualstrip!O11+Accrualpot!O11+Accrualherb!O11</f>
        <v>0</v>
      </c>
      <c r="P11" s="1">
        <f>+Accrualstrip!P11+Accrualpot!P11+Accrualherb!P11</f>
        <v>0</v>
      </c>
      <c r="Q11" s="1">
        <f>+Accrualstrip!Q11+Accrualpot!Q11+Accrualherb!Q11</f>
        <v>0</v>
      </c>
      <c r="R11" s="1">
        <f>+Accrualstrip!R11+Accrualpot!R11+Accrualherb!R11</f>
        <v>0</v>
      </c>
      <c r="S11" s="1">
        <f>+Accrualstrip!S11+Accrualpot!S11+Accrualherb!S11</f>
        <v>0</v>
      </c>
      <c r="T11" s="1">
        <f>+Accrualstrip!T11+Accrualpot!T11+Accrualherb!T11</f>
        <v>0</v>
      </c>
      <c r="U11" s="1">
        <f>+Accrualstrip!U11+Accrualpot!U11+Accrualherb!U11</f>
        <v>0</v>
      </c>
      <c r="V11" s="1">
        <f>+Accrualstrip!V11+Accrualpot!V11+Accrualherb!V11</f>
        <v>0</v>
      </c>
      <c r="W11" s="1">
        <f>+Accrualstrip!W11+Accrualpot!W11+Accrualherb!W11</f>
        <v>0</v>
      </c>
      <c r="X11" s="1">
        <f>+Accrualstrip!X11+Accrualpot!X11+Accrualherb!X11</f>
        <v>0</v>
      </c>
      <c r="Y11" s="1">
        <f>+Accrualstrip!Y11+Accrualpot!Y11+Accrualherb!Y11</f>
        <v>0</v>
      </c>
      <c r="Z11" s="1">
        <f>+Accrualstrip!Z11+Accrualpot!Z11+Accrualherb!Z11</f>
        <v>0</v>
      </c>
      <c r="AA11" s="1">
        <f>+Accrualstrip!AA11+Accrualpot!AA11+Accrualherb!AA11</f>
        <v>0</v>
      </c>
      <c r="AB11" s="1">
        <f>+Accrualstrip!AB11+Accrualpot!AB11+Accrualherb!AB11</f>
        <v>0</v>
      </c>
      <c r="AC11" s="1">
        <f>+Accrualstrip!AC11+Accrualpot!AC11+Accrualherb!AC11</f>
        <v>0</v>
      </c>
      <c r="AD11" s="1">
        <f>+Accrualstrip!AD11+Accrualpot!AD11+Accrualherb!AD11</f>
        <v>0</v>
      </c>
      <c r="AE11" s="1">
        <f>+Accrualstrip!AE11+Accrualpot!AE11+Accrualherb!AE11</f>
        <v>0</v>
      </c>
      <c r="AF11" s="1">
        <f>+Accrualstrip!AF11+Accrualpot!AF11+Accrualherb!AF11</f>
        <v>0</v>
      </c>
      <c r="AG11" s="1">
        <f>+Accrualstrip!AG11+Accrualpot!AG11+Accrualherb!AG11</f>
        <v>0</v>
      </c>
      <c r="AH11" s="1">
        <f>+Accrualstrip!AH11+Accrualpot!AH11+Accrualherb!AH11</f>
        <v>0</v>
      </c>
      <c r="AI11" s="1">
        <f>+Accrualstrip!AI11+Accrualpot!AI11+Accrualherb!AI11</f>
        <v>0</v>
      </c>
      <c r="AJ11" s="1">
        <f>+Accrualstrip!AJ11+Accrualpot!AJ11+Accrualherb!AJ11</f>
        <v>0</v>
      </c>
      <c r="AK11" s="1">
        <f>+Accrualstrip!AK11+Accrualpot!AK11+Accrualherb!AK11</f>
        <v>0</v>
      </c>
      <c r="AL11" s="1">
        <f>+Accrualstrip!AL11+Accrualpot!AL11+Accrualherb!AL11</f>
        <v>0</v>
      </c>
      <c r="AM11" s="1">
        <f>+Accrualstrip!AM11+Accrualpot!AM11+Accrualherb!AM11</f>
        <v>0</v>
      </c>
      <c r="AN11" s="1">
        <f>+Accrualstrip!AN11+Accrualpot!AN11+Accrualherb!AN11</f>
        <v>0</v>
      </c>
      <c r="AO11" s="1">
        <f>+Accrualstrip!AO11+Accrualpot!AO11+Accrualherb!AO11</f>
        <v>0</v>
      </c>
      <c r="AP11" s="1">
        <f>+Accrualstrip!AP11+Accrualpot!AP11+Accrualherb!AP11</f>
        <v>0</v>
      </c>
      <c r="AQ11" s="1">
        <f>+Accrualstrip!AQ11+Accrualpot!AQ11+Accrualherb!AQ11</f>
        <v>0</v>
      </c>
      <c r="AR11" s="3">
        <f t="shared" si="0"/>
        <v>0</v>
      </c>
    </row>
    <row r="12" spans="1:45" x14ac:dyDescent="0.25">
      <c r="B12"/>
      <c r="C12" t="s">
        <v>550</v>
      </c>
      <c r="D12" s="1">
        <f>+Accrualstrip!D12+Accrualpot!D12+Accrualherb!D12</f>
        <v>0</v>
      </c>
      <c r="E12" s="1">
        <f>+Accrualstrip!E12+Accrualpot!E12+Accrualherb!E12</f>
        <v>0</v>
      </c>
      <c r="F12" s="1">
        <f>+Accrualstrip!F12+Accrualpot!F12+Accrualherb!F12</f>
        <v>0</v>
      </c>
      <c r="G12" s="1">
        <f>+Accrualstrip!G12+Accrualpot!G12+Accrualherb!G12</f>
        <v>0</v>
      </c>
      <c r="H12" s="1">
        <f>+Accrualstrip!H12+Accrualpot!H12+Accrualherb!H12</f>
        <v>0</v>
      </c>
      <c r="I12" s="1">
        <f>+Accrualstrip!I12+Accrualpot!I12+Accrualherb!I12</f>
        <v>0</v>
      </c>
      <c r="J12" s="1">
        <f>+Accrualstrip!J12+Accrualpot!J12+Accrualherb!J12</f>
        <v>0</v>
      </c>
      <c r="K12" s="1">
        <f>+Accrualstrip!K12+Accrualpot!K12+Accrualherb!K12</f>
        <v>0</v>
      </c>
      <c r="L12" s="1">
        <f>+Accrualstrip!L12+Accrualpot!L12+Accrualherb!L12</f>
        <v>0</v>
      </c>
      <c r="M12" s="1">
        <f>+Accrualstrip!M12+Accrualpot!M12+Accrualherb!M12</f>
        <v>9561.6</v>
      </c>
      <c r="N12" s="1">
        <f>+Accrualstrip!N12+Accrualpot!N12+Accrualherb!N12</f>
        <v>-118.44</v>
      </c>
      <c r="O12" s="1">
        <f>+Accrualstrip!O12+Accrualpot!O12+Accrualherb!O12</f>
        <v>1308.3</v>
      </c>
      <c r="P12" s="1">
        <f>+Accrualstrip!P12+Accrualpot!P12+Accrualherb!P12</f>
        <v>-18.72</v>
      </c>
      <c r="Q12" s="1">
        <f>+Accrualstrip!Q12+Accrualpot!Q12+Accrualherb!Q12</f>
        <v>25606.460000000003</v>
      </c>
      <c r="R12" s="1">
        <f>+Accrualstrip!R12+Accrualpot!R12+Accrualherb!R12</f>
        <v>14234.32</v>
      </c>
      <c r="S12" s="1">
        <f>+Accrualstrip!S12+Accrualpot!S12+Accrualherb!S12</f>
        <v>19535.5</v>
      </c>
      <c r="T12" s="1">
        <f>+Accrualstrip!T12+Accrualpot!T12+Accrualherb!T12</f>
        <v>33159</v>
      </c>
      <c r="U12" s="1">
        <f>+Accrualstrip!U12+Accrualpot!U12+Accrualherb!U12</f>
        <v>8458.14</v>
      </c>
      <c r="V12" s="1">
        <f>+Accrualstrip!V12+Accrualpot!V12+Accrualherb!V12</f>
        <v>15860.419999999998</v>
      </c>
      <c r="W12" s="1">
        <f>+Accrualstrip!W12+Accrualpot!W12+Accrualherb!W12</f>
        <v>9446.44</v>
      </c>
      <c r="X12" s="1">
        <f>+Accrualstrip!X12+Accrualpot!X12+Accrualherb!X12</f>
        <v>10463.060000000001</v>
      </c>
      <c r="Y12" s="1">
        <f>+Accrualstrip!Y12+Accrualpot!Y12+Accrualherb!Y12</f>
        <v>13498.739999999998</v>
      </c>
      <c r="Z12" s="1">
        <f>+Accrualstrip!Z12+Accrualpot!Z12+Accrualherb!Z12</f>
        <v>3318.04</v>
      </c>
      <c r="AA12" s="1">
        <f>+Accrualstrip!AA12+Accrualpot!AA12+Accrualherb!AA12</f>
        <v>5201.76</v>
      </c>
      <c r="AB12" s="1">
        <f>+Accrualstrip!AB12+Accrualpot!AB12+Accrualherb!AB12</f>
        <v>3808.5</v>
      </c>
      <c r="AC12" s="1">
        <f>+Accrualstrip!AC12+Accrualpot!AC12+Accrualherb!AC12</f>
        <v>3730.1800000000003</v>
      </c>
      <c r="AD12" s="1">
        <f>+Accrualstrip!AD12+Accrualpot!AD12+Accrualherb!AD12</f>
        <v>5046.0999999999995</v>
      </c>
      <c r="AE12" s="1">
        <f>+Accrualstrip!AE12+Accrualpot!AE12+Accrualherb!AE12</f>
        <v>4934.54</v>
      </c>
      <c r="AF12" s="1">
        <f>+Accrualstrip!AF12+Accrualpot!AF12+Accrualherb!AF12</f>
        <v>723.5</v>
      </c>
      <c r="AG12" s="1">
        <f>+Accrualstrip!AG12+Accrualpot!AG12+Accrualherb!AG12</f>
        <v>1827.7399999999998</v>
      </c>
      <c r="AH12" s="1">
        <f>+Accrualstrip!AH12+Accrualpot!AH12+Accrualherb!AH12</f>
        <v>2606.04</v>
      </c>
      <c r="AI12" s="1">
        <f>+Accrualstrip!AI12+Accrualpot!AI12+Accrualherb!AI12</f>
        <v>2342.48</v>
      </c>
      <c r="AJ12" s="1">
        <f>+Accrualstrip!AJ12+Accrualpot!AJ12+Accrualherb!AJ12</f>
        <v>2813.26</v>
      </c>
      <c r="AK12" s="1">
        <f>+Accrualstrip!AK12+Accrualpot!AK12+Accrualherb!AK12</f>
        <v>2136.4399999999996</v>
      </c>
      <c r="AL12" s="1">
        <f>+Accrualstrip!AL12+Accrualpot!AL12+Accrualherb!AL12</f>
        <v>1372.3</v>
      </c>
      <c r="AM12" s="1">
        <f>+Accrualstrip!AM12+Accrualpot!AM12+Accrualherb!AM12</f>
        <v>2120.42</v>
      </c>
      <c r="AN12" s="1">
        <f>+Accrualstrip!AN12+Accrualpot!AN12+Accrualherb!AN12</f>
        <v>1727.6</v>
      </c>
      <c r="AO12" s="1">
        <f>+Accrualstrip!AO12+Accrualpot!AO12+Accrualherb!AO12</f>
        <v>-99.14</v>
      </c>
      <c r="AP12" s="1">
        <f>+Accrualstrip!AP12+Accrualpot!AP12+Accrualherb!AP12</f>
        <v>0</v>
      </c>
      <c r="AQ12" s="1">
        <f>+Accrualstrip!AQ12+Accrualpot!AQ12+Accrualherb!AQ12</f>
        <v>-240.8</v>
      </c>
      <c r="AR12" s="3">
        <f t="shared" si="0"/>
        <v>204363.78000000003</v>
      </c>
    </row>
    <row r="13" spans="1:45" x14ac:dyDescent="0.25">
      <c r="B13"/>
      <c r="C13" t="s">
        <v>6</v>
      </c>
      <c r="D13" s="1">
        <f>+Accrualstrip!D13+Accrualpot!D13+Accrualherb!D13</f>
        <v>0</v>
      </c>
      <c r="E13" s="1">
        <f>+Accrualstrip!E13+Accrualpot!E13+Accrualherb!E13</f>
        <v>0</v>
      </c>
      <c r="F13" s="1">
        <f>+Accrualstrip!F13+Accrualpot!F13+Accrualherb!F13</f>
        <v>0</v>
      </c>
      <c r="G13" s="1">
        <f>+Accrualstrip!G13+Accrualpot!G13+Accrualherb!G13</f>
        <v>0</v>
      </c>
      <c r="H13" s="1">
        <f>+Accrualstrip!H13+Accrualpot!H13+Accrualherb!H13</f>
        <v>0</v>
      </c>
      <c r="I13" s="1">
        <f>+Accrualstrip!I13+Accrualpot!I13+Accrualherb!I13</f>
        <v>0</v>
      </c>
      <c r="J13" s="1">
        <f>+Accrualstrip!J13+Accrualpot!J13+Accrualherb!J13</f>
        <v>0</v>
      </c>
      <c r="K13" s="1">
        <f>+Accrualstrip!K13+Accrualpot!K13+Accrualherb!K13</f>
        <v>0</v>
      </c>
      <c r="L13" s="1">
        <f>+Accrualstrip!L13+Accrualpot!L13+Accrualherb!L13</f>
        <v>38966.400000000001</v>
      </c>
      <c r="M13" s="1">
        <f>+Accrualstrip!M13+Accrualpot!M13+Accrualherb!M13</f>
        <v>16236</v>
      </c>
      <c r="N13" s="1">
        <f>+Accrualstrip!N13+Accrualpot!N13+Accrualherb!N13</f>
        <v>16434.84</v>
      </c>
      <c r="O13" s="1">
        <f>+Accrualstrip!O13+Accrualpot!O13+Accrualherb!O13</f>
        <v>16236</v>
      </c>
      <c r="P13" s="1">
        <f>+Accrualstrip!P13+Accrualpot!P13+Accrualherb!P13</f>
        <v>12588.800000000001</v>
      </c>
      <c r="Q13" s="1">
        <f>+Accrualstrip!Q13+Accrualpot!Q13+Accrualherb!Q13</f>
        <v>38866.400000000001</v>
      </c>
      <c r="R13" s="1">
        <f>+Accrualstrip!R13+Accrualpot!R13+Accrualherb!R13</f>
        <v>43006.8</v>
      </c>
      <c r="S13" s="1">
        <f>+Accrualstrip!S13+Accrualpot!S13+Accrualherb!S13</f>
        <v>14612.4</v>
      </c>
      <c r="T13" s="1">
        <f>+Accrualstrip!T13+Accrualpot!T13+Accrualherb!T13</f>
        <v>33816.660000000003</v>
      </c>
      <c r="U13" s="1">
        <f>+Accrualstrip!U13+Accrualpot!U13+Accrualherb!U13</f>
        <v>16689.599999999999</v>
      </c>
      <c r="V13" s="1">
        <f>+Accrualstrip!V13+Accrualpot!V13+Accrualherb!V13</f>
        <v>24974.080000000002</v>
      </c>
      <c r="W13" s="1">
        <f>+Accrualstrip!W13+Accrualpot!W13+Accrualherb!W13</f>
        <v>8255.52</v>
      </c>
      <c r="X13" s="1">
        <f>+Accrualstrip!X13+Accrualpot!X13+Accrualherb!X13</f>
        <v>0</v>
      </c>
      <c r="Y13" s="1">
        <f>+Accrualstrip!Y13+Accrualpot!Y13+Accrualherb!Y13</f>
        <v>9084.6</v>
      </c>
      <c r="Z13" s="1">
        <f>+Accrualstrip!Z13+Accrualpot!Z13+Accrualherb!Z13</f>
        <v>-558.6</v>
      </c>
      <c r="AA13" s="1">
        <f>+Accrualstrip!AA13+Accrualpot!AA13+Accrualherb!AA13</f>
        <v>7644</v>
      </c>
      <c r="AB13" s="1">
        <f>+Accrualstrip!AB13+Accrualpot!AB13+Accrualherb!AB13</f>
        <v>0</v>
      </c>
      <c r="AC13" s="1">
        <f>+Accrualstrip!AC13+Accrualpot!AC13+Accrualherb!AC13</f>
        <v>7938</v>
      </c>
      <c r="AD13" s="1">
        <f>+Accrualstrip!AD13+Accrualpot!AD13+Accrualherb!AD13</f>
        <v>0</v>
      </c>
      <c r="AE13" s="1">
        <f>+Accrualstrip!AE13+Accrualpot!AE13+Accrualherb!AE13</f>
        <v>6350.4</v>
      </c>
      <c r="AF13" s="1">
        <f>+Accrualstrip!AF13+Accrualpot!AF13+Accrualherb!AF13</f>
        <v>-58.8</v>
      </c>
      <c r="AG13" s="1">
        <f>+Accrualstrip!AG13+Accrualpot!AG13+Accrualherb!AG13</f>
        <v>0</v>
      </c>
      <c r="AH13" s="1">
        <f>+Accrualstrip!AH13+Accrualpot!AH13+Accrualherb!AH13</f>
        <v>31752</v>
      </c>
      <c r="AI13" s="1">
        <f>+Accrualstrip!AI13+Accrualpot!AI13+Accrualherb!AI13</f>
        <v>0</v>
      </c>
      <c r="AJ13" s="1">
        <f>+Accrualstrip!AJ13+Accrualpot!AJ13+Accrualherb!AJ13</f>
        <v>0</v>
      </c>
      <c r="AK13" s="1">
        <f>+Accrualstrip!AK13+Accrualpot!AK13+Accrualherb!AK13</f>
        <v>0</v>
      </c>
      <c r="AL13" s="1">
        <f>+Accrualstrip!AL13+Accrualpot!AL13+Accrualherb!AL13</f>
        <v>0</v>
      </c>
      <c r="AM13" s="1">
        <f>+Accrualstrip!AM13+Accrualpot!AM13+Accrualherb!AM13</f>
        <v>0</v>
      </c>
      <c r="AN13" s="1">
        <f>+Accrualstrip!AN13+Accrualpot!AN13+Accrualherb!AN13</f>
        <v>0</v>
      </c>
      <c r="AO13" s="1">
        <f>+Accrualstrip!AO13+Accrualpot!AO13+Accrualherb!AO13</f>
        <v>0</v>
      </c>
      <c r="AP13" s="1">
        <f>+Accrualstrip!AP13+Accrualpot!AP13+Accrualherb!AP13</f>
        <v>0</v>
      </c>
      <c r="AQ13" s="1">
        <f>+Accrualstrip!AQ13+Accrualpot!AQ13+Accrualherb!AQ13</f>
        <v>0</v>
      </c>
      <c r="AR13" s="3">
        <f t="shared" si="0"/>
        <v>342835.10000000003</v>
      </c>
      <c r="AS13" s="1"/>
    </row>
    <row r="14" spans="1:45" x14ac:dyDescent="0.25">
      <c r="B14"/>
      <c r="C14" t="s">
        <v>262</v>
      </c>
      <c r="D14" s="1">
        <f>+Accrualstrip!D14+Accrualpot!D14+Accrualherb!D14</f>
        <v>0</v>
      </c>
      <c r="E14" s="1">
        <f>+Accrualstrip!E14+Accrualpot!E14+Accrualherb!E14</f>
        <v>0</v>
      </c>
      <c r="F14" s="1">
        <f>+Accrualstrip!F14+Accrualpot!F14+Accrualherb!F14</f>
        <v>0</v>
      </c>
      <c r="G14" s="1">
        <f>+Accrualstrip!G14+Accrualpot!G14+Accrualherb!G14</f>
        <v>0</v>
      </c>
      <c r="H14" s="1">
        <f>+Accrualstrip!H14+Accrualpot!H14+Accrualherb!H14</f>
        <v>0</v>
      </c>
      <c r="I14" s="1">
        <f>+Accrualstrip!I14+Accrualpot!I14+Accrualherb!I14</f>
        <v>0</v>
      </c>
      <c r="J14" s="1">
        <f>+Accrualstrip!J14+Accrualpot!J14+Accrualherb!J14</f>
        <v>0</v>
      </c>
      <c r="K14" s="1">
        <f>+Accrualstrip!K14+Accrualpot!K14+Accrualherb!K14</f>
        <v>0</v>
      </c>
      <c r="L14" s="1">
        <f>+Accrualstrip!L14+Accrualpot!L14+Accrualherb!L14</f>
        <v>942.83999999999992</v>
      </c>
      <c r="M14" s="1">
        <f>+Accrualstrip!M14+Accrualpot!M14+Accrualherb!M14</f>
        <v>10780.2</v>
      </c>
      <c r="N14" s="1">
        <f>+Accrualstrip!N14+Accrualpot!N14+Accrualherb!N14</f>
        <v>6471.54</v>
      </c>
      <c r="O14" s="1">
        <f>+Accrualstrip!O14+Accrualpot!O14+Accrualherb!O14</f>
        <v>9747.5400000000009</v>
      </c>
      <c r="P14" s="1">
        <f>+Accrualstrip!P14+Accrualpot!P14+Accrualherb!P14</f>
        <v>9409.7199999999993</v>
      </c>
      <c r="Q14" s="1">
        <f>+Accrualstrip!Q14+Accrualpot!Q14+Accrualherb!Q14</f>
        <v>22234.6</v>
      </c>
      <c r="R14" s="1">
        <f>+Accrualstrip!R14+Accrualpot!R14+Accrualherb!R14</f>
        <v>13973.22</v>
      </c>
      <c r="S14" s="1">
        <f>+Accrualstrip!S14+Accrualpot!S14+Accrualherb!S14</f>
        <v>10243.17</v>
      </c>
      <c r="T14" s="1">
        <f>+Accrualstrip!T14+Accrualpot!T14+Accrualherb!T14</f>
        <v>14583.039999999999</v>
      </c>
      <c r="U14" s="1">
        <f>+Accrualstrip!U14+Accrualpot!U14+Accrualherb!U14</f>
        <v>7103.5599999999995</v>
      </c>
      <c r="V14" s="1">
        <f>+Accrualstrip!V14+Accrualpot!V14+Accrualherb!V14</f>
        <v>6642.8600000000006</v>
      </c>
      <c r="W14" s="1">
        <f>+Accrualstrip!W14+Accrualpot!W14+Accrualherb!W14</f>
        <v>7314.24</v>
      </c>
      <c r="X14" s="1">
        <f>+Accrualstrip!X14+Accrualpot!X14+Accrualherb!X14</f>
        <v>3903.7200000000003</v>
      </c>
      <c r="Y14" s="1">
        <f>+Accrualstrip!Y14+Accrualpot!Y14+Accrualherb!Y14</f>
        <v>1581.3600000000001</v>
      </c>
      <c r="Z14" s="1">
        <f>+Accrualstrip!Z14+Accrualpot!Z14+Accrualherb!Z14</f>
        <v>1052.8800000000001</v>
      </c>
      <c r="AA14" s="1">
        <f>+Accrualstrip!AA14+Accrualpot!AA14+Accrualherb!AA14</f>
        <v>-189.24</v>
      </c>
      <c r="AB14" s="1">
        <f>+Accrualstrip!AB14+Accrualpot!AB14+Accrualherb!AB14</f>
        <v>1458.3600000000001</v>
      </c>
      <c r="AC14" s="1">
        <f>+Accrualstrip!AC14+Accrualpot!AC14+Accrualherb!AC14</f>
        <v>299.39999999999998</v>
      </c>
      <c r="AD14" s="1">
        <f>+Accrualstrip!AD14+Accrualpot!AD14+Accrualherb!AD14</f>
        <v>0</v>
      </c>
      <c r="AE14" s="1">
        <f>+Accrualstrip!AE14+Accrualpot!AE14+Accrualherb!AE14</f>
        <v>306.89999999999998</v>
      </c>
      <c r="AF14" s="1">
        <f>+Accrualstrip!AF14+Accrualpot!AF14+Accrualherb!AF14</f>
        <v>874.19999999999993</v>
      </c>
      <c r="AG14" s="1">
        <f>+Accrualstrip!AG14+Accrualpot!AG14+Accrualherb!AG14</f>
        <v>0</v>
      </c>
      <c r="AH14" s="1">
        <f>+Accrualstrip!AH14+Accrualpot!AH14+Accrualherb!AH14</f>
        <v>0</v>
      </c>
      <c r="AI14" s="1">
        <f>+Accrualstrip!AI14+Accrualpot!AI14+Accrualherb!AI14</f>
        <v>-28.08</v>
      </c>
      <c r="AJ14" s="1">
        <f>+Accrualstrip!AJ14+Accrualpot!AJ14+Accrualherb!AJ14</f>
        <v>0</v>
      </c>
      <c r="AK14" s="1">
        <f>+Accrualstrip!AK14+Accrualpot!AK14+Accrualherb!AK14</f>
        <v>1088.0999999999999</v>
      </c>
      <c r="AL14" s="1">
        <f>+Accrualstrip!AL14+Accrualpot!AL14+Accrualherb!AL14</f>
        <v>1478.7</v>
      </c>
      <c r="AM14" s="1">
        <f>+Accrualstrip!AM14+Accrualpot!AM14+Accrualherb!AM14</f>
        <v>279</v>
      </c>
      <c r="AN14" s="1">
        <f>+Accrualstrip!AN14+Accrualpot!AN14+Accrualherb!AN14</f>
        <v>-247.38000000000002</v>
      </c>
      <c r="AO14" s="1">
        <f>+Accrualstrip!AO14+Accrualpot!AO14+Accrualherb!AO14</f>
        <v>0</v>
      </c>
      <c r="AP14" s="1">
        <f>+Accrualstrip!AP14+Accrualpot!AP14+Accrualherb!AP14</f>
        <v>0</v>
      </c>
      <c r="AQ14" s="1">
        <f>+Accrualstrip!AQ14+Accrualpot!AQ14+Accrualherb!AQ14</f>
        <v>0</v>
      </c>
      <c r="AR14" s="3">
        <f t="shared" si="0"/>
        <v>131304.44999999998</v>
      </c>
      <c r="AS14" s="1"/>
    </row>
    <row r="15" spans="1:45" x14ac:dyDescent="0.25">
      <c r="B15"/>
      <c r="C15" t="s">
        <v>42</v>
      </c>
      <c r="D15" s="1">
        <f>+Accrualstrip!D15+Accrualpot!D15+Accrualherb!D15</f>
        <v>0</v>
      </c>
      <c r="E15" s="1">
        <f>+Accrualstrip!E15+Accrualpot!E15+Accrualherb!E15</f>
        <v>0</v>
      </c>
      <c r="F15" s="1">
        <f>+Accrualstrip!F15+Accrualpot!F15+Accrualherb!F15</f>
        <v>0</v>
      </c>
      <c r="G15" s="1">
        <f>+Accrualstrip!G15+Accrualpot!G15+Accrualherb!G15</f>
        <v>0</v>
      </c>
      <c r="H15" s="1">
        <f>+Accrualstrip!H15+Accrualpot!H15+Accrualherb!H15</f>
        <v>0</v>
      </c>
      <c r="I15" s="1">
        <f>+Accrualstrip!I15+Accrualpot!I15+Accrualherb!I15</f>
        <v>0</v>
      </c>
      <c r="J15" s="1">
        <f>+Accrualstrip!J15+Accrualpot!J15+Accrualherb!J15</f>
        <v>0</v>
      </c>
      <c r="K15" s="1">
        <f>+Accrualstrip!K15+Accrualpot!K15+Accrualherb!K15</f>
        <v>454.9</v>
      </c>
      <c r="L15" s="1">
        <f>+Accrualstrip!L15+Accrualpot!L15+Accrualherb!L15</f>
        <v>24987.24</v>
      </c>
      <c r="M15" s="1">
        <f>+Accrualstrip!M15+Accrualpot!M15+Accrualherb!M15</f>
        <v>7805.52</v>
      </c>
      <c r="N15" s="1">
        <f>+Accrualstrip!N15+Accrualpot!N15+Accrualherb!N15</f>
        <v>9215.82</v>
      </c>
      <c r="O15" s="1">
        <f>+Accrualstrip!O15+Accrualpot!O15+Accrualherb!O15</f>
        <v>4988.8</v>
      </c>
      <c r="P15" s="1">
        <f>+Accrualstrip!P15+Accrualpot!P15+Accrualherb!P15</f>
        <v>16706.04</v>
      </c>
      <c r="Q15" s="1">
        <f>+Accrualstrip!Q15+Accrualpot!Q15+Accrualherb!Q15</f>
        <v>20574.240000000002</v>
      </c>
      <c r="R15" s="1">
        <f>+Accrualstrip!R15+Accrualpot!R15+Accrualherb!R15</f>
        <v>13276.62</v>
      </c>
      <c r="S15" s="1">
        <f>+Accrualstrip!S15+Accrualpot!S15+Accrualherb!S15</f>
        <v>11056.5</v>
      </c>
      <c r="T15" s="1">
        <f>+Accrualstrip!T15+Accrualpot!T15+Accrualherb!T15</f>
        <v>9904.44</v>
      </c>
      <c r="U15" s="1">
        <f>+Accrualstrip!U15+Accrualpot!U15+Accrualherb!U15</f>
        <v>18989.300000000003</v>
      </c>
      <c r="V15" s="1">
        <f>+Accrualstrip!V15+Accrualpot!V15+Accrualherb!V15</f>
        <v>5703.1</v>
      </c>
      <c r="W15" s="1">
        <f>+Accrualstrip!W15+Accrualpot!W15+Accrualherb!W15</f>
        <v>12260.659999999998</v>
      </c>
      <c r="X15" s="1">
        <f>+Accrualstrip!X15+Accrualpot!X15+Accrualherb!X15</f>
        <v>8237.8000000000011</v>
      </c>
      <c r="Y15" s="1">
        <f>+Accrualstrip!Y15+Accrualpot!Y15+Accrualherb!Y15</f>
        <v>8261.880000000001</v>
      </c>
      <c r="Z15" s="1">
        <f>+Accrualstrip!Z15+Accrualpot!Z15+Accrualherb!Z15</f>
        <v>228.26000000000005</v>
      </c>
      <c r="AA15" s="1">
        <f>+Accrualstrip!AA15+Accrualpot!AA15+Accrualherb!AA15</f>
        <v>-330.36</v>
      </c>
      <c r="AB15" s="1">
        <f>+Accrualstrip!AB15+Accrualpot!AB15+Accrualherb!AB15</f>
        <v>0</v>
      </c>
      <c r="AC15" s="1">
        <f>+Accrualstrip!AC15+Accrualpot!AC15+Accrualherb!AC15</f>
        <v>587.79999999999995</v>
      </c>
      <c r="AD15" s="1">
        <f>+Accrualstrip!AD15+Accrualpot!AD15+Accrualherb!AD15</f>
        <v>-220.16</v>
      </c>
      <c r="AE15" s="1">
        <f>+Accrualstrip!AE15+Accrualpot!AE15+Accrualherb!AE15</f>
        <v>673.81999999999994</v>
      </c>
      <c r="AF15" s="1">
        <f>+Accrualstrip!AF15+Accrualpot!AF15+Accrualherb!AF15</f>
        <v>528.26</v>
      </c>
      <c r="AG15" s="1">
        <f>+Accrualstrip!AG15+Accrualpot!AG15+Accrualherb!AG15</f>
        <v>741.36</v>
      </c>
      <c r="AH15" s="1">
        <f>+Accrualstrip!AH15+Accrualpot!AH15+Accrualherb!AH15</f>
        <v>417.7</v>
      </c>
      <c r="AI15" s="1">
        <f>+Accrualstrip!AI15+Accrualpot!AI15+Accrualherb!AI15</f>
        <v>341.48</v>
      </c>
      <c r="AJ15" s="1">
        <f>+Accrualstrip!AJ15+Accrualpot!AJ15+Accrualherb!AJ15</f>
        <v>922.63999999999987</v>
      </c>
      <c r="AK15" s="1">
        <f>+Accrualstrip!AK15+Accrualpot!AK15+Accrualherb!AK15</f>
        <v>0</v>
      </c>
      <c r="AL15" s="1">
        <f>+Accrualstrip!AL15+Accrualpot!AL15+Accrualherb!AL15</f>
        <v>0</v>
      </c>
      <c r="AM15" s="1">
        <f>+Accrualstrip!AM15+Accrualpot!AM15+Accrualherb!AM15</f>
        <v>0</v>
      </c>
      <c r="AN15" s="1">
        <f>+Accrualstrip!AN15+Accrualpot!AN15+Accrualherb!AN15</f>
        <v>323.2</v>
      </c>
      <c r="AO15" s="1">
        <f>+Accrualstrip!AO15+Accrualpot!AO15+Accrualherb!AO15</f>
        <v>-33.840000000000003</v>
      </c>
      <c r="AP15" s="1">
        <f>+Accrualstrip!AP15+Accrualpot!AP15+Accrualherb!AP15</f>
        <v>0</v>
      </c>
      <c r="AQ15" s="1">
        <f>+Accrualstrip!AQ15+Accrualpot!AQ15+Accrualherb!AQ15</f>
        <v>0</v>
      </c>
      <c r="AR15" s="3">
        <f t="shared" si="0"/>
        <v>176603.02000000008</v>
      </c>
      <c r="AS15" s="1"/>
    </row>
    <row r="16" spans="1:45" x14ac:dyDescent="0.25">
      <c r="B16"/>
      <c r="C16" t="s">
        <v>192</v>
      </c>
      <c r="D16" s="1">
        <f>+Accrualstrip!D16+Accrualpot!D16+Accrualherb!D16</f>
        <v>0</v>
      </c>
      <c r="E16" s="1">
        <f>+Accrualstrip!E16+Accrualpot!E16+Accrualherb!E16</f>
        <v>0</v>
      </c>
      <c r="F16" s="1">
        <f>+Accrualstrip!F16+Accrualpot!F16+Accrualherb!F16</f>
        <v>0</v>
      </c>
      <c r="G16" s="1">
        <f>+Accrualstrip!G16+Accrualpot!G16+Accrualherb!G16</f>
        <v>1073.76</v>
      </c>
      <c r="H16" s="1">
        <f>+Accrualstrip!H16+Accrualpot!H16+Accrualherb!H16</f>
        <v>0</v>
      </c>
      <c r="I16" s="1">
        <f>+Accrualstrip!I16+Accrualpot!I16+Accrualherb!I16</f>
        <v>453.18</v>
      </c>
      <c r="J16" s="1">
        <f>+Accrualstrip!J16+Accrualpot!J16+Accrualherb!J16</f>
        <v>1266.5999999999999</v>
      </c>
      <c r="K16" s="1">
        <f>+Accrualstrip!K16+Accrualpot!K16+Accrualherb!K16</f>
        <v>15610.32</v>
      </c>
      <c r="L16" s="1">
        <f>+Accrualstrip!L16+Accrualpot!L16+Accrualherb!L16</f>
        <v>0</v>
      </c>
      <c r="M16" s="1">
        <f>+Accrualstrip!M16+Accrualpot!M16+Accrualherb!M16</f>
        <v>31503.24</v>
      </c>
      <c r="N16" s="1">
        <f>+Accrualstrip!N16+Accrualpot!N16+Accrualherb!N16</f>
        <v>3728.72</v>
      </c>
      <c r="O16" s="1">
        <f>+Accrualstrip!O16+Accrualpot!O16+Accrualherb!O16</f>
        <v>9488.0399999999991</v>
      </c>
      <c r="P16" s="1">
        <f>+Accrualstrip!P16+Accrualpot!P16+Accrualherb!P16</f>
        <v>22877.520000000004</v>
      </c>
      <c r="Q16" s="1">
        <f>+Accrualstrip!Q16+Accrualpot!Q16+Accrualherb!Q16</f>
        <v>29227.719999999998</v>
      </c>
      <c r="R16" s="1">
        <f>+Accrualstrip!R16+Accrualpot!R16+Accrualherb!R16</f>
        <v>33464.560000000005</v>
      </c>
      <c r="S16" s="1">
        <f>+Accrualstrip!S16+Accrualpot!S16+Accrualherb!S16</f>
        <v>13302.100000000002</v>
      </c>
      <c r="T16" s="1">
        <f>+Accrualstrip!T16+Accrualpot!T16+Accrualherb!T16</f>
        <v>14278.8</v>
      </c>
      <c r="U16" s="1">
        <f>+Accrualstrip!U16+Accrualpot!U16+Accrualherb!U16</f>
        <v>26976.100000000006</v>
      </c>
      <c r="V16" s="1">
        <f>+Accrualstrip!V16+Accrualpot!V16+Accrualherb!V16</f>
        <v>8648.0259999999998</v>
      </c>
      <c r="W16" s="1">
        <f>+Accrualstrip!W16+Accrualpot!W16+Accrualherb!W16</f>
        <v>22010.36</v>
      </c>
      <c r="X16" s="1">
        <f>+Accrualstrip!X16+Accrualpot!X16+Accrualherb!X16</f>
        <v>14331.779999999999</v>
      </c>
      <c r="Y16" s="1">
        <f>+Accrualstrip!Y16+Accrualpot!Y16+Accrualherb!Y16</f>
        <v>8913</v>
      </c>
      <c r="Z16" s="1">
        <f>+Accrualstrip!Z16+Accrualpot!Z16+Accrualherb!Z16</f>
        <v>1542.3600000000001</v>
      </c>
      <c r="AA16" s="1">
        <f>+Accrualstrip!AA16+Accrualpot!AA16+Accrualherb!AA16</f>
        <v>2182.1400000000003</v>
      </c>
      <c r="AB16" s="1">
        <f>+Accrualstrip!AB16+Accrualpot!AB16+Accrualherb!AB16</f>
        <v>2127.48</v>
      </c>
      <c r="AC16" s="1">
        <f>+Accrualstrip!AC16+Accrualpot!AC16+Accrualherb!AC16</f>
        <v>1731.42</v>
      </c>
      <c r="AD16" s="1">
        <f>+Accrualstrip!AD16+Accrualpot!AD16+Accrualherb!AD16</f>
        <v>762.96</v>
      </c>
      <c r="AE16" s="1">
        <f>+Accrualstrip!AE16+Accrualpot!AE16+Accrualherb!AE16</f>
        <v>0</v>
      </c>
      <c r="AF16" s="1">
        <f>+Accrualstrip!AF16+Accrualpot!AF16+Accrualherb!AF16</f>
        <v>-117.06</v>
      </c>
      <c r="AG16" s="1">
        <f>+Accrualstrip!AG16+Accrualpot!AG16+Accrualherb!AG16</f>
        <v>-704.68</v>
      </c>
      <c r="AH16" s="1">
        <f>+Accrualstrip!AH16+Accrualpot!AH16+Accrualherb!AH16</f>
        <v>6311.28</v>
      </c>
      <c r="AI16" s="1">
        <f>+Accrualstrip!AI16+Accrualpot!AI16+Accrualherb!AI16</f>
        <v>1150.6500000000001</v>
      </c>
      <c r="AJ16" s="1">
        <f>+Accrualstrip!AJ16+Accrualpot!AJ16+Accrualherb!AJ16</f>
        <v>2960.16</v>
      </c>
      <c r="AK16" s="1">
        <f>+Accrualstrip!AK16+Accrualpot!AK16+Accrualherb!AK16</f>
        <v>-26.46</v>
      </c>
      <c r="AL16" s="1">
        <f>+Accrualstrip!AL16+Accrualpot!AL16+Accrualherb!AL16</f>
        <v>0</v>
      </c>
      <c r="AM16" s="1">
        <f>+Accrualstrip!AM16+Accrualpot!AM16+Accrualherb!AM16</f>
        <v>0</v>
      </c>
      <c r="AN16" s="1">
        <f>+Accrualstrip!AN16+Accrualpot!AN16+Accrualherb!AN16</f>
        <v>0</v>
      </c>
      <c r="AO16" s="1">
        <f>+Accrualstrip!AO16+Accrualpot!AO16+Accrualherb!AO16</f>
        <v>0</v>
      </c>
      <c r="AP16" s="1">
        <f>+Accrualstrip!AP16+Accrualpot!AP16+Accrualherb!AP16</f>
        <v>0</v>
      </c>
      <c r="AQ16" s="1">
        <f>+Accrualstrip!AQ16+Accrualpot!AQ16+Accrualherb!AQ16</f>
        <v>0</v>
      </c>
      <c r="AR16" s="3">
        <f t="shared" si="0"/>
        <v>275074.07600000006</v>
      </c>
      <c r="AS16" s="1"/>
    </row>
    <row r="17" spans="1:47" x14ac:dyDescent="0.25">
      <c r="B17"/>
      <c r="C17" t="s">
        <v>133</v>
      </c>
      <c r="D17" s="1">
        <f>+Accrualstrip!D17+Accrualpot!D17+Accrualherb!D17</f>
        <v>0</v>
      </c>
      <c r="E17" s="1">
        <f>+Accrualstrip!E17+Accrualpot!E17+Accrualherb!E17</f>
        <v>0</v>
      </c>
      <c r="F17" s="1">
        <f>+Accrualstrip!F17+Accrualpot!F17+Accrualherb!F17</f>
        <v>0</v>
      </c>
      <c r="G17" s="1">
        <f>+Accrualstrip!G17+Accrualpot!G17+Accrualherb!G17</f>
        <v>0</v>
      </c>
      <c r="H17" s="1">
        <f>+Accrualstrip!H17+Accrualpot!H17+Accrualherb!H17</f>
        <v>0</v>
      </c>
      <c r="I17" s="1">
        <f>+Accrualstrip!I17+Accrualpot!I17+Accrualherb!I17</f>
        <v>0</v>
      </c>
      <c r="J17" s="1">
        <f>+Accrualstrip!J17+Accrualpot!J17+Accrualherb!J17</f>
        <v>0</v>
      </c>
      <c r="K17" s="1">
        <f>+Accrualstrip!K17+Accrualpot!K17+Accrualherb!K17</f>
        <v>0</v>
      </c>
      <c r="L17" s="1">
        <f>+Accrualstrip!L17+Accrualpot!L17+Accrualherb!L17</f>
        <v>2792.7</v>
      </c>
      <c r="M17" s="1">
        <f>+Accrualstrip!M17+Accrualpot!M17+Accrualherb!M17</f>
        <v>1851.3000000000002</v>
      </c>
      <c r="N17" s="1">
        <f>+Accrualstrip!N17+Accrualpot!N17+Accrualherb!N17</f>
        <v>4218.66</v>
      </c>
      <c r="O17" s="1">
        <f>+Accrualstrip!O17+Accrualpot!O17+Accrualherb!O17</f>
        <v>4974</v>
      </c>
      <c r="P17" s="1">
        <f>+Accrualstrip!P17+Accrualpot!P17+Accrualherb!P17</f>
        <v>9767.16</v>
      </c>
      <c r="Q17" s="1">
        <f>+Accrualstrip!Q17+Accrualpot!Q17+Accrualherb!Q17</f>
        <v>8589.75</v>
      </c>
      <c r="R17" s="1">
        <f>+Accrualstrip!R17+Accrualpot!R17+Accrualherb!R17</f>
        <v>5917.4</v>
      </c>
      <c r="S17" s="1">
        <f>+Accrualstrip!S17+Accrualpot!S17+Accrualherb!S17</f>
        <v>9355.94</v>
      </c>
      <c r="T17" s="1">
        <f>+Accrualstrip!T17+Accrualpot!T17+Accrualherb!T17</f>
        <v>12611.52</v>
      </c>
      <c r="U17" s="1">
        <f>+Accrualstrip!U17+Accrualpot!U17+Accrualherb!U17</f>
        <v>9324.619999999999</v>
      </c>
      <c r="V17" s="1">
        <f>+Accrualstrip!V17+Accrualpot!V17+Accrualherb!V17</f>
        <v>4686.32</v>
      </c>
      <c r="W17" s="1">
        <f>+Accrualstrip!W17+Accrualpot!W17+Accrualherb!W17</f>
        <v>5717.08</v>
      </c>
      <c r="X17" s="1">
        <f>+Accrualstrip!X17+Accrualpot!X17+Accrualherb!X17</f>
        <v>6838.9000000000015</v>
      </c>
      <c r="Y17" s="1">
        <f>+Accrualstrip!Y17+Accrualpot!Y17+Accrualherb!Y17</f>
        <v>4145.4000000000005</v>
      </c>
      <c r="Z17" s="1">
        <f>+Accrualstrip!Z17+Accrualpot!Z17+Accrualherb!Z17</f>
        <v>2548.9</v>
      </c>
      <c r="AA17" s="1">
        <f>+Accrualstrip!AA17+Accrualpot!AA17+Accrualherb!AA17</f>
        <v>1721.6799999999998</v>
      </c>
      <c r="AB17" s="1">
        <f>+Accrualstrip!AB17+Accrualpot!AB17+Accrualherb!AB17</f>
        <v>1515.54</v>
      </c>
      <c r="AC17" s="1">
        <f>+Accrualstrip!AC17+Accrualpot!AC17+Accrualherb!AC17</f>
        <v>842.10000000000014</v>
      </c>
      <c r="AD17" s="1">
        <f>+Accrualstrip!AD17+Accrualpot!AD17+Accrualherb!AD17</f>
        <v>772.08</v>
      </c>
      <c r="AE17" s="1">
        <f>+Accrualstrip!AE17+Accrualpot!AE17+Accrualherb!AE17</f>
        <v>530.09999999999991</v>
      </c>
      <c r="AF17" s="1">
        <f>+Accrualstrip!AF17+Accrualpot!AF17+Accrualherb!AF17</f>
        <v>1078.08</v>
      </c>
      <c r="AG17" s="1">
        <f>+Accrualstrip!AG17+Accrualpot!AG17+Accrualherb!AG17</f>
        <v>791.46</v>
      </c>
      <c r="AH17" s="1">
        <f>+Accrualstrip!AH17+Accrualpot!AH17+Accrualherb!AH17</f>
        <v>542.5</v>
      </c>
      <c r="AI17" s="1">
        <f>+Accrualstrip!AI17+Accrualpot!AI17+Accrualherb!AI17</f>
        <v>809.1</v>
      </c>
      <c r="AJ17" s="1">
        <f>+Accrualstrip!AJ17+Accrualpot!AJ17+Accrualherb!AJ17</f>
        <v>176.7</v>
      </c>
      <c r="AK17" s="1">
        <f>+Accrualstrip!AK17+Accrualpot!AK17+Accrualherb!AK17</f>
        <v>0</v>
      </c>
      <c r="AL17" s="1">
        <f>+Accrualstrip!AL17+Accrualpot!AL17+Accrualherb!AL17</f>
        <v>306.89999999999998</v>
      </c>
      <c r="AM17" s="1">
        <f>+Accrualstrip!AM17+Accrualpot!AM17+Accrualherb!AM17</f>
        <v>279</v>
      </c>
      <c r="AN17" s="1">
        <f>+Accrualstrip!AN17+Accrualpot!AN17+Accrualherb!AN17</f>
        <v>251.1</v>
      </c>
      <c r="AO17" s="1">
        <f>+Accrualstrip!AO17+Accrualpot!AO17+Accrualherb!AO17</f>
        <v>0</v>
      </c>
      <c r="AP17" s="1">
        <f>+Accrualstrip!AP17+Accrualpot!AP17+Accrualherb!AP17</f>
        <v>0</v>
      </c>
      <c r="AQ17" s="1">
        <f>+Accrualstrip!AQ17+Accrualpot!AQ17+Accrualherb!AQ17</f>
        <v>0</v>
      </c>
      <c r="AR17" s="3">
        <f t="shared" si="0"/>
        <v>102955.99</v>
      </c>
    </row>
    <row r="18" spans="1:47" x14ac:dyDescent="0.25">
      <c r="B18"/>
      <c r="C18" t="s">
        <v>41</v>
      </c>
      <c r="D18" s="1">
        <f>+Accrualstrip!D18+Accrualpot!D18+Accrualherb!D18</f>
        <v>0</v>
      </c>
      <c r="E18" s="1">
        <f>+Accrualstrip!E18+Accrualpot!E18+Accrualherb!E18</f>
        <v>0</v>
      </c>
      <c r="F18" s="1">
        <f>+Accrualstrip!F18+Accrualpot!F18+Accrualherb!F18</f>
        <v>0</v>
      </c>
      <c r="G18" s="1">
        <f>+Accrualstrip!G18+Accrualpot!G18+Accrualherb!G18</f>
        <v>0</v>
      </c>
      <c r="H18" s="1">
        <f>+Accrualstrip!H18+Accrualpot!H18+Accrualherb!H18</f>
        <v>13352.400000000001</v>
      </c>
      <c r="I18" s="1">
        <f>+Accrualstrip!I18+Accrualpot!I18+Accrualherb!I18</f>
        <v>0</v>
      </c>
      <c r="J18" s="1">
        <f>+Accrualstrip!J18+Accrualpot!J18+Accrualherb!J18</f>
        <v>-15.44</v>
      </c>
      <c r="K18" s="1">
        <f>+Accrualstrip!K18+Accrualpot!K18+Accrualherb!K18</f>
        <v>482.88</v>
      </c>
      <c r="L18" s="1">
        <f>+Accrualstrip!L18+Accrualpot!L18+Accrualherb!L18</f>
        <v>37660.300000000003</v>
      </c>
      <c r="M18" s="1">
        <f>+Accrualstrip!M18+Accrualpot!M18+Accrualherb!M18</f>
        <v>19133.419999999998</v>
      </c>
      <c r="N18" s="1">
        <f>+Accrualstrip!N18+Accrualpot!N18+Accrualherb!N18</f>
        <v>25149.4</v>
      </c>
      <c r="O18" s="1">
        <f>+Accrualstrip!O18+Accrualpot!O18+Accrualherb!O18</f>
        <v>37838.5</v>
      </c>
      <c r="P18" s="1">
        <f>+Accrualstrip!P18+Accrualpot!P18+Accrualherb!P18</f>
        <v>48780.560000000005</v>
      </c>
      <c r="Q18" s="1">
        <f>+Accrualstrip!Q18+Accrualpot!Q18+Accrualherb!Q18</f>
        <v>64777.760000000002</v>
      </c>
      <c r="R18" s="1">
        <f>+Accrualstrip!R18+Accrualpot!R18+Accrualherb!R18</f>
        <v>59597.579999999994</v>
      </c>
      <c r="S18" s="1">
        <f>+Accrualstrip!S18+Accrualpot!S18+Accrualherb!S18</f>
        <v>47418.16</v>
      </c>
      <c r="T18" s="1">
        <f>+Accrualstrip!T18+Accrualpot!T18+Accrualherb!T18</f>
        <v>71325.38</v>
      </c>
      <c r="U18" s="1">
        <f>+Accrualstrip!U18+Accrualpot!U18+Accrualherb!U18</f>
        <v>68695.42</v>
      </c>
      <c r="V18" s="1">
        <f>+Accrualstrip!V18+Accrualpot!V18+Accrualherb!V18</f>
        <v>44481.59</v>
      </c>
      <c r="W18" s="1">
        <f>+Accrualstrip!W18+Accrualpot!W18+Accrualherb!W18</f>
        <v>39321.58</v>
      </c>
      <c r="X18" s="1">
        <f>+Accrualstrip!X18+Accrualpot!X18+Accrualherb!X18</f>
        <v>62712.28</v>
      </c>
      <c r="Y18" s="1">
        <f>+Accrualstrip!Y18+Accrualpot!Y18+Accrualherb!Y18</f>
        <v>52447.479999999996</v>
      </c>
      <c r="Z18" s="1">
        <f>+Accrualstrip!Z18+Accrualpot!Z18+Accrualherb!Z18</f>
        <v>11539.84</v>
      </c>
      <c r="AA18" s="1">
        <f>+Accrualstrip!AA18+Accrualpot!AA18+Accrualherb!AA18</f>
        <v>8738.24</v>
      </c>
      <c r="AB18" s="1">
        <f>+Accrualstrip!AB18+Accrualpot!AB18+Accrualherb!AB18</f>
        <v>4978.7400000000007</v>
      </c>
      <c r="AC18" s="1">
        <f>+Accrualstrip!AC18+Accrualpot!AC18+Accrualherb!AC18</f>
        <v>5688.66</v>
      </c>
      <c r="AD18" s="1">
        <f>+Accrualstrip!AD18+Accrualpot!AD18+Accrualherb!AD18</f>
        <v>3653.82</v>
      </c>
      <c r="AE18" s="1">
        <f>+Accrualstrip!AE18+Accrualpot!AE18+Accrualherb!AE18</f>
        <v>6816.7199999999993</v>
      </c>
      <c r="AF18" s="1">
        <f>+Accrualstrip!AF18+Accrualpot!AF18+Accrualherb!AF18</f>
        <v>6321.2</v>
      </c>
      <c r="AG18" s="1">
        <f>+Accrualstrip!AG18+Accrualpot!AG18+Accrualherb!AG18</f>
        <v>4397.24</v>
      </c>
      <c r="AH18" s="1">
        <f>+Accrualstrip!AH18+Accrualpot!AH18+Accrualherb!AH18</f>
        <v>8522.56</v>
      </c>
      <c r="AI18" s="1">
        <f>+Accrualstrip!AI18+Accrualpot!AI18+Accrualherb!AI18</f>
        <v>6049.43</v>
      </c>
      <c r="AJ18" s="1">
        <f>+Accrualstrip!AJ18+Accrualpot!AJ18+Accrualherb!AJ18</f>
        <v>6035.18</v>
      </c>
      <c r="AK18" s="1">
        <f>+Accrualstrip!AK18+Accrualpot!AK18+Accrualherb!AK18</f>
        <v>3772.1400000000003</v>
      </c>
      <c r="AL18" s="1">
        <f>+Accrualstrip!AL18+Accrualpot!AL18+Accrualherb!AL18</f>
        <v>2011.4400000000003</v>
      </c>
      <c r="AM18" s="1">
        <f>+Accrualstrip!AM18+Accrualpot!AM18+Accrualherb!AM18</f>
        <v>2895.9</v>
      </c>
      <c r="AN18" s="1">
        <f>+Accrualstrip!AN18+Accrualpot!AN18+Accrualherb!AN18</f>
        <v>1072.9000000000001</v>
      </c>
      <c r="AO18" s="1">
        <f>+Accrualstrip!AO18+Accrualpot!AO18+Accrualherb!AO18</f>
        <v>1574.0400000000002</v>
      </c>
      <c r="AP18" s="1">
        <f>+Accrualstrip!AP18+Accrualpot!AP18+Accrualherb!AP18</f>
        <v>0</v>
      </c>
      <c r="AQ18" s="1">
        <f>+Accrualstrip!AQ18+Accrualpot!AQ18+Accrualherb!AQ18</f>
        <v>0</v>
      </c>
      <c r="AR18" s="3">
        <f t="shared" si="0"/>
        <v>777227.3</v>
      </c>
    </row>
    <row r="19" spans="1:47" x14ac:dyDescent="0.25">
      <c r="B19"/>
      <c r="C19" t="s">
        <v>193</v>
      </c>
      <c r="D19" s="1">
        <f>+Accrualstrip!D19+Accrualpot!D19+Accrualherb!D19</f>
        <v>0</v>
      </c>
      <c r="E19" s="1">
        <f>+Accrualstrip!E19+Accrualpot!E19+Accrualherb!E19</f>
        <v>0</v>
      </c>
      <c r="F19" s="1">
        <f>+Accrualstrip!F19+Accrualpot!F19+Accrualherb!F19</f>
        <v>0</v>
      </c>
      <c r="G19" s="1">
        <f>+Accrualstrip!G19+Accrualpot!G19+Accrualherb!G19</f>
        <v>0</v>
      </c>
      <c r="H19" s="1">
        <f>+Accrualstrip!H19+Accrualpot!H19+Accrualherb!H19</f>
        <v>0</v>
      </c>
      <c r="I19" s="1">
        <f>+Accrualstrip!I19+Accrualpot!I19+Accrualherb!I19</f>
        <v>0</v>
      </c>
      <c r="J19" s="1">
        <f>+Accrualstrip!J19+Accrualpot!J19+Accrualherb!J19</f>
        <v>0</v>
      </c>
      <c r="K19" s="1">
        <f>+Accrualstrip!K19+Accrualpot!K19+Accrualherb!K19</f>
        <v>0</v>
      </c>
      <c r="L19" s="1">
        <f>+Accrualstrip!L19+Accrualpot!L19+Accrualherb!L19</f>
        <v>0</v>
      </c>
      <c r="M19" s="1">
        <f>+Accrualstrip!M19+Accrualpot!M19+Accrualherb!M19</f>
        <v>0</v>
      </c>
      <c r="N19" s="1">
        <f>+Accrualstrip!N19+Accrualpot!N19+Accrualherb!N19</f>
        <v>0</v>
      </c>
      <c r="O19" s="1">
        <f>+Accrualstrip!O19+Accrualpot!O19+Accrualherb!O19</f>
        <v>0</v>
      </c>
      <c r="P19" s="1">
        <f>+Accrualstrip!P19+Accrualpot!P19+Accrualherb!P19</f>
        <v>0</v>
      </c>
      <c r="Q19" s="1">
        <f>+Accrualstrip!Q19+Accrualpot!Q19+Accrualherb!Q19</f>
        <v>0</v>
      </c>
      <c r="R19" s="1">
        <f>+Accrualstrip!R19+Accrualpot!R19+Accrualherb!R19</f>
        <v>0</v>
      </c>
      <c r="S19" s="1">
        <f>+Accrualstrip!S19+Accrualpot!S19+Accrualherb!S19</f>
        <v>0</v>
      </c>
      <c r="T19" s="1">
        <f>+Accrualstrip!T19+Accrualpot!T19+Accrualherb!T19</f>
        <v>0</v>
      </c>
      <c r="U19" s="1">
        <f>+Accrualstrip!U19+Accrualpot!U19+Accrualherb!U19</f>
        <v>0</v>
      </c>
      <c r="V19" s="1">
        <f>+Accrualstrip!V19+Accrualpot!V19+Accrualherb!V19</f>
        <v>0</v>
      </c>
      <c r="W19" s="1">
        <f>+Accrualstrip!W19+Accrualpot!W19+Accrualherb!W19</f>
        <v>0</v>
      </c>
      <c r="X19" s="1">
        <f>+Accrualstrip!X19+Accrualpot!X19+Accrualherb!X19</f>
        <v>0</v>
      </c>
      <c r="Y19" s="1">
        <f>+Accrualstrip!Y19+Accrualpot!Y19+Accrualherb!Y19</f>
        <v>0</v>
      </c>
      <c r="Z19" s="1">
        <f>+Accrualstrip!Z19+Accrualpot!Z19+Accrualherb!Z19</f>
        <v>0</v>
      </c>
      <c r="AA19" s="1">
        <f>+Accrualstrip!AA19+Accrualpot!AA19+Accrualherb!AA19</f>
        <v>0</v>
      </c>
      <c r="AB19" s="1">
        <f>+Accrualstrip!AB19+Accrualpot!AB19+Accrualherb!AB19</f>
        <v>0</v>
      </c>
      <c r="AC19" s="1">
        <f>+Accrualstrip!AC19+Accrualpot!AC19+Accrualherb!AC19</f>
        <v>0</v>
      </c>
      <c r="AD19" s="1">
        <f>+Accrualstrip!AD19+Accrualpot!AD19+Accrualherb!AD19</f>
        <v>0</v>
      </c>
      <c r="AE19" s="1">
        <f>+Accrualstrip!AE19+Accrualpot!AE19+Accrualherb!AE19</f>
        <v>0</v>
      </c>
      <c r="AF19" s="1">
        <f>+Accrualstrip!AF19+Accrualpot!AF19+Accrualherb!AF19</f>
        <v>0</v>
      </c>
      <c r="AG19" s="1">
        <f>+Accrualstrip!AG19+Accrualpot!AG19+Accrualherb!AG19</f>
        <v>0</v>
      </c>
      <c r="AH19" s="1">
        <f>+Accrualstrip!AH19+Accrualpot!AH19+Accrualherb!AH19</f>
        <v>0</v>
      </c>
      <c r="AI19" s="1">
        <f>+Accrualstrip!AI19+Accrualpot!AI19+Accrualherb!AI19</f>
        <v>0</v>
      </c>
      <c r="AJ19" s="1">
        <f>+Accrualstrip!AJ19+Accrualpot!AJ19+Accrualherb!AJ19</f>
        <v>0</v>
      </c>
      <c r="AK19" s="1">
        <f>+Accrualstrip!AK19+Accrualpot!AK19+Accrualherb!AK19</f>
        <v>0</v>
      </c>
      <c r="AL19" s="1">
        <f>+Accrualstrip!AL19+Accrualpot!AL19+Accrualherb!AL19</f>
        <v>0</v>
      </c>
      <c r="AM19" s="1">
        <f>+Accrualstrip!AM19+Accrualpot!AM19+Accrualherb!AM19</f>
        <v>0</v>
      </c>
      <c r="AN19" s="1">
        <f>+Accrualstrip!AN19+Accrualpot!AN19+Accrualherb!AN19</f>
        <v>0</v>
      </c>
      <c r="AO19" s="1">
        <f>+Accrualstrip!AO19+Accrualpot!AO19+Accrualherb!AO19</f>
        <v>0</v>
      </c>
      <c r="AP19" s="1">
        <f>+Accrualstrip!AP19+Accrualpot!AP19+Accrualherb!AP19</f>
        <v>0</v>
      </c>
      <c r="AQ19" s="1">
        <f>+Accrualstrip!AQ19+Accrualpot!AQ19+Accrualherb!AQ19</f>
        <v>0</v>
      </c>
      <c r="AR19" s="3">
        <f t="shared" si="0"/>
        <v>0</v>
      </c>
    </row>
    <row r="20" spans="1:47" x14ac:dyDescent="0.25">
      <c r="B20"/>
      <c r="C20" t="s">
        <v>323</v>
      </c>
      <c r="D20" s="1">
        <f>+Accrualstrip!D20+Accrualpot!D20+Accrualherb!D20</f>
        <v>0</v>
      </c>
      <c r="E20" s="1">
        <f>+Accrualstrip!E20+Accrualpot!E20+Accrualherb!E20</f>
        <v>0</v>
      </c>
      <c r="F20" s="1">
        <f>+Accrualstrip!F20+Accrualpot!F20+Accrualherb!F20</f>
        <v>0</v>
      </c>
      <c r="G20" s="1">
        <f>+Accrualstrip!G20+Accrualpot!G20+Accrualherb!G20</f>
        <v>0</v>
      </c>
      <c r="H20" s="1">
        <f>+Accrualstrip!H20+Accrualpot!H20+Accrualherb!H20</f>
        <v>0</v>
      </c>
      <c r="I20" s="1">
        <f>+Accrualstrip!I20+Accrualpot!I20+Accrualherb!I20</f>
        <v>0</v>
      </c>
      <c r="J20" s="1">
        <f>+Accrualstrip!J20+Accrualpot!J20+Accrualherb!J20</f>
        <v>0</v>
      </c>
      <c r="K20" s="1">
        <f>+Accrualstrip!K20+Accrualpot!K20+Accrualherb!K20</f>
        <v>0</v>
      </c>
      <c r="L20" s="1">
        <f>+Accrualstrip!L20+Accrualpot!L20+Accrualherb!L20</f>
        <v>0</v>
      </c>
      <c r="M20" s="1">
        <f>+Accrualstrip!M20+Accrualpot!M20+Accrualherb!M20</f>
        <v>0</v>
      </c>
      <c r="N20" s="1">
        <f>+Accrualstrip!N20+Accrualpot!N20+Accrualherb!N20</f>
        <v>0</v>
      </c>
      <c r="O20" s="1">
        <f>+Accrualstrip!O20+Accrualpot!O20+Accrualherb!O20</f>
        <v>0</v>
      </c>
      <c r="P20" s="1">
        <f>+Accrualstrip!P20+Accrualpot!P20+Accrualherb!P20</f>
        <v>0</v>
      </c>
      <c r="Q20" s="1">
        <f>+Accrualstrip!Q20+Accrualpot!Q20+Accrualherb!Q20</f>
        <v>0</v>
      </c>
      <c r="R20" s="1">
        <f>+Accrualstrip!R20+Accrualpot!R20+Accrualherb!R20</f>
        <v>0</v>
      </c>
      <c r="S20" s="1">
        <f>+Accrualstrip!S20+Accrualpot!S20+Accrualherb!S20</f>
        <v>0</v>
      </c>
      <c r="T20" s="1">
        <f>+Accrualstrip!T20+Accrualpot!T20+Accrualherb!T20</f>
        <v>0</v>
      </c>
      <c r="U20" s="1">
        <f>+Accrualstrip!U20+Accrualpot!U20+Accrualherb!U20</f>
        <v>0</v>
      </c>
      <c r="V20" s="1">
        <f>+Accrualstrip!V20+Accrualpot!V20+Accrualherb!V20</f>
        <v>0</v>
      </c>
      <c r="W20" s="1">
        <f>+Accrualstrip!W20+Accrualpot!W20+Accrualherb!W20</f>
        <v>0</v>
      </c>
      <c r="X20" s="1">
        <f>+Accrualstrip!X20+Accrualpot!X20+Accrualherb!X20</f>
        <v>0</v>
      </c>
      <c r="Y20" s="1">
        <f>+Accrualstrip!Y20+Accrualpot!Y20+Accrualherb!Y20</f>
        <v>0</v>
      </c>
      <c r="Z20" s="1">
        <f>+Accrualstrip!Z20+Accrualpot!Z20+Accrualherb!Z20</f>
        <v>0</v>
      </c>
      <c r="AA20" s="1">
        <f>+Accrualstrip!AA20+Accrualpot!AA20+Accrualherb!AA20</f>
        <v>0</v>
      </c>
      <c r="AB20" s="1">
        <f>+Accrualstrip!AB20+Accrualpot!AB20+Accrualherb!AB20</f>
        <v>0</v>
      </c>
      <c r="AC20" s="1">
        <f>+Accrualstrip!AC20+Accrualpot!AC20+Accrualherb!AC20</f>
        <v>0</v>
      </c>
      <c r="AD20" s="1">
        <f>+Accrualstrip!AD20+Accrualpot!AD20+Accrualherb!AD20</f>
        <v>0</v>
      </c>
      <c r="AE20" s="1">
        <f>+Accrualstrip!AE20+Accrualpot!AE20+Accrualherb!AE20</f>
        <v>0</v>
      </c>
      <c r="AF20" s="1">
        <f>+Accrualstrip!AF20+Accrualpot!AF20+Accrualherb!AF20</f>
        <v>0</v>
      </c>
      <c r="AG20" s="1">
        <f>+Accrualstrip!AG20+Accrualpot!AG20+Accrualherb!AG20</f>
        <v>0</v>
      </c>
      <c r="AH20" s="1">
        <f>+Accrualstrip!AH20+Accrualpot!AH20+Accrualherb!AH20</f>
        <v>0</v>
      </c>
      <c r="AI20" s="1">
        <f>+Accrualstrip!AI20+Accrualpot!AI20+Accrualherb!AI20</f>
        <v>0</v>
      </c>
      <c r="AJ20" s="1">
        <f>+Accrualstrip!AJ20+Accrualpot!AJ20+Accrualherb!AJ20</f>
        <v>0</v>
      </c>
      <c r="AK20" s="1">
        <f>+Accrualstrip!AK20+Accrualpot!AK20+Accrualherb!AK20</f>
        <v>0</v>
      </c>
      <c r="AL20" s="1">
        <f>+Accrualstrip!AL20+Accrualpot!AL20+Accrualherb!AL20</f>
        <v>0</v>
      </c>
      <c r="AM20" s="1">
        <f>+Accrualstrip!AM20+Accrualpot!AM20+Accrualherb!AM20</f>
        <v>0</v>
      </c>
      <c r="AN20" s="1">
        <f>+Accrualstrip!AN20+Accrualpot!AN20+Accrualherb!AN20</f>
        <v>0</v>
      </c>
      <c r="AO20" s="1">
        <f>+Accrualstrip!AO20+Accrualpot!AO20+Accrualherb!AO20</f>
        <v>0</v>
      </c>
      <c r="AP20" s="1">
        <f>+Accrualstrip!AP20+Accrualpot!AP20+Accrualherb!AP20</f>
        <v>0</v>
      </c>
      <c r="AQ20" s="1">
        <f>+Accrualstrip!AQ20+Accrualpot!AQ20+Accrualherb!AQ20</f>
        <v>0</v>
      </c>
      <c r="AR20" s="3">
        <f t="shared" si="0"/>
        <v>0</v>
      </c>
    </row>
    <row r="21" spans="1:47" x14ac:dyDescent="0.25">
      <c r="B21"/>
      <c r="C21" t="s">
        <v>296</v>
      </c>
      <c r="D21" s="1">
        <f>+Accrualstrip!D21+Accrualpot!D21+Accrualherb!D21</f>
        <v>0</v>
      </c>
      <c r="E21" s="1">
        <f>+Accrualstrip!E21+Accrualpot!E21+Accrualherb!E21</f>
        <v>0</v>
      </c>
      <c r="F21" s="1">
        <f>+Accrualstrip!F21+Accrualpot!F21+Accrualherb!F21</f>
        <v>0</v>
      </c>
      <c r="G21" s="1">
        <f>+Accrualstrip!G21+Accrualpot!G21+Accrualherb!G21</f>
        <v>932.16000000000008</v>
      </c>
      <c r="H21" s="1">
        <f>+Accrualstrip!H21+Accrualpot!H21+Accrualherb!H21</f>
        <v>-170.03</v>
      </c>
      <c r="I21" s="1">
        <f>+Accrualstrip!I21+Accrualpot!I21+Accrualherb!I21</f>
        <v>-2.08</v>
      </c>
      <c r="J21" s="1">
        <f>+Accrualstrip!J21+Accrualpot!J21+Accrualherb!J21</f>
        <v>-8.32</v>
      </c>
      <c r="K21" s="1">
        <f>+Accrualstrip!K21+Accrualpot!K21+Accrualherb!K21</f>
        <v>0</v>
      </c>
      <c r="L21" s="1">
        <f>+Accrualstrip!L21+Accrualpot!L21+Accrualherb!L21</f>
        <v>1346.8400000000001</v>
      </c>
      <c r="M21" s="1">
        <f>+Accrualstrip!M21+Accrualpot!M21+Accrualherb!M21</f>
        <v>1972.34</v>
      </c>
      <c r="N21" s="1">
        <f>+Accrualstrip!N21+Accrualpot!N21+Accrualherb!N21</f>
        <v>2918.88</v>
      </c>
      <c r="O21" s="1">
        <f>+Accrualstrip!O21+Accrualpot!O21+Accrualherb!O21</f>
        <v>3633.96</v>
      </c>
      <c r="P21" s="1">
        <f>+Accrualstrip!P21+Accrualpot!P21+Accrualherb!P21</f>
        <v>5128.0200000000004</v>
      </c>
      <c r="Q21" s="1">
        <f>+Accrualstrip!Q21+Accrualpot!Q21+Accrualherb!Q21</f>
        <v>4200.54</v>
      </c>
      <c r="R21" s="1">
        <f>+Accrualstrip!R21+Accrualpot!R21+Accrualherb!R21</f>
        <v>3555.1000000000004</v>
      </c>
      <c r="S21" s="1">
        <f>+Accrualstrip!S21+Accrualpot!S21+Accrualherb!S21</f>
        <v>5446.9</v>
      </c>
      <c r="T21" s="1">
        <f>+Accrualstrip!T21+Accrualpot!T21+Accrualherb!T21</f>
        <v>6872.58</v>
      </c>
      <c r="U21" s="1">
        <f>+Accrualstrip!U21+Accrualpot!U21+Accrualherb!U21</f>
        <v>7388.84</v>
      </c>
      <c r="V21" s="1">
        <f>+Accrualstrip!V21+Accrualpot!V21+Accrualherb!V21</f>
        <v>4746.54</v>
      </c>
      <c r="W21" s="1">
        <f>+Accrualstrip!W21+Accrualpot!W21+Accrualherb!W21</f>
        <v>5817.5800000000008</v>
      </c>
      <c r="X21" s="1">
        <f>+Accrualstrip!X21+Accrualpot!X21+Accrualherb!X21</f>
        <v>4155.8</v>
      </c>
      <c r="Y21" s="1">
        <f>+Accrualstrip!Y21+Accrualpot!Y21+Accrualherb!Y21</f>
        <v>3191.7200000000007</v>
      </c>
      <c r="Z21" s="1">
        <f>+Accrualstrip!Z21+Accrualpot!Z21+Accrualherb!Z21</f>
        <v>1938.62</v>
      </c>
      <c r="AA21" s="1">
        <f>+Accrualstrip!AA21+Accrualpot!AA21+Accrualherb!AA21</f>
        <v>2357.06</v>
      </c>
      <c r="AB21" s="1">
        <f>+Accrualstrip!AB21+Accrualpot!AB21+Accrualherb!AB21</f>
        <v>1924.1399999999999</v>
      </c>
      <c r="AC21" s="1">
        <f>+Accrualstrip!AC21+Accrualpot!AC21+Accrualherb!AC21</f>
        <v>1386.06</v>
      </c>
      <c r="AD21" s="1">
        <f>+Accrualstrip!AD21+Accrualpot!AD21+Accrualherb!AD21</f>
        <v>306.89999999999998</v>
      </c>
      <c r="AE21" s="1">
        <f>+Accrualstrip!AE21+Accrualpot!AE21+Accrualherb!AE21</f>
        <v>1574.44</v>
      </c>
      <c r="AF21" s="1">
        <f>+Accrualstrip!AF21+Accrualpot!AF21+Accrualherb!AF21</f>
        <v>688.2</v>
      </c>
      <c r="AG21" s="1">
        <f>+Accrualstrip!AG21+Accrualpot!AG21+Accrualherb!AG21</f>
        <v>279</v>
      </c>
      <c r="AH21" s="1">
        <f>+Accrualstrip!AH21+Accrualpot!AH21+Accrualherb!AH21</f>
        <v>667.1</v>
      </c>
      <c r="AI21" s="1">
        <f>+Accrualstrip!AI21+Accrualpot!AI21+Accrualherb!AI21</f>
        <v>390.6</v>
      </c>
      <c r="AJ21" s="1">
        <f>+Accrualstrip!AJ21+Accrualpot!AJ21+Accrualherb!AJ21</f>
        <v>959.30000000000007</v>
      </c>
      <c r="AK21" s="1">
        <f>+Accrualstrip!AK21+Accrualpot!AK21+Accrualherb!AK21</f>
        <v>418.5</v>
      </c>
      <c r="AL21" s="1">
        <f>+Accrualstrip!AL21+Accrualpot!AL21+Accrualherb!AL21</f>
        <v>279</v>
      </c>
      <c r="AM21" s="1">
        <f>+Accrualstrip!AM21+Accrualpot!AM21+Accrualherb!AM21</f>
        <v>419.34</v>
      </c>
      <c r="AN21" s="1">
        <f>+Accrualstrip!AN21+Accrualpot!AN21+Accrualherb!AN21</f>
        <v>-18.600000000000001</v>
      </c>
      <c r="AO21" s="1">
        <f>+Accrualstrip!AO21+Accrualpot!AO21+Accrualherb!AO21</f>
        <v>0</v>
      </c>
      <c r="AP21" s="1">
        <f>+Accrualstrip!AP21+Accrualpot!AP21+Accrualherb!AP21</f>
        <v>0</v>
      </c>
      <c r="AQ21" s="1">
        <f>+Accrualstrip!AQ21+Accrualpot!AQ21+Accrualherb!AQ21</f>
        <v>0</v>
      </c>
      <c r="AR21" s="3">
        <f>SUM(D21:AQ21)</f>
        <v>74697.030000000013</v>
      </c>
    </row>
    <row r="22" spans="1:47" x14ac:dyDescent="0.25">
      <c r="B22"/>
      <c r="C22" t="s">
        <v>44</v>
      </c>
      <c r="D22" s="1">
        <f>+Accrualstrip!D22+Accrualpot!D22+Accrualherb!D22</f>
        <v>0</v>
      </c>
      <c r="E22" s="1">
        <f>+Accrualstrip!E22+Accrualpot!E22+Accrualherb!E22</f>
        <v>0</v>
      </c>
      <c r="F22" s="1">
        <f>+Accrualstrip!F22+Accrualpot!F22+Accrualherb!F22</f>
        <v>0</v>
      </c>
      <c r="G22" s="1">
        <f>+Accrualstrip!G22+Accrualpot!G22+Accrualherb!G22</f>
        <v>5479.8000000000029</v>
      </c>
      <c r="H22" s="1">
        <f>+Accrualstrip!H22+Accrualpot!H22+Accrualherb!H22</f>
        <v>12632.76</v>
      </c>
      <c r="I22" s="1">
        <f>+Accrualstrip!I22+Accrualpot!I22+Accrualherb!I22</f>
        <v>3514.3</v>
      </c>
      <c r="J22" s="1">
        <f>+Accrualstrip!J22+Accrualpot!J22+Accrualherb!J22</f>
        <v>4058.8399999999992</v>
      </c>
      <c r="K22" s="1">
        <f>+Accrualstrip!K22+Accrualpot!K22+Accrualherb!K22</f>
        <v>5528.6399999999994</v>
      </c>
      <c r="L22" s="1">
        <f>+Accrualstrip!L22+Accrualpot!L22+Accrualherb!L22</f>
        <v>65359.780000000013</v>
      </c>
      <c r="M22" s="1">
        <f>+Accrualstrip!M22+Accrualpot!M22+Accrualherb!M22</f>
        <v>77332.7</v>
      </c>
      <c r="N22" s="1">
        <f>+Accrualstrip!N22+Accrualpot!N22+Accrualherb!N22</f>
        <v>102912.84000000003</v>
      </c>
      <c r="O22" s="1">
        <f>+Accrualstrip!O22+Accrualpot!O22+Accrualherb!O22</f>
        <v>151168.65000000002</v>
      </c>
      <c r="P22" s="1">
        <f>+Accrualstrip!P22+Accrualpot!P22+Accrualherb!P22</f>
        <v>220613.74</v>
      </c>
      <c r="Q22" s="1">
        <f>+Accrualstrip!Q22+Accrualpot!Q22+Accrualherb!Q22</f>
        <v>226907.23</v>
      </c>
      <c r="R22" s="1">
        <f>+Accrualstrip!R22+Accrualpot!R22+Accrualherb!R22</f>
        <v>252807.35000000003</v>
      </c>
      <c r="S22" s="1">
        <f>+Accrualstrip!S22+Accrualpot!S22+Accrualherb!S22</f>
        <v>282706.70000000007</v>
      </c>
      <c r="T22" s="1">
        <f>+Accrualstrip!T22+Accrualpot!T22+Accrualherb!T22</f>
        <v>262156.61999999994</v>
      </c>
      <c r="U22" s="1">
        <f>+Accrualstrip!U22+Accrualpot!U22+Accrualherb!U22</f>
        <v>302938.37</v>
      </c>
      <c r="V22" s="1">
        <f>+Accrualstrip!V22+Accrualpot!V22+Accrualherb!V22</f>
        <v>228004.38000000003</v>
      </c>
      <c r="W22" s="1">
        <f>+Accrualstrip!W22+Accrualpot!W22+Accrualherb!W22</f>
        <v>258466.96</v>
      </c>
      <c r="X22" s="1">
        <f>+Accrualstrip!X22+Accrualpot!X22+Accrualherb!X22</f>
        <v>189639.34</v>
      </c>
      <c r="Y22" s="1">
        <f>+Accrualstrip!Y22+Accrualpot!Y22+Accrualherb!Y22</f>
        <v>90191.16</v>
      </c>
      <c r="Z22" s="1">
        <f>+Accrualstrip!Z22+Accrualpot!Z22+Accrualherb!Z22</f>
        <v>55253.430000000008</v>
      </c>
      <c r="AA22" s="1">
        <f>+Accrualstrip!AA22+Accrualpot!AA22+Accrualherb!AA22</f>
        <v>40672.660000000003</v>
      </c>
      <c r="AB22" s="1">
        <f>+Accrualstrip!AB22+Accrualpot!AB22+Accrualherb!AB22</f>
        <v>25015.260000000002</v>
      </c>
      <c r="AC22" s="1">
        <f>+Accrualstrip!AC22+Accrualpot!AC22+Accrualherb!AC22</f>
        <v>22475.020000000004</v>
      </c>
      <c r="AD22" s="1">
        <f>+Accrualstrip!AD22+Accrualpot!AD22+Accrualherb!AD22</f>
        <v>7208.2799999999988</v>
      </c>
      <c r="AE22" s="1">
        <f>+Accrualstrip!AE22+Accrualpot!AE22+Accrualherb!AE22</f>
        <v>13101.94</v>
      </c>
      <c r="AF22" s="1">
        <f>+Accrualstrip!AF22+Accrualpot!AF22+Accrualherb!AF22</f>
        <v>10099.52</v>
      </c>
      <c r="AG22" s="1">
        <f>+Accrualstrip!AG22+Accrualpot!AG22+Accrualherb!AG22</f>
        <v>7052.5</v>
      </c>
      <c r="AH22" s="1">
        <f>+Accrualstrip!AH22+Accrualpot!AH22+Accrualherb!AH22</f>
        <v>14242.770000000006</v>
      </c>
      <c r="AI22" s="1">
        <f>+Accrualstrip!AI22+Accrualpot!AI22+Accrualherb!AI22</f>
        <v>7975.3500000000022</v>
      </c>
      <c r="AJ22" s="1">
        <f>+Accrualstrip!AJ22+Accrualpot!AJ22+Accrualherb!AJ22</f>
        <v>15960.659999999996</v>
      </c>
      <c r="AK22" s="1">
        <f>+Accrualstrip!AK22+Accrualpot!AK22+Accrualherb!AK22</f>
        <v>6859.8070000000007</v>
      </c>
      <c r="AL22" s="1">
        <f>+Accrualstrip!AL22+Accrualpot!AL22+Accrualherb!AL22</f>
        <v>8690.1999999999989</v>
      </c>
      <c r="AM22" s="1">
        <f>+Accrualstrip!AM22+Accrualpot!AM22+Accrualherb!AM22</f>
        <v>1878.3999999999996</v>
      </c>
      <c r="AN22" s="1">
        <f>+Accrualstrip!AN22+Accrualpot!AN22+Accrualherb!AN22</f>
        <v>3148.67</v>
      </c>
      <c r="AO22" s="1">
        <f>+Accrualstrip!AO22+Accrualpot!AO22+Accrualherb!AO22</f>
        <v>487.26</v>
      </c>
      <c r="AP22" s="1">
        <f>+Accrualstrip!AP22+Accrualpot!AP22+Accrualherb!AP22</f>
        <v>506.06</v>
      </c>
      <c r="AQ22" s="1">
        <f>+Accrualstrip!AQ22+Accrualpot!AQ22+Accrualherb!AQ22</f>
        <v>0</v>
      </c>
      <c r="AR22" s="3">
        <f t="shared" si="0"/>
        <v>2983047.9469999997</v>
      </c>
    </row>
    <row r="23" spans="1:47" x14ac:dyDescent="0.25">
      <c r="B23"/>
      <c r="C23" t="s">
        <v>217</v>
      </c>
      <c r="D23" s="1">
        <f>+Accrualstrip!D23+Accrualpot!D23+Accrualherb!D23</f>
        <v>0</v>
      </c>
      <c r="E23" s="1">
        <f>+Accrualstrip!E23+Accrualpot!E23+Accrualherb!E23</f>
        <v>0</v>
      </c>
      <c r="F23" s="1">
        <f>+Accrualstrip!F23+Accrualpot!F23+Accrualherb!F23</f>
        <v>0</v>
      </c>
      <c r="G23" s="1">
        <f>+Accrualstrip!G23+Accrualpot!G23+Accrualherb!G23</f>
        <v>0</v>
      </c>
      <c r="H23" s="1">
        <f>+Accrualstrip!H23+Accrualpot!H23+Accrualherb!H23</f>
        <v>0</v>
      </c>
      <c r="I23" s="1">
        <f>+Accrualstrip!I23+Accrualpot!I23+Accrualherb!I23</f>
        <v>0</v>
      </c>
      <c r="J23" s="1">
        <f>+Accrualstrip!J23+Accrualpot!J23+Accrualherb!J23</f>
        <v>0</v>
      </c>
      <c r="K23" s="1">
        <f>+Accrualstrip!K23+Accrualpot!K23+Accrualherb!K23</f>
        <v>0</v>
      </c>
      <c r="L23" s="1">
        <f>+Accrualstrip!L23+Accrualpot!L23+Accrualherb!L23</f>
        <v>0</v>
      </c>
      <c r="M23" s="1">
        <f>+Accrualstrip!M23+Accrualpot!M23+Accrualherb!M23</f>
        <v>0</v>
      </c>
      <c r="N23" s="1">
        <f>+Accrualstrip!N23+Accrualpot!N23+Accrualherb!N23</f>
        <v>0</v>
      </c>
      <c r="O23" s="1">
        <f>+Accrualstrip!O23+Accrualpot!O23+Accrualherb!O23</f>
        <v>0</v>
      </c>
      <c r="P23" s="1">
        <f>+Accrualstrip!P23+Accrualpot!P23+Accrualherb!P23</f>
        <v>0</v>
      </c>
      <c r="Q23" s="1">
        <f>+Accrualstrip!Q23+Accrualpot!Q23+Accrualherb!Q23</f>
        <v>0</v>
      </c>
      <c r="R23" s="1">
        <f>+Accrualstrip!R23+Accrualpot!R23+Accrualherb!R23</f>
        <v>0</v>
      </c>
      <c r="S23" s="1">
        <f>+Accrualstrip!S23+Accrualpot!S23+Accrualherb!S23</f>
        <v>0</v>
      </c>
      <c r="T23" s="1">
        <f>+Accrualstrip!T23+Accrualpot!T23+Accrualherb!T23</f>
        <v>0</v>
      </c>
      <c r="U23" s="1">
        <f>+Accrualstrip!U23+Accrualpot!U23+Accrualherb!U23</f>
        <v>0</v>
      </c>
      <c r="V23" s="1">
        <f>+Accrualstrip!V23+Accrualpot!V23+Accrualherb!V23</f>
        <v>0</v>
      </c>
      <c r="W23" s="1">
        <f>+Accrualstrip!W23+Accrualpot!W23+Accrualherb!W23</f>
        <v>0</v>
      </c>
      <c r="X23" s="1">
        <f>+Accrualstrip!X23+Accrualpot!X23+Accrualherb!X23</f>
        <v>0</v>
      </c>
      <c r="Y23" s="1">
        <f>+Accrualstrip!Y23+Accrualpot!Y23+Accrualherb!Y23</f>
        <v>0</v>
      </c>
      <c r="Z23" s="1">
        <f>+Accrualstrip!Z23+Accrualpot!Z23+Accrualherb!Z23</f>
        <v>0</v>
      </c>
      <c r="AA23" s="1">
        <f>+Accrualstrip!AA23+Accrualpot!AA23+Accrualherb!AA23</f>
        <v>0</v>
      </c>
      <c r="AB23" s="1">
        <f>+Accrualstrip!AB23+Accrualpot!AB23+Accrualherb!AB23</f>
        <v>0</v>
      </c>
      <c r="AC23" s="1">
        <f>+Accrualstrip!AC23+Accrualpot!AC23+Accrualherb!AC23</f>
        <v>0</v>
      </c>
      <c r="AD23" s="1">
        <f>+Accrualstrip!AD23+Accrualpot!AD23+Accrualherb!AD23</f>
        <v>0</v>
      </c>
      <c r="AE23" s="1">
        <f>+Accrualstrip!AE23+Accrualpot!AE23+Accrualherb!AE23</f>
        <v>0</v>
      </c>
      <c r="AF23" s="1">
        <f>+Accrualstrip!AF23+Accrualpot!AF23+Accrualherb!AF23</f>
        <v>0</v>
      </c>
      <c r="AG23" s="1">
        <f>+Accrualstrip!AG23+Accrualpot!AG23+Accrualherb!AG23</f>
        <v>0</v>
      </c>
      <c r="AH23" s="1">
        <f>+Accrualstrip!AH23+Accrualpot!AH23+Accrualherb!AH23</f>
        <v>0</v>
      </c>
      <c r="AI23" s="1">
        <f>+Accrualstrip!AI23+Accrualpot!AI23+Accrualherb!AI23</f>
        <v>0</v>
      </c>
      <c r="AJ23" s="1">
        <f>+Accrualstrip!AJ23+Accrualpot!AJ23+Accrualherb!AJ23</f>
        <v>0</v>
      </c>
      <c r="AK23" s="1">
        <f>+Accrualstrip!AK23+Accrualpot!AK23+Accrualherb!AK23</f>
        <v>0</v>
      </c>
      <c r="AL23" s="1">
        <f>+Accrualstrip!AL23+Accrualpot!AL23+Accrualherb!AL23</f>
        <v>0</v>
      </c>
      <c r="AM23" s="1">
        <f>+Accrualstrip!AM23+Accrualpot!AM23+Accrualherb!AM23</f>
        <v>0</v>
      </c>
      <c r="AN23" s="1">
        <f>+Accrualstrip!AN23+Accrualpot!AN23+Accrualherb!AN23</f>
        <v>0</v>
      </c>
      <c r="AO23" s="1">
        <f>+Accrualstrip!AO23+Accrualpot!AO23+Accrualherb!AO23</f>
        <v>0</v>
      </c>
      <c r="AP23" s="1">
        <f>+Accrualstrip!AP23+Accrualpot!AP23+Accrualherb!AP23</f>
        <v>0</v>
      </c>
      <c r="AQ23" s="1">
        <f>+Accrualstrip!AQ23+Accrualpot!AQ23+Accrualherb!AQ23</f>
        <v>0</v>
      </c>
      <c r="AR23" s="3">
        <f t="shared" si="0"/>
        <v>0</v>
      </c>
    </row>
    <row r="24" spans="1:47" s="2" customFormat="1" x14ac:dyDescent="0.25">
      <c r="A24" s="2" t="s">
        <v>2</v>
      </c>
      <c r="D24" s="3">
        <f>SUM(D4:D23)</f>
        <v>0</v>
      </c>
      <c r="E24" s="3">
        <f t="shared" ref="E24:AQ24" si="1">SUM(E4:E23)</f>
        <v>0</v>
      </c>
      <c r="F24" s="3">
        <f t="shared" si="1"/>
        <v>0</v>
      </c>
      <c r="G24" s="3">
        <f t="shared" si="1"/>
        <v>81506.080000000002</v>
      </c>
      <c r="H24" s="3">
        <f t="shared" si="1"/>
        <v>38290.620000000003</v>
      </c>
      <c r="I24" s="3">
        <f t="shared" si="1"/>
        <v>7306.25</v>
      </c>
      <c r="J24" s="3">
        <f t="shared" si="1"/>
        <v>22766.76</v>
      </c>
      <c r="K24" s="3">
        <f t="shared" si="1"/>
        <v>55754.720000000001</v>
      </c>
      <c r="L24" s="3">
        <f t="shared" si="1"/>
        <v>283965.45</v>
      </c>
      <c r="M24" s="3">
        <f t="shared" si="1"/>
        <v>296164.94</v>
      </c>
      <c r="N24" s="3">
        <f t="shared" si="1"/>
        <v>259659.46000000002</v>
      </c>
      <c r="O24" s="3">
        <f t="shared" si="1"/>
        <v>364565.31000000006</v>
      </c>
      <c r="P24" s="3">
        <f t="shared" si="1"/>
        <v>509621.12000000005</v>
      </c>
      <c r="Q24" s="3">
        <f t="shared" si="1"/>
        <v>740596.92</v>
      </c>
      <c r="R24" s="3">
        <f t="shared" si="1"/>
        <v>687152.38</v>
      </c>
      <c r="S24" s="3">
        <f t="shared" si="1"/>
        <v>700740.27000000014</v>
      </c>
      <c r="T24" s="3">
        <f t="shared" si="1"/>
        <v>692070.85999999987</v>
      </c>
      <c r="U24" s="3">
        <f t="shared" si="1"/>
        <v>722936.76</v>
      </c>
      <c r="V24" s="3">
        <f t="shared" si="1"/>
        <v>483956.82600000006</v>
      </c>
      <c r="W24" s="3">
        <f t="shared" si="1"/>
        <v>558397.93999999994</v>
      </c>
      <c r="X24" s="3">
        <f t="shared" si="1"/>
        <v>485585.93999999994</v>
      </c>
      <c r="Y24" s="3">
        <f t="shared" si="1"/>
        <v>317937.065</v>
      </c>
      <c r="Z24" s="3">
        <f t="shared" si="1"/>
        <v>161535.68999999997</v>
      </c>
      <c r="AA24" s="3">
        <f t="shared" si="1"/>
        <v>134473.13999999998</v>
      </c>
      <c r="AB24" s="3">
        <f t="shared" si="1"/>
        <v>96302.579999999987</v>
      </c>
      <c r="AC24" s="3">
        <f t="shared" si="1"/>
        <v>70814.780000000013</v>
      </c>
      <c r="AD24" s="3">
        <f t="shared" si="1"/>
        <v>63445.5</v>
      </c>
      <c r="AE24" s="3">
        <f t="shared" si="1"/>
        <v>45287.28</v>
      </c>
      <c r="AF24" s="3">
        <f t="shared" si="1"/>
        <v>28421.510000000002</v>
      </c>
      <c r="AG24" s="3">
        <f t="shared" si="1"/>
        <v>28665.279999999999</v>
      </c>
      <c r="AH24" s="3">
        <f t="shared" si="1"/>
        <v>105875.86000000002</v>
      </c>
      <c r="AI24" s="3">
        <f t="shared" si="1"/>
        <v>36302.559999999998</v>
      </c>
      <c r="AJ24" s="3">
        <f t="shared" si="1"/>
        <v>54225.48</v>
      </c>
      <c r="AK24" s="3">
        <f t="shared" si="1"/>
        <v>34952.426999999996</v>
      </c>
      <c r="AL24" s="3">
        <f t="shared" si="1"/>
        <v>27348.82</v>
      </c>
      <c r="AM24" s="3">
        <f t="shared" si="1"/>
        <v>15476.619999999999</v>
      </c>
      <c r="AN24" s="3">
        <f t="shared" si="1"/>
        <v>10077.58</v>
      </c>
      <c r="AO24" s="3">
        <f t="shared" si="1"/>
        <v>1835.3200000000002</v>
      </c>
      <c r="AP24" s="3">
        <f t="shared" si="1"/>
        <v>979.63000000000011</v>
      </c>
      <c r="AQ24" s="3">
        <f t="shared" si="1"/>
        <v>-242.42000000000002</v>
      </c>
      <c r="AR24" s="3">
        <f t="shared" ref="AR24" si="2">SUM(AR4:AR23)</f>
        <v>8224753.3080000011</v>
      </c>
    </row>
    <row r="25" spans="1:47" s="10" customFormat="1" ht="12.75" x14ac:dyDescent="0.2">
      <c r="C25" s="10" t="s">
        <v>170</v>
      </c>
      <c r="D25" s="11">
        <f>+D13</f>
        <v>0</v>
      </c>
      <c r="E25" s="11">
        <f>+D25+E13</f>
        <v>0</v>
      </c>
      <c r="F25" s="11">
        <f t="shared" ref="F25:AQ25" si="3">+E25+F13</f>
        <v>0</v>
      </c>
      <c r="G25" s="11">
        <f t="shared" si="3"/>
        <v>0</v>
      </c>
      <c r="H25" s="11">
        <f t="shared" si="3"/>
        <v>0</v>
      </c>
      <c r="I25" s="11">
        <f t="shared" si="3"/>
        <v>0</v>
      </c>
      <c r="J25" s="11">
        <f t="shared" si="3"/>
        <v>0</v>
      </c>
      <c r="K25" s="11">
        <f t="shared" si="3"/>
        <v>0</v>
      </c>
      <c r="L25" s="11">
        <f t="shared" si="3"/>
        <v>38966.400000000001</v>
      </c>
      <c r="M25" s="11">
        <f t="shared" si="3"/>
        <v>55202.400000000001</v>
      </c>
      <c r="N25" s="11">
        <f t="shared" si="3"/>
        <v>71637.240000000005</v>
      </c>
      <c r="O25" s="11">
        <f t="shared" si="3"/>
        <v>87873.24</v>
      </c>
      <c r="P25" s="11">
        <f t="shared" si="3"/>
        <v>100462.04000000001</v>
      </c>
      <c r="Q25" s="11">
        <f t="shared" si="3"/>
        <v>139328.44</v>
      </c>
      <c r="R25" s="11">
        <f t="shared" si="3"/>
        <v>182335.24</v>
      </c>
      <c r="S25" s="11">
        <f t="shared" si="3"/>
        <v>196947.63999999998</v>
      </c>
      <c r="T25" s="11">
        <f t="shared" si="3"/>
        <v>230764.3</v>
      </c>
      <c r="U25" s="11">
        <f t="shared" si="3"/>
        <v>247453.9</v>
      </c>
      <c r="V25" s="11">
        <f t="shared" si="3"/>
        <v>272427.98</v>
      </c>
      <c r="W25" s="11">
        <f t="shared" si="3"/>
        <v>280683.5</v>
      </c>
      <c r="X25" s="11">
        <f t="shared" si="3"/>
        <v>280683.5</v>
      </c>
      <c r="Y25" s="11">
        <f t="shared" si="3"/>
        <v>289768.09999999998</v>
      </c>
      <c r="Z25" s="11">
        <f t="shared" si="3"/>
        <v>289209.5</v>
      </c>
      <c r="AA25" s="11">
        <f t="shared" si="3"/>
        <v>296853.5</v>
      </c>
      <c r="AB25" s="11">
        <f t="shared" si="3"/>
        <v>296853.5</v>
      </c>
      <c r="AC25" s="11">
        <f t="shared" si="3"/>
        <v>304791.5</v>
      </c>
      <c r="AD25" s="11">
        <f t="shared" si="3"/>
        <v>304791.5</v>
      </c>
      <c r="AE25" s="11">
        <f t="shared" si="3"/>
        <v>311141.90000000002</v>
      </c>
      <c r="AF25" s="11">
        <f t="shared" si="3"/>
        <v>311083.10000000003</v>
      </c>
      <c r="AG25" s="11">
        <f t="shared" si="3"/>
        <v>311083.10000000003</v>
      </c>
      <c r="AH25" s="11">
        <f t="shared" si="3"/>
        <v>342835.10000000003</v>
      </c>
      <c r="AI25" s="11">
        <f t="shared" si="3"/>
        <v>342835.10000000003</v>
      </c>
      <c r="AJ25" s="11">
        <f t="shared" si="3"/>
        <v>342835.10000000003</v>
      </c>
      <c r="AK25" s="11">
        <f t="shared" si="3"/>
        <v>342835.10000000003</v>
      </c>
      <c r="AL25" s="11">
        <f t="shared" si="3"/>
        <v>342835.10000000003</v>
      </c>
      <c r="AM25" s="11">
        <f t="shared" si="3"/>
        <v>342835.10000000003</v>
      </c>
      <c r="AN25" s="11">
        <f t="shared" si="3"/>
        <v>342835.10000000003</v>
      </c>
      <c r="AO25" s="11">
        <f t="shared" si="3"/>
        <v>342835.10000000003</v>
      </c>
      <c r="AP25" s="11">
        <f t="shared" si="3"/>
        <v>342835.10000000003</v>
      </c>
      <c r="AQ25" s="11">
        <f t="shared" si="3"/>
        <v>342835.10000000003</v>
      </c>
      <c r="AR25" s="40"/>
    </row>
    <row r="26" spans="1:47" s="36" customFormat="1" x14ac:dyDescent="0.25">
      <c r="C26" s="2" t="s">
        <v>260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5">
        <v>0</v>
      </c>
      <c r="AJ26" s="35">
        <v>0</v>
      </c>
      <c r="AK26" s="35">
        <v>0</v>
      </c>
      <c r="AL26" s="35">
        <v>0</v>
      </c>
      <c r="AM26" s="35">
        <v>0</v>
      </c>
      <c r="AN26" s="35">
        <v>0</v>
      </c>
      <c r="AO26" s="35">
        <v>0</v>
      </c>
      <c r="AP26" s="35">
        <v>0</v>
      </c>
      <c r="AQ26" s="35">
        <v>0</v>
      </c>
      <c r="AR26" s="3">
        <f>SUM(D26:AQ26)</f>
        <v>0</v>
      </c>
    </row>
    <row r="27" spans="1:47" x14ac:dyDescent="0.25">
      <c r="A27" s="2" t="s">
        <v>80</v>
      </c>
    </row>
    <row r="28" spans="1:47" x14ac:dyDescent="0.25">
      <c r="B28" s="59">
        <f>+Accrualstrip!B28</f>
        <v>1.4999999999999999E-2</v>
      </c>
      <c r="C28" t="s">
        <v>190</v>
      </c>
      <c r="D28" s="1">
        <f>+Accrualstrip!D28+Accrualpot!D27+Accrualherb!D27</f>
        <v>0</v>
      </c>
      <c r="E28" s="1">
        <f>+Accrualstrip!E28+Accrualpot!E27+Accrualherb!E27</f>
        <v>0</v>
      </c>
      <c r="F28" s="1">
        <f>+Accrualstrip!F28+Accrualpot!F27+Accrualherb!F27</f>
        <v>0</v>
      </c>
      <c r="G28" s="1">
        <f>+Accrualstrip!G28+Accrualpot!G27+Accrualherb!G27</f>
        <v>-150.43979999999999</v>
      </c>
      <c r="H28" s="1">
        <f>+Accrualstrip!H28+Accrualpot!H27+Accrualherb!H27</f>
        <v>0</v>
      </c>
      <c r="I28" s="1">
        <f>+Accrualstrip!I28+Accrualpot!I27+Accrualherb!I27</f>
        <v>0</v>
      </c>
      <c r="J28" s="1">
        <f>+Accrualstrip!J28+Accrualpot!J27+Accrualherb!J27</f>
        <v>-6.049199999999999</v>
      </c>
      <c r="K28" s="1">
        <f>+Accrualstrip!K28+Accrualpot!K27+Accrualherb!K27</f>
        <v>-13.5177</v>
      </c>
      <c r="L28" s="1">
        <f>+Accrualstrip!L28+Accrualpot!L27+Accrualherb!L27</f>
        <v>-696.49365</v>
      </c>
      <c r="M28" s="1">
        <f>+Accrualstrip!M28+Accrualpot!M27+Accrualherb!M27</f>
        <v>-1.8530999999999997</v>
      </c>
      <c r="N28" s="1">
        <f>+Accrualstrip!N28+Accrualpot!N27+Accrualherb!N27</f>
        <v>-88.287899999999993</v>
      </c>
      <c r="O28" s="1">
        <f>+Accrualstrip!O28+Accrualpot!O27+Accrualherb!O27</f>
        <v>-324.10289999999998</v>
      </c>
      <c r="P28" s="1">
        <f>+Accrualstrip!P28+Accrualpot!P27+Accrualherb!P27</f>
        <v>-114.95699999999999</v>
      </c>
      <c r="Q28" s="1">
        <f>+Accrualstrip!Q28+Accrualpot!Q27+Accrualherb!Q27</f>
        <v>-1235.0450999999998</v>
      </c>
      <c r="R28" s="1">
        <f>+Accrualstrip!R28+Accrualpot!R27+Accrualherb!R27</f>
        <v>-746.39850000000013</v>
      </c>
      <c r="S28" s="1">
        <f>+Accrualstrip!S28+Accrualpot!S27+Accrualherb!S27</f>
        <v>-765.20114999999987</v>
      </c>
      <c r="T28" s="1">
        <f>+Accrualstrip!T28+Accrualpot!T27+Accrualherb!T27</f>
        <v>-580.54154999999992</v>
      </c>
      <c r="U28" s="1">
        <f>+Accrualstrip!U28+Accrualpot!U27+Accrualherb!U27</f>
        <v>-659.96595000000002</v>
      </c>
      <c r="V28" s="1">
        <f>+Accrualstrip!V28+Accrualpot!V27+Accrualherb!V27</f>
        <v>-403.93815000000001</v>
      </c>
      <c r="W28" s="1">
        <f>+Accrualstrip!W28+Accrualpot!W27+Accrualherb!W27</f>
        <v>-417.0471</v>
      </c>
      <c r="X28" s="1">
        <f>+Accrualstrip!X28+Accrualpot!X27+Accrualherb!X27</f>
        <v>-530.95920000000001</v>
      </c>
      <c r="Y28" s="1">
        <f>+Accrualstrip!Y28+Accrualpot!Y27+Accrualherb!Y27</f>
        <v>-125.35177499999999</v>
      </c>
      <c r="Z28" s="1">
        <f>+Accrualstrip!Z28+Accrualpot!Z27+Accrualherb!Z27</f>
        <v>-136.51259999999999</v>
      </c>
      <c r="AA28" s="1">
        <f>+Accrualstrip!AA28+Accrualpot!AA27+Accrualherb!AA27</f>
        <v>-41.690699999999993</v>
      </c>
      <c r="AB28" s="1">
        <f>+Accrualstrip!AB28+Accrualpot!AB27+Accrualherb!AB27</f>
        <v>-107.41859999999998</v>
      </c>
      <c r="AC28" s="1">
        <f>+Accrualstrip!AC28+Accrualpot!AC27+Accrualherb!AC27</f>
        <v>-55.763099999999994</v>
      </c>
      <c r="AD28" s="1">
        <f>+Accrualstrip!AD28+Accrualpot!AD27+Accrualherb!AD27</f>
        <v>-27.415799999999997</v>
      </c>
      <c r="AE28" s="1">
        <f>+Accrualstrip!AE28+Accrualpot!AE27+Accrualherb!AE27</f>
        <v>-47.100300000000004</v>
      </c>
      <c r="AF28" s="1">
        <f>+Accrualstrip!AF28+Accrualpot!AF27+Accrualherb!AF27</f>
        <v>-44.690549999999995</v>
      </c>
      <c r="AG28" s="1">
        <f>+Accrualstrip!AG28+Accrualpot!AG27+Accrualherb!AG27</f>
        <v>-25.7742</v>
      </c>
      <c r="AH28" s="1">
        <f>+Accrualstrip!AH28+Accrualpot!AH27+Accrualherb!AH27</f>
        <v>-213.77895000000001</v>
      </c>
      <c r="AI28" s="1">
        <f>+Accrualstrip!AI28+Accrualpot!AI27+Accrualherb!AI27</f>
        <v>-124.66485</v>
      </c>
      <c r="AJ28" s="1">
        <f>+Accrualstrip!AJ28+Accrualpot!AJ27+Accrualherb!AJ27</f>
        <v>-247.53749999999999</v>
      </c>
      <c r="AK28" s="1">
        <f>+Accrualstrip!AK28+Accrualpot!AK27+Accrualherb!AK27</f>
        <v>-47.353799999999993</v>
      </c>
      <c r="AL28" s="1">
        <f>+Accrualstrip!AL28+Accrualpot!AL27+Accrualherb!AL27</f>
        <v>-59.983799999999995</v>
      </c>
      <c r="AM28" s="1">
        <f>+Accrualstrip!AM28+Accrualpot!AM27+Accrualherb!AM27</f>
        <v>-21.607800000000001</v>
      </c>
      <c r="AN28" s="1">
        <f>+Accrualstrip!AN28+Accrualpot!AN27+Accrualherb!AN27</f>
        <v>0.63449999999999995</v>
      </c>
      <c r="AO28" s="1">
        <f>+Accrualstrip!AO28+Accrualpot!AO27+Accrualherb!AO27</f>
        <v>0</v>
      </c>
      <c r="AP28" s="1">
        <f>+Accrualstrip!AP28+Accrualpot!AP27+Accrualherb!AP27</f>
        <v>0.15975</v>
      </c>
      <c r="AQ28" s="1">
        <f>+Accrualstrip!AQ28+Accrualpot!AQ27+Accrualherb!AQ27</f>
        <v>0</v>
      </c>
      <c r="AR28" s="3">
        <f>SUM(D28:AQ28)</f>
        <v>-8060.6480249999995</v>
      </c>
      <c r="AS28" s="1">
        <f>+AR4</f>
        <v>546503.745</v>
      </c>
      <c r="AU28" s="1"/>
    </row>
    <row r="29" spans="1:47" x14ac:dyDescent="0.25">
      <c r="B29" s="59">
        <f>+Accrualstrip!B29</f>
        <v>0.05</v>
      </c>
      <c r="C29" t="s">
        <v>431</v>
      </c>
      <c r="D29" s="1">
        <f>+Accrualstrip!D29+Accrualpot!D28+Accrualherb!D28</f>
        <v>0</v>
      </c>
      <c r="E29" s="1">
        <f>+Accrualstrip!E29+Accrualpot!E28+Accrualherb!E28</f>
        <v>0</v>
      </c>
      <c r="F29" s="1">
        <f>+Accrualstrip!F29+Accrualpot!F28+Accrualherb!F28</f>
        <v>0</v>
      </c>
      <c r="G29" s="1">
        <f>+Accrualstrip!G29+Accrualpot!G28+Accrualherb!G28</f>
        <v>0</v>
      </c>
      <c r="H29" s="1">
        <f>+Accrualstrip!H29+Accrualpot!H28+Accrualherb!H28</f>
        <v>-26.768000000000001</v>
      </c>
      <c r="I29" s="1">
        <f>+Accrualstrip!I29+Accrualpot!I28+Accrualherb!I28</f>
        <v>-36.032000000000004</v>
      </c>
      <c r="J29" s="1">
        <f>+Accrualstrip!J29+Accrualpot!J28+Accrualherb!J28</f>
        <v>-600</v>
      </c>
      <c r="K29" s="1">
        <f>+Accrualstrip!K29+Accrualpot!K28+Accrualherb!K28</f>
        <v>0</v>
      </c>
      <c r="L29" s="1">
        <f>+Accrualstrip!L29+Accrualpot!L28+Accrualherb!L28</f>
        <v>-580.23800000000006</v>
      </c>
      <c r="M29" s="1">
        <f>+Accrualstrip!M29+Accrualpot!M28+Accrualherb!M28</f>
        <v>-574.54300000000012</v>
      </c>
      <c r="N29" s="1">
        <f>+Accrualstrip!N29+Accrualpot!N28+Accrualherb!N28</f>
        <v>-365.52100000000002</v>
      </c>
      <c r="O29" s="1">
        <f>+Accrualstrip!O29+Accrualpot!O28+Accrualherb!O28</f>
        <v>-624.04200000000003</v>
      </c>
      <c r="P29" s="1">
        <f>+Accrualstrip!P29+Accrualpot!P28+Accrualherb!P28</f>
        <v>-963.18000000000006</v>
      </c>
      <c r="Q29" s="1">
        <f>+Accrualstrip!Q29+Accrualpot!Q28+Accrualherb!Q28</f>
        <v>-916.68200000000002</v>
      </c>
      <c r="R29" s="1">
        <f>+Accrualstrip!R29+Accrualpot!R28+Accrualherb!R28</f>
        <v>-932.82200000000012</v>
      </c>
      <c r="S29" s="1">
        <f>+Accrualstrip!S29+Accrualpot!S28+Accrualherb!S28</f>
        <v>-1105.0205000000001</v>
      </c>
      <c r="T29" s="1">
        <f>+Accrualstrip!T29+Accrualpot!T28+Accrualherb!T28</f>
        <v>-1303.491</v>
      </c>
      <c r="U29" s="1">
        <f>+Accrualstrip!U29+Accrualpot!U28+Accrualherb!U28</f>
        <v>-1164.1980000000001</v>
      </c>
      <c r="V29" s="1">
        <f>+Accrualstrip!V29+Accrualpot!V28+Accrualherb!V28</f>
        <v>-948.11800000000005</v>
      </c>
      <c r="W29" s="1">
        <f>+Accrualstrip!W29+Accrualpot!W28+Accrualherb!W28</f>
        <v>-1297.1129999999998</v>
      </c>
      <c r="X29" s="1">
        <f>+Accrualstrip!X29+Accrualpot!X28+Accrualherb!X28</f>
        <v>-625.76100000000008</v>
      </c>
      <c r="Y29" s="1">
        <f>+Accrualstrip!Y29+Accrualpot!Y28+Accrualherb!Y28</f>
        <v>-431.22800000000001</v>
      </c>
      <c r="Z29" s="1">
        <f>+Accrualstrip!Z29+Accrualpot!Z28+Accrualherb!Z28</f>
        <v>-259.33500000000004</v>
      </c>
      <c r="AA29" s="1">
        <f>+Accrualstrip!AA29+Accrualpot!AA28+Accrualherb!AA28</f>
        <v>-135.673</v>
      </c>
      <c r="AB29" s="1">
        <f>+Accrualstrip!AB29+Accrualpot!AB28+Accrualherb!AB28</f>
        <v>-140.04900000000001</v>
      </c>
      <c r="AC29" s="1">
        <f>+Accrualstrip!AC29+Accrualpot!AC28+Accrualherb!AC28</f>
        <v>-60.632000000000005</v>
      </c>
      <c r="AD29" s="1">
        <f>+Accrualstrip!AD29+Accrualpot!AD28+Accrualherb!AD28</f>
        <v>-23.16</v>
      </c>
      <c r="AE29" s="1">
        <f>+Accrualstrip!AE29+Accrualpot!AE28+Accrualherb!AE28</f>
        <v>-43.775999999999996</v>
      </c>
      <c r="AF29" s="1">
        <f>+Accrualstrip!AF29+Accrualpot!AF28+Accrualherb!AF28</f>
        <v>-34.905000000000001</v>
      </c>
      <c r="AG29" s="1">
        <f>+Accrualstrip!AG29+Accrualpot!AG28+Accrualherb!AG28</f>
        <v>0</v>
      </c>
      <c r="AH29" s="1">
        <f>+Accrualstrip!AH29+Accrualpot!AH28+Accrualherb!AH28</f>
        <v>-27.900000000000002</v>
      </c>
      <c r="AI29" s="1">
        <f>+Accrualstrip!AI29+Accrualpot!AI28+Accrualherb!AI28</f>
        <v>-47.430000000000007</v>
      </c>
      <c r="AJ29" s="1">
        <f>+Accrualstrip!AJ29+Accrualpot!AJ28+Accrualherb!AJ28</f>
        <v>-51.185999999999993</v>
      </c>
      <c r="AK29" s="1">
        <f>+Accrualstrip!AK29+Accrualpot!AK28+Accrualherb!AK28</f>
        <v>0</v>
      </c>
      <c r="AL29" s="1">
        <f>+Accrualstrip!AL29+Accrualpot!AL28+Accrualherb!AL28</f>
        <v>-101.23100000000001</v>
      </c>
      <c r="AM29" s="1">
        <f>+Accrualstrip!AM29+Accrualpot!AM28+Accrualherb!AM28</f>
        <v>0</v>
      </c>
      <c r="AN29" s="1">
        <f>+Accrualstrip!AN29+Accrualpot!AN28+Accrualherb!AN28</f>
        <v>15.567</v>
      </c>
      <c r="AO29" s="1">
        <f>+Accrualstrip!AO29+Accrualpot!AO28+Accrualherb!AO28</f>
        <v>0</v>
      </c>
      <c r="AP29" s="1">
        <f>+Accrualstrip!AP29+Accrualpot!AP28+Accrualherb!AP28</f>
        <v>0</v>
      </c>
      <c r="AQ29" s="1">
        <f>+Accrualstrip!AQ29+Accrualpot!AQ28+Accrualherb!AQ28</f>
        <v>0</v>
      </c>
      <c r="AR29" s="3">
        <f>SUM(D29:AQ29)</f>
        <v>-13404.467500000001</v>
      </c>
      <c r="AS29" s="1">
        <f t="shared" ref="AS29:AS47" si="4">+AR5</f>
        <v>250089.35000000003</v>
      </c>
      <c r="AU29" s="1"/>
    </row>
    <row r="30" spans="1:47" x14ac:dyDescent="0.25">
      <c r="B30" s="59">
        <f>+Accrualstrip!B30</f>
        <v>0.05</v>
      </c>
      <c r="C30" t="s">
        <v>347</v>
      </c>
      <c r="D30" s="1">
        <f>+Accrualstrip!D30+Accrualpot!D29+Accrualherb!D29</f>
        <v>0</v>
      </c>
      <c r="E30" s="1">
        <f>+Accrualstrip!E30+Accrualpot!E29+Accrualherb!E29</f>
        <v>0</v>
      </c>
      <c r="F30" s="1">
        <f>+Accrualstrip!F30+Accrualpot!F29+Accrualherb!F29</f>
        <v>0</v>
      </c>
      <c r="G30" s="1">
        <f>+Accrualstrip!G30+Accrualpot!G29+Accrualherb!G29</f>
        <v>0</v>
      </c>
      <c r="H30" s="1">
        <f>+Accrualstrip!H30+Accrualpot!H29+Accrualherb!H29</f>
        <v>0</v>
      </c>
      <c r="I30" s="1">
        <f>+Accrualstrip!I30+Accrualpot!I29+Accrualherb!I29</f>
        <v>0</v>
      </c>
      <c r="J30" s="1">
        <f>+Accrualstrip!J30+Accrualpot!J29+Accrualherb!J29</f>
        <v>0</v>
      </c>
      <c r="K30" s="1">
        <f>+Accrualstrip!K30+Accrualpot!K29+Accrualherb!K29</f>
        <v>0</v>
      </c>
      <c r="L30" s="1">
        <f>+Accrualstrip!L30+Accrualpot!L29+Accrualherb!L29</f>
        <v>-251.76400000000001</v>
      </c>
      <c r="M30" s="1">
        <f>+Accrualstrip!M30+Accrualpot!M29+Accrualherb!M29</f>
        <v>-393.529</v>
      </c>
      <c r="N30" s="1">
        <f>+Accrualstrip!N30+Accrualpot!N29+Accrualherb!N29</f>
        <v>-237.477</v>
      </c>
      <c r="O30" s="1">
        <f>+Accrualstrip!O30+Accrualpot!O29+Accrualherb!O29</f>
        <v>-328.88300000000004</v>
      </c>
      <c r="P30" s="1">
        <f>+Accrualstrip!P30+Accrualpot!P29+Accrualherb!P29</f>
        <v>-822.38699999999994</v>
      </c>
      <c r="Q30" s="1">
        <f>+Accrualstrip!Q30+Accrualpot!Q29+Accrualherb!Q29</f>
        <v>-870.58600000000013</v>
      </c>
      <c r="R30" s="1">
        <f>+Accrualstrip!R30+Accrualpot!R29+Accrualherb!R29</f>
        <v>-999.11</v>
      </c>
      <c r="S30" s="1">
        <f>+Accrualstrip!S30+Accrualpot!S29+Accrualherb!S29</f>
        <v>-1107.9540000000002</v>
      </c>
      <c r="T30" s="1">
        <f>+Accrualstrip!T30+Accrualpot!T29+Accrualherb!T29</f>
        <v>-1051.4760000000001</v>
      </c>
      <c r="U30" s="1">
        <f>+Accrualstrip!U30+Accrualpot!U29+Accrualherb!U29</f>
        <v>-1167.662</v>
      </c>
      <c r="V30" s="1">
        <f>+Accrualstrip!V30+Accrualpot!V29+Accrualherb!V29</f>
        <v>-756.14400000000001</v>
      </c>
      <c r="W30" s="1">
        <f>+Accrualstrip!W30+Accrualpot!W29+Accrualherb!W29</f>
        <v>-894.12199999999996</v>
      </c>
      <c r="X30" s="1">
        <f>+Accrualstrip!X30+Accrualpot!X29+Accrualherb!X29</f>
        <v>-620.17000000000007</v>
      </c>
      <c r="Y30" s="1">
        <f>+Accrualstrip!Y30+Accrualpot!Y29+Accrualherb!Y29</f>
        <v>-258.00700000000001</v>
      </c>
      <c r="Z30" s="1">
        <f>+Accrualstrip!Z30+Accrualpot!Z29+Accrualherb!Z29</f>
        <v>-95.975999999999999</v>
      </c>
      <c r="AA30" s="1">
        <f>+Accrualstrip!AA30+Accrualpot!AA29+Accrualherb!AA29</f>
        <v>-34.974000000000004</v>
      </c>
      <c r="AB30" s="1">
        <f>+Accrualstrip!AB30+Accrualpot!AB29+Accrualherb!AB29</f>
        <v>-34.025999999999996</v>
      </c>
      <c r="AC30" s="1">
        <f>+Accrualstrip!AC30+Accrualpot!AC29+Accrualherb!AC29</f>
        <v>-19.327000000000002</v>
      </c>
      <c r="AD30" s="1">
        <f>+Accrualstrip!AD30+Accrualpot!AD29+Accrualherb!AD29</f>
        <v>-21.825000000000003</v>
      </c>
      <c r="AE30" s="1">
        <f>+Accrualstrip!AE30+Accrualpot!AE29+Accrualherb!AE29</f>
        <v>0</v>
      </c>
      <c r="AF30" s="1">
        <f>+Accrualstrip!AF30+Accrualpot!AF29+Accrualherb!AF29</f>
        <v>-32.121000000000002</v>
      </c>
      <c r="AG30" s="1">
        <f>+Accrualstrip!AG30+Accrualpot!AG29+Accrualherb!AG29</f>
        <v>-44.739000000000004</v>
      </c>
      <c r="AH30" s="1">
        <f>+Accrualstrip!AH30+Accrualpot!AH29+Accrualherb!AH29</f>
        <v>-13.950000000000001</v>
      </c>
      <c r="AI30" s="1">
        <f>+Accrualstrip!AI30+Accrualpot!AI29+Accrualherb!AI29</f>
        <v>-17.484999999999999</v>
      </c>
      <c r="AJ30" s="1">
        <f>+Accrualstrip!AJ30+Accrualpot!AJ29+Accrualherb!AJ29</f>
        <v>-32.567999999999998</v>
      </c>
      <c r="AK30" s="1">
        <f>+Accrualstrip!AK30+Accrualpot!AK29+Accrualherb!AK29</f>
        <v>-23.465000000000003</v>
      </c>
      <c r="AL30" s="1">
        <f>+Accrualstrip!AL30+Accrualpot!AL29+Accrualherb!AL29</f>
        <v>-13.950000000000001</v>
      </c>
      <c r="AM30" s="1">
        <f>+Accrualstrip!AM30+Accrualpot!AM29+Accrualherb!AM29</f>
        <v>0</v>
      </c>
      <c r="AN30" s="1">
        <f>+Accrualstrip!AN30+Accrualpot!AN29+Accrualherb!AN29</f>
        <v>-13.950000000000001</v>
      </c>
      <c r="AO30" s="1">
        <f>+Accrualstrip!AO30+Accrualpot!AO29+Accrualherb!AO29</f>
        <v>0</v>
      </c>
      <c r="AP30" s="1">
        <f>+Accrualstrip!AP30+Accrualpot!AP29+Accrualherb!AP29</f>
        <v>0</v>
      </c>
      <c r="AQ30" s="1">
        <f>+Accrualstrip!AQ30+Accrualpot!AQ29+Accrualherb!AQ29</f>
        <v>0</v>
      </c>
      <c r="AR30" s="3">
        <f t="shared" ref="AR30:AR49" si="5">SUM(D30:AQ30)</f>
        <v>-10157.627000000002</v>
      </c>
      <c r="AS30" s="1">
        <f t="shared" si="4"/>
        <v>203152.54</v>
      </c>
      <c r="AU30" s="1"/>
    </row>
    <row r="31" spans="1:47" x14ac:dyDescent="0.25">
      <c r="B31" s="59">
        <f>+Accrualstrip!B31</f>
        <v>6.5000000000000002E-2</v>
      </c>
      <c r="C31" t="s">
        <v>445</v>
      </c>
      <c r="D31" s="1">
        <f>+Accrualstrip!D31+Accrualpot!D30+Accrualherb!D30</f>
        <v>0</v>
      </c>
      <c r="E31" s="1">
        <f>+Accrualstrip!E31+Accrualpot!E30+Accrualherb!E30</f>
        <v>0</v>
      </c>
      <c r="F31" s="1">
        <f>+Accrualstrip!F31+Accrualpot!F30+Accrualherb!F30</f>
        <v>0</v>
      </c>
      <c r="G31" s="1">
        <f>+Accrualstrip!G31+Accrualpot!G30+Accrualherb!G30</f>
        <v>-4159.4175999999998</v>
      </c>
      <c r="H31" s="1">
        <f>+Accrualstrip!H31+Accrualpot!H30+Accrualherb!H30</f>
        <v>0</v>
      </c>
      <c r="I31" s="1">
        <f>+Accrualstrip!I31+Accrualpot!I30+Accrualherb!I30</f>
        <v>0</v>
      </c>
      <c r="J31" s="1">
        <f>+Accrualstrip!J31+Accrualpot!J30+Accrualherb!J30</f>
        <v>-1110.07</v>
      </c>
      <c r="K31" s="1">
        <f>+Accrualstrip!K31+Accrualpot!K30+Accrualherb!K30</f>
        <v>-1488.7080000000001</v>
      </c>
      <c r="L31" s="1">
        <f>+Accrualstrip!L31+Accrualpot!L30+Accrualherb!L30</f>
        <v>-2942.8308000000002</v>
      </c>
      <c r="M31" s="1">
        <f>+Accrualstrip!M31+Accrualpot!M30+Accrualherb!M30</f>
        <v>-3830.9375</v>
      </c>
      <c r="N31" s="1">
        <f>+Accrualstrip!N31+Accrualpot!N30+Accrualherb!N30</f>
        <v>-3949.5702999999999</v>
      </c>
      <c r="O31" s="1">
        <f>+Accrualstrip!O31+Accrualpot!O30+Accrualherb!O30</f>
        <v>-4402.2484999999997</v>
      </c>
      <c r="P31" s="1">
        <f>+Accrualstrip!P31+Accrualpot!P30+Accrualherb!P30</f>
        <v>-3857.2390999999998</v>
      </c>
      <c r="Q31" s="1">
        <f>+Accrualstrip!Q31+Accrualpot!Q30+Accrualherb!Q30</f>
        <v>-8098.8037000000004</v>
      </c>
      <c r="R31" s="1">
        <f>+Accrualstrip!R31+Accrualpot!R30+Accrualherb!R30</f>
        <v>-6142.1788999999999</v>
      </c>
      <c r="S31" s="1">
        <f>+Accrualstrip!S31+Accrualpot!S30+Accrualherb!S30</f>
        <v>-7328.9892</v>
      </c>
      <c r="T31" s="1">
        <f>+Accrualstrip!T31+Accrualpot!T30+Accrualherb!T30</f>
        <v>-6526.0780000000004</v>
      </c>
      <c r="U31" s="1">
        <f>+Accrualstrip!U31+Accrualpot!U30+Accrualherb!U30</f>
        <v>-7757.0531999999994</v>
      </c>
      <c r="V31" s="1">
        <f>+Accrualstrip!V31+Accrualpot!V30+Accrualherb!V30</f>
        <v>-4421.1362000000008</v>
      </c>
      <c r="W31" s="1">
        <f>+Accrualstrip!W31+Accrualpot!W30+Accrualherb!W30</f>
        <v>-5073.8024999999998</v>
      </c>
      <c r="X31" s="1">
        <f>+Accrualstrip!X31+Accrualpot!X30+Accrualherb!X30</f>
        <v>-5903.3572000000013</v>
      </c>
      <c r="Y31" s="1">
        <f>+Accrualstrip!Y31+Accrualpot!Y30+Accrualherb!Y30</f>
        <v>-5175.7303000000002</v>
      </c>
      <c r="Z31" s="1">
        <f>+Accrualstrip!Z31+Accrualpot!Z30+Accrualherb!Z30</f>
        <v>-3680.2805000000008</v>
      </c>
      <c r="AA31" s="1">
        <f>+Accrualstrip!AA31+Accrualpot!AA30+Accrualherb!AA30</f>
        <v>-2825.6968999999999</v>
      </c>
      <c r="AB31" s="1">
        <f>+Accrualstrip!AB31+Accrualpot!AB30+Accrualherb!AB30</f>
        <v>-2561.1774500000001</v>
      </c>
      <c r="AC31" s="1">
        <f>+Accrualstrip!AC31+Accrualpot!AC30+Accrualherb!AC30</f>
        <v>-1292.5328</v>
      </c>
      <c r="AD31" s="1">
        <f>+Accrualstrip!AD31+Accrualpot!AD30+Accrualherb!AD30</f>
        <v>-2813.8136000000004</v>
      </c>
      <c r="AE31" s="1">
        <f>+Accrualstrip!AE31+Accrualpot!AE30+Accrualherb!AE30</f>
        <v>-491.32719999999995</v>
      </c>
      <c r="AF31" s="1">
        <f>+Accrualstrip!AF31+Accrualpot!AF30+Accrualherb!AF30</f>
        <v>-258.60640000000001</v>
      </c>
      <c r="AG31" s="1">
        <f>+Accrualstrip!AG31+Accrualpot!AG30+Accrualherb!AG30</f>
        <v>-758.39400000000001</v>
      </c>
      <c r="AH31" s="1">
        <f>+Accrualstrip!AH31+Accrualpot!AH30+Accrualherb!AH30</f>
        <v>-1324.0291999999999</v>
      </c>
      <c r="AI31" s="1">
        <f>+Accrualstrip!AI31+Accrualpot!AI30+Accrualherb!AI30</f>
        <v>-535.42840000000001</v>
      </c>
      <c r="AJ31" s="1">
        <f>+Accrualstrip!AJ31+Accrualpot!AJ30+Accrualherb!AJ30</f>
        <v>-404.3</v>
      </c>
      <c r="AK31" s="1">
        <f>+Accrualstrip!AK31+Accrualpot!AK30+Accrualherb!AK30</f>
        <v>-1028.586</v>
      </c>
      <c r="AL31" s="1">
        <f>+Accrualstrip!AL31+Accrualpot!AL30+Accrualherb!AL30</f>
        <v>-429.23400000000004</v>
      </c>
      <c r="AM31" s="1">
        <f>+Accrualstrip!AM31+Accrualpot!AM30+Accrualherb!AM30</f>
        <v>-329.47200000000004</v>
      </c>
      <c r="AN31" s="1">
        <f>+Accrualstrip!AN31+Accrualpot!AN30+Accrualherb!AN30</f>
        <v>-192.738</v>
      </c>
      <c r="AO31" s="1">
        <f>+Accrualstrip!AO31+Accrualpot!AO30+Accrualherb!AO30</f>
        <v>0</v>
      </c>
      <c r="AP31" s="1">
        <f>+Accrualstrip!AP31+Accrualpot!AP30+Accrualherb!AP30</f>
        <v>0</v>
      </c>
      <c r="AQ31" s="1">
        <f>+Accrualstrip!AQ31+Accrualpot!AQ30+Accrualherb!AQ30</f>
        <v>0</v>
      </c>
      <c r="AR31" s="3">
        <f t="shared" si="5"/>
        <v>-101093.76745</v>
      </c>
      <c r="AS31" s="1">
        <f t="shared" si="4"/>
        <v>1555288.73</v>
      </c>
      <c r="AU31" s="1"/>
    </row>
    <row r="32" spans="1:47" x14ac:dyDescent="0.25">
      <c r="B32" s="59">
        <f>+Accrualstrip!B32</f>
        <v>0.05</v>
      </c>
      <c r="C32" t="s">
        <v>354</v>
      </c>
      <c r="D32" s="1">
        <f>+Accrualstrip!D32+Accrualpot!D31+Accrualherb!D31</f>
        <v>0</v>
      </c>
      <c r="E32" s="1">
        <f>+Accrualstrip!E32+Accrualpot!E31+Accrualherb!E31</f>
        <v>0</v>
      </c>
      <c r="F32" s="1">
        <f>+Accrualstrip!F32+Accrualpot!F31+Accrualherb!F31</f>
        <v>0</v>
      </c>
      <c r="G32" s="1">
        <f>+Accrualstrip!G32+Accrualpot!G31+Accrualherb!G31</f>
        <v>0</v>
      </c>
      <c r="H32" s="1">
        <f>+Accrualstrip!H32+Accrualpot!H31+Accrualherb!H31</f>
        <v>0</v>
      </c>
      <c r="I32" s="1">
        <f>+Accrualstrip!I32+Accrualpot!I31+Accrualherb!I31</f>
        <v>0</v>
      </c>
      <c r="J32" s="1">
        <f>+Accrualstrip!J32+Accrualpot!J31+Accrualherb!J31</f>
        <v>0</v>
      </c>
      <c r="K32" s="1">
        <f>+Accrualstrip!K32+Accrualpot!K31+Accrualherb!K31</f>
        <v>0</v>
      </c>
      <c r="L32" s="1">
        <f>+Accrualstrip!L32+Accrualpot!L31+Accrualherb!L31</f>
        <v>-189.00000000000003</v>
      </c>
      <c r="M32" s="1">
        <f>+Accrualstrip!M32+Accrualpot!M31+Accrualherb!M31</f>
        <v>-15.363</v>
      </c>
      <c r="N32" s="1">
        <f>+Accrualstrip!N32+Accrualpot!N31+Accrualherb!N31</f>
        <v>-60.618000000000002</v>
      </c>
      <c r="O32" s="1">
        <f>+Accrualstrip!O32+Accrualpot!O31+Accrualherb!O31</f>
        <v>-149.33200000000002</v>
      </c>
      <c r="P32" s="1">
        <f>+Accrualstrip!P32+Accrualpot!P31+Accrualherb!P31</f>
        <v>-247.40700000000001</v>
      </c>
      <c r="Q32" s="1">
        <f>+Accrualstrip!Q32+Accrualpot!Q31+Accrualherb!Q31</f>
        <v>-164.51000000000002</v>
      </c>
      <c r="R32" s="1">
        <f>+Accrualstrip!R32+Accrualpot!R31+Accrualherb!R31</f>
        <v>-207.238</v>
      </c>
      <c r="S32" s="1">
        <f>+Accrualstrip!S32+Accrualpot!S31+Accrualherb!S31</f>
        <v>-248.53500000000003</v>
      </c>
      <c r="T32" s="1">
        <f>+Accrualstrip!T32+Accrualpot!T31+Accrualherb!T31</f>
        <v>-346.79199999999997</v>
      </c>
      <c r="U32" s="1">
        <f>+Accrualstrip!U32+Accrualpot!U31+Accrualherb!U31</f>
        <v>-134.02400000000003</v>
      </c>
      <c r="V32" s="1">
        <f>+Accrualstrip!V32+Accrualpot!V31+Accrualherb!V31</f>
        <v>-75.031000000000006</v>
      </c>
      <c r="W32" s="1">
        <f>+Accrualstrip!W32+Accrualpot!W31+Accrualherb!W31</f>
        <v>-179.37900000000002</v>
      </c>
      <c r="X32" s="1">
        <f>+Accrualstrip!X32+Accrualpot!X31+Accrualherb!X31</f>
        <v>-183.72900000000004</v>
      </c>
      <c r="Y32" s="1">
        <f>+Accrualstrip!Y32+Accrualpot!Y31+Accrualherb!Y31</f>
        <v>-166.96</v>
      </c>
      <c r="Z32" s="1">
        <f>+Accrualstrip!Z32+Accrualpot!Z31+Accrualherb!Z31</f>
        <v>-54.566000000000003</v>
      </c>
      <c r="AA32" s="1">
        <f>+Accrualstrip!AA32+Accrualpot!AA31+Accrualherb!AA31</f>
        <v>-70.947000000000003</v>
      </c>
      <c r="AB32" s="1">
        <f>+Accrualstrip!AB32+Accrualpot!AB31+Accrualherb!AB31</f>
        <v>-32.292000000000002</v>
      </c>
      <c r="AC32" s="1">
        <f>+Accrualstrip!AC32+Accrualpot!AC31+Accrualherb!AC31</f>
        <v>-13.950000000000001</v>
      </c>
      <c r="AD32" s="1">
        <f>+Accrualstrip!AD32+Accrualpot!AD31+Accrualherb!AD31</f>
        <v>0</v>
      </c>
      <c r="AE32" s="1">
        <f>+Accrualstrip!AE32+Accrualpot!AE31+Accrualherb!AE31</f>
        <v>0</v>
      </c>
      <c r="AF32" s="1">
        <f>+Accrualstrip!AF32+Accrualpot!AF31+Accrualherb!AF31</f>
        <v>0</v>
      </c>
      <c r="AG32" s="1">
        <f>+Accrualstrip!AG32+Accrualpot!AG31+Accrualherb!AG31</f>
        <v>0</v>
      </c>
      <c r="AH32" s="1">
        <f>+Accrualstrip!AH32+Accrualpot!AH31+Accrualherb!AH31</f>
        <v>-55.800000000000004</v>
      </c>
      <c r="AI32" s="1">
        <f>+Accrualstrip!AI32+Accrualpot!AI31+Accrualherb!AI31</f>
        <v>0</v>
      </c>
      <c r="AJ32" s="1">
        <f>+Accrualstrip!AJ32+Accrualpot!AJ31+Accrualherb!AJ31</f>
        <v>0</v>
      </c>
      <c r="AK32" s="1">
        <f>+Accrualstrip!AK32+Accrualpot!AK31+Accrualherb!AK31</f>
        <v>0</v>
      </c>
      <c r="AL32" s="1">
        <f>+Accrualstrip!AL32+Accrualpot!AL31+Accrualherb!AL31</f>
        <v>0</v>
      </c>
      <c r="AM32" s="1">
        <f>+Accrualstrip!AM32+Accrualpot!AM31+Accrualherb!AM31</f>
        <v>0</v>
      </c>
      <c r="AN32" s="1">
        <f>+Accrualstrip!AN32+Accrualpot!AN31+Accrualherb!AN31</f>
        <v>0</v>
      </c>
      <c r="AO32" s="1">
        <f>+Accrualstrip!AO32+Accrualpot!AO31+Accrualherb!AO31</f>
        <v>0</v>
      </c>
      <c r="AP32" s="1">
        <f>+Accrualstrip!AP32+Accrualpot!AP31+Accrualherb!AP31</f>
        <v>0</v>
      </c>
      <c r="AQ32" s="1">
        <f>+Accrualstrip!AQ32+Accrualpot!AQ31+Accrualherb!AQ31</f>
        <v>8.1000000000000016E-2</v>
      </c>
      <c r="AR32" s="3">
        <f t="shared" si="5"/>
        <v>-2595.3920000000003</v>
      </c>
      <c r="AS32" s="1">
        <f t="shared" si="4"/>
        <v>51907.840000000004</v>
      </c>
      <c r="AU32" s="1"/>
    </row>
    <row r="33" spans="1:47" x14ac:dyDescent="0.25">
      <c r="B33" s="59">
        <f>+Accrualstrip!B33</f>
        <v>0</v>
      </c>
      <c r="C33" t="s">
        <v>265</v>
      </c>
      <c r="D33" s="1">
        <f>+Accrualstrip!D33+Accrualpot!D32+Accrualherb!D32</f>
        <v>0</v>
      </c>
      <c r="E33" s="1">
        <f>+Accrualstrip!E33+Accrualpot!E32+Accrualherb!E32</f>
        <v>0</v>
      </c>
      <c r="F33" s="1">
        <f>+Accrualstrip!F33+Accrualpot!F32+Accrualherb!F32</f>
        <v>0</v>
      </c>
      <c r="G33" s="1">
        <f>+Accrualstrip!G33+Accrualpot!G32+Accrualherb!G32</f>
        <v>0</v>
      </c>
      <c r="H33" s="1">
        <f>+Accrualstrip!H33+Accrualpot!H32+Accrualherb!H32</f>
        <v>0</v>
      </c>
      <c r="I33" s="1">
        <f>+Accrualstrip!I33+Accrualpot!I32+Accrualherb!I32</f>
        <v>0</v>
      </c>
      <c r="J33" s="1">
        <f>+Accrualstrip!J33+Accrualpot!J32+Accrualherb!J32</f>
        <v>0</v>
      </c>
      <c r="K33" s="1">
        <f>+Accrualstrip!K33+Accrualpot!K32+Accrualherb!K32</f>
        <v>0</v>
      </c>
      <c r="L33" s="1">
        <f>+Accrualstrip!L33+Accrualpot!L32+Accrualherb!L32</f>
        <v>0</v>
      </c>
      <c r="M33" s="1">
        <f>+Accrualstrip!M33+Accrualpot!M32+Accrualherb!M32</f>
        <v>0</v>
      </c>
      <c r="N33" s="1">
        <f>+Accrualstrip!N33+Accrualpot!N32+Accrualherb!N32</f>
        <v>0</v>
      </c>
      <c r="O33" s="1">
        <f>+Accrualstrip!O33+Accrualpot!O32+Accrualherb!O32</f>
        <v>0</v>
      </c>
      <c r="P33" s="1">
        <f>+Accrualstrip!P33+Accrualpot!P32+Accrualherb!P32</f>
        <v>0</v>
      </c>
      <c r="Q33" s="1">
        <f>+Accrualstrip!Q33+Accrualpot!Q32+Accrualherb!Q32</f>
        <v>0</v>
      </c>
      <c r="R33" s="1">
        <f>+Accrualstrip!R33+Accrualpot!R32+Accrualherb!R32</f>
        <v>0</v>
      </c>
      <c r="S33" s="1">
        <f>+Accrualstrip!S33+Accrualpot!S32+Accrualherb!S32</f>
        <v>0</v>
      </c>
      <c r="T33" s="1">
        <f>+Accrualstrip!T33+Accrualpot!T32+Accrualherb!T32</f>
        <v>0</v>
      </c>
      <c r="U33" s="1">
        <f>+Accrualstrip!U33+Accrualpot!U32+Accrualherb!U32</f>
        <v>0</v>
      </c>
      <c r="V33" s="1">
        <f>+Accrualstrip!V33+Accrualpot!V32+Accrualherb!V32</f>
        <v>0</v>
      </c>
      <c r="W33" s="1">
        <f>+Accrualstrip!W33+Accrualpot!W32+Accrualherb!W32</f>
        <v>0</v>
      </c>
      <c r="X33" s="1">
        <f>+Accrualstrip!X33+Accrualpot!X32+Accrualherb!X32</f>
        <v>0</v>
      </c>
      <c r="Y33" s="1">
        <f>+Accrualstrip!Y33+Accrualpot!Y32+Accrualherb!Y32</f>
        <v>0</v>
      </c>
      <c r="Z33" s="1">
        <f>+Accrualstrip!Z33+Accrualpot!Z32+Accrualherb!Z32</f>
        <v>0</v>
      </c>
      <c r="AA33" s="1">
        <f>+Accrualstrip!AA33+Accrualpot!AA32+Accrualherb!AA32</f>
        <v>0</v>
      </c>
      <c r="AB33" s="1">
        <f>+Accrualstrip!AB33+Accrualpot!AB32+Accrualherb!AB32</f>
        <v>0</v>
      </c>
      <c r="AC33" s="1">
        <f>+Accrualstrip!AC33+Accrualpot!AC32+Accrualherb!AC32</f>
        <v>0</v>
      </c>
      <c r="AD33" s="1">
        <f>+Accrualstrip!AD33+Accrualpot!AD32+Accrualherb!AD32</f>
        <v>0</v>
      </c>
      <c r="AE33" s="1">
        <f>+Accrualstrip!AE33+Accrualpot!AE32+Accrualherb!AE32</f>
        <v>0</v>
      </c>
      <c r="AF33" s="1">
        <f>+Accrualstrip!AF33+Accrualpot!AF32+Accrualherb!AF32</f>
        <v>0</v>
      </c>
      <c r="AG33" s="1">
        <f>+Accrualstrip!AG33+Accrualpot!AG32+Accrualherb!AG32</f>
        <v>0</v>
      </c>
      <c r="AH33" s="1">
        <f>+Accrualstrip!AH33+Accrualpot!AH32+Accrualherb!AH32</f>
        <v>0</v>
      </c>
      <c r="AI33" s="1">
        <f>+Accrualstrip!AI33+Accrualpot!AI32+Accrualherb!AI32</f>
        <v>0</v>
      </c>
      <c r="AJ33" s="1">
        <f>+Accrualstrip!AJ33+Accrualpot!AJ32+Accrualherb!AJ32</f>
        <v>0</v>
      </c>
      <c r="AK33" s="1">
        <f>+Accrualstrip!AK33+Accrualpot!AK32+Accrualherb!AK32</f>
        <v>0</v>
      </c>
      <c r="AL33" s="1">
        <f>+Accrualstrip!AL33+Accrualpot!AL32+Accrualherb!AL32</f>
        <v>0</v>
      </c>
      <c r="AM33" s="1">
        <f>+Accrualstrip!AM33+Accrualpot!AM32+Accrualherb!AM32</f>
        <v>0</v>
      </c>
      <c r="AN33" s="1">
        <f>+Accrualstrip!AN33+Accrualpot!AN32+Accrualherb!AN32</f>
        <v>0</v>
      </c>
      <c r="AO33" s="1">
        <f>+Accrualstrip!AO33+Accrualpot!AO32+Accrualherb!AO32</f>
        <v>0</v>
      </c>
      <c r="AP33" s="1">
        <f>+Accrualstrip!AP33+Accrualpot!AP32+Accrualherb!AP32</f>
        <v>0</v>
      </c>
      <c r="AQ33" s="1">
        <f>+Accrualstrip!AQ33+Accrualpot!AQ32+Accrualherb!AQ32</f>
        <v>0</v>
      </c>
      <c r="AR33" s="3">
        <f t="shared" si="5"/>
        <v>0</v>
      </c>
      <c r="AS33" s="1">
        <f t="shared" si="4"/>
        <v>169914.97999999998</v>
      </c>
      <c r="AU33" s="1"/>
    </row>
    <row r="34" spans="1:47" x14ac:dyDescent="0.25">
      <c r="B34" s="59">
        <f>+Accrualstrip!B34</f>
        <v>0.05</v>
      </c>
      <c r="C34" t="s">
        <v>191</v>
      </c>
      <c r="D34" s="1">
        <f>+Accrualstrip!D34+Accrualpot!D33+Accrualherb!D33</f>
        <v>0</v>
      </c>
      <c r="E34" s="1">
        <f>+Accrualstrip!E34+Accrualpot!E33+Accrualherb!E33</f>
        <v>0</v>
      </c>
      <c r="F34" s="1">
        <f>+Accrualstrip!F34+Accrualpot!F33+Accrualherb!F33</f>
        <v>0</v>
      </c>
      <c r="G34" s="1">
        <f>+Accrualstrip!G34+Accrualpot!G33+Accrualherb!G33</f>
        <v>0</v>
      </c>
      <c r="H34" s="1">
        <f>+Accrualstrip!H34+Accrualpot!H33+Accrualherb!H33</f>
        <v>-599.93999999999994</v>
      </c>
      <c r="I34" s="1">
        <f>+Accrualstrip!I34+Accrualpot!I33+Accrualherb!I33</f>
        <v>3.9895000000000005</v>
      </c>
      <c r="J34" s="1">
        <f>+Accrualstrip!J34+Accrualpot!J33+Accrualherb!J33</f>
        <v>0</v>
      </c>
      <c r="K34" s="1">
        <f>+Accrualstrip!K34+Accrualpot!K33+Accrualherb!K33</f>
        <v>-493.68000000000006</v>
      </c>
      <c r="L34" s="1">
        <f>+Accrualstrip!L34+Accrualpot!L33+Accrualherb!L33</f>
        <v>0</v>
      </c>
      <c r="M34" s="1">
        <f>+Accrualstrip!M34+Accrualpot!M33+Accrualherb!M33</f>
        <v>-1805.0640000000003</v>
      </c>
      <c r="N34" s="1">
        <f>+Accrualstrip!N34+Accrualpot!N33+Accrualherb!N33</f>
        <v>-268.44499999999999</v>
      </c>
      <c r="O34" s="1">
        <f>+Accrualstrip!O34+Accrualpot!O33+Accrualherb!O33</f>
        <v>-443.47700000000003</v>
      </c>
      <c r="P34" s="1">
        <f>+Accrualstrip!P34+Accrualpot!P33+Accrualherb!P33</f>
        <v>-1625.018</v>
      </c>
      <c r="Q34" s="1">
        <f>+Accrualstrip!Q34+Accrualpot!Q33+Accrualherb!Q33</f>
        <v>-1779.6710000000003</v>
      </c>
      <c r="R34" s="1">
        <f>+Accrualstrip!R34+Accrualpot!R33+Accrualherb!R33</f>
        <v>-2405.1944999999996</v>
      </c>
      <c r="S34" s="1">
        <f>+Accrualstrip!S34+Accrualpot!S33+Accrualherb!S33</f>
        <v>-2596.0410000000002</v>
      </c>
      <c r="T34" s="1">
        <f>+Accrualstrip!T34+Accrualpot!T33+Accrualherb!T33</f>
        <v>-1386.4504999999999</v>
      </c>
      <c r="U34" s="1">
        <f>+Accrualstrip!U34+Accrualpot!U33+Accrualherb!U33</f>
        <v>-1016.254</v>
      </c>
      <c r="V34" s="1">
        <f>+Accrualstrip!V34+Accrualpot!V33+Accrualherb!V33</f>
        <v>151.61799999999999</v>
      </c>
      <c r="W34" s="1">
        <f>+Accrualstrip!W34+Accrualpot!W33+Accrualherb!W33</f>
        <v>-1336.567</v>
      </c>
      <c r="X34" s="1">
        <f>+Accrualstrip!X34+Accrualpot!X33+Accrualherb!X33</f>
        <v>-898.98399999999992</v>
      </c>
      <c r="Y34" s="1">
        <f>+Accrualstrip!Y34+Accrualpot!Y33+Accrualherb!Y33</f>
        <v>-849.35699999999997</v>
      </c>
      <c r="Z34" s="1">
        <f>+Accrualstrip!Z34+Accrualpot!Z33+Accrualherb!Z33</f>
        <v>-597.25600000000009</v>
      </c>
      <c r="AA34" s="1">
        <f>+Accrualstrip!AA34+Accrualpot!AA33+Accrualherb!AA33</f>
        <v>-695.43299999999999</v>
      </c>
      <c r="AB34" s="1">
        <f>+Accrualstrip!AB34+Accrualpot!AB33+Accrualherb!AB33</f>
        <v>-241.37649999999996</v>
      </c>
      <c r="AC34" s="1">
        <f>+Accrualstrip!AC34+Accrualpot!AC33+Accrualherb!AC33</f>
        <v>-32.765000000000001</v>
      </c>
      <c r="AD34" s="1">
        <f>+Accrualstrip!AD34+Accrualpot!AD33+Accrualherb!AD33</f>
        <v>5.0670000000000002</v>
      </c>
      <c r="AE34" s="1">
        <f>+Accrualstrip!AE34+Accrualpot!AE33+Accrualherb!AE33</f>
        <v>28.8</v>
      </c>
      <c r="AF34" s="1">
        <f>+Accrualstrip!AF34+Accrualpot!AF33+Accrualherb!AF33</f>
        <v>0.70199999999999996</v>
      </c>
      <c r="AG34" s="1">
        <f>+Accrualstrip!AG34+Accrualpot!AG33+Accrualherb!AG33</f>
        <v>0</v>
      </c>
      <c r="AH34" s="1">
        <f>+Accrualstrip!AH34+Accrualpot!AH33+Accrualherb!AH33</f>
        <v>0</v>
      </c>
      <c r="AI34" s="1">
        <f>+Accrualstrip!AI34+Accrualpot!AI33+Accrualherb!AI33</f>
        <v>27.873000000000005</v>
      </c>
      <c r="AJ34" s="1">
        <f>+Accrualstrip!AJ34+Accrualpot!AJ33+Accrualherb!AJ33</f>
        <v>0</v>
      </c>
      <c r="AK34" s="1">
        <f>+Accrualstrip!AK34+Accrualpot!AK33+Accrualherb!AK33</f>
        <v>0</v>
      </c>
      <c r="AL34" s="1">
        <f>+Accrualstrip!AL34+Accrualpot!AL33+Accrualherb!AL33</f>
        <v>-15.648</v>
      </c>
      <c r="AM34" s="1">
        <f>+Accrualstrip!AM34+Accrualpot!AM33+Accrualherb!AM33</f>
        <v>-54.762000000000008</v>
      </c>
      <c r="AN34" s="1">
        <f>+Accrualstrip!AN34+Accrualpot!AN33+Accrualherb!AN33</f>
        <v>-46.476500000000001</v>
      </c>
      <c r="AO34" s="1">
        <f>+Accrualstrip!AO34+Accrualpot!AO33+Accrualherb!AO33</f>
        <v>4.6500000000000004</v>
      </c>
      <c r="AP34" s="1">
        <f>+Accrualstrip!AP34+Accrualpot!AP33+Accrualherb!AP33</f>
        <v>-24.211000000000002</v>
      </c>
      <c r="AQ34" s="1">
        <f>+Accrualstrip!AQ34+Accrualpot!AQ33+Accrualherb!AQ33</f>
        <v>0</v>
      </c>
      <c r="AR34" s="3">
        <f t="shared" si="5"/>
        <v>-18989.371500000001</v>
      </c>
      <c r="AS34" s="1">
        <f t="shared" si="4"/>
        <v>379787.43</v>
      </c>
      <c r="AU34" s="1"/>
    </row>
    <row r="35" spans="1:47" x14ac:dyDescent="0.25">
      <c r="B35" s="59">
        <f>+Accrualstrip!B35</f>
        <v>0</v>
      </c>
      <c r="C35" t="s">
        <v>549</v>
      </c>
      <c r="D35" s="1">
        <f>+Accrualstrip!D35+Accrualpot!D34+Accrualherb!D34</f>
        <v>0</v>
      </c>
      <c r="E35" s="1">
        <f>+Accrualstrip!E35+Accrualpot!E34+Accrualherb!E34</f>
        <v>0</v>
      </c>
      <c r="F35" s="1">
        <f>+Accrualstrip!F35+Accrualpot!F34+Accrualherb!F34</f>
        <v>0</v>
      </c>
      <c r="G35" s="1">
        <f>+Accrualstrip!G35+Accrualpot!G34+Accrualherb!G34</f>
        <v>0</v>
      </c>
      <c r="H35" s="1">
        <f>+Accrualstrip!H35+Accrualpot!H34+Accrualherb!H34</f>
        <v>0</v>
      </c>
      <c r="I35" s="1">
        <f>+Accrualstrip!I35+Accrualpot!I34+Accrualherb!I34</f>
        <v>0</v>
      </c>
      <c r="J35" s="1">
        <f>+Accrualstrip!J35+Accrualpot!J34+Accrualherb!J34</f>
        <v>0</v>
      </c>
      <c r="K35" s="1">
        <f>+Accrualstrip!K35+Accrualpot!K34+Accrualherb!K34</f>
        <v>0</v>
      </c>
      <c r="L35" s="1">
        <f>+Accrualstrip!L35+Accrualpot!L34+Accrualherb!L34</f>
        <v>0</v>
      </c>
      <c r="M35" s="1">
        <f>+Accrualstrip!M35+Accrualpot!M34+Accrualherb!M34</f>
        <v>0</v>
      </c>
      <c r="N35" s="1">
        <f>+Accrualstrip!N35+Accrualpot!N34+Accrualherb!N34</f>
        <v>0</v>
      </c>
      <c r="O35" s="1">
        <f>+Accrualstrip!O35+Accrualpot!O34+Accrualherb!O34</f>
        <v>0</v>
      </c>
      <c r="P35" s="1">
        <f>+Accrualstrip!P35+Accrualpot!P34+Accrualherb!P34</f>
        <v>0</v>
      </c>
      <c r="Q35" s="1">
        <f>+Accrualstrip!Q35+Accrualpot!Q34+Accrualherb!Q34</f>
        <v>0</v>
      </c>
      <c r="R35" s="1">
        <f>+Accrualstrip!R35+Accrualpot!R34+Accrualherb!R34</f>
        <v>0</v>
      </c>
      <c r="S35" s="1">
        <f>+Accrualstrip!S35+Accrualpot!S34+Accrualherb!S34</f>
        <v>0</v>
      </c>
      <c r="T35" s="1">
        <f>+Accrualstrip!T35+Accrualpot!T34+Accrualherb!T34</f>
        <v>0</v>
      </c>
      <c r="U35" s="1">
        <f>+Accrualstrip!U35+Accrualpot!U34+Accrualherb!U34</f>
        <v>0</v>
      </c>
      <c r="V35" s="1">
        <f>+Accrualstrip!V35+Accrualpot!V34+Accrualherb!V34</f>
        <v>0</v>
      </c>
      <c r="W35" s="1">
        <f>+Accrualstrip!W35+Accrualpot!W34+Accrualherb!W34</f>
        <v>0</v>
      </c>
      <c r="X35" s="1">
        <f>+Accrualstrip!X35+Accrualpot!X34+Accrualherb!X34</f>
        <v>0</v>
      </c>
      <c r="Y35" s="1">
        <f>+Accrualstrip!Y35+Accrualpot!Y34+Accrualherb!Y34</f>
        <v>0</v>
      </c>
      <c r="Z35" s="1">
        <f>+Accrualstrip!Z35+Accrualpot!Z34+Accrualherb!Z34</f>
        <v>0</v>
      </c>
      <c r="AA35" s="1">
        <f>+Accrualstrip!AA35+Accrualpot!AA34+Accrualherb!AA34</f>
        <v>0</v>
      </c>
      <c r="AB35" s="1">
        <f>+Accrualstrip!AB35+Accrualpot!AB34+Accrualherb!AB34</f>
        <v>0</v>
      </c>
      <c r="AC35" s="1">
        <f>+Accrualstrip!AC35+Accrualpot!AC34+Accrualherb!AC34</f>
        <v>0</v>
      </c>
      <c r="AD35" s="1">
        <f>+Accrualstrip!AD35+Accrualpot!AD34+Accrualherb!AD34</f>
        <v>0</v>
      </c>
      <c r="AE35" s="1">
        <f>+Accrualstrip!AE35+Accrualpot!AE34+Accrualherb!AE34</f>
        <v>0</v>
      </c>
      <c r="AF35" s="1">
        <f>+Accrualstrip!AF35+Accrualpot!AF34+Accrualherb!AF34</f>
        <v>0</v>
      </c>
      <c r="AG35" s="1">
        <f>+Accrualstrip!AG35+Accrualpot!AG34+Accrualherb!AG34</f>
        <v>0</v>
      </c>
      <c r="AH35" s="1">
        <f>+Accrualstrip!AH35+Accrualpot!AH34+Accrualherb!AH34</f>
        <v>0</v>
      </c>
      <c r="AI35" s="1">
        <f>+Accrualstrip!AI35+Accrualpot!AI34+Accrualherb!AI34</f>
        <v>0</v>
      </c>
      <c r="AJ35" s="1">
        <f>+Accrualstrip!AJ35+Accrualpot!AJ34+Accrualherb!AJ34</f>
        <v>0</v>
      </c>
      <c r="AK35" s="1">
        <f>+Accrualstrip!AK35+Accrualpot!AK34+Accrualherb!AK34</f>
        <v>0</v>
      </c>
      <c r="AL35" s="1">
        <f>+Accrualstrip!AL35+Accrualpot!AL34+Accrualherb!AL34</f>
        <v>0</v>
      </c>
      <c r="AM35" s="1">
        <f>+Accrualstrip!AM35+Accrualpot!AM34+Accrualherb!AM34</f>
        <v>0</v>
      </c>
      <c r="AN35" s="1">
        <f>+Accrualstrip!AN35+Accrualpot!AN34+Accrualherb!AN34</f>
        <v>0</v>
      </c>
      <c r="AO35" s="1">
        <f>+Accrualstrip!AO35+Accrualpot!AO34+Accrualherb!AO34</f>
        <v>0</v>
      </c>
      <c r="AP35" s="1">
        <f>+Accrualstrip!AP35+Accrualpot!AP34+Accrualherb!AP34</f>
        <v>0</v>
      </c>
      <c r="AQ35" s="1">
        <f>+Accrualstrip!AQ35+Accrualpot!AQ34+Accrualherb!AQ34</f>
        <v>0</v>
      </c>
      <c r="AR35" s="3">
        <f t="shared" si="5"/>
        <v>0</v>
      </c>
      <c r="AS35" s="1">
        <f t="shared" si="4"/>
        <v>0</v>
      </c>
      <c r="AU35" s="1"/>
    </row>
    <row r="36" spans="1:47" x14ac:dyDescent="0.25">
      <c r="B36" s="59">
        <f>+Accrualstrip!B36</f>
        <v>0.04</v>
      </c>
      <c r="C36" t="s">
        <v>550</v>
      </c>
      <c r="D36" s="1">
        <f>+Accrualstrip!D36+Accrualpot!D35+Accrualherb!D35</f>
        <v>0</v>
      </c>
      <c r="E36" s="1">
        <f>+Accrualstrip!E36+Accrualpot!E35+Accrualherb!E35</f>
        <v>0</v>
      </c>
      <c r="F36" s="1">
        <f>+Accrualstrip!F36+Accrualpot!F35+Accrualherb!F35</f>
        <v>0</v>
      </c>
      <c r="G36" s="1">
        <f>+Accrualstrip!G36+Accrualpot!G35+Accrualherb!G35</f>
        <v>0</v>
      </c>
      <c r="H36" s="1">
        <f>+Accrualstrip!H36+Accrualpot!H35+Accrualherb!H35</f>
        <v>0</v>
      </c>
      <c r="I36" s="1">
        <f>+Accrualstrip!I36+Accrualpot!I35+Accrualherb!I35</f>
        <v>0</v>
      </c>
      <c r="J36" s="1">
        <f>+Accrualstrip!J36+Accrualpot!J35+Accrualherb!J35</f>
        <v>0</v>
      </c>
      <c r="K36" s="1">
        <f>+Accrualstrip!K36+Accrualpot!K35+Accrualherb!K35</f>
        <v>0</v>
      </c>
      <c r="L36" s="1">
        <f>+Accrualstrip!L36+Accrualpot!L35+Accrualherb!L35</f>
        <v>0</v>
      </c>
      <c r="M36" s="1">
        <f>+Accrualstrip!M36+Accrualpot!M35+Accrualherb!M35</f>
        <v>-382.464</v>
      </c>
      <c r="N36" s="1">
        <f>+Accrualstrip!N36+Accrualpot!N35+Accrualherb!N35</f>
        <v>4.7376000000000005</v>
      </c>
      <c r="O36" s="1">
        <f>+Accrualstrip!O36+Accrualpot!O35+Accrualherb!O35</f>
        <v>-52.331999999999994</v>
      </c>
      <c r="P36" s="1">
        <f>+Accrualstrip!P36+Accrualpot!P35+Accrualherb!P35</f>
        <v>0.74880000000000002</v>
      </c>
      <c r="Q36" s="1">
        <f>+Accrualstrip!Q36+Accrualpot!Q35+Accrualherb!Q35</f>
        <v>-1024.2583999999999</v>
      </c>
      <c r="R36" s="1">
        <f>+Accrualstrip!R36+Accrualpot!R35+Accrualherb!R35</f>
        <v>-569.37279999999998</v>
      </c>
      <c r="S36" s="1">
        <f>+Accrualstrip!S36+Accrualpot!S35+Accrualherb!S35</f>
        <v>-781.42</v>
      </c>
      <c r="T36" s="1">
        <f>+Accrualstrip!T36+Accrualpot!T35+Accrualherb!T35</f>
        <v>-1326.3600000000001</v>
      </c>
      <c r="U36" s="1">
        <f>+Accrualstrip!U36+Accrualpot!U35+Accrualherb!U35</f>
        <v>-338.32560000000001</v>
      </c>
      <c r="V36" s="1">
        <f>+Accrualstrip!V36+Accrualpot!V35+Accrualherb!V35</f>
        <v>-634.41679999999997</v>
      </c>
      <c r="W36" s="1">
        <f>+Accrualstrip!W36+Accrualpot!W35+Accrualherb!W35</f>
        <v>-377.85759999999999</v>
      </c>
      <c r="X36" s="1">
        <f>+Accrualstrip!X36+Accrualpot!X35+Accrualherb!X35</f>
        <v>-418.52240000000006</v>
      </c>
      <c r="Y36" s="1">
        <f>+Accrualstrip!Y36+Accrualpot!Y35+Accrualherb!Y35</f>
        <v>-539.94959999999992</v>
      </c>
      <c r="Z36" s="1">
        <f>+Accrualstrip!Z36+Accrualpot!Z35+Accrualherb!Z35</f>
        <v>-132.7216</v>
      </c>
      <c r="AA36" s="1">
        <f>+Accrualstrip!AA36+Accrualpot!AA35+Accrualherb!AA35</f>
        <v>-208.07040000000001</v>
      </c>
      <c r="AB36" s="1">
        <f>+Accrualstrip!AB36+Accrualpot!AB35+Accrualherb!AB35</f>
        <v>-152.34</v>
      </c>
      <c r="AC36" s="1">
        <f>+Accrualstrip!AC36+Accrualpot!AC35+Accrualherb!AC35</f>
        <v>-149.2072</v>
      </c>
      <c r="AD36" s="1">
        <f>+Accrualstrip!AD36+Accrualpot!AD35+Accrualherb!AD35</f>
        <v>-201.84399999999999</v>
      </c>
      <c r="AE36" s="1">
        <f>+Accrualstrip!AE36+Accrualpot!AE35+Accrualherb!AE35</f>
        <v>-197.38159999999999</v>
      </c>
      <c r="AF36" s="1">
        <f>+Accrualstrip!AF36+Accrualpot!AF35+Accrualherb!AF35</f>
        <v>-28.939999999999998</v>
      </c>
      <c r="AG36" s="1">
        <f>+Accrualstrip!AG36+Accrualpot!AG35+Accrualherb!AG35</f>
        <v>-73.1096</v>
      </c>
      <c r="AH36" s="1">
        <f>+Accrualstrip!AH36+Accrualpot!AH35+Accrualherb!AH35</f>
        <v>-104.24160000000001</v>
      </c>
      <c r="AI36" s="1">
        <f>+Accrualstrip!AI36+Accrualpot!AI35+Accrualherb!AI35</f>
        <v>-93.699200000000005</v>
      </c>
      <c r="AJ36" s="1">
        <f>+Accrualstrip!AJ36+Accrualpot!AJ35+Accrualherb!AJ35</f>
        <v>-112.53040000000001</v>
      </c>
      <c r="AK36" s="1">
        <f>+Accrualstrip!AK36+Accrualpot!AK35+Accrualherb!AK35</f>
        <v>-85.457599999999999</v>
      </c>
      <c r="AL36" s="1">
        <f>+Accrualstrip!AL36+Accrualpot!AL35+Accrualherb!AL35</f>
        <v>-54.892000000000003</v>
      </c>
      <c r="AM36" s="1">
        <f>+Accrualstrip!AM36+Accrualpot!AM35+Accrualherb!AM35</f>
        <v>-84.816800000000001</v>
      </c>
      <c r="AN36" s="1">
        <f>+Accrualstrip!AN36+Accrualpot!AN35+Accrualherb!AN35</f>
        <v>-69.103999999999999</v>
      </c>
      <c r="AO36" s="1">
        <f>+Accrualstrip!AO36+Accrualpot!AO35+Accrualherb!AO35</f>
        <v>3.9656000000000002</v>
      </c>
      <c r="AP36" s="1">
        <f>+Accrualstrip!AP36+Accrualpot!AP35+Accrualherb!AP35</f>
        <v>0</v>
      </c>
      <c r="AQ36" s="1">
        <f>+Accrualstrip!AQ36+Accrualpot!AQ35+Accrualherb!AQ35</f>
        <v>9.6320000000000014</v>
      </c>
      <c r="AR36" s="3">
        <f t="shared" si="5"/>
        <v>-8174.5511999999981</v>
      </c>
      <c r="AS36" s="1">
        <f t="shared" si="4"/>
        <v>204363.78000000003</v>
      </c>
      <c r="AU36" s="1"/>
    </row>
    <row r="37" spans="1:47" x14ac:dyDescent="0.25">
      <c r="B37" s="59">
        <f>+Accrualstrip!B37</f>
        <v>6.5000000000000002E-2</v>
      </c>
      <c r="C37" t="s">
        <v>340</v>
      </c>
      <c r="D37" s="1">
        <f>+Accrualstrip!D37+Accrualpot!D36+Accrualherb!D36</f>
        <v>0</v>
      </c>
      <c r="E37" s="1">
        <f>+Accrualstrip!E37+Accrualpot!E36+Accrualherb!E36</f>
        <v>0</v>
      </c>
      <c r="F37" s="1">
        <f>+Accrualstrip!F37+Accrualpot!F36+Accrualherb!F36</f>
        <v>0</v>
      </c>
      <c r="G37" s="1">
        <f>+Accrualstrip!G37+Accrualpot!G36+Accrualherb!G36</f>
        <v>0</v>
      </c>
      <c r="H37" s="1">
        <f>+Accrualstrip!H37+Accrualpot!H36+Accrualherb!H36</f>
        <v>0</v>
      </c>
      <c r="I37" s="1">
        <f>+Accrualstrip!I37+Accrualpot!I36+Accrualherb!I36</f>
        <v>0</v>
      </c>
      <c r="J37" s="1">
        <f>+Accrualstrip!J37+Accrualpot!J36+Accrualherb!J36</f>
        <v>0</v>
      </c>
      <c r="K37" s="1">
        <f>+Accrualstrip!K37+Accrualpot!K36+Accrualherb!K36</f>
        <v>0</v>
      </c>
      <c r="L37" s="1">
        <f>+Accrualstrip!L37+Accrualpot!L36+Accrualherb!L36</f>
        <v>-5532.8160000000007</v>
      </c>
      <c r="M37" s="1">
        <f>+Accrualstrip!M37+Accrualpot!M36+Accrualherb!M36</f>
        <v>-1055.3400000000001</v>
      </c>
      <c r="N37" s="1">
        <f>+Accrualstrip!N37+Accrualpot!N36+Accrualherb!N36</f>
        <v>-1068.2646</v>
      </c>
      <c r="O37" s="1">
        <f>+Accrualstrip!O37+Accrualpot!O36+Accrualherb!O36</f>
        <v>-1055.3400000000001</v>
      </c>
      <c r="P37" s="1">
        <f>+Accrualstrip!P37+Accrualpot!P36+Accrualherb!P36</f>
        <v>-818.27200000000005</v>
      </c>
      <c r="Q37" s="1">
        <f>+Accrualstrip!Q37+Accrualpot!Q36+Accrualherb!Q36</f>
        <v>-2526.3160000000003</v>
      </c>
      <c r="R37" s="1">
        <f>+Accrualstrip!R37+Accrualpot!R36+Accrualherb!R36</f>
        <v>-2795.442</v>
      </c>
      <c r="S37" s="1">
        <f>+Accrualstrip!S37+Accrualpot!S36+Accrualherb!S36</f>
        <v>-949.80600000000004</v>
      </c>
      <c r="T37" s="1">
        <f>+Accrualstrip!T37+Accrualpot!T36+Accrualherb!T36</f>
        <v>-2198.0828999999999</v>
      </c>
      <c r="U37" s="1">
        <f>+Accrualstrip!U37+Accrualpot!U36+Accrualherb!U36</f>
        <v>-1084.8240000000001</v>
      </c>
      <c r="V37" s="1">
        <f>+Accrualstrip!V37+Accrualpot!V36+Accrualherb!V36</f>
        <v>-1623.3152</v>
      </c>
      <c r="W37" s="1">
        <f>+Accrualstrip!W37+Accrualpot!W36+Accrualherb!W36</f>
        <v>-536.60880000000009</v>
      </c>
      <c r="X37" s="1">
        <f>+Accrualstrip!X37+Accrualpot!X36+Accrualherb!X36</f>
        <v>0</v>
      </c>
      <c r="Y37" s="1">
        <f>+Accrualstrip!Y37+Accrualpot!Y36+Accrualherb!Y36</f>
        <v>-590.49900000000002</v>
      </c>
      <c r="Z37" s="1">
        <f>+Accrualstrip!Z37+Accrualpot!Z36+Accrualherb!Z36</f>
        <v>36.309000000000005</v>
      </c>
      <c r="AA37" s="1">
        <f>+Accrualstrip!AA37+Accrualpot!AA36+Accrualherb!AA36</f>
        <v>-496.86</v>
      </c>
      <c r="AB37" s="1">
        <f>+Accrualstrip!AB37+Accrualpot!AB36+Accrualherb!AB36</f>
        <v>0</v>
      </c>
      <c r="AC37" s="1">
        <f>+Accrualstrip!AC37+Accrualpot!AC36+Accrualherb!AC36</f>
        <v>-515.97</v>
      </c>
      <c r="AD37" s="1">
        <f>+Accrualstrip!AD37+Accrualpot!AD36+Accrualherb!AD36</f>
        <v>0</v>
      </c>
      <c r="AE37" s="1">
        <f>+Accrualstrip!AE37+Accrualpot!AE36+Accrualherb!AE36</f>
        <v>-412.77600000000001</v>
      </c>
      <c r="AF37" s="1">
        <f>+Accrualstrip!AF37+Accrualpot!AF36+Accrualherb!AF36</f>
        <v>3.8220000000000001</v>
      </c>
      <c r="AG37" s="1">
        <f>+Accrualstrip!AG37+Accrualpot!AG36+Accrualherb!AG36</f>
        <v>0</v>
      </c>
      <c r="AH37" s="1">
        <f>+Accrualstrip!AH37+Accrualpot!AH36+Accrualherb!AH36</f>
        <v>-2063.88</v>
      </c>
      <c r="AI37" s="1">
        <f>+Accrualstrip!AI37+Accrualpot!AI36+Accrualherb!AI36</f>
        <v>0</v>
      </c>
      <c r="AJ37" s="1">
        <f>+Accrualstrip!AJ37+Accrualpot!AJ36+Accrualherb!AJ36</f>
        <v>0</v>
      </c>
      <c r="AK37" s="1">
        <f>+Accrualstrip!AK37+Accrualpot!AK36+Accrualherb!AK36</f>
        <v>0</v>
      </c>
      <c r="AL37" s="1">
        <f>+Accrualstrip!AL37+Accrualpot!AL36+Accrualherb!AL36</f>
        <v>0</v>
      </c>
      <c r="AM37" s="1">
        <f>+Accrualstrip!AM37+Accrualpot!AM36+Accrualherb!AM36</f>
        <v>0</v>
      </c>
      <c r="AN37" s="1">
        <f>+Accrualstrip!AN37+Accrualpot!AN36+Accrualherb!AN36</f>
        <v>0</v>
      </c>
      <c r="AO37" s="1">
        <f>+Accrualstrip!AO37+Accrualpot!AO36+Accrualherb!AO36</f>
        <v>0</v>
      </c>
      <c r="AP37" s="1">
        <f>+Accrualstrip!AP37+Accrualpot!AP36+Accrualherb!AP36</f>
        <v>0</v>
      </c>
      <c r="AQ37" s="1">
        <f>+Accrualstrip!AQ37+Accrualpot!AQ36+Accrualherb!AQ36</f>
        <v>0</v>
      </c>
      <c r="AR37" s="3">
        <f t="shared" si="5"/>
        <v>-25284.281500000012</v>
      </c>
      <c r="AS37" s="1">
        <f t="shared" si="4"/>
        <v>342835.10000000003</v>
      </c>
      <c r="AU37" s="1"/>
    </row>
    <row r="38" spans="1:47" x14ac:dyDescent="0.25">
      <c r="B38" s="59">
        <f>+Accrualstrip!B38</f>
        <v>0.05</v>
      </c>
      <c r="C38" t="s">
        <v>261</v>
      </c>
      <c r="D38" s="1">
        <f>+Accrualstrip!D38+Accrualpot!D37+Accrualherb!D37</f>
        <v>0</v>
      </c>
      <c r="E38" s="1">
        <f>+Accrualstrip!E38+Accrualpot!E37+Accrualherb!E37</f>
        <v>0</v>
      </c>
      <c r="F38" s="1">
        <f>+Accrualstrip!F38+Accrualpot!F37+Accrualherb!F37</f>
        <v>0</v>
      </c>
      <c r="G38" s="1">
        <f>+Accrualstrip!G38+Accrualpot!G37+Accrualherb!G37</f>
        <v>0</v>
      </c>
      <c r="H38" s="1">
        <f>+Accrualstrip!H38+Accrualpot!H37+Accrualherb!H37</f>
        <v>0</v>
      </c>
      <c r="I38" s="1">
        <f>+Accrualstrip!I38+Accrualpot!I37+Accrualherb!I37</f>
        <v>0</v>
      </c>
      <c r="J38" s="1">
        <f>+Accrualstrip!J38+Accrualpot!J37+Accrualherb!J37</f>
        <v>0</v>
      </c>
      <c r="K38" s="1">
        <f>+Accrualstrip!K38+Accrualpot!K37+Accrualherb!K37</f>
        <v>0</v>
      </c>
      <c r="L38" s="1">
        <f>+Accrualstrip!L38+Accrualpot!L37+Accrualherb!L37</f>
        <v>-47.142000000000003</v>
      </c>
      <c r="M38" s="1">
        <f>+Accrualstrip!M38+Accrualpot!M37+Accrualherb!M37</f>
        <v>-539.0100000000001</v>
      </c>
      <c r="N38" s="1">
        <f>+Accrualstrip!N38+Accrualpot!N37+Accrualherb!N37</f>
        <v>-323.577</v>
      </c>
      <c r="O38" s="1">
        <f>+Accrualstrip!O38+Accrualpot!O37+Accrualherb!O37</f>
        <v>-487.37700000000001</v>
      </c>
      <c r="P38" s="1">
        <f>+Accrualstrip!P38+Accrualpot!P37+Accrualherb!P37</f>
        <v>-470.48599999999999</v>
      </c>
      <c r="Q38" s="1">
        <f>+Accrualstrip!Q38+Accrualpot!Q37+Accrualherb!Q37</f>
        <v>-1111.73</v>
      </c>
      <c r="R38" s="1">
        <f>+Accrualstrip!R38+Accrualpot!R37+Accrualherb!R37</f>
        <v>-698.66099999999994</v>
      </c>
      <c r="S38" s="1">
        <f>+Accrualstrip!S38+Accrualpot!S37+Accrualherb!S37</f>
        <v>-512.1585</v>
      </c>
      <c r="T38" s="1">
        <f>+Accrualstrip!T38+Accrualpot!T37+Accrualherb!T37</f>
        <v>-729.15199999999993</v>
      </c>
      <c r="U38" s="1">
        <f>+Accrualstrip!U38+Accrualpot!U37+Accrualherb!U37</f>
        <v>-355.178</v>
      </c>
      <c r="V38" s="1">
        <f>+Accrualstrip!V38+Accrualpot!V37+Accrualherb!V37</f>
        <v>-332.14300000000003</v>
      </c>
      <c r="W38" s="1">
        <f>+Accrualstrip!W38+Accrualpot!W37+Accrualherb!W37</f>
        <v>-365.71200000000005</v>
      </c>
      <c r="X38" s="1">
        <f>+Accrualstrip!X38+Accrualpot!X37+Accrualherb!X37</f>
        <v>-195.18600000000001</v>
      </c>
      <c r="Y38" s="1">
        <f>+Accrualstrip!Y38+Accrualpot!Y37+Accrualherb!Y37</f>
        <v>-79.068000000000012</v>
      </c>
      <c r="Z38" s="1">
        <f>+Accrualstrip!Z38+Accrualpot!Z37+Accrualherb!Z37</f>
        <v>-52.644000000000005</v>
      </c>
      <c r="AA38" s="1">
        <f>+Accrualstrip!AA38+Accrualpot!AA37+Accrualherb!AA37</f>
        <v>9.4619999999999997</v>
      </c>
      <c r="AB38" s="1">
        <f>+Accrualstrip!AB38+Accrualpot!AB37+Accrualherb!AB37</f>
        <v>-72.918000000000006</v>
      </c>
      <c r="AC38" s="1">
        <f>+Accrualstrip!AC38+Accrualpot!AC37+Accrualherb!AC37</f>
        <v>-14.97</v>
      </c>
      <c r="AD38" s="1">
        <f>+Accrualstrip!AD38+Accrualpot!AD37+Accrualherb!AD37</f>
        <v>0</v>
      </c>
      <c r="AE38" s="1">
        <f>+Accrualstrip!AE38+Accrualpot!AE37+Accrualherb!AE37</f>
        <v>-15.344999999999999</v>
      </c>
      <c r="AF38" s="1">
        <f>+Accrualstrip!AF38+Accrualpot!AF37+Accrualherb!AF37</f>
        <v>-43.71</v>
      </c>
      <c r="AG38" s="1">
        <f>+Accrualstrip!AG38+Accrualpot!AG37+Accrualherb!AG37</f>
        <v>0</v>
      </c>
      <c r="AH38" s="1">
        <f>+Accrualstrip!AH38+Accrualpot!AH37+Accrualherb!AH37</f>
        <v>0</v>
      </c>
      <c r="AI38" s="1">
        <f>+Accrualstrip!AI38+Accrualpot!AI37+Accrualherb!AI37</f>
        <v>1.4039999999999999</v>
      </c>
      <c r="AJ38" s="1">
        <f>+Accrualstrip!AJ38+Accrualpot!AJ37+Accrualherb!AJ37</f>
        <v>0</v>
      </c>
      <c r="AK38" s="1">
        <f>+Accrualstrip!AK38+Accrualpot!AK37+Accrualherb!AK37</f>
        <v>-54.405000000000001</v>
      </c>
      <c r="AL38" s="1">
        <f>+Accrualstrip!AL38+Accrualpot!AL37+Accrualherb!AL37</f>
        <v>-73.935000000000002</v>
      </c>
      <c r="AM38" s="1">
        <f>+Accrualstrip!AM38+Accrualpot!AM37+Accrualherb!AM37</f>
        <v>-13.950000000000001</v>
      </c>
      <c r="AN38" s="1">
        <f>+Accrualstrip!AN38+Accrualpot!AN37+Accrualherb!AN37</f>
        <v>12.369000000000003</v>
      </c>
      <c r="AO38" s="1">
        <f>+Accrualstrip!AO38+Accrualpot!AO37+Accrualherb!AO37</f>
        <v>0</v>
      </c>
      <c r="AP38" s="1">
        <f>+Accrualstrip!AP38+Accrualpot!AP37+Accrualherb!AP37</f>
        <v>0</v>
      </c>
      <c r="AQ38" s="1">
        <f>+Accrualstrip!AQ38+Accrualpot!AQ37+Accrualherb!AQ37</f>
        <v>0</v>
      </c>
      <c r="AR38" s="3">
        <f t="shared" si="5"/>
        <v>-6565.2224999999999</v>
      </c>
      <c r="AS38" s="1">
        <f t="shared" si="4"/>
        <v>131304.44999999998</v>
      </c>
      <c r="AU38" s="1"/>
    </row>
    <row r="39" spans="1:47" x14ac:dyDescent="0.25">
      <c r="B39" s="59">
        <f>+Accrualstrip!B39</f>
        <v>0</v>
      </c>
      <c r="C39" t="s">
        <v>42</v>
      </c>
      <c r="D39" s="1">
        <f>+Accrualstrip!D39+Accrualpot!D38+Accrualherb!D38</f>
        <v>0</v>
      </c>
      <c r="E39" s="1">
        <f>+Accrualstrip!E39+Accrualpot!E38+Accrualherb!E38</f>
        <v>0</v>
      </c>
      <c r="F39" s="1">
        <f>+Accrualstrip!F39+Accrualpot!F38+Accrualherb!F38</f>
        <v>0</v>
      </c>
      <c r="G39" s="1">
        <f>+Accrualstrip!G39+Accrualpot!G38+Accrualherb!G38</f>
        <v>0</v>
      </c>
      <c r="H39" s="1">
        <f>+Accrualstrip!H39+Accrualpot!H38+Accrualherb!H38</f>
        <v>0</v>
      </c>
      <c r="I39" s="1">
        <f>+Accrualstrip!I39+Accrualpot!I38+Accrualherb!I38</f>
        <v>0</v>
      </c>
      <c r="J39" s="1">
        <f>+Accrualstrip!J39+Accrualpot!J38+Accrualherb!J38</f>
        <v>0</v>
      </c>
      <c r="K39" s="1">
        <f>+Accrualstrip!K39+Accrualpot!K38+Accrualherb!K38</f>
        <v>0</v>
      </c>
      <c r="L39" s="1">
        <f>+Accrualstrip!L39+Accrualpot!L38+Accrualherb!L38</f>
        <v>0</v>
      </c>
      <c r="M39" s="1">
        <f>+Accrualstrip!M39+Accrualpot!M38+Accrualherb!M38</f>
        <v>0</v>
      </c>
      <c r="N39" s="1">
        <f>+Accrualstrip!N39+Accrualpot!N38+Accrualherb!N38</f>
        <v>0</v>
      </c>
      <c r="O39" s="1">
        <f>+Accrualstrip!O39+Accrualpot!O38+Accrualherb!O38</f>
        <v>0</v>
      </c>
      <c r="P39" s="1">
        <f>+Accrualstrip!P39+Accrualpot!P38+Accrualherb!P38</f>
        <v>0</v>
      </c>
      <c r="Q39" s="1">
        <f>+Accrualstrip!Q39+Accrualpot!Q38+Accrualherb!Q38</f>
        <v>0</v>
      </c>
      <c r="R39" s="1">
        <f>+Accrualstrip!R39+Accrualpot!R38+Accrualherb!R38</f>
        <v>0</v>
      </c>
      <c r="S39" s="1">
        <f>+Accrualstrip!S39+Accrualpot!S38+Accrualherb!S38</f>
        <v>0</v>
      </c>
      <c r="T39" s="1">
        <f>+Accrualstrip!T39+Accrualpot!T38+Accrualherb!T38</f>
        <v>0</v>
      </c>
      <c r="U39" s="1">
        <f>+Accrualstrip!U39+Accrualpot!U38+Accrualherb!U38</f>
        <v>0</v>
      </c>
      <c r="V39" s="1">
        <f>+Accrualstrip!V39+Accrualpot!V38+Accrualherb!V38</f>
        <v>0</v>
      </c>
      <c r="W39" s="1">
        <f>+Accrualstrip!W39+Accrualpot!W38+Accrualherb!W38</f>
        <v>0</v>
      </c>
      <c r="X39" s="1">
        <f>+Accrualstrip!X39+Accrualpot!X38+Accrualherb!X38</f>
        <v>0</v>
      </c>
      <c r="Y39" s="1">
        <f>+Accrualstrip!Y39+Accrualpot!Y38+Accrualherb!Y38</f>
        <v>0</v>
      </c>
      <c r="Z39" s="1">
        <f>+Accrualstrip!Z39+Accrualpot!Z38+Accrualherb!Z38</f>
        <v>0</v>
      </c>
      <c r="AA39" s="1">
        <f>+Accrualstrip!AA39+Accrualpot!AA38+Accrualherb!AA38</f>
        <v>0</v>
      </c>
      <c r="AB39" s="1">
        <f>+Accrualstrip!AB39+Accrualpot!AB38+Accrualherb!AB38</f>
        <v>0</v>
      </c>
      <c r="AC39" s="1">
        <f>+Accrualstrip!AC39+Accrualpot!AC38+Accrualherb!AC38</f>
        <v>0</v>
      </c>
      <c r="AD39" s="1">
        <f>+Accrualstrip!AD39+Accrualpot!AD38+Accrualherb!AD38</f>
        <v>0</v>
      </c>
      <c r="AE39" s="1">
        <f>+Accrualstrip!AE39+Accrualpot!AE38+Accrualherb!AE38</f>
        <v>0</v>
      </c>
      <c r="AF39" s="1">
        <f>+Accrualstrip!AF39+Accrualpot!AF38+Accrualherb!AF38</f>
        <v>0</v>
      </c>
      <c r="AG39" s="1">
        <f>+Accrualstrip!AG39+Accrualpot!AG38+Accrualherb!AG38</f>
        <v>0</v>
      </c>
      <c r="AH39" s="1">
        <f>+Accrualstrip!AH39+Accrualpot!AH38+Accrualherb!AH38</f>
        <v>0</v>
      </c>
      <c r="AI39" s="1">
        <f>+Accrualstrip!AI39+Accrualpot!AI38+Accrualherb!AI38</f>
        <v>0</v>
      </c>
      <c r="AJ39" s="1">
        <f>+Accrualstrip!AJ39+Accrualpot!AJ38+Accrualherb!AJ38</f>
        <v>0</v>
      </c>
      <c r="AK39" s="1">
        <f>+Accrualstrip!AK39+Accrualpot!AK38+Accrualherb!AK38</f>
        <v>0</v>
      </c>
      <c r="AL39" s="1">
        <f>+Accrualstrip!AL39+Accrualpot!AL38+Accrualherb!AL38</f>
        <v>0</v>
      </c>
      <c r="AM39" s="1">
        <f>+Accrualstrip!AM39+Accrualpot!AM38+Accrualherb!AM38</f>
        <v>0</v>
      </c>
      <c r="AN39" s="1">
        <f>+Accrualstrip!AN39+Accrualpot!AN38+Accrualherb!AN38</f>
        <v>0</v>
      </c>
      <c r="AO39" s="1">
        <f>+Accrualstrip!AO39+Accrualpot!AO38+Accrualherb!AO38</f>
        <v>0</v>
      </c>
      <c r="AP39" s="1">
        <f>+Accrualstrip!AP39+Accrualpot!AP38+Accrualherb!AP38</f>
        <v>0</v>
      </c>
      <c r="AQ39" s="1">
        <f>+Accrualstrip!AQ39+Accrualpot!AQ38+Accrualherb!AQ38</f>
        <v>0</v>
      </c>
      <c r="AR39" s="3">
        <f t="shared" si="5"/>
        <v>0</v>
      </c>
      <c r="AS39" s="1">
        <f t="shared" si="4"/>
        <v>176603.02000000008</v>
      </c>
      <c r="AU39" s="1"/>
    </row>
    <row r="40" spans="1:47" x14ac:dyDescent="0.25">
      <c r="B40" s="59">
        <f>+Accrualstrip!B40</f>
        <v>0</v>
      </c>
      <c r="C40" t="s">
        <v>192</v>
      </c>
      <c r="D40" s="1">
        <f>+Accrualstrip!D40+Accrualpot!D39+Accrualherb!D39</f>
        <v>0</v>
      </c>
      <c r="E40" s="1">
        <f>+Accrualstrip!E40+Accrualpot!E39+Accrualherb!E39</f>
        <v>0</v>
      </c>
      <c r="F40" s="1">
        <f>+Accrualstrip!F40+Accrualpot!F39+Accrualherb!F39</f>
        <v>0</v>
      </c>
      <c r="G40" s="1">
        <f>+Accrualstrip!G40+Accrualpot!G39+Accrualherb!G39</f>
        <v>0</v>
      </c>
      <c r="H40" s="1">
        <f>+Accrualstrip!H40+Accrualpot!H39+Accrualherb!H39</f>
        <v>0</v>
      </c>
      <c r="I40" s="1">
        <f>+Accrualstrip!I40+Accrualpot!I39+Accrualherb!I39</f>
        <v>0</v>
      </c>
      <c r="J40" s="1">
        <f>+Accrualstrip!J40+Accrualpot!J39+Accrualherb!J39</f>
        <v>0</v>
      </c>
      <c r="K40" s="1">
        <f>+Accrualstrip!K40+Accrualpot!K39+Accrualherb!K39</f>
        <v>0</v>
      </c>
      <c r="L40" s="1">
        <f>+Accrualstrip!L40+Accrualpot!L39+Accrualherb!L39</f>
        <v>0</v>
      </c>
      <c r="M40" s="1">
        <f>+Accrualstrip!M40+Accrualpot!M39+Accrualherb!M39</f>
        <v>0</v>
      </c>
      <c r="N40" s="1">
        <f>+Accrualstrip!N40+Accrualpot!N39+Accrualherb!N39</f>
        <v>0</v>
      </c>
      <c r="O40" s="1">
        <f>+Accrualstrip!O40+Accrualpot!O39+Accrualherb!O39</f>
        <v>0</v>
      </c>
      <c r="P40" s="1">
        <f>+Accrualstrip!P40+Accrualpot!P39+Accrualherb!P39</f>
        <v>0</v>
      </c>
      <c r="Q40" s="1">
        <f>+Accrualstrip!Q40+Accrualpot!Q39+Accrualherb!Q39</f>
        <v>0</v>
      </c>
      <c r="R40" s="1">
        <f>+Accrualstrip!R40+Accrualpot!R39+Accrualherb!R39</f>
        <v>0</v>
      </c>
      <c r="S40" s="1">
        <f>+Accrualstrip!S40+Accrualpot!S39+Accrualherb!S39</f>
        <v>0</v>
      </c>
      <c r="T40" s="1">
        <f>+Accrualstrip!T40+Accrualpot!T39+Accrualherb!T39</f>
        <v>0</v>
      </c>
      <c r="U40" s="1">
        <f>+Accrualstrip!U40+Accrualpot!U39+Accrualherb!U39</f>
        <v>0</v>
      </c>
      <c r="V40" s="1">
        <f>+Accrualstrip!V40+Accrualpot!V39+Accrualherb!V39</f>
        <v>0</v>
      </c>
      <c r="W40" s="1">
        <f>+Accrualstrip!W40+Accrualpot!W39+Accrualherb!W39</f>
        <v>0</v>
      </c>
      <c r="X40" s="1">
        <f>+Accrualstrip!X40+Accrualpot!X39+Accrualherb!X39</f>
        <v>0</v>
      </c>
      <c r="Y40" s="1">
        <f>+Accrualstrip!Y40+Accrualpot!Y39+Accrualherb!Y39</f>
        <v>0</v>
      </c>
      <c r="Z40" s="1">
        <f>+Accrualstrip!Z40+Accrualpot!Z39+Accrualherb!Z39</f>
        <v>0</v>
      </c>
      <c r="AA40" s="1">
        <f>+Accrualstrip!AA40+Accrualpot!AA39+Accrualherb!AA39</f>
        <v>0</v>
      </c>
      <c r="AB40" s="1">
        <f>+Accrualstrip!AB40+Accrualpot!AB39+Accrualherb!AB39</f>
        <v>0</v>
      </c>
      <c r="AC40" s="1">
        <f>+Accrualstrip!AC40+Accrualpot!AC39+Accrualherb!AC39</f>
        <v>0</v>
      </c>
      <c r="AD40" s="1">
        <f>+Accrualstrip!AD40+Accrualpot!AD39+Accrualherb!AD39</f>
        <v>0</v>
      </c>
      <c r="AE40" s="1">
        <f>+Accrualstrip!AE40+Accrualpot!AE39+Accrualherb!AE39</f>
        <v>0</v>
      </c>
      <c r="AF40" s="1">
        <f>+Accrualstrip!AF40+Accrualpot!AF39+Accrualherb!AF39</f>
        <v>0</v>
      </c>
      <c r="AG40" s="1">
        <f>+Accrualstrip!AG40+Accrualpot!AG39+Accrualherb!AG39</f>
        <v>0</v>
      </c>
      <c r="AH40" s="1">
        <f>+Accrualstrip!AH40+Accrualpot!AH39+Accrualherb!AH39</f>
        <v>0</v>
      </c>
      <c r="AI40" s="1">
        <f>+Accrualstrip!AI40+Accrualpot!AI39+Accrualherb!AI39</f>
        <v>0</v>
      </c>
      <c r="AJ40" s="1">
        <f>+Accrualstrip!AJ40+Accrualpot!AJ39+Accrualherb!AJ39</f>
        <v>0</v>
      </c>
      <c r="AK40" s="1">
        <f>+Accrualstrip!AK40+Accrualpot!AK39+Accrualherb!AK39</f>
        <v>0</v>
      </c>
      <c r="AL40" s="1">
        <f>+Accrualstrip!AL40+Accrualpot!AL39+Accrualherb!AL39</f>
        <v>0</v>
      </c>
      <c r="AM40" s="1">
        <f>+Accrualstrip!AM40+Accrualpot!AM39+Accrualherb!AM39</f>
        <v>0</v>
      </c>
      <c r="AN40" s="1">
        <f>+Accrualstrip!AN40+Accrualpot!AN39+Accrualherb!AN39</f>
        <v>0</v>
      </c>
      <c r="AO40" s="1">
        <f>+Accrualstrip!AO40+Accrualpot!AO39+Accrualherb!AO39</f>
        <v>0</v>
      </c>
      <c r="AP40" s="1">
        <f>+Accrualstrip!AP40+Accrualpot!AP39+Accrualherb!AP39</f>
        <v>0</v>
      </c>
      <c r="AQ40" s="1">
        <f>+Accrualstrip!AQ40+Accrualpot!AQ39+Accrualherb!AQ39</f>
        <v>0</v>
      </c>
      <c r="AR40" s="3">
        <f t="shared" si="5"/>
        <v>0</v>
      </c>
      <c r="AS40" s="1">
        <f t="shared" si="4"/>
        <v>275074.07600000006</v>
      </c>
      <c r="AU40" s="1"/>
    </row>
    <row r="41" spans="1:47" x14ac:dyDescent="0.25">
      <c r="B41" s="59">
        <f>+Accrualstrip!B41</f>
        <v>0.05</v>
      </c>
      <c r="C41" t="s">
        <v>133</v>
      </c>
      <c r="D41" s="1">
        <f>+Accrualstrip!D41+Accrualpot!D40+Accrualherb!D40</f>
        <v>0</v>
      </c>
      <c r="E41" s="1">
        <f>+Accrualstrip!E41+Accrualpot!E40+Accrualherb!E40</f>
        <v>0</v>
      </c>
      <c r="F41" s="1">
        <f>+Accrualstrip!F41+Accrualpot!F40+Accrualherb!F40</f>
        <v>0</v>
      </c>
      <c r="G41" s="1">
        <f>+Accrualstrip!G41+Accrualpot!G40+Accrualherb!G40</f>
        <v>0</v>
      </c>
      <c r="H41" s="1">
        <f>+Accrualstrip!H41+Accrualpot!H40+Accrualherb!H40</f>
        <v>0</v>
      </c>
      <c r="I41" s="1">
        <f>+Accrualstrip!I41+Accrualpot!I40+Accrualherb!I40</f>
        <v>0</v>
      </c>
      <c r="J41" s="1">
        <f>+Accrualstrip!J41+Accrualpot!J40+Accrualherb!J40</f>
        <v>0</v>
      </c>
      <c r="K41" s="1">
        <f>+Accrualstrip!K41+Accrualpot!K40+Accrualherb!K40</f>
        <v>0</v>
      </c>
      <c r="L41" s="1">
        <f>+Accrualstrip!L41+Accrualpot!L40+Accrualherb!L40</f>
        <v>-139.63499999999999</v>
      </c>
      <c r="M41" s="1">
        <f>+Accrualstrip!M41+Accrualpot!M40+Accrualherb!M40</f>
        <v>-92.565000000000012</v>
      </c>
      <c r="N41" s="1">
        <f>+Accrualstrip!N41+Accrualpot!N40+Accrualherb!N40</f>
        <v>-210.93299999999999</v>
      </c>
      <c r="O41" s="1">
        <f>+Accrualstrip!O41+Accrualpot!O40+Accrualherb!O40</f>
        <v>-248.7</v>
      </c>
      <c r="P41" s="1">
        <f>+Accrualstrip!P41+Accrualpot!P40+Accrualherb!P40</f>
        <v>-488.35800000000006</v>
      </c>
      <c r="Q41" s="1">
        <f>+Accrualstrip!Q41+Accrualpot!Q40+Accrualherb!Q40</f>
        <v>-429.48749999999995</v>
      </c>
      <c r="R41" s="1">
        <f>+Accrualstrip!R41+Accrualpot!R40+Accrualherb!R40</f>
        <v>-295.86999999999995</v>
      </c>
      <c r="S41" s="1">
        <f>+Accrualstrip!S41+Accrualpot!S40+Accrualherb!S40</f>
        <v>-467.79700000000003</v>
      </c>
      <c r="T41" s="1">
        <f>+Accrualstrip!T41+Accrualpot!T40+Accrualherb!T40</f>
        <v>-630.57600000000002</v>
      </c>
      <c r="U41" s="1">
        <f>+Accrualstrip!U41+Accrualpot!U40+Accrualherb!U40</f>
        <v>-466.23099999999994</v>
      </c>
      <c r="V41" s="1">
        <f>+Accrualstrip!V41+Accrualpot!V40+Accrualherb!V40</f>
        <v>-234.316</v>
      </c>
      <c r="W41" s="1">
        <f>+Accrualstrip!W41+Accrualpot!W40+Accrualherb!W40</f>
        <v>-285.85400000000004</v>
      </c>
      <c r="X41" s="1">
        <f>+Accrualstrip!X41+Accrualpot!X40+Accrualherb!X40</f>
        <v>-341.94500000000005</v>
      </c>
      <c r="Y41" s="1">
        <f>+Accrualstrip!Y41+Accrualpot!Y40+Accrualherb!Y40</f>
        <v>-207.27000000000004</v>
      </c>
      <c r="Z41" s="1">
        <f>+Accrualstrip!Z41+Accrualpot!Z40+Accrualherb!Z40</f>
        <v>-127.44500000000001</v>
      </c>
      <c r="AA41" s="1">
        <f>+Accrualstrip!AA41+Accrualpot!AA40+Accrualherb!AA40</f>
        <v>-86.084000000000003</v>
      </c>
      <c r="AB41" s="1">
        <f>+Accrualstrip!AB41+Accrualpot!AB40+Accrualherb!AB40</f>
        <v>-75.777000000000015</v>
      </c>
      <c r="AC41" s="1">
        <f>+Accrualstrip!AC41+Accrualpot!AC40+Accrualherb!AC40</f>
        <v>-42.105000000000004</v>
      </c>
      <c r="AD41" s="1">
        <f>+Accrualstrip!AD41+Accrualpot!AD40+Accrualherb!AD40</f>
        <v>-38.604000000000006</v>
      </c>
      <c r="AE41" s="1">
        <f>+Accrualstrip!AE41+Accrualpot!AE40+Accrualherb!AE40</f>
        <v>-26.504999999999995</v>
      </c>
      <c r="AF41" s="1">
        <f>+Accrualstrip!AF41+Accrualpot!AF40+Accrualherb!AF40</f>
        <v>-53.903999999999996</v>
      </c>
      <c r="AG41" s="1">
        <f>+Accrualstrip!AG41+Accrualpot!AG40+Accrualherb!AG40</f>
        <v>-39.573</v>
      </c>
      <c r="AH41" s="1">
        <f>+Accrualstrip!AH41+Accrualpot!AH40+Accrualherb!AH40</f>
        <v>-27.125</v>
      </c>
      <c r="AI41" s="1">
        <f>+Accrualstrip!AI41+Accrualpot!AI40+Accrualherb!AI40</f>
        <v>-40.455000000000005</v>
      </c>
      <c r="AJ41" s="1">
        <f>+Accrualstrip!AJ41+Accrualpot!AJ40+Accrualherb!AJ40</f>
        <v>-8.8349999999999991</v>
      </c>
      <c r="AK41" s="1">
        <f>+Accrualstrip!AK41+Accrualpot!AK40+Accrualherb!AK40</f>
        <v>0</v>
      </c>
      <c r="AL41" s="1">
        <f>+Accrualstrip!AL41+Accrualpot!AL40+Accrualherb!AL40</f>
        <v>-15.344999999999999</v>
      </c>
      <c r="AM41" s="1">
        <f>+Accrualstrip!AM41+Accrualpot!AM40+Accrualherb!AM40</f>
        <v>-13.950000000000001</v>
      </c>
      <c r="AN41" s="1">
        <f>+Accrualstrip!AN41+Accrualpot!AN40+Accrualherb!AN40</f>
        <v>-12.555</v>
      </c>
      <c r="AO41" s="1">
        <f>+Accrualstrip!AO41+Accrualpot!AO40+Accrualherb!AO40</f>
        <v>0</v>
      </c>
      <c r="AP41" s="1">
        <f>+Accrualstrip!AP41+Accrualpot!AP40+Accrualherb!AP40</f>
        <v>0</v>
      </c>
      <c r="AQ41" s="1">
        <f>+Accrualstrip!AQ41+Accrualpot!AQ40+Accrualherb!AQ40</f>
        <v>0</v>
      </c>
      <c r="AR41" s="3">
        <f t="shared" si="5"/>
        <v>-5147.7995000000001</v>
      </c>
      <c r="AS41" s="1">
        <f t="shared" si="4"/>
        <v>102955.99</v>
      </c>
      <c r="AU41" s="1"/>
    </row>
    <row r="42" spans="1:47" x14ac:dyDescent="0.25">
      <c r="B42" s="59">
        <f>+Accrualstrip!B42</f>
        <v>0.06</v>
      </c>
      <c r="C42" t="s">
        <v>41</v>
      </c>
      <c r="D42" s="1">
        <f>+Accrualstrip!D42+Accrualpot!D41+Accrualherb!D41</f>
        <v>0</v>
      </c>
      <c r="E42" s="1">
        <f>+Accrualstrip!E42+Accrualpot!E41+Accrualherb!E41</f>
        <v>0</v>
      </c>
      <c r="F42" s="1">
        <f>+Accrualstrip!F42+Accrualpot!F41+Accrualherb!F41</f>
        <v>0</v>
      </c>
      <c r="G42" s="1">
        <f>+Accrualstrip!G42+Accrualpot!G41+Accrualherb!G41</f>
        <v>0</v>
      </c>
      <c r="H42" s="1">
        <f>+Accrualstrip!H42+Accrualpot!H41+Accrualherb!H41</f>
        <v>-801.14400000000001</v>
      </c>
      <c r="I42" s="1">
        <f>+Accrualstrip!I42+Accrualpot!I41+Accrualherb!I41</f>
        <v>0</v>
      </c>
      <c r="J42" s="1">
        <f>+Accrualstrip!J42+Accrualpot!J41+Accrualherb!J41</f>
        <v>0.92639999999999989</v>
      </c>
      <c r="K42" s="1">
        <f>+Accrualstrip!K42+Accrualpot!K41+Accrualherb!K41</f>
        <v>-28.972799999999999</v>
      </c>
      <c r="L42" s="1">
        <f>+Accrualstrip!L42+Accrualpot!L41+Accrualherb!L41</f>
        <v>-2259.6179999999999</v>
      </c>
      <c r="M42" s="1">
        <f>+Accrualstrip!M42+Accrualpot!M41+Accrualherb!M41</f>
        <v>-1148.0051999999998</v>
      </c>
      <c r="N42" s="1">
        <f>+Accrualstrip!N42+Accrualpot!N41+Accrualherb!N41</f>
        <v>-1508.9639999999999</v>
      </c>
      <c r="O42" s="1">
        <f>+Accrualstrip!O42+Accrualpot!O41+Accrualherb!O41</f>
        <v>-2270.31</v>
      </c>
      <c r="P42" s="1">
        <f>+Accrualstrip!P42+Accrualpot!P41+Accrualherb!P41</f>
        <v>-2926.8336000000004</v>
      </c>
      <c r="Q42" s="1">
        <f>+Accrualstrip!Q42+Accrualpot!Q41+Accrualherb!Q41</f>
        <v>-3886.6655999999994</v>
      </c>
      <c r="R42" s="1">
        <f>+Accrualstrip!R42+Accrualpot!R41+Accrualherb!R41</f>
        <v>-3575.8547999999992</v>
      </c>
      <c r="S42" s="1">
        <f>+Accrualstrip!S42+Accrualpot!S41+Accrualherb!S41</f>
        <v>-2845.0895999999998</v>
      </c>
      <c r="T42" s="1">
        <f>+Accrualstrip!T42+Accrualpot!T41+Accrualherb!T41</f>
        <v>-4279.5227999999997</v>
      </c>
      <c r="U42" s="1">
        <f>+Accrualstrip!U42+Accrualpot!U41+Accrualherb!U41</f>
        <v>-4121.7251999999999</v>
      </c>
      <c r="V42" s="1">
        <f>+Accrualstrip!V42+Accrualpot!V41+Accrualherb!V41</f>
        <v>-2668.8953999999999</v>
      </c>
      <c r="W42" s="1">
        <f>+Accrualstrip!W42+Accrualpot!W41+Accrualherb!W41</f>
        <v>-2359.2947999999997</v>
      </c>
      <c r="X42" s="1">
        <f>+Accrualstrip!X42+Accrualpot!X41+Accrualherb!X41</f>
        <v>-3762.7367999999997</v>
      </c>
      <c r="Y42" s="1">
        <f>+Accrualstrip!Y42+Accrualpot!Y41+Accrualherb!Y41</f>
        <v>-3146.8487999999998</v>
      </c>
      <c r="Z42" s="1">
        <f>+Accrualstrip!Z42+Accrualpot!Z41+Accrualherb!Z41</f>
        <v>-692.39039999999989</v>
      </c>
      <c r="AA42" s="1">
        <f>+Accrualstrip!AA42+Accrualpot!AA41+Accrualherb!AA41</f>
        <v>-524.2944</v>
      </c>
      <c r="AB42" s="1">
        <f>+Accrualstrip!AB42+Accrualpot!AB41+Accrualherb!AB41</f>
        <v>-298.72440000000006</v>
      </c>
      <c r="AC42" s="1">
        <f>+Accrualstrip!AC42+Accrualpot!AC41+Accrualherb!AC41</f>
        <v>-341.31959999999998</v>
      </c>
      <c r="AD42" s="1">
        <f>+Accrualstrip!AD42+Accrualpot!AD41+Accrualherb!AD41</f>
        <v>-219.22920000000002</v>
      </c>
      <c r="AE42" s="1">
        <f>+Accrualstrip!AE42+Accrualpot!AE41+Accrualherb!AE41</f>
        <v>-409.00319999999994</v>
      </c>
      <c r="AF42" s="1">
        <f>+Accrualstrip!AF42+Accrualpot!AF41+Accrualherb!AF41</f>
        <v>-379.27199999999993</v>
      </c>
      <c r="AG42" s="1">
        <f>+Accrualstrip!AG42+Accrualpot!AG41+Accrualherb!AG41</f>
        <v>-263.83440000000002</v>
      </c>
      <c r="AH42" s="1">
        <f>+Accrualstrip!AH42+Accrualpot!AH41+Accrualherb!AH41</f>
        <v>-511.35360000000003</v>
      </c>
      <c r="AI42" s="1">
        <f>+Accrualstrip!AI42+Accrualpot!AI41+Accrualherb!AI41</f>
        <v>-362.9658</v>
      </c>
      <c r="AJ42" s="1">
        <f>+Accrualstrip!AJ42+Accrualpot!AJ41+Accrualherb!AJ41</f>
        <v>-362.11079999999993</v>
      </c>
      <c r="AK42" s="1">
        <f>+Accrualstrip!AK42+Accrualpot!AK41+Accrualherb!AK41</f>
        <v>-226.32839999999999</v>
      </c>
      <c r="AL42" s="1">
        <f>+Accrualstrip!AL42+Accrualpot!AL41+Accrualherb!AL41</f>
        <v>-120.68640000000001</v>
      </c>
      <c r="AM42" s="1">
        <f>+Accrualstrip!AM42+Accrualpot!AM41+Accrualherb!AM41</f>
        <v>-173.75399999999999</v>
      </c>
      <c r="AN42" s="1">
        <f>+Accrualstrip!AN42+Accrualpot!AN41+Accrualherb!AN41</f>
        <v>-64.373999999999995</v>
      </c>
      <c r="AO42" s="1">
        <f>+Accrualstrip!AO42+Accrualpot!AO41+Accrualherb!AO41</f>
        <v>-94.442400000000006</v>
      </c>
      <c r="AP42" s="1">
        <f>+Accrualstrip!AP42+Accrualpot!AP41+Accrualherb!AP41</f>
        <v>0</v>
      </c>
      <c r="AQ42" s="1">
        <f>+Accrualstrip!AQ42+Accrualpot!AQ41+Accrualherb!AQ41</f>
        <v>0</v>
      </c>
      <c r="AR42" s="3">
        <f t="shared" si="5"/>
        <v>-46633.637999999999</v>
      </c>
      <c r="AS42" s="1">
        <f t="shared" si="4"/>
        <v>777227.3</v>
      </c>
      <c r="AU42" s="1"/>
    </row>
    <row r="43" spans="1:47" x14ac:dyDescent="0.25">
      <c r="B43" s="59">
        <f>+Accrualstrip!B43</f>
        <v>0</v>
      </c>
      <c r="C43" t="s">
        <v>193</v>
      </c>
      <c r="D43" s="1">
        <f>+Accrualstrip!D43+Accrualpot!D42+Accrualherb!D42</f>
        <v>0</v>
      </c>
      <c r="E43" s="1">
        <f>+Accrualstrip!E43+Accrualpot!E42+Accrualherb!E42</f>
        <v>0</v>
      </c>
      <c r="F43" s="1">
        <f>+Accrualstrip!F43+Accrualpot!F42+Accrualherb!F42</f>
        <v>0</v>
      </c>
      <c r="G43" s="1">
        <f>+Accrualstrip!G43+Accrualpot!G42+Accrualherb!G42</f>
        <v>0</v>
      </c>
      <c r="H43" s="1">
        <f>+Accrualstrip!H43+Accrualpot!H42+Accrualherb!H42</f>
        <v>0</v>
      </c>
      <c r="I43" s="1">
        <f>+Accrualstrip!I43+Accrualpot!I42+Accrualherb!I42</f>
        <v>0</v>
      </c>
      <c r="J43" s="1">
        <f>+Accrualstrip!J43+Accrualpot!J42+Accrualherb!J42</f>
        <v>0</v>
      </c>
      <c r="K43" s="1">
        <f>+Accrualstrip!K43+Accrualpot!K42+Accrualherb!K42</f>
        <v>0</v>
      </c>
      <c r="L43" s="1">
        <f>+Accrualstrip!L43+Accrualpot!L42+Accrualherb!L42</f>
        <v>0</v>
      </c>
      <c r="M43" s="1">
        <f>+Accrualstrip!M43+Accrualpot!M42+Accrualherb!M42</f>
        <v>0</v>
      </c>
      <c r="N43" s="1">
        <f>+Accrualstrip!N43+Accrualpot!N42+Accrualherb!N42</f>
        <v>0</v>
      </c>
      <c r="O43" s="1">
        <f>+Accrualstrip!O43+Accrualpot!O42+Accrualherb!O42</f>
        <v>0</v>
      </c>
      <c r="P43" s="1">
        <f>+Accrualstrip!P43+Accrualpot!P42+Accrualherb!P42</f>
        <v>0</v>
      </c>
      <c r="Q43" s="1">
        <f>+Accrualstrip!Q43+Accrualpot!Q42+Accrualherb!Q42</f>
        <v>0</v>
      </c>
      <c r="R43" s="1">
        <f>+Accrualstrip!R43+Accrualpot!R42+Accrualherb!R42</f>
        <v>0</v>
      </c>
      <c r="S43" s="1">
        <f>+Accrualstrip!S43+Accrualpot!S42+Accrualherb!S42</f>
        <v>0</v>
      </c>
      <c r="T43" s="1">
        <f>+Accrualstrip!T43+Accrualpot!T42+Accrualherb!T42</f>
        <v>0</v>
      </c>
      <c r="U43" s="1">
        <f>+Accrualstrip!U43+Accrualpot!U42+Accrualherb!U42</f>
        <v>0</v>
      </c>
      <c r="V43" s="1">
        <f>+Accrualstrip!V43+Accrualpot!V42+Accrualherb!V42</f>
        <v>0</v>
      </c>
      <c r="W43" s="1">
        <f>+Accrualstrip!W43+Accrualpot!W42+Accrualherb!W42</f>
        <v>0</v>
      </c>
      <c r="X43" s="1">
        <f>+Accrualstrip!X43+Accrualpot!X42+Accrualherb!X42</f>
        <v>0</v>
      </c>
      <c r="Y43" s="1">
        <f>+Accrualstrip!Y43+Accrualpot!Y42+Accrualherb!Y42</f>
        <v>0</v>
      </c>
      <c r="Z43" s="1">
        <f>+Accrualstrip!Z43+Accrualpot!Z42+Accrualherb!Z42</f>
        <v>0</v>
      </c>
      <c r="AA43" s="1">
        <f>+Accrualstrip!AA43+Accrualpot!AA42+Accrualherb!AA42</f>
        <v>0</v>
      </c>
      <c r="AB43" s="1">
        <f>+Accrualstrip!AB43+Accrualpot!AB42+Accrualherb!AB42</f>
        <v>0</v>
      </c>
      <c r="AC43" s="1">
        <f>+Accrualstrip!AC43+Accrualpot!AC42+Accrualherb!AC42</f>
        <v>0</v>
      </c>
      <c r="AD43" s="1">
        <f>+Accrualstrip!AD43+Accrualpot!AD42+Accrualherb!AD42</f>
        <v>0</v>
      </c>
      <c r="AE43" s="1">
        <f>+Accrualstrip!AE43+Accrualpot!AE42+Accrualherb!AE42</f>
        <v>0</v>
      </c>
      <c r="AF43" s="1">
        <f>+Accrualstrip!AF43+Accrualpot!AF42+Accrualherb!AF42</f>
        <v>0</v>
      </c>
      <c r="AG43" s="1">
        <f>+Accrualstrip!AG43+Accrualpot!AG42+Accrualherb!AG42</f>
        <v>0</v>
      </c>
      <c r="AH43" s="1">
        <f>+Accrualstrip!AH43+Accrualpot!AH42+Accrualherb!AH42</f>
        <v>0</v>
      </c>
      <c r="AI43" s="1">
        <f>+Accrualstrip!AI43+Accrualpot!AI42+Accrualherb!AI42</f>
        <v>0</v>
      </c>
      <c r="AJ43" s="1">
        <f>+Accrualstrip!AJ43+Accrualpot!AJ42+Accrualherb!AJ42</f>
        <v>0</v>
      </c>
      <c r="AK43" s="1">
        <f>+Accrualstrip!AK43+Accrualpot!AK42+Accrualherb!AK42</f>
        <v>0</v>
      </c>
      <c r="AL43" s="1">
        <f>+Accrualstrip!AL43+Accrualpot!AL42+Accrualherb!AL42</f>
        <v>0</v>
      </c>
      <c r="AM43" s="1">
        <f>+Accrualstrip!AM43+Accrualpot!AM42+Accrualherb!AM42</f>
        <v>0</v>
      </c>
      <c r="AN43" s="1">
        <f>+Accrualstrip!AN43+Accrualpot!AN42+Accrualherb!AN42</f>
        <v>0</v>
      </c>
      <c r="AO43" s="1">
        <f>+Accrualstrip!AO43+Accrualpot!AO42+Accrualherb!AO42</f>
        <v>0</v>
      </c>
      <c r="AP43" s="1">
        <f>+Accrualstrip!AP43+Accrualpot!AP42+Accrualherb!AP42</f>
        <v>0</v>
      </c>
      <c r="AQ43" s="1">
        <f>+Accrualstrip!AQ43+Accrualpot!AQ42+Accrualherb!AQ42</f>
        <v>0</v>
      </c>
      <c r="AR43" s="3">
        <f t="shared" si="5"/>
        <v>0</v>
      </c>
      <c r="AS43" s="1">
        <f t="shared" si="4"/>
        <v>0</v>
      </c>
      <c r="AU43" s="1"/>
    </row>
    <row r="44" spans="1:47" x14ac:dyDescent="0.25">
      <c r="B44" s="59">
        <f>+Accrualstrip!B44</f>
        <v>0</v>
      </c>
      <c r="C44" t="s">
        <v>323</v>
      </c>
      <c r="D44" s="1">
        <f>+Accrualstrip!D44+Accrualpot!D43+Accrualherb!D43</f>
        <v>0</v>
      </c>
      <c r="E44" s="1">
        <f>+Accrualstrip!E44+Accrualpot!E43+Accrualherb!E43</f>
        <v>0</v>
      </c>
      <c r="F44" s="1">
        <f>+Accrualstrip!F44+Accrualpot!F43+Accrualherb!F43</f>
        <v>0</v>
      </c>
      <c r="G44" s="1">
        <f>+Accrualstrip!G44+Accrualpot!G43+Accrualherb!G43</f>
        <v>0</v>
      </c>
      <c r="H44" s="1">
        <f>+Accrualstrip!H44+Accrualpot!H43+Accrualherb!H43</f>
        <v>0</v>
      </c>
      <c r="I44" s="1">
        <f>+Accrualstrip!I44+Accrualpot!I43+Accrualherb!I43</f>
        <v>0</v>
      </c>
      <c r="J44" s="1">
        <f>+Accrualstrip!J44+Accrualpot!J43+Accrualherb!J43</f>
        <v>0</v>
      </c>
      <c r="K44" s="1">
        <f>+Accrualstrip!K44+Accrualpot!K43+Accrualherb!K43</f>
        <v>0</v>
      </c>
      <c r="L44" s="1">
        <f>+Accrualstrip!L44+Accrualpot!L43+Accrualherb!L43</f>
        <v>0</v>
      </c>
      <c r="M44" s="1">
        <f>+Accrualstrip!M44+Accrualpot!M43+Accrualherb!M43</f>
        <v>0</v>
      </c>
      <c r="N44" s="1">
        <f>+Accrualstrip!N44+Accrualpot!N43+Accrualherb!N43</f>
        <v>0</v>
      </c>
      <c r="O44" s="1">
        <f>+Accrualstrip!O44+Accrualpot!O43+Accrualherb!O43</f>
        <v>0</v>
      </c>
      <c r="P44" s="1">
        <f>+Accrualstrip!P44+Accrualpot!P43+Accrualherb!P43</f>
        <v>0</v>
      </c>
      <c r="Q44" s="1">
        <f>+Accrualstrip!Q44+Accrualpot!Q43+Accrualherb!Q43</f>
        <v>0</v>
      </c>
      <c r="R44" s="1">
        <f>+Accrualstrip!R44+Accrualpot!R43+Accrualherb!R43</f>
        <v>0</v>
      </c>
      <c r="S44" s="1">
        <f>+Accrualstrip!S44+Accrualpot!S43+Accrualherb!S43</f>
        <v>0</v>
      </c>
      <c r="T44" s="1">
        <f>+Accrualstrip!T44+Accrualpot!T43+Accrualherb!T43</f>
        <v>0</v>
      </c>
      <c r="U44" s="1">
        <f>+Accrualstrip!U44+Accrualpot!U43+Accrualherb!U43</f>
        <v>0</v>
      </c>
      <c r="V44" s="1">
        <f>+Accrualstrip!V44+Accrualpot!V43+Accrualherb!V43</f>
        <v>0</v>
      </c>
      <c r="W44" s="1">
        <f>+Accrualstrip!W44+Accrualpot!W43+Accrualherb!W43</f>
        <v>0</v>
      </c>
      <c r="X44" s="1">
        <f>+Accrualstrip!X44+Accrualpot!X43+Accrualherb!X43</f>
        <v>0</v>
      </c>
      <c r="Y44" s="1">
        <f>+Accrualstrip!Y44+Accrualpot!Y43+Accrualherb!Y43</f>
        <v>0</v>
      </c>
      <c r="Z44" s="1">
        <f>+Accrualstrip!Z44+Accrualpot!Z43+Accrualherb!Z43</f>
        <v>0</v>
      </c>
      <c r="AA44" s="1">
        <f>+Accrualstrip!AA44+Accrualpot!AA43+Accrualherb!AA43</f>
        <v>0</v>
      </c>
      <c r="AB44" s="1">
        <f>+Accrualstrip!AB44+Accrualpot!AB43+Accrualherb!AB43</f>
        <v>0</v>
      </c>
      <c r="AC44" s="1">
        <f>+Accrualstrip!AC44+Accrualpot!AC43+Accrualherb!AC43</f>
        <v>0</v>
      </c>
      <c r="AD44" s="1">
        <f>+Accrualstrip!AD44+Accrualpot!AD43+Accrualherb!AD43</f>
        <v>0</v>
      </c>
      <c r="AE44" s="1">
        <f>+Accrualstrip!AE44+Accrualpot!AE43+Accrualherb!AE43</f>
        <v>0</v>
      </c>
      <c r="AF44" s="1">
        <f>+Accrualstrip!AF44+Accrualpot!AF43+Accrualherb!AF43</f>
        <v>0</v>
      </c>
      <c r="AG44" s="1">
        <f>+Accrualstrip!AG44+Accrualpot!AG43+Accrualherb!AG43</f>
        <v>0</v>
      </c>
      <c r="AH44" s="1">
        <f>+Accrualstrip!AH44+Accrualpot!AH43+Accrualherb!AH43</f>
        <v>0</v>
      </c>
      <c r="AI44" s="1">
        <f>+Accrualstrip!AI44+Accrualpot!AI43+Accrualherb!AI43</f>
        <v>0</v>
      </c>
      <c r="AJ44" s="1">
        <f>+Accrualstrip!AJ44+Accrualpot!AJ43+Accrualherb!AJ43</f>
        <v>0</v>
      </c>
      <c r="AK44" s="1">
        <f>+Accrualstrip!AK44+Accrualpot!AK43+Accrualherb!AK43</f>
        <v>0</v>
      </c>
      <c r="AL44" s="1">
        <f>+Accrualstrip!AL44+Accrualpot!AL43+Accrualherb!AL43</f>
        <v>0</v>
      </c>
      <c r="AM44" s="1">
        <f>+Accrualstrip!AM44+Accrualpot!AM43+Accrualherb!AM43</f>
        <v>0</v>
      </c>
      <c r="AN44" s="1">
        <f>+Accrualstrip!AN44+Accrualpot!AN43+Accrualherb!AN43</f>
        <v>0</v>
      </c>
      <c r="AO44" s="1">
        <f>+Accrualstrip!AO44+Accrualpot!AO43+Accrualherb!AO43</f>
        <v>0</v>
      </c>
      <c r="AP44" s="1">
        <f>+Accrualstrip!AP44+Accrualpot!AP43+Accrualherb!AP43</f>
        <v>0</v>
      </c>
      <c r="AQ44" s="1">
        <f>+Accrualstrip!AQ44+Accrualpot!AQ43+Accrualherb!AQ43</f>
        <v>0</v>
      </c>
      <c r="AR44" s="3">
        <f t="shared" si="5"/>
        <v>0</v>
      </c>
      <c r="AS44" s="1">
        <f t="shared" si="4"/>
        <v>0</v>
      </c>
      <c r="AU44" s="1"/>
    </row>
    <row r="45" spans="1:47" x14ac:dyDescent="0.25">
      <c r="B45" s="59">
        <f>+Accrualstrip!B45</f>
        <v>0.05</v>
      </c>
      <c r="C45" t="s">
        <v>296</v>
      </c>
      <c r="D45" s="1">
        <f>+Accrualstrip!D45+Accrualpot!D44+Accrualherb!D44</f>
        <v>0</v>
      </c>
      <c r="E45" s="1">
        <f>+Accrualstrip!E45+Accrualpot!E44+Accrualherb!E44</f>
        <v>0</v>
      </c>
      <c r="F45" s="1">
        <f>+Accrualstrip!F45+Accrualpot!F44+Accrualherb!F44</f>
        <v>0</v>
      </c>
      <c r="G45" s="1">
        <f>+Accrualstrip!G45+Accrualpot!G44+Accrualherb!G44</f>
        <v>-46.608000000000004</v>
      </c>
      <c r="H45" s="1">
        <f>+Accrualstrip!H45+Accrualpot!H44+Accrualherb!H44</f>
        <v>8.5015000000000001</v>
      </c>
      <c r="I45" s="1">
        <f>+Accrualstrip!I45+Accrualpot!I44+Accrualherb!I44</f>
        <v>0.10400000000000001</v>
      </c>
      <c r="J45" s="1">
        <f>+Accrualstrip!J45+Accrualpot!J44+Accrualherb!J44</f>
        <v>0.41600000000000004</v>
      </c>
      <c r="K45" s="1">
        <f>+Accrualstrip!K45+Accrualpot!K44+Accrualherb!K44</f>
        <v>0</v>
      </c>
      <c r="L45" s="1">
        <f>+Accrualstrip!L45+Accrualpot!L44+Accrualherb!L44</f>
        <v>-67.342000000000013</v>
      </c>
      <c r="M45" s="1">
        <f>+Accrualstrip!M45+Accrualpot!M44+Accrualherb!M44</f>
        <v>-98.617000000000004</v>
      </c>
      <c r="N45" s="1">
        <f>+Accrualstrip!N45+Accrualpot!N44+Accrualherb!N44</f>
        <v>-145.94400000000002</v>
      </c>
      <c r="O45" s="1">
        <f>+Accrualstrip!O45+Accrualpot!O44+Accrualherb!O44</f>
        <v>-181.69800000000001</v>
      </c>
      <c r="P45" s="1">
        <f>+Accrualstrip!P45+Accrualpot!P44+Accrualherb!P44</f>
        <v>-256.40100000000001</v>
      </c>
      <c r="Q45" s="1">
        <f>+Accrualstrip!Q45+Accrualpot!Q44+Accrualherb!Q44</f>
        <v>-210.02699999999999</v>
      </c>
      <c r="R45" s="1">
        <f>+Accrualstrip!R45+Accrualpot!R44+Accrualherb!R44</f>
        <v>-177.75500000000002</v>
      </c>
      <c r="S45" s="1">
        <f>+Accrualstrip!S45+Accrualpot!S44+Accrualherb!S44</f>
        <v>-272.34500000000003</v>
      </c>
      <c r="T45" s="1">
        <f>+Accrualstrip!T45+Accrualpot!T44+Accrualherb!T44</f>
        <v>-343.62900000000002</v>
      </c>
      <c r="U45" s="1">
        <f>+Accrualstrip!U45+Accrualpot!U44+Accrualherb!U44</f>
        <v>-369.44200000000006</v>
      </c>
      <c r="V45" s="1">
        <f>+Accrualstrip!V45+Accrualpot!V44+Accrualherb!V44</f>
        <v>-237.327</v>
      </c>
      <c r="W45" s="1">
        <f>+Accrualstrip!W45+Accrualpot!W44+Accrualherb!W44</f>
        <v>-290.87900000000002</v>
      </c>
      <c r="X45" s="1">
        <f>+Accrualstrip!X45+Accrualpot!X44+Accrualherb!X44</f>
        <v>-207.79000000000002</v>
      </c>
      <c r="Y45" s="1">
        <f>+Accrualstrip!Y45+Accrualpot!Y44+Accrualherb!Y44</f>
        <v>-159.58600000000004</v>
      </c>
      <c r="Z45" s="1">
        <f>+Accrualstrip!Z45+Accrualpot!Z44+Accrualherb!Z44</f>
        <v>-96.931000000000012</v>
      </c>
      <c r="AA45" s="1">
        <f>+Accrualstrip!AA45+Accrualpot!AA44+Accrualherb!AA44</f>
        <v>-117.85299999999999</v>
      </c>
      <c r="AB45" s="1">
        <f>+Accrualstrip!AB45+Accrualpot!AB44+Accrualherb!AB44</f>
        <v>-96.206999999999994</v>
      </c>
      <c r="AC45" s="1">
        <f>+Accrualstrip!AC45+Accrualpot!AC44+Accrualherb!AC44</f>
        <v>-69.302999999999997</v>
      </c>
      <c r="AD45" s="1">
        <f>+Accrualstrip!AD45+Accrualpot!AD44+Accrualherb!AD44</f>
        <v>-15.344999999999999</v>
      </c>
      <c r="AE45" s="1">
        <f>+Accrualstrip!AE45+Accrualpot!AE44+Accrualherb!AE44</f>
        <v>-78.722000000000008</v>
      </c>
      <c r="AF45" s="1">
        <f>+Accrualstrip!AF45+Accrualpot!AF44+Accrualherb!AF44</f>
        <v>-34.410000000000004</v>
      </c>
      <c r="AG45" s="1">
        <f>+Accrualstrip!AG45+Accrualpot!AG44+Accrualherb!AG44</f>
        <v>-13.950000000000001</v>
      </c>
      <c r="AH45" s="1">
        <f>+Accrualstrip!AH45+Accrualpot!AH44+Accrualherb!AH44</f>
        <v>-33.355000000000004</v>
      </c>
      <c r="AI45" s="1">
        <f>+Accrualstrip!AI45+Accrualpot!AI44+Accrualherb!AI44</f>
        <v>-19.53</v>
      </c>
      <c r="AJ45" s="1">
        <f>+Accrualstrip!AJ45+Accrualpot!AJ44+Accrualherb!AJ44</f>
        <v>-47.965000000000011</v>
      </c>
      <c r="AK45" s="1">
        <f>+Accrualstrip!AK45+Accrualpot!AK44+Accrualherb!AK44</f>
        <v>-20.925000000000001</v>
      </c>
      <c r="AL45" s="1">
        <f>+Accrualstrip!AL45+Accrualpot!AL44+Accrualherb!AL44</f>
        <v>-13.950000000000001</v>
      </c>
      <c r="AM45" s="1">
        <f>+Accrualstrip!AM45+Accrualpot!AM44+Accrualherb!AM44</f>
        <v>-20.966999999999999</v>
      </c>
      <c r="AN45" s="1">
        <f>+Accrualstrip!AN45+Accrualpot!AN44+Accrualherb!AN44</f>
        <v>0.93000000000000016</v>
      </c>
      <c r="AO45" s="1">
        <f>+Accrualstrip!AO45+Accrualpot!AO44+Accrualherb!AO44</f>
        <v>0</v>
      </c>
      <c r="AP45" s="1">
        <f>+Accrualstrip!AP45+Accrualpot!AP44+Accrualherb!AP44</f>
        <v>0</v>
      </c>
      <c r="AQ45" s="1">
        <f>+Accrualstrip!AQ45+Accrualpot!AQ44+Accrualherb!AQ44</f>
        <v>0</v>
      </c>
      <c r="AR45" s="3">
        <f t="shared" si="5"/>
        <v>-3734.8515000000007</v>
      </c>
      <c r="AS45" s="1">
        <f t="shared" si="4"/>
        <v>74697.030000000013</v>
      </c>
      <c r="AU45" s="1"/>
    </row>
    <row r="46" spans="1:47" x14ac:dyDescent="0.25">
      <c r="B46" s="59">
        <f>+Accrualstrip!B46</f>
        <v>0</v>
      </c>
      <c r="C46" t="s">
        <v>44</v>
      </c>
      <c r="D46" s="1">
        <f>+Accrualstrip!D46+Accrualpot!D45+Accrualherb!D45</f>
        <v>0</v>
      </c>
      <c r="E46" s="1">
        <f>+Accrualstrip!E46+Accrualpot!E45+Accrualherb!E45</f>
        <v>0</v>
      </c>
      <c r="F46" s="1">
        <f>+Accrualstrip!F46+Accrualpot!F45+Accrualherb!F45</f>
        <v>0</v>
      </c>
      <c r="G46" s="1">
        <f>+Accrualstrip!G46+Accrualpot!G45+Accrualherb!G45</f>
        <v>0</v>
      </c>
      <c r="H46" s="1">
        <f>+Accrualstrip!H46+Accrualpot!H45+Accrualherb!H45</f>
        <v>0</v>
      </c>
      <c r="I46" s="1">
        <f>+Accrualstrip!I46+Accrualpot!I45+Accrualherb!I45</f>
        <v>0</v>
      </c>
      <c r="J46" s="1">
        <f>+Accrualstrip!J46+Accrualpot!J45+Accrualherb!J45</f>
        <v>0</v>
      </c>
      <c r="K46" s="1">
        <f>+Accrualstrip!K46+Accrualpot!K45+Accrualherb!K45</f>
        <v>0</v>
      </c>
      <c r="L46" s="1">
        <f>+Accrualstrip!L46+Accrualpot!L45+Accrualherb!L45</f>
        <v>0</v>
      </c>
      <c r="M46" s="1">
        <f>+Accrualstrip!M46+Accrualpot!M45+Accrualherb!M45</f>
        <v>0</v>
      </c>
      <c r="N46" s="1">
        <f>+Accrualstrip!N46+Accrualpot!N45+Accrualherb!N45</f>
        <v>0</v>
      </c>
      <c r="O46" s="1">
        <f>+Accrualstrip!O46+Accrualpot!O45+Accrualherb!O45</f>
        <v>0</v>
      </c>
      <c r="P46" s="1">
        <f>+Accrualstrip!P46+Accrualpot!P45+Accrualherb!P45</f>
        <v>0</v>
      </c>
      <c r="Q46" s="1">
        <f>+Accrualstrip!Q46+Accrualpot!Q45+Accrualherb!Q45</f>
        <v>0</v>
      </c>
      <c r="R46" s="1">
        <f>+Accrualstrip!R46+Accrualpot!R45+Accrualherb!R45</f>
        <v>0</v>
      </c>
      <c r="S46" s="1">
        <f>+Accrualstrip!S46+Accrualpot!S45+Accrualherb!S45</f>
        <v>0</v>
      </c>
      <c r="T46" s="1">
        <f>+Accrualstrip!T46+Accrualpot!T45+Accrualherb!T45</f>
        <v>0</v>
      </c>
      <c r="U46" s="1">
        <f>+Accrualstrip!U46+Accrualpot!U45+Accrualherb!U45</f>
        <v>0</v>
      </c>
      <c r="V46" s="1">
        <f>+Accrualstrip!V46+Accrualpot!V45+Accrualherb!V45</f>
        <v>0</v>
      </c>
      <c r="W46" s="1">
        <f>+Accrualstrip!W46+Accrualpot!W45+Accrualherb!W45</f>
        <v>0</v>
      </c>
      <c r="X46" s="1">
        <f>+Accrualstrip!X46+Accrualpot!X45+Accrualherb!X45</f>
        <v>0</v>
      </c>
      <c r="Y46" s="1">
        <f>+Accrualstrip!Y46+Accrualpot!Y45+Accrualherb!Y45</f>
        <v>0</v>
      </c>
      <c r="Z46" s="1">
        <f>+Accrualstrip!Z46+Accrualpot!Z45+Accrualherb!Z45</f>
        <v>0</v>
      </c>
      <c r="AA46" s="1">
        <f>+Accrualstrip!AA46+Accrualpot!AA45+Accrualherb!AA45</f>
        <v>0</v>
      </c>
      <c r="AB46" s="1">
        <f>+Accrualstrip!AB46+Accrualpot!AB45+Accrualherb!AB45</f>
        <v>0</v>
      </c>
      <c r="AC46" s="1">
        <f>+Accrualstrip!AC46+Accrualpot!AC45+Accrualherb!AC45</f>
        <v>0</v>
      </c>
      <c r="AD46" s="1">
        <f>+Accrualstrip!AD46+Accrualpot!AD45+Accrualherb!AD45</f>
        <v>0</v>
      </c>
      <c r="AE46" s="1">
        <f>+Accrualstrip!AE46+Accrualpot!AE45+Accrualherb!AE45</f>
        <v>0</v>
      </c>
      <c r="AF46" s="1">
        <f>+Accrualstrip!AF46+Accrualpot!AF45+Accrualherb!AF45</f>
        <v>0</v>
      </c>
      <c r="AG46" s="1">
        <f>+Accrualstrip!AG46+Accrualpot!AG45+Accrualherb!AG45</f>
        <v>0</v>
      </c>
      <c r="AH46" s="1">
        <f>+Accrualstrip!AH46+Accrualpot!AH45+Accrualherb!AH45</f>
        <v>0</v>
      </c>
      <c r="AI46" s="1">
        <f>+Accrualstrip!AI46+Accrualpot!AI45+Accrualherb!AI45</f>
        <v>0</v>
      </c>
      <c r="AJ46" s="1">
        <f>+Accrualstrip!AJ46+Accrualpot!AJ45+Accrualherb!AJ45</f>
        <v>0</v>
      </c>
      <c r="AK46" s="1">
        <f>+Accrualstrip!AK46+Accrualpot!AK45+Accrualherb!AK45</f>
        <v>0</v>
      </c>
      <c r="AL46" s="1">
        <f>+Accrualstrip!AL46+Accrualpot!AL45+Accrualherb!AL45</f>
        <v>0</v>
      </c>
      <c r="AM46" s="1">
        <f>+Accrualstrip!AM46+Accrualpot!AM45+Accrualherb!AM45</f>
        <v>0</v>
      </c>
      <c r="AN46" s="1">
        <f>+Accrualstrip!AN46+Accrualpot!AN45+Accrualherb!AN45</f>
        <v>0</v>
      </c>
      <c r="AO46" s="1">
        <f>+Accrualstrip!AO46+Accrualpot!AO45+Accrualherb!AO45</f>
        <v>0</v>
      </c>
      <c r="AP46" s="1">
        <f>+Accrualstrip!AP46+Accrualpot!AP45+Accrualherb!AP45</f>
        <v>0</v>
      </c>
      <c r="AQ46" s="1">
        <f>+Accrualstrip!AQ46+Accrualpot!AQ45+Accrualherb!AQ45</f>
        <v>0</v>
      </c>
      <c r="AR46" s="3">
        <f t="shared" si="5"/>
        <v>0</v>
      </c>
      <c r="AS46" s="1">
        <f t="shared" si="4"/>
        <v>2983047.9469999997</v>
      </c>
      <c r="AU46" s="1"/>
    </row>
    <row r="47" spans="1:47" x14ac:dyDescent="0.25">
      <c r="B47" s="45"/>
      <c r="C47" t="s">
        <v>217</v>
      </c>
      <c r="D47" s="1">
        <f>+Accrualstrip!D47+Accrualpot!D46+Accrualherb!D46</f>
        <v>0</v>
      </c>
      <c r="E47" s="1">
        <f>+Accrualstrip!E47+Accrualpot!E46+Accrualherb!E46</f>
        <v>0</v>
      </c>
      <c r="F47" s="1">
        <f>+Accrualstrip!F47+Accrualpot!F46+Accrualherb!F46</f>
        <v>0</v>
      </c>
      <c r="G47" s="1">
        <f>+Accrualstrip!G47+Accrualpot!G46+Accrualherb!G46</f>
        <v>0</v>
      </c>
      <c r="H47" s="1">
        <f>+Accrualstrip!H47+Accrualpot!H46+Accrualherb!H46</f>
        <v>0</v>
      </c>
      <c r="I47" s="1">
        <f>+Accrualstrip!I47+Accrualpot!I46+Accrualherb!I46</f>
        <v>0</v>
      </c>
      <c r="J47" s="1">
        <f>+Accrualstrip!J47+Accrualpot!J46+Accrualherb!J46</f>
        <v>0</v>
      </c>
      <c r="K47" s="1">
        <f>+Accrualstrip!K47+Accrualpot!K46+Accrualherb!K46</f>
        <v>0</v>
      </c>
      <c r="L47" s="1">
        <f>+Accrualstrip!L47+Accrualpot!L46+Accrualherb!L46</f>
        <v>0</v>
      </c>
      <c r="M47" s="1">
        <f>+Accrualstrip!M47+Accrualpot!M46+Accrualherb!M46</f>
        <v>0</v>
      </c>
      <c r="N47" s="1">
        <f>+Accrualstrip!N47+Accrualpot!N46+Accrualherb!N46</f>
        <v>0</v>
      </c>
      <c r="O47" s="1">
        <f>+Accrualstrip!O47+Accrualpot!O46+Accrualherb!O46</f>
        <v>0</v>
      </c>
      <c r="P47" s="1">
        <f>+Accrualstrip!P47+Accrualpot!P46+Accrualherb!P46</f>
        <v>0</v>
      </c>
      <c r="Q47" s="1">
        <f>+Accrualstrip!Q47+Accrualpot!Q46+Accrualherb!Q46</f>
        <v>0</v>
      </c>
      <c r="R47" s="1">
        <f>+Accrualstrip!R47+Accrualpot!R46+Accrualherb!R46</f>
        <v>0</v>
      </c>
      <c r="S47" s="1">
        <f>+Accrualstrip!S47+Accrualpot!S46+Accrualherb!S46</f>
        <v>0</v>
      </c>
      <c r="T47" s="1">
        <f>+Accrualstrip!T47+Accrualpot!T46+Accrualherb!T46</f>
        <v>0</v>
      </c>
      <c r="U47" s="1">
        <f>+Accrualstrip!U47+Accrualpot!U46+Accrualherb!U46</f>
        <v>0</v>
      </c>
      <c r="V47" s="1">
        <f>+Accrualstrip!V47+Accrualpot!V46+Accrualherb!V46</f>
        <v>0</v>
      </c>
      <c r="W47" s="1">
        <f>+Accrualstrip!W47+Accrualpot!W46+Accrualherb!W46</f>
        <v>0</v>
      </c>
      <c r="X47" s="1">
        <f>+Accrualstrip!X47+Accrualpot!X46+Accrualherb!X46</f>
        <v>0</v>
      </c>
      <c r="Y47" s="1">
        <f>+Accrualstrip!Y47+Accrualpot!Y46+Accrualherb!Y46</f>
        <v>0</v>
      </c>
      <c r="Z47" s="1">
        <f>+Accrualstrip!Z47+Accrualpot!Z46+Accrualherb!Z46</f>
        <v>0</v>
      </c>
      <c r="AA47" s="1">
        <f>+Accrualstrip!AA47+Accrualpot!AA46+Accrualherb!AA46</f>
        <v>0</v>
      </c>
      <c r="AB47" s="1">
        <f>+Accrualstrip!AB47+Accrualpot!AB46+Accrualherb!AB46</f>
        <v>0</v>
      </c>
      <c r="AC47" s="1">
        <f>+Accrualstrip!AC47+Accrualpot!AC46+Accrualherb!AC46</f>
        <v>0</v>
      </c>
      <c r="AD47" s="1">
        <f>+Accrualstrip!AD47+Accrualpot!AD46+Accrualherb!AD46</f>
        <v>0</v>
      </c>
      <c r="AE47" s="1">
        <f>+Accrualstrip!AE47+Accrualpot!AE46+Accrualherb!AE46</f>
        <v>0</v>
      </c>
      <c r="AF47" s="1">
        <f>+Accrualstrip!AF47+Accrualpot!AF46+Accrualherb!AF46</f>
        <v>0</v>
      </c>
      <c r="AG47" s="1">
        <f>+Accrualstrip!AG47+Accrualpot!AG46+Accrualherb!AG46</f>
        <v>0</v>
      </c>
      <c r="AH47" s="1">
        <f>+Accrualstrip!AH47+Accrualpot!AH46+Accrualherb!AH46</f>
        <v>0</v>
      </c>
      <c r="AI47" s="1">
        <f>+Accrualstrip!AI47+Accrualpot!AI46+Accrualherb!AI46</f>
        <v>0</v>
      </c>
      <c r="AJ47" s="1">
        <f>+Accrualstrip!AJ47+Accrualpot!AJ46+Accrualherb!AJ46</f>
        <v>0</v>
      </c>
      <c r="AK47" s="1">
        <f>+Accrualstrip!AK47+Accrualpot!AK46+Accrualherb!AK46</f>
        <v>0</v>
      </c>
      <c r="AL47" s="1">
        <f>+Accrualstrip!AL47+Accrualpot!AL46+Accrualherb!AL46</f>
        <v>0</v>
      </c>
      <c r="AM47" s="1">
        <f>+Accrualstrip!AM47+Accrualpot!AM46+Accrualherb!AM46</f>
        <v>0</v>
      </c>
      <c r="AN47" s="1">
        <f>+Accrualstrip!AN47+Accrualpot!AN46+Accrualherb!AN46</f>
        <v>0</v>
      </c>
      <c r="AO47" s="1">
        <f>+Accrualstrip!AO47+Accrualpot!AO46+Accrualherb!AO46</f>
        <v>0</v>
      </c>
      <c r="AP47" s="1">
        <f>+Accrualstrip!AP47+Accrualpot!AP46+Accrualherb!AP46</f>
        <v>0</v>
      </c>
      <c r="AQ47" s="1">
        <f>+Accrualstrip!AQ47+Accrualpot!AQ46+Accrualherb!AQ46</f>
        <v>0</v>
      </c>
      <c r="AR47" s="3">
        <f t="shared" si="5"/>
        <v>0</v>
      </c>
      <c r="AS47" s="1">
        <f t="shared" si="4"/>
        <v>0</v>
      </c>
      <c r="AU47" s="1"/>
    </row>
    <row r="48" spans="1:47" x14ac:dyDescent="0.25">
      <c r="A48" s="2" t="s">
        <v>82</v>
      </c>
      <c r="D48" s="3">
        <f>SUM(D28:D47)</f>
        <v>0</v>
      </c>
      <c r="E48" s="3">
        <f t="shared" ref="E48:AQ48" si="6">SUM(E28:E47)</f>
        <v>0</v>
      </c>
      <c r="F48" s="3">
        <f t="shared" si="6"/>
        <v>0</v>
      </c>
      <c r="G48" s="3">
        <f t="shared" si="6"/>
        <v>-4356.4654</v>
      </c>
      <c r="H48" s="3">
        <f t="shared" si="6"/>
        <v>-1419.3504999999998</v>
      </c>
      <c r="I48" s="3">
        <f t="shared" si="6"/>
        <v>-31.938500000000005</v>
      </c>
      <c r="J48" s="3">
        <f t="shared" si="6"/>
        <v>-1714.7768000000001</v>
      </c>
      <c r="K48" s="3">
        <f t="shared" si="6"/>
        <v>-2024.8785000000003</v>
      </c>
      <c r="L48" s="3">
        <f t="shared" si="6"/>
        <v>-12706.879450000002</v>
      </c>
      <c r="M48" s="3">
        <f t="shared" si="6"/>
        <v>-9937.2908000000007</v>
      </c>
      <c r="N48" s="3">
        <f t="shared" si="6"/>
        <v>-8222.8642</v>
      </c>
      <c r="O48" s="3">
        <f t="shared" si="6"/>
        <v>-10567.842400000001</v>
      </c>
      <c r="P48" s="3">
        <f t="shared" si="6"/>
        <v>-12589.789900000002</v>
      </c>
      <c r="Q48" s="3">
        <f t="shared" si="6"/>
        <v>-22253.782299999999</v>
      </c>
      <c r="R48" s="3">
        <f t="shared" si="6"/>
        <v>-19545.897499999999</v>
      </c>
      <c r="S48" s="3">
        <f t="shared" si="6"/>
        <v>-18980.356950000005</v>
      </c>
      <c r="T48" s="3">
        <f t="shared" si="6"/>
        <v>-20702.151750000001</v>
      </c>
      <c r="U48" s="3">
        <f t="shared" si="6"/>
        <v>-18634.882949999999</v>
      </c>
      <c r="V48" s="3">
        <f t="shared" si="6"/>
        <v>-12183.162750000001</v>
      </c>
      <c r="W48" s="3">
        <f t="shared" si="6"/>
        <v>-13414.236799999999</v>
      </c>
      <c r="X48" s="3">
        <f t="shared" si="6"/>
        <v>-13689.140600000002</v>
      </c>
      <c r="Y48" s="3">
        <f t="shared" si="6"/>
        <v>-11729.855474999998</v>
      </c>
      <c r="Z48" s="3">
        <f t="shared" si="6"/>
        <v>-5889.7491</v>
      </c>
      <c r="AA48" s="3">
        <f t="shared" si="6"/>
        <v>-5228.1143999999995</v>
      </c>
      <c r="AB48" s="3">
        <f t="shared" si="6"/>
        <v>-3812.3059499999999</v>
      </c>
      <c r="AC48" s="3">
        <f t="shared" si="6"/>
        <v>-2607.8446999999996</v>
      </c>
      <c r="AD48" s="3">
        <f t="shared" si="6"/>
        <v>-3356.1696000000002</v>
      </c>
      <c r="AE48" s="3">
        <f t="shared" si="6"/>
        <v>-1693.1363000000001</v>
      </c>
      <c r="AF48" s="3">
        <f t="shared" si="6"/>
        <v>-906.03494999999987</v>
      </c>
      <c r="AG48" s="3">
        <f t="shared" si="6"/>
        <v>-1219.3742</v>
      </c>
      <c r="AH48" s="3">
        <f t="shared" si="6"/>
        <v>-4375.4133499999998</v>
      </c>
      <c r="AI48" s="3">
        <f t="shared" si="6"/>
        <v>-1212.3812500000001</v>
      </c>
      <c r="AJ48" s="3">
        <f t="shared" si="6"/>
        <v>-1267.0327</v>
      </c>
      <c r="AK48" s="3">
        <f t="shared" si="6"/>
        <v>-1486.5208</v>
      </c>
      <c r="AL48" s="3">
        <f t="shared" si="6"/>
        <v>-898.8552000000002</v>
      </c>
      <c r="AM48" s="3">
        <f t="shared" si="6"/>
        <v>-713.27960000000007</v>
      </c>
      <c r="AN48" s="3">
        <f t="shared" si="6"/>
        <v>-369.69699999999995</v>
      </c>
      <c r="AO48" s="3">
        <f t="shared" si="6"/>
        <v>-85.826800000000006</v>
      </c>
      <c r="AP48" s="3">
        <f t="shared" si="6"/>
        <v>-24.051250000000003</v>
      </c>
      <c r="AQ48" s="3">
        <f t="shared" si="6"/>
        <v>9.713000000000001</v>
      </c>
      <c r="AR48" s="3">
        <f t="shared" ref="AR48" si="7">SUM(AR28:AR47)</f>
        <v>-249841.61767499999</v>
      </c>
      <c r="AU48" s="1"/>
    </row>
    <row r="49" spans="1:45" s="2" customFormat="1" x14ac:dyDescent="0.25">
      <c r="B49" s="53">
        <v>6.5000000000000002E-2</v>
      </c>
      <c r="C49" s="2" t="s">
        <v>260</v>
      </c>
      <c r="D49" s="3">
        <f>-D26*$B49</f>
        <v>0</v>
      </c>
      <c r="E49" s="3">
        <f t="shared" ref="E49:AQ49" si="8">-E26*$B49</f>
        <v>0</v>
      </c>
      <c r="F49" s="3">
        <f t="shared" si="8"/>
        <v>0</v>
      </c>
      <c r="G49" s="3">
        <f t="shared" si="8"/>
        <v>0</v>
      </c>
      <c r="H49" s="3">
        <f t="shared" si="8"/>
        <v>0</v>
      </c>
      <c r="I49" s="3">
        <f t="shared" si="8"/>
        <v>0</v>
      </c>
      <c r="J49" s="3">
        <f t="shared" si="8"/>
        <v>0</v>
      </c>
      <c r="K49" s="3">
        <f t="shared" si="8"/>
        <v>0</v>
      </c>
      <c r="L49" s="3">
        <f t="shared" si="8"/>
        <v>0</v>
      </c>
      <c r="M49" s="3">
        <f t="shared" si="8"/>
        <v>0</v>
      </c>
      <c r="N49" s="3">
        <f t="shared" si="8"/>
        <v>0</v>
      </c>
      <c r="O49" s="3">
        <f t="shared" si="8"/>
        <v>0</v>
      </c>
      <c r="P49" s="3">
        <f t="shared" si="8"/>
        <v>0</v>
      </c>
      <c r="Q49" s="3">
        <f t="shared" si="8"/>
        <v>0</v>
      </c>
      <c r="R49" s="3">
        <f t="shared" si="8"/>
        <v>0</v>
      </c>
      <c r="S49" s="3">
        <f t="shared" si="8"/>
        <v>0</v>
      </c>
      <c r="T49" s="3">
        <f t="shared" si="8"/>
        <v>0</v>
      </c>
      <c r="U49" s="3">
        <f t="shared" si="8"/>
        <v>0</v>
      </c>
      <c r="V49" s="3">
        <f t="shared" si="8"/>
        <v>0</v>
      </c>
      <c r="W49" s="3">
        <f t="shared" si="8"/>
        <v>0</v>
      </c>
      <c r="X49" s="3">
        <f t="shared" si="8"/>
        <v>0</v>
      </c>
      <c r="Y49" s="3">
        <f t="shared" si="8"/>
        <v>0</v>
      </c>
      <c r="Z49" s="3">
        <f t="shared" si="8"/>
        <v>0</v>
      </c>
      <c r="AA49" s="3">
        <f t="shared" si="8"/>
        <v>0</v>
      </c>
      <c r="AB49" s="3">
        <f t="shared" si="8"/>
        <v>0</v>
      </c>
      <c r="AC49" s="3">
        <f t="shared" si="8"/>
        <v>0</v>
      </c>
      <c r="AD49" s="3">
        <f t="shared" si="8"/>
        <v>0</v>
      </c>
      <c r="AE49" s="3">
        <f t="shared" si="8"/>
        <v>0</v>
      </c>
      <c r="AF49" s="3">
        <f t="shared" si="8"/>
        <v>0</v>
      </c>
      <c r="AG49" s="3">
        <f t="shared" si="8"/>
        <v>0</v>
      </c>
      <c r="AH49" s="3">
        <f t="shared" si="8"/>
        <v>0</v>
      </c>
      <c r="AI49" s="3">
        <f t="shared" si="8"/>
        <v>0</v>
      </c>
      <c r="AJ49" s="3">
        <f t="shared" si="8"/>
        <v>0</v>
      </c>
      <c r="AK49" s="3">
        <f t="shared" si="8"/>
        <v>0</v>
      </c>
      <c r="AL49" s="3">
        <f t="shared" si="8"/>
        <v>0</v>
      </c>
      <c r="AM49" s="3">
        <f t="shared" si="8"/>
        <v>0</v>
      </c>
      <c r="AN49" s="3">
        <f t="shared" si="8"/>
        <v>0</v>
      </c>
      <c r="AO49" s="3">
        <f t="shared" si="8"/>
        <v>0</v>
      </c>
      <c r="AP49" s="3">
        <f t="shared" si="8"/>
        <v>0</v>
      </c>
      <c r="AQ49" s="3">
        <f t="shared" si="8"/>
        <v>0</v>
      </c>
      <c r="AR49" s="3">
        <f t="shared" si="5"/>
        <v>0</v>
      </c>
    </row>
    <row r="50" spans="1:45" s="24" customFormat="1" x14ac:dyDescent="0.25">
      <c r="A50" s="23"/>
      <c r="B50" s="23"/>
      <c r="D50" s="25"/>
      <c r="E50" s="25"/>
      <c r="F50" s="25"/>
      <c r="G50" s="25"/>
      <c r="H50" s="25"/>
      <c r="I50" s="25"/>
      <c r="J50" s="25"/>
      <c r="K50" s="25"/>
      <c r="L50" s="133">
        <f>+L48/L24</f>
        <v>-4.4747977086649106E-2</v>
      </c>
      <c r="M50" s="133">
        <f t="shared" ref="M50:AR50" si="9">+M48/M24</f>
        <v>-3.3553231520246793E-2</v>
      </c>
      <c r="N50" s="133">
        <f t="shared" si="9"/>
        <v>-3.1667878381939171E-2</v>
      </c>
      <c r="O50" s="133">
        <f t="shared" si="9"/>
        <v>-2.8987515021656887E-2</v>
      </c>
      <c r="P50" s="133">
        <f t="shared" si="9"/>
        <v>-2.4704215359049483E-2</v>
      </c>
      <c r="Q50" s="133">
        <f t="shared" si="9"/>
        <v>-3.0048440250062067E-2</v>
      </c>
      <c r="R50" s="133">
        <f t="shared" si="9"/>
        <v>-2.8444778871318178E-2</v>
      </c>
      <c r="S50" s="133">
        <f t="shared" si="9"/>
        <v>-2.7086151264005424E-2</v>
      </c>
      <c r="T50" s="133">
        <f t="shared" si="9"/>
        <v>-2.9913341171451727E-2</v>
      </c>
      <c r="U50" s="133">
        <f t="shared" si="9"/>
        <v>-2.5776643243317712E-2</v>
      </c>
      <c r="V50" s="133">
        <f t="shared" si="9"/>
        <v>-2.5174069453046625E-2</v>
      </c>
      <c r="W50" s="133">
        <f t="shared" si="9"/>
        <v>-2.4022718994987698E-2</v>
      </c>
      <c r="X50" s="133">
        <f t="shared" si="9"/>
        <v>-2.8190973980836437E-2</v>
      </c>
      <c r="Y50" s="133">
        <f t="shared" si="9"/>
        <v>-3.6893639547814279E-2</v>
      </c>
      <c r="Z50" s="133">
        <f t="shared" si="9"/>
        <v>-3.6460977137622037E-2</v>
      </c>
      <c r="AA50" s="133">
        <f t="shared" si="9"/>
        <v>-3.8878503171711466E-2</v>
      </c>
      <c r="AB50" s="133">
        <f t="shared" si="9"/>
        <v>-3.9586747831678037E-2</v>
      </c>
      <c r="AC50" s="133">
        <f t="shared" si="9"/>
        <v>-3.6826276943880909E-2</v>
      </c>
      <c r="AD50" s="133">
        <f t="shared" si="9"/>
        <v>-5.2898465612218365E-2</v>
      </c>
      <c r="AE50" s="133">
        <f t="shared" si="9"/>
        <v>-3.7386575214938947E-2</v>
      </c>
      <c r="AF50" s="133">
        <f t="shared" si="9"/>
        <v>-3.1878494492375661E-2</v>
      </c>
      <c r="AG50" s="133">
        <f t="shared" si="9"/>
        <v>-4.2538366972169818E-2</v>
      </c>
      <c r="AH50" s="133">
        <f t="shared" si="9"/>
        <v>-4.132588250050577E-2</v>
      </c>
      <c r="AI50" s="133">
        <f t="shared" si="9"/>
        <v>-3.3396577266176272E-2</v>
      </c>
      <c r="AJ50" s="133">
        <f t="shared" si="9"/>
        <v>-2.3366002477064288E-2</v>
      </c>
      <c r="AK50" s="133">
        <f t="shared" si="9"/>
        <v>-4.2529830618056944E-2</v>
      </c>
      <c r="AL50" s="133">
        <f t="shared" si="9"/>
        <v>-3.2866324762823411E-2</v>
      </c>
      <c r="AM50" s="133">
        <f t="shared" si="9"/>
        <v>-4.6087556585352622E-2</v>
      </c>
      <c r="AN50" s="133">
        <f t="shared" si="9"/>
        <v>-3.6685097017339477E-2</v>
      </c>
      <c r="AO50" s="133">
        <f t="shared" si="9"/>
        <v>-4.6763943072597694E-2</v>
      </c>
      <c r="AP50" s="133">
        <f t="shared" si="9"/>
        <v>-2.4551361228218816E-2</v>
      </c>
      <c r="AQ50" s="133">
        <f t="shared" si="9"/>
        <v>-4.0066826169457968E-2</v>
      </c>
      <c r="AR50" s="133">
        <f t="shared" si="9"/>
        <v>-3.0376791657931626E-2</v>
      </c>
    </row>
    <row r="51" spans="1:45" x14ac:dyDescent="0.25">
      <c r="A51" s="2" t="s">
        <v>81</v>
      </c>
    </row>
    <row r="52" spans="1:45" x14ac:dyDescent="0.25">
      <c r="C52" t="s">
        <v>190</v>
      </c>
      <c r="D52" s="1">
        <f t="shared" ref="D52:AR59" si="10">+D28+D4</f>
        <v>0</v>
      </c>
      <c r="E52" s="1">
        <f t="shared" ref="E52:AQ58" si="11">+E28+E4</f>
        <v>0</v>
      </c>
      <c r="F52" s="1">
        <f t="shared" si="11"/>
        <v>0</v>
      </c>
      <c r="G52" s="1">
        <f t="shared" si="11"/>
        <v>9878.8801999999996</v>
      </c>
      <c r="H52" s="1">
        <f t="shared" si="11"/>
        <v>-58.67</v>
      </c>
      <c r="I52" s="1">
        <f t="shared" si="11"/>
        <v>0</v>
      </c>
      <c r="J52" s="1">
        <f t="shared" si="11"/>
        <v>397.23079999999999</v>
      </c>
      <c r="K52" s="1">
        <f t="shared" si="11"/>
        <v>887.66230000000007</v>
      </c>
      <c r="L52" s="1">
        <f t="shared" si="11"/>
        <v>45736.416350000007</v>
      </c>
      <c r="M52" s="1">
        <f t="shared" si="11"/>
        <v>121.68689999999999</v>
      </c>
      <c r="N52" s="1">
        <f t="shared" si="11"/>
        <v>5797.5720999999994</v>
      </c>
      <c r="O52" s="1">
        <f t="shared" si="11"/>
        <v>21282.757099999999</v>
      </c>
      <c r="P52" s="1">
        <f t="shared" si="11"/>
        <v>16734.723000000002</v>
      </c>
      <c r="Q52" s="1">
        <f t="shared" si="11"/>
        <v>81101.294900000008</v>
      </c>
      <c r="R52" s="1">
        <f t="shared" si="11"/>
        <v>49013.501499999998</v>
      </c>
      <c r="S52" s="1">
        <f t="shared" si="11"/>
        <v>50248.208849999988</v>
      </c>
      <c r="T52" s="1">
        <f t="shared" si="11"/>
        <v>38122.228449999995</v>
      </c>
      <c r="U52" s="1">
        <f t="shared" si="11"/>
        <v>43337.764049999998</v>
      </c>
      <c r="V52" s="1">
        <f t="shared" si="11"/>
        <v>26525.271849999997</v>
      </c>
      <c r="W52" s="1">
        <f t="shared" si="11"/>
        <v>27386.0929</v>
      </c>
      <c r="X52" s="1">
        <f t="shared" si="11"/>
        <v>34866.320800000001</v>
      </c>
      <c r="Y52" s="1">
        <f t="shared" si="11"/>
        <v>8231.4332250000007</v>
      </c>
      <c r="Z52" s="1">
        <f t="shared" si="11"/>
        <v>8964.3274000000001</v>
      </c>
      <c r="AA52" s="1">
        <f t="shared" si="11"/>
        <v>2737.6892999999995</v>
      </c>
      <c r="AB52" s="1">
        <f t="shared" si="11"/>
        <v>7053.8213999999998</v>
      </c>
      <c r="AC52" s="1">
        <f t="shared" si="11"/>
        <v>3661.7768999999998</v>
      </c>
      <c r="AD52" s="1">
        <f t="shared" si="11"/>
        <v>1800.3042</v>
      </c>
      <c r="AE52" s="1">
        <f t="shared" si="11"/>
        <v>3092.9197000000004</v>
      </c>
      <c r="AF52" s="1">
        <f t="shared" si="11"/>
        <v>2934.6794500000001</v>
      </c>
      <c r="AG52" s="1">
        <f t="shared" si="11"/>
        <v>1692.5057999999999</v>
      </c>
      <c r="AH52" s="1">
        <f t="shared" si="11"/>
        <v>14038.15105</v>
      </c>
      <c r="AI52" s="1">
        <f t="shared" si="11"/>
        <v>8186.3251500000015</v>
      </c>
      <c r="AJ52" s="1">
        <f t="shared" si="11"/>
        <v>16254.9625</v>
      </c>
      <c r="AK52" s="1">
        <f t="shared" si="11"/>
        <v>3109.5662000000002</v>
      </c>
      <c r="AL52" s="1">
        <f t="shared" si="11"/>
        <v>3938.9362000000001</v>
      </c>
      <c r="AM52" s="1">
        <f t="shared" si="11"/>
        <v>1418.9122</v>
      </c>
      <c r="AN52" s="1">
        <f t="shared" si="11"/>
        <v>-41.665499999999994</v>
      </c>
      <c r="AO52" s="1">
        <f t="shared" si="11"/>
        <v>0</v>
      </c>
      <c r="AP52" s="1">
        <f t="shared" si="11"/>
        <v>-10.49025</v>
      </c>
      <c r="AQ52" s="1">
        <f t="shared" si="11"/>
        <v>0</v>
      </c>
      <c r="AR52" s="3">
        <f t="shared" si="10"/>
        <v>538443.09697499999</v>
      </c>
      <c r="AS52" s="119">
        <f>+AR52/AR$72</f>
        <v>6.7517123434511273E-2</v>
      </c>
    </row>
    <row r="53" spans="1:45" x14ac:dyDescent="0.25">
      <c r="C53" t="s">
        <v>424</v>
      </c>
      <c r="D53" s="1">
        <f t="shared" si="10"/>
        <v>0</v>
      </c>
      <c r="E53" s="1">
        <f t="shared" si="11"/>
        <v>0</v>
      </c>
      <c r="F53" s="1">
        <f t="shared" si="11"/>
        <v>0</v>
      </c>
      <c r="G53" s="1">
        <f t="shared" si="11"/>
        <v>0</v>
      </c>
      <c r="H53" s="1">
        <f t="shared" si="11"/>
        <v>508.59199999999998</v>
      </c>
      <c r="I53" s="1">
        <f t="shared" si="11"/>
        <v>684.60799999999995</v>
      </c>
      <c r="J53" s="1">
        <f t="shared" si="11"/>
        <v>-600</v>
      </c>
      <c r="K53" s="1">
        <f t="shared" si="11"/>
        <v>0</v>
      </c>
      <c r="L53" s="1">
        <f t="shared" si="11"/>
        <v>5024.5219999999999</v>
      </c>
      <c r="M53" s="1">
        <f t="shared" si="11"/>
        <v>10916.317000000001</v>
      </c>
      <c r="N53" s="1">
        <f t="shared" si="11"/>
        <v>6944.8990000000003</v>
      </c>
      <c r="O53" s="1">
        <f t="shared" si="11"/>
        <v>11856.798000000001</v>
      </c>
      <c r="P53" s="1">
        <f t="shared" si="11"/>
        <v>18300.419999999998</v>
      </c>
      <c r="Q53" s="1">
        <f t="shared" si="11"/>
        <v>17416.957999999999</v>
      </c>
      <c r="R53" s="1">
        <f t="shared" si="11"/>
        <v>17723.618000000002</v>
      </c>
      <c r="S53" s="1">
        <f t="shared" si="11"/>
        <v>20995.389500000001</v>
      </c>
      <c r="T53" s="1">
        <f t="shared" si="11"/>
        <v>24766.328999999998</v>
      </c>
      <c r="U53" s="1">
        <f t="shared" si="11"/>
        <v>22119.762000000002</v>
      </c>
      <c r="V53" s="1">
        <f t="shared" si="11"/>
        <v>18014.242000000002</v>
      </c>
      <c r="W53" s="1">
        <f t="shared" si="11"/>
        <v>24645.147000000001</v>
      </c>
      <c r="X53" s="1">
        <f t="shared" si="11"/>
        <v>11889.458999999999</v>
      </c>
      <c r="Y53" s="1">
        <f t="shared" si="11"/>
        <v>8193.3320000000003</v>
      </c>
      <c r="Z53" s="1">
        <f t="shared" si="11"/>
        <v>4927.3650000000007</v>
      </c>
      <c r="AA53" s="1">
        <f t="shared" si="11"/>
        <v>2577.7870000000003</v>
      </c>
      <c r="AB53" s="1">
        <f t="shared" si="11"/>
        <v>2660.9309999999996</v>
      </c>
      <c r="AC53" s="1">
        <f t="shared" si="11"/>
        <v>1152.0079999999998</v>
      </c>
      <c r="AD53" s="1">
        <f t="shared" si="11"/>
        <v>440.03999999999996</v>
      </c>
      <c r="AE53" s="1">
        <f t="shared" si="11"/>
        <v>831.74400000000003</v>
      </c>
      <c r="AF53" s="1">
        <f t="shared" si="11"/>
        <v>663.19499999999994</v>
      </c>
      <c r="AG53" s="1">
        <f t="shared" si="11"/>
        <v>0</v>
      </c>
      <c r="AH53" s="1">
        <f t="shared" si="11"/>
        <v>530.1</v>
      </c>
      <c r="AI53" s="1">
        <f t="shared" si="11"/>
        <v>901.17000000000007</v>
      </c>
      <c r="AJ53" s="1">
        <f t="shared" si="11"/>
        <v>972.53399999999988</v>
      </c>
      <c r="AK53" s="1">
        <f t="shared" si="11"/>
        <v>0</v>
      </c>
      <c r="AL53" s="1">
        <f t="shared" si="11"/>
        <v>1923.3889999999999</v>
      </c>
      <c r="AM53" s="1">
        <f t="shared" si="11"/>
        <v>0</v>
      </c>
      <c r="AN53" s="1">
        <f t="shared" si="11"/>
        <v>-295.77300000000002</v>
      </c>
      <c r="AO53" s="1">
        <f t="shared" si="11"/>
        <v>0</v>
      </c>
      <c r="AP53" s="1">
        <f t="shared" si="11"/>
        <v>0</v>
      </c>
      <c r="AQ53" s="1">
        <f t="shared" si="11"/>
        <v>0</v>
      </c>
      <c r="AR53" s="3">
        <f t="shared" si="10"/>
        <v>236684.88250000004</v>
      </c>
      <c r="AS53" s="119">
        <f t="shared" ref="AS53:AS72" si="12">+AR53/AR$72</f>
        <v>2.967868381378333E-2</v>
      </c>
    </row>
    <row r="54" spans="1:45" x14ac:dyDescent="0.25">
      <c r="C54" t="s">
        <v>347</v>
      </c>
      <c r="D54" s="1">
        <f t="shared" si="10"/>
        <v>0</v>
      </c>
      <c r="E54" s="1">
        <f t="shared" si="11"/>
        <v>0</v>
      </c>
      <c r="F54" s="1">
        <f t="shared" si="11"/>
        <v>0</v>
      </c>
      <c r="G54" s="1">
        <f t="shared" si="11"/>
        <v>0</v>
      </c>
      <c r="H54" s="1">
        <f t="shared" si="11"/>
        <v>0</v>
      </c>
      <c r="I54" s="1">
        <f t="shared" si="11"/>
        <v>0</v>
      </c>
      <c r="J54" s="1">
        <f t="shared" si="11"/>
        <v>0</v>
      </c>
      <c r="K54" s="1">
        <f t="shared" si="11"/>
        <v>0</v>
      </c>
      <c r="L54" s="1">
        <f t="shared" si="11"/>
        <v>4783.5159999999996</v>
      </c>
      <c r="M54" s="1">
        <f t="shared" si="11"/>
        <v>7477.0509999999995</v>
      </c>
      <c r="N54" s="1">
        <f t="shared" si="11"/>
        <v>4512.0630000000001</v>
      </c>
      <c r="O54" s="1">
        <f t="shared" si="11"/>
        <v>6248.777</v>
      </c>
      <c r="P54" s="1">
        <f t="shared" si="11"/>
        <v>15625.352999999997</v>
      </c>
      <c r="Q54" s="1">
        <f t="shared" si="11"/>
        <v>16541.134000000002</v>
      </c>
      <c r="R54" s="1">
        <f t="shared" si="11"/>
        <v>18983.09</v>
      </c>
      <c r="S54" s="1">
        <f t="shared" si="11"/>
        <v>21051.126</v>
      </c>
      <c r="T54" s="1">
        <f t="shared" si="11"/>
        <v>19978.044000000002</v>
      </c>
      <c r="U54" s="1">
        <f t="shared" si="11"/>
        <v>22185.577999999998</v>
      </c>
      <c r="V54" s="1">
        <f t="shared" si="11"/>
        <v>14366.735999999999</v>
      </c>
      <c r="W54" s="1">
        <f t="shared" si="11"/>
        <v>16988.317999999999</v>
      </c>
      <c r="X54" s="1">
        <f t="shared" si="11"/>
        <v>11783.23</v>
      </c>
      <c r="Y54" s="1">
        <f t="shared" si="11"/>
        <v>4902.1330000000007</v>
      </c>
      <c r="Z54" s="1">
        <f t="shared" si="11"/>
        <v>1823.5439999999999</v>
      </c>
      <c r="AA54" s="1">
        <f t="shared" si="11"/>
        <v>664.50599999999997</v>
      </c>
      <c r="AB54" s="1">
        <f t="shared" si="11"/>
        <v>646.49400000000003</v>
      </c>
      <c r="AC54" s="1">
        <f t="shared" si="11"/>
        <v>367.21299999999997</v>
      </c>
      <c r="AD54" s="1">
        <f t="shared" si="11"/>
        <v>414.67500000000001</v>
      </c>
      <c r="AE54" s="1">
        <f t="shared" si="11"/>
        <v>0</v>
      </c>
      <c r="AF54" s="1">
        <f t="shared" si="11"/>
        <v>610.29900000000009</v>
      </c>
      <c r="AG54" s="1">
        <f t="shared" si="11"/>
        <v>850.04099999999994</v>
      </c>
      <c r="AH54" s="1">
        <f t="shared" si="11"/>
        <v>265.05</v>
      </c>
      <c r="AI54" s="1">
        <f t="shared" si="11"/>
        <v>332.21500000000003</v>
      </c>
      <c r="AJ54" s="1">
        <f t="shared" si="11"/>
        <v>618.79199999999992</v>
      </c>
      <c r="AK54" s="1">
        <f t="shared" si="11"/>
        <v>445.83499999999992</v>
      </c>
      <c r="AL54" s="1">
        <f t="shared" si="11"/>
        <v>265.05</v>
      </c>
      <c r="AM54" s="1">
        <f t="shared" si="11"/>
        <v>0</v>
      </c>
      <c r="AN54" s="1">
        <f t="shared" si="11"/>
        <v>265.05</v>
      </c>
      <c r="AO54" s="1">
        <f t="shared" si="11"/>
        <v>0</v>
      </c>
      <c r="AP54" s="1">
        <f t="shared" si="11"/>
        <v>0</v>
      </c>
      <c r="AQ54" s="1">
        <f t="shared" si="11"/>
        <v>0</v>
      </c>
      <c r="AR54" s="3">
        <f t="shared" si="10"/>
        <v>192994.913</v>
      </c>
      <c r="AS54" s="119">
        <f t="shared" si="12"/>
        <v>2.4200257067941891E-2</v>
      </c>
    </row>
    <row r="55" spans="1:45" x14ac:dyDescent="0.25">
      <c r="C55" t="s">
        <v>0</v>
      </c>
      <c r="D55" s="1">
        <f t="shared" si="10"/>
        <v>0</v>
      </c>
      <c r="E55" s="1">
        <f t="shared" si="11"/>
        <v>0</v>
      </c>
      <c r="F55" s="1">
        <f t="shared" si="11"/>
        <v>0</v>
      </c>
      <c r="G55" s="1">
        <f t="shared" si="11"/>
        <v>59831.6224</v>
      </c>
      <c r="H55" s="1">
        <f t="shared" si="11"/>
        <v>0</v>
      </c>
      <c r="I55" s="1">
        <f t="shared" si="11"/>
        <v>0</v>
      </c>
      <c r="J55" s="1">
        <f t="shared" si="11"/>
        <v>15967.93</v>
      </c>
      <c r="K55" s="1">
        <f t="shared" si="11"/>
        <v>21414.492000000002</v>
      </c>
      <c r="L55" s="1">
        <f t="shared" si="11"/>
        <v>42331.489199999996</v>
      </c>
      <c r="M55" s="1">
        <f t="shared" si="11"/>
        <v>55106.5625</v>
      </c>
      <c r="N55" s="1">
        <f t="shared" si="11"/>
        <v>56813.049700000003</v>
      </c>
      <c r="O55" s="1">
        <f t="shared" si="11"/>
        <v>63324.651499999993</v>
      </c>
      <c r="P55" s="1">
        <f t="shared" si="11"/>
        <v>55484.900900000001</v>
      </c>
      <c r="Q55" s="1">
        <f t="shared" si="11"/>
        <v>116498.17630000001</v>
      </c>
      <c r="R55" s="1">
        <f t="shared" si="11"/>
        <v>88352.881099999999</v>
      </c>
      <c r="S55" s="1">
        <f t="shared" si="11"/>
        <v>105424.69080000001</v>
      </c>
      <c r="T55" s="1">
        <f t="shared" si="11"/>
        <v>93875.122000000003</v>
      </c>
      <c r="U55" s="1">
        <f t="shared" si="11"/>
        <v>111582.22679999999</v>
      </c>
      <c r="V55" s="1">
        <f t="shared" si="11"/>
        <v>63596.34380000001</v>
      </c>
      <c r="W55" s="1">
        <f t="shared" si="11"/>
        <v>72984.697499999995</v>
      </c>
      <c r="X55" s="1">
        <f t="shared" si="11"/>
        <v>84917.522800000006</v>
      </c>
      <c r="Y55" s="1">
        <f t="shared" si="11"/>
        <v>74450.8897</v>
      </c>
      <c r="Z55" s="1">
        <f t="shared" si="11"/>
        <v>52939.419499999996</v>
      </c>
      <c r="AA55" s="1">
        <f t="shared" si="11"/>
        <v>40646.563099999999</v>
      </c>
      <c r="AB55" s="1">
        <f t="shared" si="11"/>
        <v>36841.552549999993</v>
      </c>
      <c r="AC55" s="1">
        <f t="shared" si="11"/>
        <v>18592.587200000002</v>
      </c>
      <c r="AD55" s="1">
        <f t="shared" si="11"/>
        <v>40475.626400000001</v>
      </c>
      <c r="AE55" s="1">
        <f t="shared" si="11"/>
        <v>7067.5527999999995</v>
      </c>
      <c r="AF55" s="1">
        <f t="shared" si="11"/>
        <v>3719.9535999999998</v>
      </c>
      <c r="AG55" s="1">
        <f t="shared" si="11"/>
        <v>10909.205999999998</v>
      </c>
      <c r="AH55" s="1">
        <f t="shared" si="11"/>
        <v>19045.650799999999</v>
      </c>
      <c r="AI55" s="1">
        <f t="shared" si="11"/>
        <v>7701.9316000000008</v>
      </c>
      <c r="AJ55" s="1">
        <f t="shared" si="11"/>
        <v>5815.7</v>
      </c>
      <c r="AK55" s="1">
        <f t="shared" si="11"/>
        <v>14795.814000000002</v>
      </c>
      <c r="AL55" s="1">
        <f t="shared" si="11"/>
        <v>6174.366</v>
      </c>
      <c r="AM55" s="1">
        <f t="shared" si="11"/>
        <v>4739.3280000000004</v>
      </c>
      <c r="AN55" s="1">
        <f t="shared" si="11"/>
        <v>2772.462</v>
      </c>
      <c r="AO55" s="1">
        <f t="shared" si="11"/>
        <v>0</v>
      </c>
      <c r="AP55" s="1">
        <f t="shared" si="11"/>
        <v>0</v>
      </c>
      <c r="AQ55" s="1">
        <f t="shared" si="11"/>
        <v>0</v>
      </c>
      <c r="AR55" s="3">
        <f t="shared" si="10"/>
        <v>1454194.9625500001</v>
      </c>
      <c r="AS55" s="119">
        <f t="shared" si="12"/>
        <v>0.18234621510783619</v>
      </c>
    </row>
    <row r="56" spans="1:45" x14ac:dyDescent="0.25">
      <c r="C56" t="s">
        <v>354</v>
      </c>
      <c r="D56" s="1">
        <f t="shared" si="10"/>
        <v>0</v>
      </c>
      <c r="E56" s="1">
        <f t="shared" si="11"/>
        <v>0</v>
      </c>
      <c r="F56" s="1">
        <f t="shared" si="11"/>
        <v>0</v>
      </c>
      <c r="G56" s="1">
        <f t="shared" si="11"/>
        <v>0</v>
      </c>
      <c r="H56" s="1">
        <f t="shared" si="11"/>
        <v>0</v>
      </c>
      <c r="I56" s="1">
        <f t="shared" si="11"/>
        <v>0</v>
      </c>
      <c r="J56" s="1">
        <f t="shared" si="11"/>
        <v>0</v>
      </c>
      <c r="K56" s="1">
        <f t="shared" si="11"/>
        <v>0</v>
      </c>
      <c r="L56" s="1">
        <f t="shared" si="11"/>
        <v>3591</v>
      </c>
      <c r="M56" s="1">
        <f t="shared" si="11"/>
        <v>291.89699999999999</v>
      </c>
      <c r="N56" s="1">
        <f t="shared" si="11"/>
        <v>1151.7420000000002</v>
      </c>
      <c r="O56" s="1">
        <f t="shared" si="11"/>
        <v>2837.3080000000004</v>
      </c>
      <c r="P56" s="1">
        <f t="shared" si="11"/>
        <v>4700.7330000000002</v>
      </c>
      <c r="Q56" s="1">
        <f t="shared" si="11"/>
        <v>3125.6899999999996</v>
      </c>
      <c r="R56" s="1">
        <f t="shared" si="11"/>
        <v>3937.5220000000004</v>
      </c>
      <c r="S56" s="1">
        <f t="shared" si="11"/>
        <v>4722.165</v>
      </c>
      <c r="T56" s="1">
        <f t="shared" si="11"/>
        <v>6589.0479999999989</v>
      </c>
      <c r="U56" s="1">
        <f t="shared" si="11"/>
        <v>2546.4560000000001</v>
      </c>
      <c r="V56" s="1">
        <f t="shared" si="11"/>
        <v>1425.5889999999999</v>
      </c>
      <c r="W56" s="1">
        <f t="shared" si="11"/>
        <v>3408.2009999999996</v>
      </c>
      <c r="X56" s="1">
        <f t="shared" si="11"/>
        <v>3490.8509999999997</v>
      </c>
      <c r="Y56" s="1">
        <f t="shared" si="11"/>
        <v>3172.24</v>
      </c>
      <c r="Z56" s="1">
        <f t="shared" si="11"/>
        <v>1036.7540000000001</v>
      </c>
      <c r="AA56" s="1">
        <f t="shared" si="11"/>
        <v>1347.9929999999999</v>
      </c>
      <c r="AB56" s="1">
        <f t="shared" si="11"/>
        <v>613.54799999999989</v>
      </c>
      <c r="AC56" s="1">
        <f t="shared" si="11"/>
        <v>265.05</v>
      </c>
      <c r="AD56" s="1">
        <f t="shared" si="11"/>
        <v>0</v>
      </c>
      <c r="AE56" s="1">
        <f t="shared" si="11"/>
        <v>0</v>
      </c>
      <c r="AF56" s="1">
        <f t="shared" si="11"/>
        <v>0</v>
      </c>
      <c r="AG56" s="1">
        <f t="shared" si="11"/>
        <v>0</v>
      </c>
      <c r="AH56" s="1">
        <f t="shared" si="11"/>
        <v>1060.2</v>
      </c>
      <c r="AI56" s="1">
        <f t="shared" si="11"/>
        <v>0</v>
      </c>
      <c r="AJ56" s="1">
        <f t="shared" si="11"/>
        <v>0</v>
      </c>
      <c r="AK56" s="1">
        <f t="shared" si="11"/>
        <v>0</v>
      </c>
      <c r="AL56" s="1">
        <f t="shared" si="11"/>
        <v>0</v>
      </c>
      <c r="AM56" s="1">
        <f t="shared" si="11"/>
        <v>0</v>
      </c>
      <c r="AN56" s="1">
        <f t="shared" si="11"/>
        <v>0</v>
      </c>
      <c r="AO56" s="1">
        <f t="shared" si="11"/>
        <v>0</v>
      </c>
      <c r="AP56" s="1">
        <f t="shared" si="11"/>
        <v>0</v>
      </c>
      <c r="AQ56" s="1">
        <f t="shared" si="11"/>
        <v>-1.5390000000000001</v>
      </c>
      <c r="AR56" s="3">
        <f t="shared" si="10"/>
        <v>49312.448000000004</v>
      </c>
      <c r="AS56" s="119">
        <f t="shared" si="12"/>
        <v>6.183447530814022E-3</v>
      </c>
    </row>
    <row r="57" spans="1:45" x14ac:dyDescent="0.25">
      <c r="C57" t="s">
        <v>265</v>
      </c>
      <c r="D57" s="1">
        <f t="shared" si="10"/>
        <v>0</v>
      </c>
      <c r="E57" s="1">
        <f t="shared" si="11"/>
        <v>0</v>
      </c>
      <c r="F57" s="1">
        <f t="shared" si="11"/>
        <v>0</v>
      </c>
      <c r="G57" s="1">
        <f t="shared" si="11"/>
        <v>0</v>
      </c>
      <c r="H57" s="1">
        <f t="shared" si="11"/>
        <v>0</v>
      </c>
      <c r="I57" s="1">
        <f t="shared" si="11"/>
        <v>2700</v>
      </c>
      <c r="J57" s="1">
        <f t="shared" si="11"/>
        <v>-16.2</v>
      </c>
      <c r="K57" s="1">
        <f t="shared" si="11"/>
        <v>0</v>
      </c>
      <c r="L57" s="1">
        <f t="shared" si="11"/>
        <v>5782.079999999999</v>
      </c>
      <c r="M57" s="1">
        <f t="shared" si="11"/>
        <v>5157.6000000000004</v>
      </c>
      <c r="N57" s="1">
        <f t="shared" si="11"/>
        <v>3437.5</v>
      </c>
      <c r="O57" s="1">
        <f t="shared" si="11"/>
        <v>4933.08</v>
      </c>
      <c r="P57" s="1">
        <f t="shared" si="11"/>
        <v>14416.62</v>
      </c>
      <c r="Q57" s="1">
        <f t="shared" si="11"/>
        <v>18049.919999999998</v>
      </c>
      <c r="R57" s="1">
        <f t="shared" si="11"/>
        <v>12177.18</v>
      </c>
      <c r="S57" s="1">
        <f t="shared" si="11"/>
        <v>22144.800000000003</v>
      </c>
      <c r="T57" s="1">
        <f t="shared" si="11"/>
        <v>12494.66</v>
      </c>
      <c r="U57" s="1">
        <f t="shared" si="11"/>
        <v>23393.040000000001</v>
      </c>
      <c r="V57" s="1">
        <f t="shared" si="11"/>
        <v>12709.32</v>
      </c>
      <c r="W57" s="1">
        <f t="shared" si="11"/>
        <v>9782.26</v>
      </c>
      <c r="X57" s="1">
        <f t="shared" si="11"/>
        <v>12512.22</v>
      </c>
      <c r="Y57" s="1">
        <f t="shared" si="11"/>
        <v>4527.2800000000007</v>
      </c>
      <c r="Z57" s="1">
        <f t="shared" si="11"/>
        <v>-1191.2399999999998</v>
      </c>
      <c r="AA57" s="1">
        <f t="shared" si="11"/>
        <v>1483.02</v>
      </c>
      <c r="AB57" s="1">
        <f t="shared" si="11"/>
        <v>-44.28</v>
      </c>
      <c r="AC57" s="1">
        <f t="shared" si="11"/>
        <v>0</v>
      </c>
      <c r="AD57" s="1">
        <f t="shared" si="11"/>
        <v>0</v>
      </c>
      <c r="AE57" s="1">
        <f t="shared" si="11"/>
        <v>0</v>
      </c>
      <c r="AF57" s="1">
        <f t="shared" si="11"/>
        <v>0</v>
      </c>
      <c r="AG57" s="1">
        <f t="shared" si="11"/>
        <v>0</v>
      </c>
      <c r="AH57" s="1">
        <f t="shared" si="11"/>
        <v>4239.2999999999993</v>
      </c>
      <c r="AI57" s="1">
        <f t="shared" si="11"/>
        <v>-17.64</v>
      </c>
      <c r="AJ57" s="1">
        <f t="shared" si="11"/>
        <v>0</v>
      </c>
      <c r="AK57" s="1">
        <f t="shared" si="11"/>
        <v>1253.28</v>
      </c>
      <c r="AL57" s="1">
        <f t="shared" si="11"/>
        <v>-8.82</v>
      </c>
      <c r="AM57" s="1">
        <f t="shared" si="11"/>
        <v>0</v>
      </c>
      <c r="AN57" s="1">
        <f t="shared" si="11"/>
        <v>0</v>
      </c>
      <c r="AO57" s="1">
        <f t="shared" si="11"/>
        <v>0</v>
      </c>
      <c r="AP57" s="1">
        <f t="shared" si="11"/>
        <v>0</v>
      </c>
      <c r="AQ57" s="1">
        <f t="shared" si="11"/>
        <v>0</v>
      </c>
      <c r="AR57" s="3">
        <f t="shared" si="10"/>
        <v>169914.97999999998</v>
      </c>
      <c r="AS57" s="119">
        <f t="shared" si="12"/>
        <v>2.1306189535131449E-2</v>
      </c>
    </row>
    <row r="58" spans="1:45" x14ac:dyDescent="0.25">
      <c r="C58" t="s">
        <v>191</v>
      </c>
      <c r="D58" s="1">
        <f t="shared" si="10"/>
        <v>0</v>
      </c>
      <c r="E58" s="1">
        <f t="shared" si="11"/>
        <v>0</v>
      </c>
      <c r="F58" s="1">
        <f t="shared" si="11"/>
        <v>0</v>
      </c>
      <c r="G58" s="1">
        <f t="shared" si="11"/>
        <v>0</v>
      </c>
      <c r="H58" s="1">
        <f t="shared" si="11"/>
        <v>11398.859999999999</v>
      </c>
      <c r="I58" s="1">
        <f t="shared" si="11"/>
        <v>-75.8005</v>
      </c>
      <c r="J58" s="1">
        <f t="shared" si="11"/>
        <v>0</v>
      </c>
      <c r="K58" s="1">
        <f t="shared" si="11"/>
        <v>9379.92</v>
      </c>
      <c r="L58" s="1">
        <f t="shared" si="11"/>
        <v>0</v>
      </c>
      <c r="M58" s="1">
        <f t="shared" si="11"/>
        <v>34296.216</v>
      </c>
      <c r="N58" s="1">
        <f t="shared" si="11"/>
        <v>5100.4549999999999</v>
      </c>
      <c r="O58" s="1">
        <f t="shared" si="11"/>
        <v>8426.0629999999983</v>
      </c>
      <c r="P58" s="1">
        <f t="shared" si="11"/>
        <v>30875.342000000001</v>
      </c>
      <c r="Q58" s="1">
        <f t="shared" si="11"/>
        <v>33813.748999999996</v>
      </c>
      <c r="R58" s="1">
        <f t="shared" si="11"/>
        <v>45698.695499999994</v>
      </c>
      <c r="S58" s="1">
        <f t="shared" si="11"/>
        <v>49324.778999999995</v>
      </c>
      <c r="T58" s="1">
        <f t="shared" si="11"/>
        <v>26342.559500000003</v>
      </c>
      <c r="U58" s="1">
        <f t="shared" si="11"/>
        <v>19308.826000000001</v>
      </c>
      <c r="V58" s="1">
        <f t="shared" si="11"/>
        <v>-2880.7420000000002</v>
      </c>
      <c r="W58" s="1">
        <f t="shared" si="11"/>
        <v>25394.773000000005</v>
      </c>
      <c r="X58" s="1">
        <f t="shared" si="11"/>
        <v>17080.696</v>
      </c>
      <c r="Y58" s="1">
        <f t="shared" si="11"/>
        <v>16137.782999999999</v>
      </c>
      <c r="Z58" s="1">
        <f t="shared" ref="E58:AQ65" si="13">+Z34+Z10</f>
        <v>11347.864000000001</v>
      </c>
      <c r="AA58" s="1">
        <f t="shared" si="13"/>
        <v>13213.226999999999</v>
      </c>
      <c r="AB58" s="1">
        <f t="shared" si="13"/>
        <v>4586.1534999999985</v>
      </c>
      <c r="AC58" s="1">
        <f t="shared" si="13"/>
        <v>622.53499999999997</v>
      </c>
      <c r="AD58" s="1">
        <f t="shared" si="13"/>
        <v>-96.272999999999996</v>
      </c>
      <c r="AE58" s="1">
        <f t="shared" si="13"/>
        <v>-547.20000000000005</v>
      </c>
      <c r="AF58" s="1">
        <f t="shared" si="13"/>
        <v>-13.337999999999999</v>
      </c>
      <c r="AG58" s="1">
        <f t="shared" si="13"/>
        <v>0</v>
      </c>
      <c r="AH58" s="1">
        <f t="shared" si="13"/>
        <v>0</v>
      </c>
      <c r="AI58" s="1">
        <f t="shared" si="13"/>
        <v>-529.58699999999999</v>
      </c>
      <c r="AJ58" s="1">
        <f t="shared" si="13"/>
        <v>0</v>
      </c>
      <c r="AK58" s="1">
        <f t="shared" si="13"/>
        <v>0</v>
      </c>
      <c r="AL58" s="1">
        <f t="shared" si="13"/>
        <v>297.31199999999995</v>
      </c>
      <c r="AM58" s="1">
        <f t="shared" si="13"/>
        <v>1040.4780000000001</v>
      </c>
      <c r="AN58" s="1">
        <f t="shared" si="13"/>
        <v>883.05349999999999</v>
      </c>
      <c r="AO58" s="1">
        <f t="shared" si="13"/>
        <v>-88.35</v>
      </c>
      <c r="AP58" s="1">
        <f t="shared" si="13"/>
        <v>460.00900000000001</v>
      </c>
      <c r="AQ58" s="1">
        <f t="shared" si="13"/>
        <v>0</v>
      </c>
      <c r="AR58" s="3">
        <f t="shared" si="10"/>
        <v>360798.05849999998</v>
      </c>
      <c r="AS58" s="119">
        <f t="shared" si="12"/>
        <v>4.5241636836895985E-2</v>
      </c>
    </row>
    <row r="59" spans="1:45" x14ac:dyDescent="0.25">
      <c r="C59" t="s">
        <v>549</v>
      </c>
      <c r="D59" s="1">
        <f t="shared" si="10"/>
        <v>0</v>
      </c>
      <c r="E59" s="1">
        <f t="shared" si="13"/>
        <v>0</v>
      </c>
      <c r="F59" s="1">
        <f t="shared" si="13"/>
        <v>0</v>
      </c>
      <c r="G59" s="1">
        <f t="shared" si="13"/>
        <v>0</v>
      </c>
      <c r="H59" s="1">
        <f t="shared" si="13"/>
        <v>0</v>
      </c>
      <c r="I59" s="1">
        <f t="shared" si="13"/>
        <v>0</v>
      </c>
      <c r="J59" s="1">
        <f t="shared" si="13"/>
        <v>0</v>
      </c>
      <c r="K59" s="1">
        <f t="shared" si="13"/>
        <v>0</v>
      </c>
      <c r="L59" s="1">
        <f t="shared" si="13"/>
        <v>0</v>
      </c>
      <c r="M59" s="1">
        <f t="shared" si="13"/>
        <v>0</v>
      </c>
      <c r="N59" s="1">
        <f t="shared" si="13"/>
        <v>0</v>
      </c>
      <c r="O59" s="1">
        <f t="shared" si="13"/>
        <v>0</v>
      </c>
      <c r="P59" s="1">
        <f t="shared" si="13"/>
        <v>0</v>
      </c>
      <c r="Q59" s="1">
        <f t="shared" si="13"/>
        <v>0</v>
      </c>
      <c r="R59" s="1">
        <f t="shared" si="13"/>
        <v>0</v>
      </c>
      <c r="S59" s="1">
        <f t="shared" si="13"/>
        <v>0</v>
      </c>
      <c r="T59" s="1">
        <f t="shared" si="13"/>
        <v>0</v>
      </c>
      <c r="U59" s="1">
        <f t="shared" si="13"/>
        <v>0</v>
      </c>
      <c r="V59" s="1">
        <f t="shared" si="13"/>
        <v>0</v>
      </c>
      <c r="W59" s="1">
        <f t="shared" si="13"/>
        <v>0</v>
      </c>
      <c r="X59" s="1">
        <f t="shared" si="13"/>
        <v>0</v>
      </c>
      <c r="Y59" s="1">
        <f t="shared" si="13"/>
        <v>0</v>
      </c>
      <c r="Z59" s="1">
        <f t="shared" si="13"/>
        <v>0</v>
      </c>
      <c r="AA59" s="1">
        <f t="shared" si="13"/>
        <v>0</v>
      </c>
      <c r="AB59" s="1">
        <f t="shared" si="13"/>
        <v>0</v>
      </c>
      <c r="AC59" s="1">
        <f t="shared" si="13"/>
        <v>0</v>
      </c>
      <c r="AD59" s="1">
        <f t="shared" si="13"/>
        <v>0</v>
      </c>
      <c r="AE59" s="1">
        <f t="shared" si="13"/>
        <v>0</v>
      </c>
      <c r="AF59" s="1">
        <f t="shared" si="13"/>
        <v>0</v>
      </c>
      <c r="AG59" s="1">
        <f t="shared" si="13"/>
        <v>0</v>
      </c>
      <c r="AH59" s="1">
        <f t="shared" si="13"/>
        <v>0</v>
      </c>
      <c r="AI59" s="1">
        <f t="shared" si="13"/>
        <v>0</v>
      </c>
      <c r="AJ59" s="1">
        <f t="shared" si="13"/>
        <v>0</v>
      </c>
      <c r="AK59" s="1">
        <f t="shared" si="13"/>
        <v>0</v>
      </c>
      <c r="AL59" s="1">
        <f t="shared" si="13"/>
        <v>0</v>
      </c>
      <c r="AM59" s="1">
        <f t="shared" si="13"/>
        <v>0</v>
      </c>
      <c r="AN59" s="1">
        <f t="shared" si="13"/>
        <v>0</v>
      </c>
      <c r="AO59" s="1">
        <f t="shared" si="13"/>
        <v>0</v>
      </c>
      <c r="AP59" s="1">
        <f t="shared" si="13"/>
        <v>0</v>
      </c>
      <c r="AQ59" s="1">
        <f t="shared" si="13"/>
        <v>0</v>
      </c>
      <c r="AR59" s="3">
        <f t="shared" ref="AR59:AR65" si="14">+AR35+AR11</f>
        <v>0</v>
      </c>
      <c r="AS59" s="119">
        <f t="shared" si="12"/>
        <v>0</v>
      </c>
    </row>
    <row r="60" spans="1:45" x14ac:dyDescent="0.25">
      <c r="C60" t="s">
        <v>550</v>
      </c>
      <c r="D60" s="1">
        <f t="shared" ref="D60:S71" si="15">+D36+D12</f>
        <v>0</v>
      </c>
      <c r="E60" s="1">
        <f t="shared" si="15"/>
        <v>0</v>
      </c>
      <c r="F60" s="1">
        <f t="shared" si="15"/>
        <v>0</v>
      </c>
      <c r="G60" s="1">
        <f t="shared" si="15"/>
        <v>0</v>
      </c>
      <c r="H60" s="1">
        <f t="shared" si="15"/>
        <v>0</v>
      </c>
      <c r="I60" s="1">
        <f t="shared" si="15"/>
        <v>0</v>
      </c>
      <c r="J60" s="1">
        <f t="shared" si="15"/>
        <v>0</v>
      </c>
      <c r="K60" s="1">
        <f t="shared" si="15"/>
        <v>0</v>
      </c>
      <c r="L60" s="1">
        <f t="shared" si="15"/>
        <v>0</v>
      </c>
      <c r="M60" s="1">
        <f t="shared" si="15"/>
        <v>9179.1360000000004</v>
      </c>
      <c r="N60" s="1">
        <f t="shared" si="15"/>
        <v>-113.7024</v>
      </c>
      <c r="O60" s="1">
        <f t="shared" si="15"/>
        <v>1255.9679999999998</v>
      </c>
      <c r="P60" s="1">
        <f t="shared" si="15"/>
        <v>-17.9712</v>
      </c>
      <c r="Q60" s="1">
        <f t="shared" si="15"/>
        <v>24582.201600000004</v>
      </c>
      <c r="R60" s="1">
        <f t="shared" si="15"/>
        <v>13664.947200000001</v>
      </c>
      <c r="S60" s="1">
        <f t="shared" si="15"/>
        <v>18754.080000000002</v>
      </c>
      <c r="T60" s="1">
        <f t="shared" si="13"/>
        <v>31832.639999999999</v>
      </c>
      <c r="U60" s="1">
        <f t="shared" si="13"/>
        <v>8119.8143999999993</v>
      </c>
      <c r="V60" s="1">
        <f t="shared" si="13"/>
        <v>15226.003199999999</v>
      </c>
      <c r="W60" s="1">
        <f t="shared" si="13"/>
        <v>9068.5824000000011</v>
      </c>
      <c r="X60" s="1">
        <f t="shared" si="13"/>
        <v>10044.537600000001</v>
      </c>
      <c r="Y60" s="1">
        <f t="shared" si="13"/>
        <v>12958.790399999998</v>
      </c>
      <c r="Z60" s="1">
        <f t="shared" si="13"/>
        <v>3185.3184000000001</v>
      </c>
      <c r="AA60" s="1">
        <f t="shared" si="13"/>
        <v>4993.6896000000006</v>
      </c>
      <c r="AB60" s="1">
        <f t="shared" si="13"/>
        <v>3656.16</v>
      </c>
      <c r="AC60" s="1">
        <f t="shared" si="13"/>
        <v>3580.9728000000005</v>
      </c>
      <c r="AD60" s="1">
        <f t="shared" si="13"/>
        <v>4844.2559999999994</v>
      </c>
      <c r="AE60" s="1">
        <f t="shared" si="13"/>
        <v>4737.1584000000003</v>
      </c>
      <c r="AF60" s="1">
        <f t="shared" si="13"/>
        <v>694.56</v>
      </c>
      <c r="AG60" s="1">
        <f t="shared" si="13"/>
        <v>1754.6303999999998</v>
      </c>
      <c r="AH60" s="1">
        <f t="shared" si="13"/>
        <v>2501.7984000000001</v>
      </c>
      <c r="AI60" s="1">
        <f t="shared" si="13"/>
        <v>2248.7808</v>
      </c>
      <c r="AJ60" s="1">
        <f t="shared" si="13"/>
        <v>2700.7296000000001</v>
      </c>
      <c r="AK60" s="1">
        <f t="shared" si="13"/>
        <v>2050.9823999999994</v>
      </c>
      <c r="AL60" s="1">
        <f t="shared" si="13"/>
        <v>1317.4079999999999</v>
      </c>
      <c r="AM60" s="1">
        <f t="shared" si="13"/>
        <v>2035.6032</v>
      </c>
      <c r="AN60" s="1">
        <f t="shared" si="13"/>
        <v>1658.4959999999999</v>
      </c>
      <c r="AO60" s="1">
        <f t="shared" si="13"/>
        <v>-95.174400000000006</v>
      </c>
      <c r="AP60" s="1">
        <f t="shared" si="13"/>
        <v>0</v>
      </c>
      <c r="AQ60" s="1">
        <f t="shared" si="13"/>
        <v>-231.16800000000001</v>
      </c>
      <c r="AR60" s="3">
        <f t="shared" si="14"/>
        <v>196189.22880000004</v>
      </c>
      <c r="AS60" s="119">
        <f t="shared" si="12"/>
        <v>2.4600802669453106E-2</v>
      </c>
    </row>
    <row r="61" spans="1:45" x14ac:dyDescent="0.25">
      <c r="C61" t="s">
        <v>6</v>
      </c>
      <c r="D61" s="1">
        <f t="shared" si="15"/>
        <v>0</v>
      </c>
      <c r="E61" s="1">
        <f t="shared" si="13"/>
        <v>0</v>
      </c>
      <c r="F61" s="1">
        <f t="shared" si="13"/>
        <v>0</v>
      </c>
      <c r="G61" s="1">
        <f t="shared" si="13"/>
        <v>0</v>
      </c>
      <c r="H61" s="1">
        <f t="shared" si="13"/>
        <v>0</v>
      </c>
      <c r="I61" s="1">
        <f t="shared" si="13"/>
        <v>0</v>
      </c>
      <c r="J61" s="1">
        <f t="shared" si="13"/>
        <v>0</v>
      </c>
      <c r="K61" s="1">
        <f t="shared" si="13"/>
        <v>0</v>
      </c>
      <c r="L61" s="1">
        <f t="shared" si="13"/>
        <v>33433.584000000003</v>
      </c>
      <c r="M61" s="1">
        <f t="shared" si="13"/>
        <v>15180.66</v>
      </c>
      <c r="N61" s="1">
        <f t="shared" si="13"/>
        <v>15366.5754</v>
      </c>
      <c r="O61" s="1">
        <f t="shared" si="13"/>
        <v>15180.66</v>
      </c>
      <c r="P61" s="1">
        <f t="shared" si="13"/>
        <v>11770.528</v>
      </c>
      <c r="Q61" s="1">
        <f t="shared" si="13"/>
        <v>36340.084000000003</v>
      </c>
      <c r="R61" s="1">
        <f t="shared" si="13"/>
        <v>40211.358</v>
      </c>
      <c r="S61" s="1">
        <f t="shared" si="13"/>
        <v>13662.593999999999</v>
      </c>
      <c r="T61" s="1">
        <f t="shared" si="13"/>
        <v>31618.577100000002</v>
      </c>
      <c r="U61" s="1">
        <f t="shared" si="13"/>
        <v>15604.775999999998</v>
      </c>
      <c r="V61" s="1">
        <f t="shared" si="13"/>
        <v>23350.764800000001</v>
      </c>
      <c r="W61" s="1">
        <f t="shared" si="13"/>
        <v>7718.9112000000005</v>
      </c>
      <c r="X61" s="1">
        <f t="shared" si="13"/>
        <v>0</v>
      </c>
      <c r="Y61" s="1">
        <f t="shared" si="13"/>
        <v>8494.1010000000006</v>
      </c>
      <c r="Z61" s="1">
        <f t="shared" si="13"/>
        <v>-522.29100000000005</v>
      </c>
      <c r="AA61" s="1">
        <f t="shared" si="13"/>
        <v>7147.14</v>
      </c>
      <c r="AB61" s="1">
        <f t="shared" si="13"/>
        <v>0</v>
      </c>
      <c r="AC61" s="1">
        <f t="shared" si="13"/>
        <v>7422.03</v>
      </c>
      <c r="AD61" s="1">
        <f t="shared" si="13"/>
        <v>0</v>
      </c>
      <c r="AE61" s="1">
        <f t="shared" si="13"/>
        <v>5937.6239999999998</v>
      </c>
      <c r="AF61" s="1">
        <f t="shared" si="13"/>
        <v>-54.977999999999994</v>
      </c>
      <c r="AG61" s="1">
        <f t="shared" si="13"/>
        <v>0</v>
      </c>
      <c r="AH61" s="1">
        <f t="shared" si="13"/>
        <v>29688.12</v>
      </c>
      <c r="AI61" s="1">
        <f t="shared" si="13"/>
        <v>0</v>
      </c>
      <c r="AJ61" s="1">
        <f t="shared" si="13"/>
        <v>0</v>
      </c>
      <c r="AK61" s="1">
        <f t="shared" si="13"/>
        <v>0</v>
      </c>
      <c r="AL61" s="1">
        <f t="shared" si="13"/>
        <v>0</v>
      </c>
      <c r="AM61" s="1">
        <f t="shared" si="13"/>
        <v>0</v>
      </c>
      <c r="AN61" s="1">
        <f t="shared" si="13"/>
        <v>0</v>
      </c>
      <c r="AO61" s="1">
        <f t="shared" si="13"/>
        <v>0</v>
      </c>
      <c r="AP61" s="1">
        <f t="shared" si="13"/>
        <v>0</v>
      </c>
      <c r="AQ61" s="1">
        <f t="shared" si="13"/>
        <v>0</v>
      </c>
      <c r="AR61" s="3">
        <f t="shared" si="14"/>
        <v>317550.81850000005</v>
      </c>
      <c r="AS61" s="119">
        <f t="shared" si="12"/>
        <v>3.9818725376639115E-2</v>
      </c>
    </row>
    <row r="62" spans="1:45" x14ac:dyDescent="0.25">
      <c r="C62" t="s">
        <v>262</v>
      </c>
      <c r="D62" s="1">
        <f t="shared" si="15"/>
        <v>0</v>
      </c>
      <c r="E62" s="1">
        <f t="shared" si="13"/>
        <v>0</v>
      </c>
      <c r="F62" s="1">
        <f t="shared" si="13"/>
        <v>0</v>
      </c>
      <c r="G62" s="1">
        <f t="shared" si="13"/>
        <v>0</v>
      </c>
      <c r="H62" s="1">
        <f t="shared" si="13"/>
        <v>0</v>
      </c>
      <c r="I62" s="1">
        <f t="shared" si="13"/>
        <v>0</v>
      </c>
      <c r="J62" s="1">
        <f t="shared" si="13"/>
        <v>0</v>
      </c>
      <c r="K62" s="1">
        <f t="shared" si="13"/>
        <v>0</v>
      </c>
      <c r="L62" s="1">
        <f t="shared" si="13"/>
        <v>895.69799999999987</v>
      </c>
      <c r="M62" s="1">
        <f t="shared" si="13"/>
        <v>10241.19</v>
      </c>
      <c r="N62" s="1">
        <f t="shared" si="13"/>
        <v>6147.9629999999997</v>
      </c>
      <c r="O62" s="1">
        <f t="shared" si="13"/>
        <v>9260.1630000000005</v>
      </c>
      <c r="P62" s="1">
        <f t="shared" si="13"/>
        <v>8939.2339999999986</v>
      </c>
      <c r="Q62" s="1">
        <f t="shared" si="13"/>
        <v>21122.87</v>
      </c>
      <c r="R62" s="1">
        <f t="shared" si="13"/>
        <v>13274.558999999999</v>
      </c>
      <c r="S62" s="1">
        <f t="shared" si="13"/>
        <v>9731.0115000000005</v>
      </c>
      <c r="T62" s="1">
        <f t="shared" si="13"/>
        <v>13853.887999999999</v>
      </c>
      <c r="U62" s="1">
        <f t="shared" si="13"/>
        <v>6748.3819999999996</v>
      </c>
      <c r="V62" s="1">
        <f t="shared" si="13"/>
        <v>6310.7170000000006</v>
      </c>
      <c r="W62" s="1">
        <f t="shared" si="13"/>
        <v>6948.5279999999993</v>
      </c>
      <c r="X62" s="1">
        <f t="shared" si="13"/>
        <v>3708.5340000000001</v>
      </c>
      <c r="Y62" s="1">
        <f t="shared" si="13"/>
        <v>1502.2920000000001</v>
      </c>
      <c r="Z62" s="1">
        <f t="shared" si="13"/>
        <v>1000.2360000000001</v>
      </c>
      <c r="AA62" s="1">
        <f t="shared" si="13"/>
        <v>-179.77800000000002</v>
      </c>
      <c r="AB62" s="1">
        <f t="shared" si="13"/>
        <v>1385.442</v>
      </c>
      <c r="AC62" s="1">
        <f t="shared" si="13"/>
        <v>284.42999999999995</v>
      </c>
      <c r="AD62" s="1">
        <f t="shared" si="13"/>
        <v>0</v>
      </c>
      <c r="AE62" s="1">
        <f t="shared" si="13"/>
        <v>291.55499999999995</v>
      </c>
      <c r="AF62" s="1">
        <f t="shared" si="13"/>
        <v>830.4899999999999</v>
      </c>
      <c r="AG62" s="1">
        <f t="shared" si="13"/>
        <v>0</v>
      </c>
      <c r="AH62" s="1">
        <f t="shared" si="13"/>
        <v>0</v>
      </c>
      <c r="AI62" s="1">
        <f t="shared" si="13"/>
        <v>-26.675999999999998</v>
      </c>
      <c r="AJ62" s="1">
        <f t="shared" si="13"/>
        <v>0</v>
      </c>
      <c r="AK62" s="1">
        <f t="shared" si="13"/>
        <v>1033.6949999999999</v>
      </c>
      <c r="AL62" s="1">
        <f t="shared" si="13"/>
        <v>1404.7650000000001</v>
      </c>
      <c r="AM62" s="1">
        <f t="shared" si="13"/>
        <v>265.05</v>
      </c>
      <c r="AN62" s="1">
        <f t="shared" si="13"/>
        <v>-235.01100000000002</v>
      </c>
      <c r="AO62" s="1">
        <f t="shared" si="13"/>
        <v>0</v>
      </c>
      <c r="AP62" s="1">
        <f t="shared" si="13"/>
        <v>0</v>
      </c>
      <c r="AQ62" s="1">
        <f t="shared" si="13"/>
        <v>0</v>
      </c>
      <c r="AR62" s="3">
        <f t="shared" si="14"/>
        <v>124739.22749999998</v>
      </c>
      <c r="AS62" s="119">
        <f t="shared" si="12"/>
        <v>1.5641455647882729E-2</v>
      </c>
    </row>
    <row r="63" spans="1:45" x14ac:dyDescent="0.25">
      <c r="C63" t="s">
        <v>42</v>
      </c>
      <c r="D63" s="1">
        <f t="shared" si="15"/>
        <v>0</v>
      </c>
      <c r="E63" s="1">
        <f t="shared" si="13"/>
        <v>0</v>
      </c>
      <c r="F63" s="1">
        <f t="shared" si="13"/>
        <v>0</v>
      </c>
      <c r="G63" s="1">
        <f t="shared" si="13"/>
        <v>0</v>
      </c>
      <c r="H63" s="1">
        <f t="shared" si="13"/>
        <v>0</v>
      </c>
      <c r="I63" s="1">
        <f t="shared" si="13"/>
        <v>0</v>
      </c>
      <c r="J63" s="1">
        <f t="shared" si="13"/>
        <v>0</v>
      </c>
      <c r="K63" s="1">
        <f t="shared" si="13"/>
        <v>454.9</v>
      </c>
      <c r="L63" s="1">
        <f t="shared" si="13"/>
        <v>24987.24</v>
      </c>
      <c r="M63" s="1">
        <f t="shared" si="13"/>
        <v>7805.52</v>
      </c>
      <c r="N63" s="1">
        <f t="shared" si="13"/>
        <v>9215.82</v>
      </c>
      <c r="O63" s="1">
        <f t="shared" si="13"/>
        <v>4988.8</v>
      </c>
      <c r="P63" s="1">
        <f t="shared" si="13"/>
        <v>16706.04</v>
      </c>
      <c r="Q63" s="1">
        <f t="shared" si="13"/>
        <v>20574.240000000002</v>
      </c>
      <c r="R63" s="1">
        <f t="shared" si="13"/>
        <v>13276.62</v>
      </c>
      <c r="S63" s="1">
        <f t="shared" si="13"/>
        <v>11056.5</v>
      </c>
      <c r="T63" s="1">
        <f t="shared" si="13"/>
        <v>9904.44</v>
      </c>
      <c r="U63" s="1">
        <f t="shared" si="13"/>
        <v>18989.300000000003</v>
      </c>
      <c r="V63" s="1">
        <f t="shared" si="13"/>
        <v>5703.1</v>
      </c>
      <c r="W63" s="1">
        <f t="shared" si="13"/>
        <v>12260.659999999998</v>
      </c>
      <c r="X63" s="1">
        <f t="shared" si="13"/>
        <v>8237.8000000000011</v>
      </c>
      <c r="Y63" s="1">
        <f t="shared" si="13"/>
        <v>8261.880000000001</v>
      </c>
      <c r="Z63" s="1">
        <f t="shared" si="13"/>
        <v>228.26000000000005</v>
      </c>
      <c r="AA63" s="1">
        <f t="shared" si="13"/>
        <v>-330.36</v>
      </c>
      <c r="AB63" s="1">
        <f t="shared" si="13"/>
        <v>0</v>
      </c>
      <c r="AC63" s="1">
        <f t="shared" si="13"/>
        <v>587.79999999999995</v>
      </c>
      <c r="AD63" s="1">
        <f t="shared" si="13"/>
        <v>-220.16</v>
      </c>
      <c r="AE63" s="1">
        <f t="shared" si="13"/>
        <v>673.81999999999994</v>
      </c>
      <c r="AF63" s="1">
        <f t="shared" si="13"/>
        <v>528.26</v>
      </c>
      <c r="AG63" s="1">
        <f t="shared" si="13"/>
        <v>741.36</v>
      </c>
      <c r="AH63" s="1">
        <f t="shared" si="13"/>
        <v>417.7</v>
      </c>
      <c r="AI63" s="1">
        <f t="shared" si="13"/>
        <v>341.48</v>
      </c>
      <c r="AJ63" s="1">
        <f t="shared" si="13"/>
        <v>922.63999999999987</v>
      </c>
      <c r="AK63" s="1">
        <f t="shared" si="13"/>
        <v>0</v>
      </c>
      <c r="AL63" s="1">
        <f t="shared" si="13"/>
        <v>0</v>
      </c>
      <c r="AM63" s="1">
        <f t="shared" si="13"/>
        <v>0</v>
      </c>
      <c r="AN63" s="1">
        <f t="shared" si="13"/>
        <v>323.2</v>
      </c>
      <c r="AO63" s="1">
        <f t="shared" si="13"/>
        <v>-33.840000000000003</v>
      </c>
      <c r="AP63" s="1">
        <f t="shared" si="13"/>
        <v>0</v>
      </c>
      <c r="AQ63" s="1">
        <f t="shared" si="13"/>
        <v>0</v>
      </c>
      <c r="AR63" s="3">
        <f t="shared" si="14"/>
        <v>176603.02000000008</v>
      </c>
      <c r="AS63" s="119">
        <f t="shared" si="12"/>
        <v>2.2144824526928775E-2</v>
      </c>
    </row>
    <row r="64" spans="1:45" x14ac:dyDescent="0.25">
      <c r="C64" t="s">
        <v>192</v>
      </c>
      <c r="D64" s="1">
        <f t="shared" si="15"/>
        <v>0</v>
      </c>
      <c r="E64" s="1">
        <f t="shared" si="13"/>
        <v>0</v>
      </c>
      <c r="F64" s="1">
        <f t="shared" si="13"/>
        <v>0</v>
      </c>
      <c r="G64" s="1">
        <f t="shared" si="13"/>
        <v>1073.76</v>
      </c>
      <c r="H64" s="1">
        <f t="shared" si="13"/>
        <v>0</v>
      </c>
      <c r="I64" s="1">
        <f t="shared" si="13"/>
        <v>453.18</v>
      </c>
      <c r="J64" s="1">
        <f t="shared" si="13"/>
        <v>1266.5999999999999</v>
      </c>
      <c r="K64" s="1">
        <f t="shared" si="13"/>
        <v>15610.32</v>
      </c>
      <c r="L64" s="1">
        <f t="shared" si="13"/>
        <v>0</v>
      </c>
      <c r="M64" s="1">
        <f t="shared" si="13"/>
        <v>31503.24</v>
      </c>
      <c r="N64" s="1">
        <f t="shared" si="13"/>
        <v>3728.72</v>
      </c>
      <c r="O64" s="1">
        <f t="shared" si="13"/>
        <v>9488.0399999999991</v>
      </c>
      <c r="P64" s="1">
        <f t="shared" si="13"/>
        <v>22877.520000000004</v>
      </c>
      <c r="Q64" s="1">
        <f t="shared" si="13"/>
        <v>29227.719999999998</v>
      </c>
      <c r="R64" s="1">
        <f t="shared" si="13"/>
        <v>33464.560000000005</v>
      </c>
      <c r="S64" s="1">
        <f t="shared" si="13"/>
        <v>13302.100000000002</v>
      </c>
      <c r="T64" s="1">
        <f t="shared" si="13"/>
        <v>14278.8</v>
      </c>
      <c r="U64" s="1">
        <f t="shared" si="13"/>
        <v>26976.100000000006</v>
      </c>
      <c r="V64" s="1">
        <f t="shared" si="13"/>
        <v>8648.0259999999998</v>
      </c>
      <c r="W64" s="1">
        <f t="shared" si="13"/>
        <v>22010.36</v>
      </c>
      <c r="X64" s="1">
        <f t="shared" si="13"/>
        <v>14331.779999999999</v>
      </c>
      <c r="Y64" s="1">
        <f t="shared" si="13"/>
        <v>8913</v>
      </c>
      <c r="Z64" s="1">
        <f t="shared" si="13"/>
        <v>1542.3600000000001</v>
      </c>
      <c r="AA64" s="1">
        <f t="shared" si="13"/>
        <v>2182.1400000000003</v>
      </c>
      <c r="AB64" s="1">
        <f t="shared" si="13"/>
        <v>2127.48</v>
      </c>
      <c r="AC64" s="1">
        <f t="shared" si="13"/>
        <v>1731.42</v>
      </c>
      <c r="AD64" s="1">
        <f t="shared" si="13"/>
        <v>762.96</v>
      </c>
      <c r="AE64" s="1">
        <f t="shared" si="13"/>
        <v>0</v>
      </c>
      <c r="AF64" s="1">
        <f t="shared" si="13"/>
        <v>-117.06</v>
      </c>
      <c r="AG64" s="1">
        <f t="shared" si="13"/>
        <v>-704.68</v>
      </c>
      <c r="AH64" s="1">
        <f t="shared" si="13"/>
        <v>6311.28</v>
      </c>
      <c r="AI64" s="1">
        <f t="shared" si="13"/>
        <v>1150.6500000000001</v>
      </c>
      <c r="AJ64" s="1">
        <f t="shared" si="13"/>
        <v>2960.16</v>
      </c>
      <c r="AK64" s="1">
        <f t="shared" si="13"/>
        <v>-26.46</v>
      </c>
      <c r="AL64" s="1">
        <f t="shared" si="13"/>
        <v>0</v>
      </c>
      <c r="AM64" s="1">
        <f t="shared" si="13"/>
        <v>0</v>
      </c>
      <c r="AN64" s="1">
        <f t="shared" si="13"/>
        <v>0</v>
      </c>
      <c r="AO64" s="1">
        <f t="shared" si="13"/>
        <v>0</v>
      </c>
      <c r="AP64" s="1">
        <f t="shared" si="13"/>
        <v>0</v>
      </c>
      <c r="AQ64" s="1">
        <f t="shared" si="13"/>
        <v>0</v>
      </c>
      <c r="AR64" s="3">
        <f t="shared" si="14"/>
        <v>275074.07600000006</v>
      </c>
      <c r="AS64" s="119">
        <f t="shared" si="12"/>
        <v>3.4492429092815448E-2</v>
      </c>
    </row>
    <row r="65" spans="1:45" x14ac:dyDescent="0.25">
      <c r="C65" t="s">
        <v>133</v>
      </c>
      <c r="D65" s="1">
        <f t="shared" si="15"/>
        <v>0</v>
      </c>
      <c r="E65" s="1">
        <f t="shared" si="13"/>
        <v>0</v>
      </c>
      <c r="F65" s="1">
        <f t="shared" si="13"/>
        <v>0</v>
      </c>
      <c r="G65" s="1">
        <f t="shared" si="13"/>
        <v>0</v>
      </c>
      <c r="H65" s="1">
        <f t="shared" si="13"/>
        <v>0</v>
      </c>
      <c r="I65" s="1">
        <f t="shared" si="13"/>
        <v>0</v>
      </c>
      <c r="J65" s="1">
        <f t="shared" si="13"/>
        <v>0</v>
      </c>
      <c r="K65" s="1">
        <f t="shared" si="13"/>
        <v>0</v>
      </c>
      <c r="L65" s="1">
        <f t="shared" si="13"/>
        <v>2653.0649999999996</v>
      </c>
      <c r="M65" s="1">
        <f t="shared" si="13"/>
        <v>1758.7350000000001</v>
      </c>
      <c r="N65" s="1">
        <f t="shared" si="13"/>
        <v>4007.7269999999999</v>
      </c>
      <c r="O65" s="1">
        <f t="shared" si="13"/>
        <v>4725.3</v>
      </c>
      <c r="P65" s="1">
        <f t="shared" si="13"/>
        <v>9278.8019999999997</v>
      </c>
      <c r="Q65" s="1">
        <f t="shared" si="13"/>
        <v>8160.2624999999998</v>
      </c>
      <c r="R65" s="1">
        <f t="shared" si="13"/>
        <v>5621.53</v>
      </c>
      <c r="S65" s="1">
        <f t="shared" si="13"/>
        <v>8888.143</v>
      </c>
      <c r="T65" s="1">
        <f t="shared" si="13"/>
        <v>11980.944</v>
      </c>
      <c r="U65" s="1">
        <f t="shared" si="13"/>
        <v>8858.3889999999992</v>
      </c>
      <c r="V65" s="1">
        <f t="shared" si="13"/>
        <v>4452.0039999999999</v>
      </c>
      <c r="W65" s="1">
        <f t="shared" ref="E65:AQ71" si="16">+W41+W17</f>
        <v>5431.2259999999997</v>
      </c>
      <c r="X65" s="1">
        <f t="shared" si="16"/>
        <v>6496.9550000000017</v>
      </c>
      <c r="Y65" s="1">
        <f t="shared" si="16"/>
        <v>3938.1300000000006</v>
      </c>
      <c r="Z65" s="1">
        <f t="shared" si="16"/>
        <v>2421.4549999999999</v>
      </c>
      <c r="AA65" s="1">
        <f t="shared" si="16"/>
        <v>1635.5959999999998</v>
      </c>
      <c r="AB65" s="1">
        <f t="shared" si="16"/>
        <v>1439.7629999999999</v>
      </c>
      <c r="AC65" s="1">
        <f t="shared" si="16"/>
        <v>799.99500000000012</v>
      </c>
      <c r="AD65" s="1">
        <f t="shared" si="16"/>
        <v>733.476</v>
      </c>
      <c r="AE65" s="1">
        <f t="shared" si="16"/>
        <v>503.59499999999991</v>
      </c>
      <c r="AF65" s="1">
        <f t="shared" si="16"/>
        <v>1024.1759999999999</v>
      </c>
      <c r="AG65" s="1">
        <f t="shared" si="16"/>
        <v>751.88700000000006</v>
      </c>
      <c r="AH65" s="1">
        <f t="shared" si="16"/>
        <v>515.375</v>
      </c>
      <c r="AI65" s="1">
        <f t="shared" si="16"/>
        <v>768.64499999999998</v>
      </c>
      <c r="AJ65" s="1">
        <f t="shared" si="16"/>
        <v>167.86499999999998</v>
      </c>
      <c r="AK65" s="1">
        <f t="shared" si="16"/>
        <v>0</v>
      </c>
      <c r="AL65" s="1">
        <f t="shared" si="16"/>
        <v>291.55499999999995</v>
      </c>
      <c r="AM65" s="1">
        <f t="shared" si="16"/>
        <v>265.05</v>
      </c>
      <c r="AN65" s="1">
        <f t="shared" si="16"/>
        <v>238.54499999999999</v>
      </c>
      <c r="AO65" s="1">
        <f t="shared" si="16"/>
        <v>0</v>
      </c>
      <c r="AP65" s="1">
        <f t="shared" si="16"/>
        <v>0</v>
      </c>
      <c r="AQ65" s="1">
        <f t="shared" si="16"/>
        <v>0</v>
      </c>
      <c r="AR65" s="3">
        <f t="shared" si="14"/>
        <v>97808.190500000012</v>
      </c>
      <c r="AS65" s="119">
        <f t="shared" si="12"/>
        <v>1.2264485714451096E-2</v>
      </c>
    </row>
    <row r="66" spans="1:45" x14ac:dyDescent="0.25">
      <c r="C66" t="s">
        <v>41</v>
      </c>
      <c r="D66" s="1">
        <f t="shared" si="15"/>
        <v>0</v>
      </c>
      <c r="E66" s="1">
        <f t="shared" si="16"/>
        <v>0</v>
      </c>
      <c r="F66" s="1">
        <f t="shared" si="16"/>
        <v>0</v>
      </c>
      <c r="G66" s="1">
        <f t="shared" si="16"/>
        <v>0</v>
      </c>
      <c r="H66" s="1">
        <f t="shared" si="16"/>
        <v>12551.256000000001</v>
      </c>
      <c r="I66" s="1">
        <f t="shared" si="16"/>
        <v>0</v>
      </c>
      <c r="J66" s="1">
        <f t="shared" si="16"/>
        <v>-14.5136</v>
      </c>
      <c r="K66" s="1">
        <f t="shared" si="16"/>
        <v>453.90719999999999</v>
      </c>
      <c r="L66" s="1">
        <f t="shared" si="16"/>
        <v>35400.682000000001</v>
      </c>
      <c r="M66" s="1">
        <f t="shared" si="16"/>
        <v>17985.414799999999</v>
      </c>
      <c r="N66" s="1">
        <f t="shared" si="16"/>
        <v>23640.436000000002</v>
      </c>
      <c r="O66" s="1">
        <f t="shared" si="16"/>
        <v>35568.19</v>
      </c>
      <c r="P66" s="1">
        <f t="shared" si="16"/>
        <v>45853.726400000007</v>
      </c>
      <c r="Q66" s="1">
        <f t="shared" si="16"/>
        <v>60891.094400000002</v>
      </c>
      <c r="R66" s="1">
        <f t="shared" si="16"/>
        <v>56021.725199999993</v>
      </c>
      <c r="S66" s="1">
        <f t="shared" si="16"/>
        <v>44573.070400000004</v>
      </c>
      <c r="T66" s="1">
        <f t="shared" si="16"/>
        <v>67045.857199999999</v>
      </c>
      <c r="U66" s="1">
        <f t="shared" si="16"/>
        <v>64573.694799999997</v>
      </c>
      <c r="V66" s="1">
        <f t="shared" si="16"/>
        <v>41812.694599999995</v>
      </c>
      <c r="W66" s="1">
        <f t="shared" si="16"/>
        <v>36962.285199999998</v>
      </c>
      <c r="X66" s="1">
        <f t="shared" si="16"/>
        <v>58949.5432</v>
      </c>
      <c r="Y66" s="1">
        <f t="shared" si="16"/>
        <v>49300.631199999996</v>
      </c>
      <c r="Z66" s="1">
        <f t="shared" si="16"/>
        <v>10847.4496</v>
      </c>
      <c r="AA66" s="1">
        <f t="shared" si="16"/>
        <v>8213.9455999999991</v>
      </c>
      <c r="AB66" s="1">
        <f t="shared" si="16"/>
        <v>4680.0156000000006</v>
      </c>
      <c r="AC66" s="1">
        <f t="shared" si="16"/>
        <v>5347.3404</v>
      </c>
      <c r="AD66" s="1">
        <f t="shared" si="16"/>
        <v>3434.5907999999999</v>
      </c>
      <c r="AE66" s="1">
        <f t="shared" si="16"/>
        <v>6407.7167999999992</v>
      </c>
      <c r="AF66" s="1">
        <f t="shared" si="16"/>
        <v>5941.9279999999999</v>
      </c>
      <c r="AG66" s="1">
        <f t="shared" si="16"/>
        <v>4133.4056</v>
      </c>
      <c r="AH66" s="1">
        <f t="shared" si="16"/>
        <v>8011.2063999999991</v>
      </c>
      <c r="AI66" s="1">
        <f t="shared" si="16"/>
        <v>5686.4642000000003</v>
      </c>
      <c r="AJ66" s="1">
        <f t="shared" si="16"/>
        <v>5673.0691999999999</v>
      </c>
      <c r="AK66" s="1">
        <f t="shared" si="16"/>
        <v>3545.8116000000005</v>
      </c>
      <c r="AL66" s="1">
        <f t="shared" si="16"/>
        <v>1890.7536000000002</v>
      </c>
      <c r="AM66" s="1">
        <f t="shared" si="16"/>
        <v>2722.1460000000002</v>
      </c>
      <c r="AN66" s="1">
        <f t="shared" si="16"/>
        <v>1008.5260000000001</v>
      </c>
      <c r="AO66" s="1">
        <f t="shared" si="16"/>
        <v>1479.5976000000003</v>
      </c>
      <c r="AP66" s="1">
        <f t="shared" si="16"/>
        <v>0</v>
      </c>
      <c r="AQ66" s="1">
        <f t="shared" si="16"/>
        <v>0</v>
      </c>
      <c r="AR66" s="3">
        <f t="shared" ref="AR66:AR71" si="17">+AR42+AR18</f>
        <v>730593.66200000001</v>
      </c>
      <c r="AS66" s="119">
        <f t="shared" si="12"/>
        <v>9.161150497582829E-2</v>
      </c>
    </row>
    <row r="67" spans="1:45" x14ac:dyDescent="0.25">
      <c r="C67" t="s">
        <v>193</v>
      </c>
      <c r="D67" s="1">
        <f t="shared" si="15"/>
        <v>0</v>
      </c>
      <c r="E67" s="1">
        <f t="shared" si="16"/>
        <v>0</v>
      </c>
      <c r="F67" s="1">
        <f t="shared" si="16"/>
        <v>0</v>
      </c>
      <c r="G67" s="1">
        <f t="shared" si="16"/>
        <v>0</v>
      </c>
      <c r="H67" s="1">
        <f t="shared" si="16"/>
        <v>0</v>
      </c>
      <c r="I67" s="1">
        <f t="shared" si="16"/>
        <v>0</v>
      </c>
      <c r="J67" s="1">
        <f t="shared" si="16"/>
        <v>0</v>
      </c>
      <c r="K67" s="1">
        <f t="shared" si="16"/>
        <v>0</v>
      </c>
      <c r="L67" s="1">
        <f t="shared" si="16"/>
        <v>0</v>
      </c>
      <c r="M67" s="1">
        <f t="shared" si="16"/>
        <v>0</v>
      </c>
      <c r="N67" s="1">
        <f t="shared" si="16"/>
        <v>0</v>
      </c>
      <c r="O67" s="1">
        <f t="shared" si="16"/>
        <v>0</v>
      </c>
      <c r="P67" s="1">
        <f t="shared" si="16"/>
        <v>0</v>
      </c>
      <c r="Q67" s="1">
        <f t="shared" si="16"/>
        <v>0</v>
      </c>
      <c r="R67" s="1">
        <f t="shared" si="16"/>
        <v>0</v>
      </c>
      <c r="S67" s="1">
        <f t="shared" si="16"/>
        <v>0</v>
      </c>
      <c r="T67" s="1">
        <f t="shared" si="16"/>
        <v>0</v>
      </c>
      <c r="U67" s="1">
        <f t="shared" si="16"/>
        <v>0</v>
      </c>
      <c r="V67" s="1">
        <f t="shared" si="16"/>
        <v>0</v>
      </c>
      <c r="W67" s="1">
        <f t="shared" si="16"/>
        <v>0</v>
      </c>
      <c r="X67" s="1">
        <f t="shared" si="16"/>
        <v>0</v>
      </c>
      <c r="Y67" s="1">
        <f t="shared" si="16"/>
        <v>0</v>
      </c>
      <c r="Z67" s="1">
        <f t="shared" si="16"/>
        <v>0</v>
      </c>
      <c r="AA67" s="1">
        <f t="shared" si="16"/>
        <v>0</v>
      </c>
      <c r="AB67" s="1">
        <f t="shared" si="16"/>
        <v>0</v>
      </c>
      <c r="AC67" s="1">
        <f t="shared" si="16"/>
        <v>0</v>
      </c>
      <c r="AD67" s="1">
        <f t="shared" si="16"/>
        <v>0</v>
      </c>
      <c r="AE67" s="1">
        <f t="shared" si="16"/>
        <v>0</v>
      </c>
      <c r="AF67" s="1">
        <f t="shared" si="16"/>
        <v>0</v>
      </c>
      <c r="AG67" s="1">
        <f t="shared" si="16"/>
        <v>0</v>
      </c>
      <c r="AH67" s="1">
        <f t="shared" si="16"/>
        <v>0</v>
      </c>
      <c r="AI67" s="1">
        <f t="shared" si="16"/>
        <v>0</v>
      </c>
      <c r="AJ67" s="1">
        <f t="shared" si="16"/>
        <v>0</v>
      </c>
      <c r="AK67" s="1">
        <f t="shared" si="16"/>
        <v>0</v>
      </c>
      <c r="AL67" s="1">
        <f t="shared" si="16"/>
        <v>0</v>
      </c>
      <c r="AM67" s="1">
        <f t="shared" si="16"/>
        <v>0</v>
      </c>
      <c r="AN67" s="1">
        <f t="shared" si="16"/>
        <v>0</v>
      </c>
      <c r="AO67" s="1">
        <f t="shared" si="16"/>
        <v>0</v>
      </c>
      <c r="AP67" s="1">
        <f t="shared" si="16"/>
        <v>0</v>
      </c>
      <c r="AQ67" s="1">
        <f t="shared" si="16"/>
        <v>0</v>
      </c>
      <c r="AR67" s="3">
        <f t="shared" si="17"/>
        <v>0</v>
      </c>
      <c r="AS67" s="119">
        <f t="shared" si="12"/>
        <v>0</v>
      </c>
    </row>
    <row r="68" spans="1:45" x14ac:dyDescent="0.25">
      <c r="C68" t="s">
        <v>323</v>
      </c>
      <c r="D68" s="1">
        <f t="shared" si="15"/>
        <v>0</v>
      </c>
      <c r="E68" s="1">
        <f t="shared" si="16"/>
        <v>0</v>
      </c>
      <c r="F68" s="1">
        <f t="shared" si="16"/>
        <v>0</v>
      </c>
      <c r="G68" s="1">
        <f t="shared" si="16"/>
        <v>0</v>
      </c>
      <c r="H68" s="1">
        <f t="shared" si="16"/>
        <v>0</v>
      </c>
      <c r="I68" s="1">
        <f t="shared" si="16"/>
        <v>0</v>
      </c>
      <c r="J68" s="1">
        <f t="shared" si="16"/>
        <v>0</v>
      </c>
      <c r="K68" s="1">
        <f t="shared" si="16"/>
        <v>0</v>
      </c>
      <c r="L68" s="1">
        <f t="shared" si="16"/>
        <v>0</v>
      </c>
      <c r="M68" s="1">
        <f t="shared" si="16"/>
        <v>0</v>
      </c>
      <c r="N68" s="1">
        <f t="shared" si="16"/>
        <v>0</v>
      </c>
      <c r="O68" s="1">
        <f t="shared" si="16"/>
        <v>0</v>
      </c>
      <c r="P68" s="1">
        <f t="shared" si="16"/>
        <v>0</v>
      </c>
      <c r="Q68" s="1">
        <f t="shared" si="16"/>
        <v>0</v>
      </c>
      <c r="R68" s="1">
        <f t="shared" si="16"/>
        <v>0</v>
      </c>
      <c r="S68" s="1">
        <f t="shared" si="16"/>
        <v>0</v>
      </c>
      <c r="T68" s="1">
        <f t="shared" si="16"/>
        <v>0</v>
      </c>
      <c r="U68" s="1">
        <f t="shared" si="16"/>
        <v>0</v>
      </c>
      <c r="V68" s="1">
        <f t="shared" si="16"/>
        <v>0</v>
      </c>
      <c r="W68" s="1">
        <f t="shared" si="16"/>
        <v>0</v>
      </c>
      <c r="X68" s="1">
        <f t="shared" si="16"/>
        <v>0</v>
      </c>
      <c r="Y68" s="1">
        <f t="shared" si="16"/>
        <v>0</v>
      </c>
      <c r="Z68" s="1">
        <f t="shared" si="16"/>
        <v>0</v>
      </c>
      <c r="AA68" s="1">
        <f t="shared" si="16"/>
        <v>0</v>
      </c>
      <c r="AB68" s="1">
        <f t="shared" si="16"/>
        <v>0</v>
      </c>
      <c r="AC68" s="1">
        <f t="shared" si="16"/>
        <v>0</v>
      </c>
      <c r="AD68" s="1">
        <f t="shared" si="16"/>
        <v>0</v>
      </c>
      <c r="AE68" s="1">
        <f t="shared" si="16"/>
        <v>0</v>
      </c>
      <c r="AF68" s="1">
        <f t="shared" si="16"/>
        <v>0</v>
      </c>
      <c r="AG68" s="1">
        <f t="shared" si="16"/>
        <v>0</v>
      </c>
      <c r="AH68" s="1">
        <f t="shared" si="16"/>
        <v>0</v>
      </c>
      <c r="AI68" s="1">
        <f t="shared" si="16"/>
        <v>0</v>
      </c>
      <c r="AJ68" s="1">
        <f t="shared" si="16"/>
        <v>0</v>
      </c>
      <c r="AK68" s="1">
        <f t="shared" si="16"/>
        <v>0</v>
      </c>
      <c r="AL68" s="1">
        <f t="shared" si="16"/>
        <v>0</v>
      </c>
      <c r="AM68" s="1">
        <f t="shared" si="16"/>
        <v>0</v>
      </c>
      <c r="AN68" s="1">
        <f t="shared" si="16"/>
        <v>0</v>
      </c>
      <c r="AO68" s="1">
        <f t="shared" si="16"/>
        <v>0</v>
      </c>
      <c r="AP68" s="1">
        <f t="shared" si="16"/>
        <v>0</v>
      </c>
      <c r="AQ68" s="1">
        <f t="shared" si="16"/>
        <v>0</v>
      </c>
      <c r="AR68" s="3">
        <f t="shared" si="17"/>
        <v>0</v>
      </c>
      <c r="AS68" s="119">
        <f t="shared" si="12"/>
        <v>0</v>
      </c>
    </row>
    <row r="69" spans="1:45" x14ac:dyDescent="0.25">
      <c r="C69" t="s">
        <v>296</v>
      </c>
      <c r="D69" s="1">
        <f t="shared" si="15"/>
        <v>0</v>
      </c>
      <c r="E69" s="1">
        <f t="shared" si="16"/>
        <v>0</v>
      </c>
      <c r="F69" s="1">
        <f t="shared" si="16"/>
        <v>0</v>
      </c>
      <c r="G69" s="1">
        <f t="shared" si="16"/>
        <v>885.55200000000013</v>
      </c>
      <c r="H69" s="1">
        <f t="shared" si="16"/>
        <v>-161.52850000000001</v>
      </c>
      <c r="I69" s="1">
        <f t="shared" si="16"/>
        <v>-1.976</v>
      </c>
      <c r="J69" s="1">
        <f t="shared" si="16"/>
        <v>-7.9039999999999999</v>
      </c>
      <c r="K69" s="1">
        <f t="shared" si="16"/>
        <v>0</v>
      </c>
      <c r="L69" s="1">
        <f t="shared" si="16"/>
        <v>1279.498</v>
      </c>
      <c r="M69" s="1">
        <f t="shared" si="16"/>
        <v>1873.723</v>
      </c>
      <c r="N69" s="1">
        <f t="shared" si="16"/>
        <v>2772.9360000000001</v>
      </c>
      <c r="O69" s="1">
        <f t="shared" si="16"/>
        <v>3452.2620000000002</v>
      </c>
      <c r="P69" s="1">
        <f t="shared" si="16"/>
        <v>4871.6190000000006</v>
      </c>
      <c r="Q69" s="1">
        <f t="shared" si="16"/>
        <v>3990.5129999999999</v>
      </c>
      <c r="R69" s="1">
        <f t="shared" si="16"/>
        <v>3377.3450000000003</v>
      </c>
      <c r="S69" s="1">
        <f t="shared" si="16"/>
        <v>5174.5549999999994</v>
      </c>
      <c r="T69" s="1">
        <f t="shared" si="16"/>
        <v>6528.951</v>
      </c>
      <c r="U69" s="1">
        <f t="shared" si="16"/>
        <v>7019.3980000000001</v>
      </c>
      <c r="V69" s="1">
        <f t="shared" si="16"/>
        <v>4509.2129999999997</v>
      </c>
      <c r="W69" s="1">
        <f t="shared" si="16"/>
        <v>5526.7010000000009</v>
      </c>
      <c r="X69" s="1">
        <f t="shared" si="16"/>
        <v>3948.01</v>
      </c>
      <c r="Y69" s="1">
        <f t="shared" si="16"/>
        <v>3032.1340000000005</v>
      </c>
      <c r="Z69" s="1">
        <f t="shared" si="16"/>
        <v>1841.6889999999999</v>
      </c>
      <c r="AA69" s="1">
        <f t="shared" si="16"/>
        <v>2239.2069999999999</v>
      </c>
      <c r="AB69" s="1">
        <f t="shared" si="16"/>
        <v>1827.933</v>
      </c>
      <c r="AC69" s="1">
        <f t="shared" si="16"/>
        <v>1316.7570000000001</v>
      </c>
      <c r="AD69" s="1">
        <f t="shared" si="16"/>
        <v>291.55499999999995</v>
      </c>
      <c r="AE69" s="1">
        <f t="shared" si="16"/>
        <v>1495.7180000000001</v>
      </c>
      <c r="AF69" s="1">
        <f t="shared" si="16"/>
        <v>653.79000000000008</v>
      </c>
      <c r="AG69" s="1">
        <f t="shared" si="16"/>
        <v>265.05</v>
      </c>
      <c r="AH69" s="1">
        <f t="shared" si="16"/>
        <v>633.745</v>
      </c>
      <c r="AI69" s="1">
        <f t="shared" si="16"/>
        <v>371.07000000000005</v>
      </c>
      <c r="AJ69" s="1">
        <f t="shared" si="16"/>
        <v>911.33500000000004</v>
      </c>
      <c r="AK69" s="1">
        <f t="shared" si="16"/>
        <v>397.57499999999999</v>
      </c>
      <c r="AL69" s="1">
        <f t="shared" si="16"/>
        <v>265.05</v>
      </c>
      <c r="AM69" s="1">
        <f t="shared" si="16"/>
        <v>398.37299999999999</v>
      </c>
      <c r="AN69" s="1">
        <f t="shared" si="16"/>
        <v>-17.670000000000002</v>
      </c>
      <c r="AO69" s="1">
        <f t="shared" si="16"/>
        <v>0</v>
      </c>
      <c r="AP69" s="1">
        <f t="shared" si="16"/>
        <v>0</v>
      </c>
      <c r="AQ69" s="1">
        <f t="shared" si="16"/>
        <v>0</v>
      </c>
      <c r="AR69" s="3">
        <f t="shared" si="17"/>
        <v>70962.178500000009</v>
      </c>
      <c r="AS69" s="119">
        <f t="shared" si="12"/>
        <v>8.8981773410845254E-3</v>
      </c>
    </row>
    <row r="70" spans="1:45" x14ac:dyDescent="0.25">
      <c r="C70" t="s">
        <v>44</v>
      </c>
      <c r="D70" s="1">
        <f t="shared" si="15"/>
        <v>0</v>
      </c>
      <c r="E70" s="1">
        <f t="shared" si="16"/>
        <v>0</v>
      </c>
      <c r="F70" s="1">
        <f t="shared" si="16"/>
        <v>0</v>
      </c>
      <c r="G70" s="1">
        <f t="shared" si="16"/>
        <v>5479.8000000000029</v>
      </c>
      <c r="H70" s="1">
        <f t="shared" si="16"/>
        <v>12632.76</v>
      </c>
      <c r="I70" s="1">
        <f t="shared" si="16"/>
        <v>3514.3</v>
      </c>
      <c r="J70" s="1">
        <f t="shared" si="16"/>
        <v>4058.8399999999992</v>
      </c>
      <c r="K70" s="1">
        <f t="shared" si="16"/>
        <v>5528.6399999999994</v>
      </c>
      <c r="L70" s="1">
        <f t="shared" si="16"/>
        <v>65359.780000000013</v>
      </c>
      <c r="M70" s="1">
        <f t="shared" si="16"/>
        <v>77332.7</v>
      </c>
      <c r="N70" s="1">
        <f t="shared" si="16"/>
        <v>102912.84000000003</v>
      </c>
      <c r="O70" s="1">
        <f t="shared" si="16"/>
        <v>151168.65000000002</v>
      </c>
      <c r="P70" s="1">
        <f t="shared" si="16"/>
        <v>220613.74</v>
      </c>
      <c r="Q70" s="1">
        <f t="shared" si="16"/>
        <v>226907.23</v>
      </c>
      <c r="R70" s="1">
        <f t="shared" si="16"/>
        <v>252807.35000000003</v>
      </c>
      <c r="S70" s="1">
        <f t="shared" si="16"/>
        <v>282706.70000000007</v>
      </c>
      <c r="T70" s="1">
        <f t="shared" si="16"/>
        <v>262156.61999999994</v>
      </c>
      <c r="U70" s="1">
        <f t="shared" si="16"/>
        <v>302938.37</v>
      </c>
      <c r="V70" s="1">
        <f t="shared" si="16"/>
        <v>228004.38000000003</v>
      </c>
      <c r="W70" s="1">
        <f t="shared" si="16"/>
        <v>258466.96</v>
      </c>
      <c r="X70" s="1">
        <f t="shared" si="16"/>
        <v>189639.34</v>
      </c>
      <c r="Y70" s="1">
        <f t="shared" si="16"/>
        <v>90191.16</v>
      </c>
      <c r="Z70" s="1">
        <f t="shared" si="16"/>
        <v>55253.430000000008</v>
      </c>
      <c r="AA70" s="1">
        <f t="shared" si="16"/>
        <v>40672.660000000003</v>
      </c>
      <c r="AB70" s="1">
        <f t="shared" si="16"/>
        <v>25015.260000000002</v>
      </c>
      <c r="AC70" s="1">
        <f t="shared" si="16"/>
        <v>22475.020000000004</v>
      </c>
      <c r="AD70" s="1">
        <f t="shared" si="16"/>
        <v>7208.2799999999988</v>
      </c>
      <c r="AE70" s="1">
        <f t="shared" si="16"/>
        <v>13101.94</v>
      </c>
      <c r="AF70" s="1">
        <f t="shared" si="16"/>
        <v>10099.52</v>
      </c>
      <c r="AG70" s="1">
        <f t="shared" si="16"/>
        <v>7052.5</v>
      </c>
      <c r="AH70" s="1">
        <f t="shared" si="16"/>
        <v>14242.770000000006</v>
      </c>
      <c r="AI70" s="1">
        <f t="shared" si="16"/>
        <v>7975.3500000000022</v>
      </c>
      <c r="AJ70" s="1">
        <f t="shared" si="16"/>
        <v>15960.659999999996</v>
      </c>
      <c r="AK70" s="1">
        <f t="shared" si="16"/>
        <v>6859.8070000000007</v>
      </c>
      <c r="AL70" s="1">
        <f t="shared" si="16"/>
        <v>8690.1999999999989</v>
      </c>
      <c r="AM70" s="1">
        <f t="shared" si="16"/>
        <v>1878.3999999999996</v>
      </c>
      <c r="AN70" s="1">
        <f t="shared" si="16"/>
        <v>3148.67</v>
      </c>
      <c r="AO70" s="1">
        <f t="shared" si="16"/>
        <v>487.26</v>
      </c>
      <c r="AP70" s="1">
        <f t="shared" si="16"/>
        <v>506.06</v>
      </c>
      <c r="AQ70" s="1">
        <f t="shared" si="16"/>
        <v>0</v>
      </c>
      <c r="AR70" s="3">
        <f t="shared" si="17"/>
        <v>2983047.9469999997</v>
      </c>
      <c r="AS70" s="119">
        <f t="shared" si="12"/>
        <v>0.37405404132800274</v>
      </c>
    </row>
    <row r="71" spans="1:45" x14ac:dyDescent="0.25">
      <c r="C71" t="s">
        <v>217</v>
      </c>
      <c r="D71" s="1">
        <f t="shared" si="15"/>
        <v>0</v>
      </c>
      <c r="E71" s="1">
        <f t="shared" si="16"/>
        <v>0</v>
      </c>
      <c r="F71" s="1">
        <f t="shared" si="16"/>
        <v>0</v>
      </c>
      <c r="G71" s="1">
        <f t="shared" si="16"/>
        <v>0</v>
      </c>
      <c r="H71" s="1">
        <f t="shared" si="16"/>
        <v>0</v>
      </c>
      <c r="I71" s="1">
        <f t="shared" si="16"/>
        <v>0</v>
      </c>
      <c r="J71" s="1">
        <f t="shared" si="16"/>
        <v>0</v>
      </c>
      <c r="K71" s="1">
        <f t="shared" si="16"/>
        <v>0</v>
      </c>
      <c r="L71" s="1">
        <f t="shared" si="16"/>
        <v>0</v>
      </c>
      <c r="M71" s="1">
        <f t="shared" si="16"/>
        <v>0</v>
      </c>
      <c r="N71" s="1">
        <f t="shared" si="16"/>
        <v>0</v>
      </c>
      <c r="O71" s="1">
        <f t="shared" si="16"/>
        <v>0</v>
      </c>
      <c r="P71" s="1">
        <f t="shared" si="16"/>
        <v>0</v>
      </c>
      <c r="Q71" s="1">
        <f t="shared" si="16"/>
        <v>0</v>
      </c>
      <c r="R71" s="1">
        <f t="shared" si="16"/>
        <v>0</v>
      </c>
      <c r="S71" s="1">
        <f t="shared" si="16"/>
        <v>0</v>
      </c>
      <c r="T71" s="1">
        <f t="shared" si="16"/>
        <v>0</v>
      </c>
      <c r="U71" s="1">
        <f t="shared" si="16"/>
        <v>0</v>
      </c>
      <c r="V71" s="1">
        <f t="shared" si="16"/>
        <v>0</v>
      </c>
      <c r="W71" s="1">
        <f t="shared" si="16"/>
        <v>0</v>
      </c>
      <c r="X71" s="1">
        <f t="shared" si="16"/>
        <v>0</v>
      </c>
      <c r="Y71" s="1">
        <f t="shared" si="16"/>
        <v>0</v>
      </c>
      <c r="Z71" s="1">
        <f t="shared" si="16"/>
        <v>0</v>
      </c>
      <c r="AA71" s="1">
        <f t="shared" si="16"/>
        <v>0</v>
      </c>
      <c r="AB71" s="1">
        <f t="shared" si="16"/>
        <v>0</v>
      </c>
      <c r="AC71" s="1">
        <f t="shared" si="16"/>
        <v>0</v>
      </c>
      <c r="AD71" s="1">
        <f t="shared" si="16"/>
        <v>0</v>
      </c>
      <c r="AE71" s="1">
        <f t="shared" si="16"/>
        <v>0</v>
      </c>
      <c r="AF71" s="1">
        <f t="shared" si="16"/>
        <v>0</v>
      </c>
      <c r="AG71" s="1">
        <f t="shared" si="16"/>
        <v>0</v>
      </c>
      <c r="AH71" s="1">
        <f t="shared" si="16"/>
        <v>0</v>
      </c>
      <c r="AI71" s="1">
        <f t="shared" si="16"/>
        <v>0</v>
      </c>
      <c r="AJ71" s="1">
        <f t="shared" si="16"/>
        <v>0</v>
      </c>
      <c r="AK71" s="1">
        <f t="shared" si="16"/>
        <v>0</v>
      </c>
      <c r="AL71" s="1">
        <f t="shared" si="16"/>
        <v>0</v>
      </c>
      <c r="AM71" s="1">
        <f t="shared" si="16"/>
        <v>0</v>
      </c>
      <c r="AN71" s="1">
        <f t="shared" si="16"/>
        <v>0</v>
      </c>
      <c r="AO71" s="1">
        <f t="shared" si="16"/>
        <v>0</v>
      </c>
      <c r="AP71" s="1">
        <f t="shared" si="16"/>
        <v>0</v>
      </c>
      <c r="AQ71" s="1">
        <f t="shared" si="16"/>
        <v>0</v>
      </c>
      <c r="AR71" s="3">
        <f t="shared" si="17"/>
        <v>0</v>
      </c>
      <c r="AS71" s="119">
        <f t="shared" si="12"/>
        <v>0</v>
      </c>
    </row>
    <row r="72" spans="1:45" x14ac:dyDescent="0.25">
      <c r="A72" s="2" t="s">
        <v>4</v>
      </c>
      <c r="D72" s="3">
        <f>SUM(D52:D71)</f>
        <v>0</v>
      </c>
      <c r="E72" s="3">
        <f t="shared" ref="E72:AQ72" si="18">SUM(E52:E71)</f>
        <v>0</v>
      </c>
      <c r="F72" s="3">
        <f t="shared" si="18"/>
        <v>0</v>
      </c>
      <c r="G72" s="3">
        <f t="shared" si="18"/>
        <v>77149.614600000001</v>
      </c>
      <c r="H72" s="3">
        <f t="shared" si="18"/>
        <v>36871.269500000002</v>
      </c>
      <c r="I72" s="3">
        <f t="shared" si="18"/>
        <v>7274.3114999999998</v>
      </c>
      <c r="J72" s="3">
        <f t="shared" si="18"/>
        <v>21051.983200000002</v>
      </c>
      <c r="K72" s="3">
        <f t="shared" si="18"/>
        <v>53729.841500000002</v>
      </c>
      <c r="L72" s="3">
        <f t="shared" si="18"/>
        <v>271258.57055</v>
      </c>
      <c r="M72" s="3">
        <f t="shared" si="18"/>
        <v>286227.64919999999</v>
      </c>
      <c r="N72" s="3">
        <f t="shared" si="18"/>
        <v>251436.59580000001</v>
      </c>
      <c r="O72" s="3">
        <f t="shared" si="18"/>
        <v>353997.46759999997</v>
      </c>
      <c r="P72" s="3">
        <f t="shared" si="18"/>
        <v>497031.33010000002</v>
      </c>
      <c r="Q72" s="3">
        <f t="shared" si="18"/>
        <v>718343.13770000008</v>
      </c>
      <c r="R72" s="3">
        <f t="shared" si="18"/>
        <v>667606.48249999993</v>
      </c>
      <c r="S72" s="3">
        <f t="shared" si="18"/>
        <v>681759.91305000009</v>
      </c>
      <c r="T72" s="3">
        <f t="shared" si="18"/>
        <v>671368.70824999991</v>
      </c>
      <c r="U72" s="3">
        <f t="shared" si="18"/>
        <v>704301.87705000001</v>
      </c>
      <c r="V72" s="3">
        <f t="shared" si="18"/>
        <v>471773.66325000004</v>
      </c>
      <c r="W72" s="3">
        <f t="shared" si="18"/>
        <v>544983.70319999999</v>
      </c>
      <c r="X72" s="3">
        <f t="shared" si="18"/>
        <v>471896.79940000002</v>
      </c>
      <c r="Y72" s="3">
        <f t="shared" si="18"/>
        <v>306207.20952500001</v>
      </c>
      <c r="Z72" s="3">
        <f t="shared" si="18"/>
        <v>155645.94090000002</v>
      </c>
      <c r="AA72" s="3">
        <f t="shared" si="18"/>
        <v>129245.02559999999</v>
      </c>
      <c r="AB72" s="3">
        <f t="shared" si="18"/>
        <v>92490.274050000007</v>
      </c>
      <c r="AC72" s="3">
        <f t="shared" si="18"/>
        <v>68206.935300000012</v>
      </c>
      <c r="AD72" s="3">
        <f t="shared" si="18"/>
        <v>60089.330399999999</v>
      </c>
      <c r="AE72" s="3">
        <f t="shared" si="18"/>
        <v>43594.143700000001</v>
      </c>
      <c r="AF72" s="3">
        <f t="shared" si="18"/>
        <v>27515.475050000005</v>
      </c>
      <c r="AG72" s="3">
        <f t="shared" si="18"/>
        <v>27445.905799999997</v>
      </c>
      <c r="AH72" s="3">
        <f t="shared" si="18"/>
        <v>101500.44664999998</v>
      </c>
      <c r="AI72" s="3">
        <f t="shared" si="18"/>
        <v>35090.178750000006</v>
      </c>
      <c r="AJ72" s="3">
        <f t="shared" si="18"/>
        <v>52958.4473</v>
      </c>
      <c r="AK72" s="3">
        <f t="shared" si="18"/>
        <v>33465.906200000005</v>
      </c>
      <c r="AL72" s="3">
        <f t="shared" si="18"/>
        <v>26449.964800000002</v>
      </c>
      <c r="AM72" s="3">
        <f t="shared" si="18"/>
        <v>14763.340399999999</v>
      </c>
      <c r="AN72" s="3">
        <f t="shared" si="18"/>
        <v>9707.882999999998</v>
      </c>
      <c r="AO72" s="3">
        <f t="shared" si="18"/>
        <v>1749.4932000000003</v>
      </c>
      <c r="AP72" s="3">
        <f t="shared" si="18"/>
        <v>955.57875000000001</v>
      </c>
      <c r="AQ72" s="3">
        <f t="shared" si="18"/>
        <v>-232.70699999999999</v>
      </c>
      <c r="AR72" s="3">
        <f>SUM(AR52:AR71)</f>
        <v>7974911.6903250003</v>
      </c>
      <c r="AS72" s="119">
        <f t="shared" si="12"/>
        <v>1</v>
      </c>
    </row>
    <row r="73" spans="1:45" s="24" customFormat="1" x14ac:dyDescent="0.25">
      <c r="A73" s="2"/>
      <c r="B73" s="23"/>
      <c r="C73" s="27" t="s">
        <v>102</v>
      </c>
      <c r="D73" s="25">
        <f>+D72</f>
        <v>0</v>
      </c>
      <c r="E73" s="25">
        <f>+D73+E72</f>
        <v>0</v>
      </c>
      <c r="F73" s="25">
        <f t="shared" ref="F73:AQ73" si="19">+E73+F72</f>
        <v>0</v>
      </c>
      <c r="G73" s="25">
        <f t="shared" si="19"/>
        <v>77149.614600000001</v>
      </c>
      <c r="H73" s="25">
        <f t="shared" si="19"/>
        <v>114020.8841</v>
      </c>
      <c r="I73" s="25">
        <f t="shared" si="19"/>
        <v>121295.19559999999</v>
      </c>
      <c r="J73" s="25">
        <f t="shared" si="19"/>
        <v>142347.17879999999</v>
      </c>
      <c r="K73" s="25">
        <f t="shared" si="19"/>
        <v>196077.0203</v>
      </c>
      <c r="L73" s="25">
        <f t="shared" si="19"/>
        <v>467335.59085000004</v>
      </c>
      <c r="M73" s="25">
        <f t="shared" si="19"/>
        <v>753563.24005000002</v>
      </c>
      <c r="N73" s="25">
        <f t="shared" si="19"/>
        <v>1004999.83585</v>
      </c>
      <c r="O73" s="25">
        <f t="shared" si="19"/>
        <v>1358997.30345</v>
      </c>
      <c r="P73" s="25">
        <f t="shared" si="19"/>
        <v>1856028.6335499999</v>
      </c>
      <c r="Q73" s="25">
        <f t="shared" si="19"/>
        <v>2574371.7712500002</v>
      </c>
      <c r="R73" s="25">
        <f t="shared" si="19"/>
        <v>3241978.2537500001</v>
      </c>
      <c r="S73" s="25">
        <f t="shared" si="19"/>
        <v>3923738.1668000002</v>
      </c>
      <c r="T73" s="25">
        <f t="shared" si="19"/>
        <v>4595106.8750499999</v>
      </c>
      <c r="U73" s="25">
        <f t="shared" si="19"/>
        <v>5299408.7521000002</v>
      </c>
      <c r="V73" s="25">
        <f t="shared" si="19"/>
        <v>5771182.4153500004</v>
      </c>
      <c r="W73" s="25">
        <f t="shared" si="19"/>
        <v>6316166.1185500007</v>
      </c>
      <c r="X73" s="25">
        <f t="shared" si="19"/>
        <v>6788062.9179500006</v>
      </c>
      <c r="Y73" s="25">
        <f t="shared" si="19"/>
        <v>7094270.1274750009</v>
      </c>
      <c r="Z73" s="25">
        <f t="shared" si="19"/>
        <v>7249916.0683750007</v>
      </c>
      <c r="AA73" s="25">
        <f t="shared" si="19"/>
        <v>7379161.093975001</v>
      </c>
      <c r="AB73" s="25">
        <f t="shared" si="19"/>
        <v>7471651.3680250011</v>
      </c>
      <c r="AC73" s="25">
        <f t="shared" si="19"/>
        <v>7539858.3033250012</v>
      </c>
      <c r="AD73" s="25">
        <f t="shared" si="19"/>
        <v>7599947.6337250015</v>
      </c>
      <c r="AE73" s="25">
        <f t="shared" si="19"/>
        <v>7643541.7774250014</v>
      </c>
      <c r="AF73" s="25">
        <f t="shared" si="19"/>
        <v>7671057.2524750009</v>
      </c>
      <c r="AG73" s="25">
        <f t="shared" si="19"/>
        <v>7698503.1582750008</v>
      </c>
      <c r="AH73" s="25">
        <f t="shared" si="19"/>
        <v>7800003.604925001</v>
      </c>
      <c r="AI73" s="25">
        <f t="shared" si="19"/>
        <v>7835093.783675001</v>
      </c>
      <c r="AJ73" s="25">
        <f t="shared" si="19"/>
        <v>7888052.2309750011</v>
      </c>
      <c r="AK73" s="25">
        <f t="shared" si="19"/>
        <v>7921518.1371750012</v>
      </c>
      <c r="AL73" s="25">
        <f t="shared" si="19"/>
        <v>7947968.1019750014</v>
      </c>
      <c r="AM73" s="25">
        <f t="shared" si="19"/>
        <v>7962731.4423750015</v>
      </c>
      <c r="AN73" s="25">
        <f t="shared" si="19"/>
        <v>7972439.3253750019</v>
      </c>
      <c r="AO73" s="25">
        <f t="shared" si="19"/>
        <v>7974188.8185750023</v>
      </c>
      <c r="AP73" s="25">
        <f t="shared" si="19"/>
        <v>7975144.3973250026</v>
      </c>
      <c r="AQ73" s="25">
        <f t="shared" si="19"/>
        <v>7974911.6903250022</v>
      </c>
      <c r="AR73" s="49"/>
    </row>
    <row r="74" spans="1:45" x14ac:dyDescent="0.25">
      <c r="C74" s="13" t="s">
        <v>503</v>
      </c>
      <c r="D74" s="1">
        <f>+D72-Accrualstrip!D72-Accrualpot!D70-Accrualherb!D70</f>
        <v>0</v>
      </c>
      <c r="E74" s="1">
        <f>+E72-Accrualstrip!E72-Accrualpot!E70-Accrualherb!E70</f>
        <v>0</v>
      </c>
      <c r="F74" s="1">
        <f>+F72-Accrualstrip!F72-Accrualpot!F70-Accrualherb!F70</f>
        <v>0</v>
      </c>
      <c r="G74" s="1">
        <f>+G72-Accrualstrip!G72-Accrualpot!G70-Accrualherb!G70</f>
        <v>0</v>
      </c>
      <c r="H74" s="1">
        <f>+H72-Accrualstrip!H72-Accrualpot!H70-Accrualherb!H70</f>
        <v>0</v>
      </c>
      <c r="I74" s="1">
        <f>+I72-Accrualstrip!I72-Accrualpot!I70-Accrualherb!I70</f>
        <v>0</v>
      </c>
      <c r="J74" s="1">
        <f>+J72-Accrualstrip!J72-Accrualpot!J70-Accrualherb!J70</f>
        <v>0</v>
      </c>
      <c r="K74" s="1">
        <f>+K72-Accrualstrip!K72-Accrualpot!K70-Accrualherb!K70</f>
        <v>0</v>
      </c>
      <c r="L74" s="1">
        <f>+L72-Accrualstrip!L72-Accrualpot!L70-Accrualherb!L70</f>
        <v>0</v>
      </c>
      <c r="M74" s="1">
        <f>+M72-Accrualstrip!M72-Accrualpot!M70-Accrualherb!M70</f>
        <v>0</v>
      </c>
      <c r="N74" s="1">
        <f>+N72-Accrualstrip!N72-Accrualpot!N70-Accrualherb!N70</f>
        <v>0</v>
      </c>
      <c r="O74" s="1">
        <f>+O72-Accrualstrip!O72-Accrualpot!O70-Accrualherb!O70</f>
        <v>0</v>
      </c>
      <c r="P74" s="1">
        <f>+P72-Accrualstrip!P72-Accrualpot!P70-Accrualherb!P70</f>
        <v>0</v>
      </c>
      <c r="Q74" s="1">
        <f>+Q72-Accrualstrip!Q72-Accrualpot!Q70-Accrualherb!Q70</f>
        <v>1.3096723705530167E-10</v>
      </c>
      <c r="R74" s="1">
        <f>+R72-Accrualstrip!R72-Accrualpot!R70-Accrualherb!R70</f>
        <v>0</v>
      </c>
      <c r="S74" s="1">
        <f>+S72-Accrualstrip!S72-Accrualpot!S70-Accrualherb!S70</f>
        <v>0</v>
      </c>
      <c r="T74" s="1">
        <f>+T72-Accrualstrip!T72-Accrualpot!T70-Accrualherb!T70</f>
        <v>0</v>
      </c>
      <c r="U74" s="1">
        <f>+U72-Accrualstrip!U72-Accrualpot!U70-Accrualherb!U70</f>
        <v>0</v>
      </c>
      <c r="V74" s="1">
        <f>+V72-Accrualstrip!V72-Accrualpot!V70-Accrualherb!V70</f>
        <v>0</v>
      </c>
      <c r="W74" s="1">
        <f>+W72-Accrualstrip!W72-Accrualpot!W70-Accrualherb!W70</f>
        <v>0</v>
      </c>
      <c r="X74" s="1">
        <f>+X72-Accrualstrip!X72-Accrualpot!X70-Accrualherb!X70</f>
        <v>0</v>
      </c>
      <c r="Y74" s="1">
        <f>+Y72-Accrualstrip!Y72-Accrualpot!Y70-Accrualherb!Y70</f>
        <v>0</v>
      </c>
      <c r="Z74" s="1">
        <f>+Z72-Accrualstrip!Z72-Accrualpot!Z70-Accrualherb!Z70</f>
        <v>0</v>
      </c>
      <c r="AA74" s="1">
        <f>+AA72-Accrualstrip!AA72-Accrualpot!AA70-Accrualherb!AA70</f>
        <v>0</v>
      </c>
      <c r="AB74" s="1">
        <f>+AB72-Accrualstrip!AB72-Accrualpot!AB70-Accrualherb!AB70</f>
        <v>0</v>
      </c>
      <c r="AC74" s="1">
        <f>+AC72-Accrualstrip!AC72-Accrualpot!AC70-Accrualherb!AC70</f>
        <v>0</v>
      </c>
      <c r="AD74" s="1">
        <f>+AD72-Accrualstrip!AD72-Accrualpot!AD70-Accrualherb!AD70</f>
        <v>0</v>
      </c>
      <c r="AE74" s="1">
        <f>+AE72-Accrualstrip!AE72-Accrualpot!AE70-Accrualherb!AE70</f>
        <v>0</v>
      </c>
      <c r="AF74" s="1">
        <f>+AF72-Accrualstrip!AF72-Accrualpot!AF70-Accrualherb!AF70</f>
        <v>0</v>
      </c>
      <c r="AG74" s="1">
        <f>+AG72-Accrualstrip!AG72-Accrualpot!AG70-Accrualherb!AG70</f>
        <v>0</v>
      </c>
      <c r="AH74" s="1">
        <f>+AH72-Accrualstrip!AH72-Accrualpot!AH70-Accrualherb!AH70</f>
        <v>-2.1827872842550278E-11</v>
      </c>
      <c r="AI74" s="1">
        <f>+AI72-Accrualstrip!AI72-Accrualpot!AI70-Accrualherb!AI70</f>
        <v>0</v>
      </c>
      <c r="AJ74" s="1">
        <f>+AJ72-Accrualstrip!AJ72-Accrualpot!AJ70-Accrualherb!AJ70</f>
        <v>0</v>
      </c>
      <c r="AK74" s="1">
        <f>+AK72-Accrualstrip!AK72-Accrualpot!AK70-Accrualherb!AK70</f>
        <v>0</v>
      </c>
      <c r="AL74" s="1">
        <f>+AL72-Accrualstrip!AL72-Accrualpot!AL70-Accrualherb!AL70</f>
        <v>0</v>
      </c>
      <c r="AM74" s="1">
        <f>+AM72-Accrualstrip!AM72-Accrualpot!AM70-Accrualherb!AM70</f>
        <v>0</v>
      </c>
      <c r="AN74" s="1">
        <f>+AN72-Accrualstrip!AN72-Accrualpot!AN70-Accrualherb!AN70</f>
        <v>0</v>
      </c>
      <c r="AO74" s="1">
        <f>+AO72-Accrualstrip!AO72-Accrualpot!AO70-Accrualherb!AO70</f>
        <v>0</v>
      </c>
      <c r="AP74" s="1">
        <f>+AP72-Accrualstrip!AP72-Accrualpot!AP70-Accrualherb!AP70</f>
        <v>0</v>
      </c>
      <c r="AQ74" s="1">
        <f>+AQ72-Accrualstrip!AQ72-Accrualpot!AQ70-Accrualherb!AQ70</f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50"/>
  <sheetViews>
    <sheetView workbookViewId="0">
      <pane xSplit="3" ySplit="2" topLeftCell="U3" activePane="bottomRight" state="frozen"/>
      <selection pane="topRight" activeCell="D1" sqref="D1"/>
      <selection pane="bottomLeft" activeCell="A3" sqref="A3"/>
      <selection pane="bottomRight" activeCell="AI33" sqref="AI33"/>
    </sheetView>
  </sheetViews>
  <sheetFormatPr defaultRowHeight="15" x14ac:dyDescent="0.25"/>
  <cols>
    <col min="1" max="2" width="3.42578125" style="2" customWidth="1"/>
    <col min="3" max="3" width="28.85546875" customWidth="1"/>
    <col min="4" max="43" width="9.140625" style="1" customWidth="1"/>
    <col min="44" max="44" width="9.140625" style="3"/>
    <col min="45" max="45" width="4.42578125" style="1" customWidth="1"/>
    <col min="46" max="46" width="9.140625" style="8"/>
  </cols>
  <sheetData>
    <row r="1" spans="1:51" x14ac:dyDescent="0.25">
      <c r="A1" s="2" t="s">
        <v>43</v>
      </c>
      <c r="D1" s="142">
        <v>45292</v>
      </c>
      <c r="E1" s="142">
        <v>45292</v>
      </c>
      <c r="F1" s="142">
        <v>45292</v>
      </c>
      <c r="G1" s="142">
        <v>45292</v>
      </c>
      <c r="H1" s="142">
        <v>45292</v>
      </c>
      <c r="I1" s="142">
        <v>45323</v>
      </c>
      <c r="J1" s="142">
        <v>45323</v>
      </c>
      <c r="K1" s="142">
        <v>45323</v>
      </c>
      <c r="L1" s="142">
        <v>45323</v>
      </c>
      <c r="M1" s="142">
        <v>45352</v>
      </c>
      <c r="N1" s="142">
        <v>45352</v>
      </c>
      <c r="O1" s="142">
        <v>45352</v>
      </c>
      <c r="P1" s="142">
        <v>45352</v>
      </c>
      <c r="Q1" s="142">
        <v>45383</v>
      </c>
      <c r="R1" s="142">
        <v>45383</v>
      </c>
      <c r="S1" s="142">
        <v>45383</v>
      </c>
      <c r="T1" s="142">
        <v>45383</v>
      </c>
      <c r="U1" s="142">
        <v>45413</v>
      </c>
      <c r="V1" s="142">
        <v>45413</v>
      </c>
      <c r="W1" s="142">
        <v>45413</v>
      </c>
      <c r="X1" s="142">
        <v>45413</v>
      </c>
      <c r="Y1" s="142">
        <v>45413</v>
      </c>
      <c r="Z1" s="142">
        <v>45444</v>
      </c>
      <c r="AA1" s="142">
        <v>45444</v>
      </c>
      <c r="AB1" s="142">
        <v>45444</v>
      </c>
      <c r="AC1" s="142">
        <v>45444</v>
      </c>
      <c r="AD1" s="142">
        <v>45474</v>
      </c>
      <c r="AE1" s="142">
        <v>45474</v>
      </c>
      <c r="AF1" s="142">
        <v>45474</v>
      </c>
      <c r="AG1" s="142">
        <v>45474</v>
      </c>
      <c r="AH1" s="142">
        <v>45474</v>
      </c>
      <c r="AI1" s="142">
        <v>45505</v>
      </c>
      <c r="AJ1" s="142">
        <v>45505</v>
      </c>
      <c r="AK1" s="142">
        <v>45505</v>
      </c>
      <c r="AL1" s="142">
        <v>45505</v>
      </c>
      <c r="AM1" s="142">
        <v>45536</v>
      </c>
      <c r="AN1" s="142">
        <v>45536</v>
      </c>
      <c r="AO1" s="142">
        <v>45536</v>
      </c>
      <c r="AP1" s="142">
        <v>45536</v>
      </c>
      <c r="AQ1" s="13" t="s">
        <v>282</v>
      </c>
      <c r="AV1" t="s">
        <v>41</v>
      </c>
      <c r="AW1">
        <v>2015</v>
      </c>
      <c r="AX1" t="s">
        <v>175</v>
      </c>
      <c r="AY1" t="s">
        <v>177</v>
      </c>
    </row>
    <row r="2" spans="1:51" x14ac:dyDescent="0.25">
      <c r="A2" s="2" t="s">
        <v>343</v>
      </c>
      <c r="D2" s="13" t="s">
        <v>491</v>
      </c>
      <c r="E2" s="13" t="s">
        <v>492</v>
      </c>
      <c r="F2" s="13" t="s">
        <v>493</v>
      </c>
      <c r="G2" s="13" t="s">
        <v>494</v>
      </c>
      <c r="H2" s="13" t="s">
        <v>495</v>
      </c>
      <c r="I2" s="13" t="s">
        <v>496</v>
      </c>
      <c r="J2" s="13" t="s">
        <v>263</v>
      </c>
      <c r="K2" s="13" t="s">
        <v>264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3" t="s">
        <v>54</v>
      </c>
      <c r="V2" s="13" t="s">
        <v>20</v>
      </c>
      <c r="W2" s="13" t="s">
        <v>21</v>
      </c>
      <c r="X2" s="13" t="s">
        <v>22</v>
      </c>
      <c r="Y2" s="13" t="s">
        <v>23</v>
      </c>
      <c r="Z2" s="13" t="s">
        <v>24</v>
      </c>
      <c r="AA2" s="13" t="s">
        <v>25</v>
      </c>
      <c r="AB2" s="13" t="s">
        <v>26</v>
      </c>
      <c r="AC2" s="13" t="s">
        <v>27</v>
      </c>
      <c r="AD2" s="13" t="s">
        <v>28</v>
      </c>
      <c r="AE2" s="13" t="s">
        <v>29</v>
      </c>
      <c r="AF2" s="13" t="s">
        <v>30</v>
      </c>
      <c r="AG2" s="13" t="s">
        <v>31</v>
      </c>
      <c r="AH2" s="13" t="s">
        <v>32</v>
      </c>
      <c r="AI2" s="13" t="s">
        <v>33</v>
      </c>
      <c r="AJ2" s="13" t="s">
        <v>34</v>
      </c>
      <c r="AK2" s="13" t="s">
        <v>55</v>
      </c>
      <c r="AL2" s="13" t="s">
        <v>56</v>
      </c>
      <c r="AM2" s="13" t="s">
        <v>57</v>
      </c>
      <c r="AN2" s="13" t="s">
        <v>58</v>
      </c>
      <c r="AO2" s="13" t="s">
        <v>59</v>
      </c>
      <c r="AP2" s="13" t="s">
        <v>60</v>
      </c>
      <c r="AQ2" s="4" t="s">
        <v>61</v>
      </c>
      <c r="AR2" s="52" t="s">
        <v>2</v>
      </c>
      <c r="AV2" t="s">
        <v>291</v>
      </c>
      <c r="AW2" t="s">
        <v>174</v>
      </c>
      <c r="AX2" t="s">
        <v>176</v>
      </c>
      <c r="AY2" s="32" t="s">
        <v>178</v>
      </c>
    </row>
    <row r="3" spans="1:51" x14ac:dyDescent="0.25">
      <c r="A3"/>
      <c r="B3" s="2" t="s">
        <v>135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AR3" s="9"/>
      <c r="AS3"/>
      <c r="AT3"/>
    </row>
    <row r="4" spans="1:51" x14ac:dyDescent="0.25">
      <c r="A4" s="2" t="s">
        <v>275</v>
      </c>
      <c r="C4" t="s">
        <v>348</v>
      </c>
      <c r="M4" s="1">
        <v>-21.7</v>
      </c>
      <c r="O4" s="1">
        <v>-18.600000000000001</v>
      </c>
      <c r="Q4" s="1">
        <v>-37.200000000000003</v>
      </c>
      <c r="V4" s="1">
        <v>-27.9</v>
      </c>
      <c r="Y4" s="1">
        <v>-74.400000000000006</v>
      </c>
      <c r="AR4" s="3">
        <f>SUM(D4:AQ4)</f>
        <v>-179.8</v>
      </c>
      <c r="AS4"/>
      <c r="AT4"/>
    </row>
    <row r="5" spans="1:51" x14ac:dyDescent="0.25">
      <c r="A5" s="2" t="s">
        <v>275</v>
      </c>
      <c r="C5" t="s">
        <v>344</v>
      </c>
      <c r="AR5" s="3">
        <f t="shared" ref="AR5:AR16" si="0">SUM(D5:AQ5)</f>
        <v>0</v>
      </c>
      <c r="AS5"/>
      <c r="AT5"/>
    </row>
    <row r="6" spans="1:51" x14ac:dyDescent="0.25">
      <c r="A6" s="2" t="s">
        <v>275</v>
      </c>
      <c r="C6" t="s">
        <v>345</v>
      </c>
      <c r="AR6" s="3">
        <f t="shared" si="0"/>
        <v>0</v>
      </c>
      <c r="AS6"/>
      <c r="AT6"/>
    </row>
    <row r="7" spans="1:51" x14ac:dyDescent="0.25">
      <c r="A7" s="2" t="s">
        <v>275</v>
      </c>
      <c r="C7" t="s">
        <v>349</v>
      </c>
      <c r="AR7" s="3">
        <f t="shared" si="0"/>
        <v>0</v>
      </c>
      <c r="AS7"/>
      <c r="AT7"/>
    </row>
    <row r="8" spans="1:51" x14ac:dyDescent="0.25">
      <c r="A8" s="2" t="s">
        <v>275</v>
      </c>
      <c r="C8" t="s">
        <v>719</v>
      </c>
      <c r="AR8" s="3">
        <f t="shared" si="0"/>
        <v>0</v>
      </c>
      <c r="AS8"/>
      <c r="AT8"/>
    </row>
    <row r="9" spans="1:51" x14ac:dyDescent="0.25">
      <c r="A9" s="2" t="s">
        <v>275</v>
      </c>
      <c r="C9" t="s">
        <v>741</v>
      </c>
      <c r="AR9" s="3">
        <f t="shared" si="0"/>
        <v>0</v>
      </c>
      <c r="AS9"/>
      <c r="AT9"/>
    </row>
    <row r="10" spans="1:51" x14ac:dyDescent="0.25">
      <c r="A10" s="2" t="s">
        <v>275</v>
      </c>
      <c r="C10" t="s">
        <v>740</v>
      </c>
      <c r="AR10" s="3">
        <f t="shared" si="0"/>
        <v>0</v>
      </c>
      <c r="AS10"/>
      <c r="AT10"/>
    </row>
    <row r="11" spans="1:51" x14ac:dyDescent="0.25">
      <c r="A11" s="2" t="s">
        <v>275</v>
      </c>
      <c r="C11" t="s">
        <v>476</v>
      </c>
      <c r="AR11" s="3">
        <f t="shared" si="0"/>
        <v>0</v>
      </c>
      <c r="AS11"/>
      <c r="AT11"/>
    </row>
    <row r="12" spans="1:51" x14ac:dyDescent="0.25">
      <c r="A12" s="2" t="s">
        <v>275</v>
      </c>
      <c r="C12" t="s">
        <v>676</v>
      </c>
      <c r="AR12" s="3">
        <f t="shared" si="0"/>
        <v>0</v>
      </c>
      <c r="AS12"/>
      <c r="AT12"/>
    </row>
    <row r="13" spans="1:51" x14ac:dyDescent="0.25">
      <c r="A13" s="2" t="s">
        <v>275</v>
      </c>
      <c r="C13" t="s">
        <v>677</v>
      </c>
      <c r="AR13" s="3">
        <f t="shared" si="0"/>
        <v>0</v>
      </c>
      <c r="AS13"/>
      <c r="AT13"/>
    </row>
    <row r="14" spans="1:51" x14ac:dyDescent="0.25">
      <c r="A14" s="2" t="s">
        <v>275</v>
      </c>
      <c r="C14" t="s">
        <v>717</v>
      </c>
      <c r="AR14" s="3">
        <f t="shared" si="0"/>
        <v>0</v>
      </c>
      <c r="AS14"/>
      <c r="AT14"/>
    </row>
    <row r="15" spans="1:51" x14ac:dyDescent="0.25">
      <c r="A15" s="2" t="s">
        <v>275</v>
      </c>
      <c r="C15" t="s">
        <v>718</v>
      </c>
      <c r="AR15" s="3">
        <f t="shared" si="0"/>
        <v>0</v>
      </c>
      <c r="AS15"/>
      <c r="AT15"/>
    </row>
    <row r="16" spans="1:51" x14ac:dyDescent="0.25">
      <c r="A16" s="2" t="s">
        <v>275</v>
      </c>
      <c r="C16" t="s">
        <v>742</v>
      </c>
      <c r="AR16" s="3">
        <f t="shared" si="0"/>
        <v>0</v>
      </c>
      <c r="AS16"/>
      <c r="AT16"/>
    </row>
    <row r="17" spans="1:46" s="2" customFormat="1" x14ac:dyDescent="0.25">
      <c r="B17" s="2" t="s">
        <v>136</v>
      </c>
      <c r="D17" s="3">
        <f t="shared" ref="D17:AR17" si="1">SUM(D4:D16)</f>
        <v>0</v>
      </c>
      <c r="E17" s="3">
        <f t="shared" ref="E17:J17" si="2">SUM(E4:E16)</f>
        <v>0</v>
      </c>
      <c r="F17" s="3">
        <f t="shared" si="2"/>
        <v>0</v>
      </c>
      <c r="G17" s="3">
        <f t="shared" si="2"/>
        <v>0</v>
      </c>
      <c r="H17" s="3">
        <f t="shared" si="2"/>
        <v>0</v>
      </c>
      <c r="I17" s="3">
        <f t="shared" si="2"/>
        <v>0</v>
      </c>
      <c r="J17" s="3">
        <f t="shared" si="2"/>
        <v>0</v>
      </c>
      <c r="K17" s="3">
        <f t="shared" si="1"/>
        <v>0</v>
      </c>
      <c r="L17" s="3">
        <f t="shared" si="1"/>
        <v>0</v>
      </c>
      <c r="M17" s="3">
        <f t="shared" si="1"/>
        <v>-21.7</v>
      </c>
      <c r="N17" s="3">
        <f t="shared" si="1"/>
        <v>0</v>
      </c>
      <c r="O17" s="3">
        <f t="shared" si="1"/>
        <v>-18.600000000000001</v>
      </c>
      <c r="P17" s="3">
        <f t="shared" si="1"/>
        <v>0</v>
      </c>
      <c r="Q17" s="3">
        <f t="shared" si="1"/>
        <v>-37.200000000000003</v>
      </c>
      <c r="R17" s="3">
        <f t="shared" si="1"/>
        <v>0</v>
      </c>
      <c r="S17" s="3">
        <f t="shared" si="1"/>
        <v>0</v>
      </c>
      <c r="T17" s="3">
        <f t="shared" si="1"/>
        <v>0</v>
      </c>
      <c r="U17" s="3">
        <f t="shared" si="1"/>
        <v>0</v>
      </c>
      <c r="V17" s="3">
        <f t="shared" si="1"/>
        <v>-27.9</v>
      </c>
      <c r="W17" s="3">
        <f t="shared" si="1"/>
        <v>0</v>
      </c>
      <c r="X17" s="3">
        <f t="shared" si="1"/>
        <v>0</v>
      </c>
      <c r="Y17" s="3">
        <f t="shared" si="1"/>
        <v>-74.400000000000006</v>
      </c>
      <c r="Z17" s="3">
        <f t="shared" si="1"/>
        <v>0</v>
      </c>
      <c r="AA17" s="3">
        <f t="shared" si="1"/>
        <v>0</v>
      </c>
      <c r="AB17" s="3">
        <f t="shared" si="1"/>
        <v>0</v>
      </c>
      <c r="AC17" s="3">
        <f t="shared" si="1"/>
        <v>0</v>
      </c>
      <c r="AD17" s="3">
        <f t="shared" si="1"/>
        <v>0</v>
      </c>
      <c r="AE17" s="3">
        <f t="shared" si="1"/>
        <v>0</v>
      </c>
      <c r="AF17" s="3">
        <f t="shared" si="1"/>
        <v>0</v>
      </c>
      <c r="AG17" s="3">
        <f t="shared" si="1"/>
        <v>0</v>
      </c>
      <c r="AH17" s="3">
        <f t="shared" si="1"/>
        <v>0</v>
      </c>
      <c r="AI17" s="3">
        <f t="shared" si="1"/>
        <v>0</v>
      </c>
      <c r="AJ17" s="3">
        <f t="shared" si="1"/>
        <v>0</v>
      </c>
      <c r="AK17" s="3">
        <f t="shared" si="1"/>
        <v>0</v>
      </c>
      <c r="AL17" s="3">
        <f t="shared" si="1"/>
        <v>0</v>
      </c>
      <c r="AM17" s="3">
        <f t="shared" si="1"/>
        <v>0</v>
      </c>
      <c r="AN17" s="3">
        <f t="shared" si="1"/>
        <v>0</v>
      </c>
      <c r="AO17" s="3">
        <f t="shared" si="1"/>
        <v>0</v>
      </c>
      <c r="AP17" s="3">
        <f t="shared" si="1"/>
        <v>0</v>
      </c>
      <c r="AQ17" s="3">
        <f t="shared" si="1"/>
        <v>0</v>
      </c>
      <c r="AR17" s="3">
        <f t="shared" si="1"/>
        <v>-179.8</v>
      </c>
    </row>
    <row r="18" spans="1:46" x14ac:dyDescent="0.25">
      <c r="A18"/>
      <c r="AR18" s="9"/>
      <c r="AS18"/>
      <c r="AT18"/>
    </row>
    <row r="19" spans="1:46" x14ac:dyDescent="0.25">
      <c r="A19"/>
      <c r="B19" s="2" t="s">
        <v>137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9"/>
      <c r="AS19"/>
      <c r="AT19"/>
    </row>
    <row r="20" spans="1:46" x14ac:dyDescent="0.25">
      <c r="A20" s="2" t="s">
        <v>275</v>
      </c>
      <c r="C20" t="s">
        <v>348</v>
      </c>
      <c r="N20" s="1">
        <v>-8.58</v>
      </c>
      <c r="P20" s="1">
        <f>-3.12-5.04</f>
        <v>-8.16</v>
      </c>
      <c r="Q20" s="1">
        <f>-210.6-455.36-20.7</f>
        <v>-686.66000000000008</v>
      </c>
      <c r="S20" s="1">
        <f>-31.2-1.68</f>
        <v>-32.880000000000003</v>
      </c>
      <c r="T20" s="1">
        <v>-19.8</v>
      </c>
      <c r="U20" s="1">
        <f>-316.8-7.8-1.68</f>
        <v>-326.28000000000003</v>
      </c>
      <c r="V20" s="1">
        <f>-180-28.08</f>
        <v>-208.07999999999998</v>
      </c>
      <c r="Z20" s="1">
        <v>-29.64</v>
      </c>
      <c r="AR20" s="3">
        <f>SUM(D20:AQ20)</f>
        <v>-1320.0800000000002</v>
      </c>
      <c r="AS20"/>
      <c r="AT20"/>
    </row>
    <row r="21" spans="1:46" x14ac:dyDescent="0.25">
      <c r="A21" s="2" t="s">
        <v>275</v>
      </c>
      <c r="C21" t="s">
        <v>344</v>
      </c>
      <c r="AR21" s="3">
        <f t="shared" ref="AR21:AR32" si="3">SUM(D21:AQ21)</f>
        <v>0</v>
      </c>
      <c r="AS21"/>
      <c r="AT21"/>
    </row>
    <row r="22" spans="1:46" x14ac:dyDescent="0.25">
      <c r="A22" s="2" t="s">
        <v>275</v>
      </c>
      <c r="C22" t="s">
        <v>345</v>
      </c>
      <c r="AR22" s="3">
        <f t="shared" si="3"/>
        <v>0</v>
      </c>
      <c r="AS22"/>
      <c r="AT22"/>
    </row>
    <row r="23" spans="1:46" x14ac:dyDescent="0.25">
      <c r="A23" s="2" t="s">
        <v>275</v>
      </c>
      <c r="C23" t="s">
        <v>349</v>
      </c>
      <c r="AR23" s="3">
        <f t="shared" si="3"/>
        <v>0</v>
      </c>
      <c r="AS23"/>
      <c r="AT23"/>
    </row>
    <row r="24" spans="1:46" x14ac:dyDescent="0.25">
      <c r="A24" s="2" t="s">
        <v>275</v>
      </c>
      <c r="C24" t="s">
        <v>719</v>
      </c>
      <c r="AR24" s="3">
        <f t="shared" si="3"/>
        <v>0</v>
      </c>
      <c r="AS24"/>
      <c r="AT24"/>
    </row>
    <row r="25" spans="1:46" x14ac:dyDescent="0.25">
      <c r="A25" s="2" t="s">
        <v>275</v>
      </c>
      <c r="C25" t="s">
        <v>430</v>
      </c>
      <c r="V25" s="1">
        <v>-213.66</v>
      </c>
      <c r="AR25" s="3">
        <f t="shared" si="3"/>
        <v>-213.66</v>
      </c>
      <c r="AS25"/>
      <c r="AT25"/>
    </row>
    <row r="26" spans="1:46" x14ac:dyDescent="0.25">
      <c r="A26" s="2" t="s">
        <v>275</v>
      </c>
      <c r="C26" t="s">
        <v>346</v>
      </c>
      <c r="T26" s="1">
        <f>-19.8-7.8-7.56</f>
        <v>-35.160000000000004</v>
      </c>
      <c r="U26" s="1">
        <v>-28.08</v>
      </c>
      <c r="AR26" s="3">
        <f t="shared" si="3"/>
        <v>-63.24</v>
      </c>
      <c r="AS26"/>
      <c r="AT26"/>
    </row>
    <row r="27" spans="1:46" x14ac:dyDescent="0.25">
      <c r="A27" s="2" t="s">
        <v>275</v>
      </c>
      <c r="C27" t="s">
        <v>476</v>
      </c>
      <c r="Z27" s="1">
        <v>-398.4</v>
      </c>
      <c r="AR27" s="3">
        <f t="shared" si="3"/>
        <v>-398.4</v>
      </c>
      <c r="AS27"/>
      <c r="AT27"/>
    </row>
    <row r="28" spans="1:46" x14ac:dyDescent="0.25">
      <c r="A28" s="2" t="s">
        <v>275</v>
      </c>
      <c r="C28" t="s">
        <v>676</v>
      </c>
      <c r="AR28" s="3">
        <f t="shared" si="3"/>
        <v>0</v>
      </c>
      <c r="AS28"/>
      <c r="AT28"/>
    </row>
    <row r="29" spans="1:46" x14ac:dyDescent="0.25">
      <c r="A29" s="2" t="s">
        <v>275</v>
      </c>
      <c r="C29" t="s">
        <v>677</v>
      </c>
      <c r="AR29" s="3">
        <f t="shared" si="3"/>
        <v>0</v>
      </c>
      <c r="AS29"/>
      <c r="AT29"/>
    </row>
    <row r="30" spans="1:46" x14ac:dyDescent="0.25">
      <c r="A30" s="2" t="s">
        <v>275</v>
      </c>
      <c r="C30" t="s">
        <v>717</v>
      </c>
      <c r="AR30" s="3">
        <f t="shared" si="3"/>
        <v>0</v>
      </c>
      <c r="AS30"/>
      <c r="AT30"/>
    </row>
    <row r="31" spans="1:46" x14ac:dyDescent="0.25">
      <c r="A31" s="2" t="s">
        <v>275</v>
      </c>
      <c r="C31" t="s">
        <v>718</v>
      </c>
      <c r="AR31" s="3">
        <f t="shared" si="3"/>
        <v>0</v>
      </c>
      <c r="AS31"/>
      <c r="AT31"/>
    </row>
    <row r="32" spans="1:46" x14ac:dyDescent="0.25">
      <c r="A32" s="2" t="s">
        <v>275</v>
      </c>
      <c r="C32" t="s">
        <v>742</v>
      </c>
      <c r="AR32" s="3">
        <f t="shared" si="3"/>
        <v>0</v>
      </c>
      <c r="AS32"/>
      <c r="AT32"/>
    </row>
    <row r="33" spans="1:46" s="2" customFormat="1" x14ac:dyDescent="0.25">
      <c r="B33" s="2" t="s">
        <v>138</v>
      </c>
      <c r="D33" s="3">
        <f>SUM(D20:D32)</f>
        <v>0</v>
      </c>
      <c r="E33" s="3">
        <f t="shared" ref="E33:J33" si="4">SUM(E20:E32)</f>
        <v>0</v>
      </c>
      <c r="F33" s="3">
        <f t="shared" si="4"/>
        <v>0</v>
      </c>
      <c r="G33" s="3">
        <f t="shared" si="4"/>
        <v>0</v>
      </c>
      <c r="H33" s="3">
        <f t="shared" si="4"/>
        <v>0</v>
      </c>
      <c r="I33" s="3">
        <f t="shared" si="4"/>
        <v>0</v>
      </c>
      <c r="J33" s="3">
        <f t="shared" si="4"/>
        <v>0</v>
      </c>
      <c r="K33" s="3">
        <f t="shared" ref="K33:AR33" si="5">SUM(K20:K32)</f>
        <v>0</v>
      </c>
      <c r="L33" s="3">
        <f t="shared" si="5"/>
        <v>0</v>
      </c>
      <c r="M33" s="3">
        <f t="shared" si="5"/>
        <v>0</v>
      </c>
      <c r="N33" s="3">
        <f t="shared" si="5"/>
        <v>-8.58</v>
      </c>
      <c r="O33" s="3">
        <f t="shared" si="5"/>
        <v>0</v>
      </c>
      <c r="P33" s="3">
        <f t="shared" si="5"/>
        <v>-8.16</v>
      </c>
      <c r="Q33" s="3">
        <f t="shared" si="5"/>
        <v>-686.66000000000008</v>
      </c>
      <c r="R33" s="3">
        <f t="shared" si="5"/>
        <v>0</v>
      </c>
      <c r="S33" s="3">
        <f t="shared" si="5"/>
        <v>-32.880000000000003</v>
      </c>
      <c r="T33" s="3">
        <f t="shared" si="5"/>
        <v>-54.960000000000008</v>
      </c>
      <c r="U33" s="3">
        <f t="shared" si="5"/>
        <v>-354.36</v>
      </c>
      <c r="V33" s="3">
        <f t="shared" si="5"/>
        <v>-421.74</v>
      </c>
      <c r="W33" s="3">
        <f t="shared" si="5"/>
        <v>0</v>
      </c>
      <c r="X33" s="3">
        <f t="shared" si="5"/>
        <v>0</v>
      </c>
      <c r="Y33" s="3">
        <f t="shared" si="5"/>
        <v>0</v>
      </c>
      <c r="Z33" s="3">
        <f t="shared" si="5"/>
        <v>-428.03999999999996</v>
      </c>
      <c r="AA33" s="3">
        <f t="shared" si="5"/>
        <v>0</v>
      </c>
      <c r="AB33" s="3">
        <f t="shared" si="5"/>
        <v>0</v>
      </c>
      <c r="AC33" s="3">
        <f t="shared" si="5"/>
        <v>0</v>
      </c>
      <c r="AD33" s="3">
        <f t="shared" si="5"/>
        <v>0</v>
      </c>
      <c r="AE33" s="3">
        <f t="shared" si="5"/>
        <v>0</v>
      </c>
      <c r="AF33" s="3">
        <f t="shared" si="5"/>
        <v>0</v>
      </c>
      <c r="AG33" s="3">
        <f t="shared" si="5"/>
        <v>0</v>
      </c>
      <c r="AH33" s="3">
        <f t="shared" si="5"/>
        <v>0</v>
      </c>
      <c r="AI33" s="3">
        <f t="shared" si="5"/>
        <v>0</v>
      </c>
      <c r="AJ33" s="3">
        <f t="shared" si="5"/>
        <v>0</v>
      </c>
      <c r="AK33" s="3">
        <f t="shared" si="5"/>
        <v>0</v>
      </c>
      <c r="AL33" s="3">
        <f t="shared" si="5"/>
        <v>0</v>
      </c>
      <c r="AM33" s="3">
        <f t="shared" si="5"/>
        <v>0</v>
      </c>
      <c r="AN33" s="3">
        <f t="shared" si="5"/>
        <v>0</v>
      </c>
      <c r="AO33" s="3">
        <f t="shared" si="5"/>
        <v>0</v>
      </c>
      <c r="AP33" s="3">
        <f t="shared" si="5"/>
        <v>0</v>
      </c>
      <c r="AQ33" s="3">
        <f t="shared" si="5"/>
        <v>0</v>
      </c>
      <c r="AR33" s="3">
        <f t="shared" si="5"/>
        <v>-1995.38</v>
      </c>
    </row>
    <row r="34" spans="1:46" s="2" customFormat="1" x14ac:dyDescent="0.25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1:46" x14ac:dyDescent="0.25">
      <c r="A35"/>
      <c r="B35" s="2" t="s">
        <v>533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9"/>
      <c r="AS35"/>
      <c r="AT35"/>
    </row>
    <row r="36" spans="1:46" x14ac:dyDescent="0.25">
      <c r="A36" s="2" t="s">
        <v>275</v>
      </c>
      <c r="C36" t="s">
        <v>348</v>
      </c>
      <c r="AR36" s="3">
        <f>SUM(D36:AQ36)</f>
        <v>0</v>
      </c>
      <c r="AS36"/>
      <c r="AT36"/>
    </row>
    <row r="37" spans="1:46" x14ac:dyDescent="0.25">
      <c r="A37" s="2" t="s">
        <v>275</v>
      </c>
      <c r="C37" t="s">
        <v>344</v>
      </c>
      <c r="AR37" s="3">
        <f t="shared" ref="AR37:AR48" si="6">SUM(D37:AQ37)</f>
        <v>0</v>
      </c>
      <c r="AS37"/>
      <c r="AT37"/>
    </row>
    <row r="38" spans="1:46" x14ac:dyDescent="0.25">
      <c r="A38" s="2" t="s">
        <v>275</v>
      </c>
      <c r="C38" t="s">
        <v>345</v>
      </c>
      <c r="AR38" s="3">
        <f t="shared" si="6"/>
        <v>0</v>
      </c>
      <c r="AS38"/>
      <c r="AT38"/>
    </row>
    <row r="39" spans="1:46" x14ac:dyDescent="0.25">
      <c r="A39" s="2" t="s">
        <v>275</v>
      </c>
      <c r="C39" t="s">
        <v>349</v>
      </c>
      <c r="AR39" s="3">
        <f t="shared" si="6"/>
        <v>0</v>
      </c>
      <c r="AS39"/>
      <c r="AT39"/>
    </row>
    <row r="40" spans="1:46" x14ac:dyDescent="0.25">
      <c r="A40" s="2" t="s">
        <v>275</v>
      </c>
      <c r="C40" t="s">
        <v>719</v>
      </c>
      <c r="AR40" s="3">
        <f t="shared" si="6"/>
        <v>0</v>
      </c>
      <c r="AS40"/>
      <c r="AT40"/>
    </row>
    <row r="41" spans="1:46" x14ac:dyDescent="0.25">
      <c r="A41" s="2" t="s">
        <v>275</v>
      </c>
      <c r="C41" t="s">
        <v>430</v>
      </c>
      <c r="P41" s="1">
        <v>-46.32</v>
      </c>
      <c r="S41" s="1">
        <v>-46.32</v>
      </c>
      <c r="AR41" s="3">
        <f t="shared" si="6"/>
        <v>-92.64</v>
      </c>
      <c r="AS41"/>
      <c r="AT41"/>
    </row>
    <row r="42" spans="1:46" x14ac:dyDescent="0.25">
      <c r="A42" s="2" t="s">
        <v>275</v>
      </c>
      <c r="C42" t="s">
        <v>346</v>
      </c>
      <c r="AR42" s="3">
        <f t="shared" si="6"/>
        <v>0</v>
      </c>
      <c r="AS42"/>
      <c r="AT42"/>
    </row>
    <row r="43" spans="1:46" x14ac:dyDescent="0.25">
      <c r="A43" s="2" t="s">
        <v>275</v>
      </c>
      <c r="C43" t="s">
        <v>476</v>
      </c>
      <c r="AR43" s="3">
        <f t="shared" si="6"/>
        <v>0</v>
      </c>
      <c r="AS43"/>
      <c r="AT43"/>
    </row>
    <row r="44" spans="1:46" x14ac:dyDescent="0.25">
      <c r="A44" s="2" t="s">
        <v>275</v>
      </c>
      <c r="C44" t="s">
        <v>676</v>
      </c>
      <c r="AR44" s="3">
        <f t="shared" si="6"/>
        <v>0</v>
      </c>
      <c r="AS44"/>
      <c r="AT44"/>
    </row>
    <row r="45" spans="1:46" x14ac:dyDescent="0.25">
      <c r="A45" s="2" t="s">
        <v>275</v>
      </c>
      <c r="C45" t="s">
        <v>677</v>
      </c>
      <c r="AR45" s="3">
        <f t="shared" si="6"/>
        <v>0</v>
      </c>
      <c r="AS45"/>
      <c r="AT45"/>
    </row>
    <row r="46" spans="1:46" x14ac:dyDescent="0.25">
      <c r="A46" s="2" t="s">
        <v>275</v>
      </c>
      <c r="C46" t="s">
        <v>717</v>
      </c>
      <c r="AR46" s="3">
        <f t="shared" si="6"/>
        <v>0</v>
      </c>
      <c r="AS46"/>
      <c r="AT46"/>
    </row>
    <row r="47" spans="1:46" x14ac:dyDescent="0.25">
      <c r="A47" s="2" t="s">
        <v>275</v>
      </c>
      <c r="C47" t="s">
        <v>718</v>
      </c>
      <c r="AR47" s="3">
        <f t="shared" si="6"/>
        <v>0</v>
      </c>
      <c r="AS47"/>
      <c r="AT47"/>
    </row>
    <row r="48" spans="1:46" x14ac:dyDescent="0.25">
      <c r="A48" s="2" t="s">
        <v>275</v>
      </c>
      <c r="C48" t="s">
        <v>742</v>
      </c>
      <c r="AR48" s="3">
        <f t="shared" si="6"/>
        <v>0</v>
      </c>
      <c r="AS48"/>
      <c r="AT48"/>
    </row>
    <row r="49" spans="2:44" s="2" customFormat="1" x14ac:dyDescent="0.25">
      <c r="B49" s="2" t="s">
        <v>534</v>
      </c>
      <c r="D49" s="3">
        <f>SUM(D36:D48)</f>
        <v>0</v>
      </c>
      <c r="E49" s="3">
        <f t="shared" ref="E49:AR49" si="7">SUM(E36:E48)</f>
        <v>0</v>
      </c>
      <c r="F49" s="3">
        <f t="shared" si="7"/>
        <v>0</v>
      </c>
      <c r="G49" s="3">
        <f t="shared" si="7"/>
        <v>0</v>
      </c>
      <c r="H49" s="3">
        <f t="shared" si="7"/>
        <v>0</v>
      </c>
      <c r="I49" s="3">
        <f t="shared" si="7"/>
        <v>0</v>
      </c>
      <c r="J49" s="3">
        <f t="shared" si="7"/>
        <v>0</v>
      </c>
      <c r="K49" s="3">
        <f t="shared" si="7"/>
        <v>0</v>
      </c>
      <c r="L49" s="3">
        <f t="shared" si="7"/>
        <v>0</v>
      </c>
      <c r="M49" s="3">
        <f t="shared" si="7"/>
        <v>0</v>
      </c>
      <c r="N49" s="3">
        <f t="shared" si="7"/>
        <v>0</v>
      </c>
      <c r="O49" s="3">
        <f t="shared" si="7"/>
        <v>0</v>
      </c>
      <c r="P49" s="3">
        <f t="shared" si="7"/>
        <v>-46.32</v>
      </c>
      <c r="Q49" s="3">
        <f t="shared" si="7"/>
        <v>0</v>
      </c>
      <c r="R49" s="3">
        <f t="shared" si="7"/>
        <v>0</v>
      </c>
      <c r="S49" s="3">
        <f t="shared" si="7"/>
        <v>-46.32</v>
      </c>
      <c r="T49" s="3">
        <f t="shared" si="7"/>
        <v>0</v>
      </c>
      <c r="U49" s="3">
        <f t="shared" si="7"/>
        <v>0</v>
      </c>
      <c r="V49" s="3">
        <f t="shared" si="7"/>
        <v>0</v>
      </c>
      <c r="W49" s="3">
        <f t="shared" si="7"/>
        <v>0</v>
      </c>
      <c r="X49" s="3">
        <f t="shared" si="7"/>
        <v>0</v>
      </c>
      <c r="Y49" s="3">
        <f t="shared" si="7"/>
        <v>0</v>
      </c>
      <c r="Z49" s="3">
        <f t="shared" si="7"/>
        <v>0</v>
      </c>
      <c r="AA49" s="3">
        <f t="shared" si="7"/>
        <v>0</v>
      </c>
      <c r="AB49" s="3">
        <f t="shared" si="7"/>
        <v>0</v>
      </c>
      <c r="AC49" s="3">
        <f t="shared" si="7"/>
        <v>0</v>
      </c>
      <c r="AD49" s="3">
        <f t="shared" si="7"/>
        <v>0</v>
      </c>
      <c r="AE49" s="3">
        <f t="shared" si="7"/>
        <v>0</v>
      </c>
      <c r="AF49" s="3">
        <f t="shared" si="7"/>
        <v>0</v>
      </c>
      <c r="AG49" s="3">
        <f t="shared" si="7"/>
        <v>0</v>
      </c>
      <c r="AH49" s="3">
        <f t="shared" si="7"/>
        <v>0</v>
      </c>
      <c r="AI49" s="3">
        <f t="shared" si="7"/>
        <v>0</v>
      </c>
      <c r="AJ49" s="3">
        <f t="shared" si="7"/>
        <v>0</v>
      </c>
      <c r="AK49" s="3">
        <f t="shared" si="7"/>
        <v>0</v>
      </c>
      <c r="AL49" s="3">
        <f t="shared" si="7"/>
        <v>0</v>
      </c>
      <c r="AM49" s="3">
        <f t="shared" si="7"/>
        <v>0</v>
      </c>
      <c r="AN49" s="3">
        <f t="shared" si="7"/>
        <v>0</v>
      </c>
      <c r="AO49" s="3">
        <f t="shared" si="7"/>
        <v>0</v>
      </c>
      <c r="AP49" s="3">
        <f t="shared" si="7"/>
        <v>0</v>
      </c>
      <c r="AQ49" s="3">
        <f t="shared" si="7"/>
        <v>0</v>
      </c>
      <c r="AR49" s="3">
        <f t="shared" si="7"/>
        <v>-92.64</v>
      </c>
    </row>
    <row r="50" spans="2:44" s="2" customFormat="1" x14ac:dyDescent="0.25"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71"/>
  <sheetViews>
    <sheetView workbookViewId="0">
      <pane xSplit="3" ySplit="2" topLeftCell="R36" activePane="bottomRight" state="frozen"/>
      <selection pane="topRight" activeCell="D1" sqref="D1"/>
      <selection pane="bottomLeft" activeCell="A3" sqref="A3"/>
      <selection pane="bottomRight" activeCell="AN57" sqref="AN57"/>
    </sheetView>
  </sheetViews>
  <sheetFormatPr defaultRowHeight="15" x14ac:dyDescent="0.25"/>
  <cols>
    <col min="1" max="2" width="3.42578125" style="2" customWidth="1"/>
    <col min="3" max="3" width="28.85546875" customWidth="1"/>
    <col min="4" max="43" width="9.140625" style="1" customWidth="1"/>
    <col min="44" max="44" width="9.140625" style="3"/>
    <col min="45" max="45" width="4.42578125" style="1" customWidth="1"/>
    <col min="46" max="46" width="9.140625" style="8"/>
  </cols>
  <sheetData>
    <row r="1" spans="1:51" x14ac:dyDescent="0.25">
      <c r="A1" s="2" t="s">
        <v>43</v>
      </c>
      <c r="D1" s="142">
        <v>45292</v>
      </c>
      <c r="E1" s="142">
        <v>45292</v>
      </c>
      <c r="F1" s="142">
        <v>45292</v>
      </c>
      <c r="G1" s="142">
        <v>45292</v>
      </c>
      <c r="H1" s="142">
        <v>45292</v>
      </c>
      <c r="I1" s="142">
        <v>45323</v>
      </c>
      <c r="J1" s="142">
        <v>45323</v>
      </c>
      <c r="K1" s="142">
        <v>45323</v>
      </c>
      <c r="L1" s="142">
        <v>45323</v>
      </c>
      <c r="M1" s="142">
        <v>45352</v>
      </c>
      <c r="N1" s="142">
        <v>45352</v>
      </c>
      <c r="O1" s="142">
        <v>45352</v>
      </c>
      <c r="P1" s="142">
        <v>45352</v>
      </c>
      <c r="Q1" s="142">
        <v>45383</v>
      </c>
      <c r="R1" s="142">
        <v>45383</v>
      </c>
      <c r="S1" s="142">
        <v>45383</v>
      </c>
      <c r="T1" s="142">
        <v>45383</v>
      </c>
      <c r="U1" s="142">
        <v>45413</v>
      </c>
      <c r="V1" s="142">
        <v>45413</v>
      </c>
      <c r="W1" s="142">
        <v>45413</v>
      </c>
      <c r="X1" s="142">
        <v>45413</v>
      </c>
      <c r="Y1" s="142">
        <v>45413</v>
      </c>
      <c r="Z1" s="142">
        <v>45444</v>
      </c>
      <c r="AA1" s="142">
        <v>45444</v>
      </c>
      <c r="AB1" s="142">
        <v>45444</v>
      </c>
      <c r="AC1" s="142">
        <v>45444</v>
      </c>
      <c r="AD1" s="142">
        <v>45474</v>
      </c>
      <c r="AE1" s="142">
        <v>45474</v>
      </c>
      <c r="AF1" s="142">
        <v>45474</v>
      </c>
      <c r="AG1" s="142">
        <v>45474</v>
      </c>
      <c r="AH1" s="142">
        <v>45474</v>
      </c>
      <c r="AI1" s="142">
        <v>45505</v>
      </c>
      <c r="AJ1" s="142">
        <v>45505</v>
      </c>
      <c r="AK1" s="142">
        <v>45505</v>
      </c>
      <c r="AL1" s="142">
        <v>45505</v>
      </c>
      <c r="AM1" s="142">
        <v>45536</v>
      </c>
      <c r="AN1" s="142">
        <v>45536</v>
      </c>
      <c r="AO1" s="142">
        <v>45536</v>
      </c>
      <c r="AP1" s="142">
        <v>45536</v>
      </c>
      <c r="AQ1" s="13" t="s">
        <v>282</v>
      </c>
      <c r="AT1" s="8" t="s">
        <v>713</v>
      </c>
      <c r="AU1" s="8" t="s">
        <v>713</v>
      </c>
      <c r="AV1" t="s">
        <v>41</v>
      </c>
      <c r="AW1">
        <v>2015</v>
      </c>
      <c r="AX1" t="s">
        <v>175</v>
      </c>
      <c r="AY1" t="s">
        <v>177</v>
      </c>
    </row>
    <row r="2" spans="1:51" x14ac:dyDescent="0.25">
      <c r="A2" s="2" t="s">
        <v>134</v>
      </c>
      <c r="D2" s="13" t="s">
        <v>491</v>
      </c>
      <c r="E2" s="13" t="s">
        <v>492</v>
      </c>
      <c r="F2" s="13" t="s">
        <v>493</v>
      </c>
      <c r="G2" s="13" t="s">
        <v>494</v>
      </c>
      <c r="H2" s="13" t="s">
        <v>495</v>
      </c>
      <c r="I2" s="13" t="s">
        <v>496</v>
      </c>
      <c r="J2" s="13" t="s">
        <v>263</v>
      </c>
      <c r="K2" s="13" t="s">
        <v>264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3" t="s">
        <v>54</v>
      </c>
      <c r="V2" s="13" t="s">
        <v>20</v>
      </c>
      <c r="W2" s="13" t="s">
        <v>21</v>
      </c>
      <c r="X2" s="13" t="s">
        <v>22</v>
      </c>
      <c r="Y2" s="13" t="s">
        <v>23</v>
      </c>
      <c r="Z2" s="13" t="s">
        <v>24</v>
      </c>
      <c r="AA2" s="13" t="s">
        <v>25</v>
      </c>
      <c r="AB2" s="13" t="s">
        <v>26</v>
      </c>
      <c r="AC2" s="13" t="s">
        <v>27</v>
      </c>
      <c r="AD2" s="13" t="s">
        <v>28</v>
      </c>
      <c r="AE2" s="13" t="s">
        <v>29</v>
      </c>
      <c r="AF2" s="13" t="s">
        <v>30</v>
      </c>
      <c r="AG2" s="13" t="s">
        <v>31</v>
      </c>
      <c r="AH2" s="13" t="s">
        <v>32</v>
      </c>
      <c r="AI2" s="13" t="s">
        <v>33</v>
      </c>
      <c r="AJ2" s="13" t="s">
        <v>34</v>
      </c>
      <c r="AK2" s="13" t="s">
        <v>55</v>
      </c>
      <c r="AL2" s="13" t="s">
        <v>56</v>
      </c>
      <c r="AM2" s="13" t="s">
        <v>57</v>
      </c>
      <c r="AN2" s="13" t="s">
        <v>58</v>
      </c>
      <c r="AO2" s="13" t="s">
        <v>59</v>
      </c>
      <c r="AP2" s="13" t="s">
        <v>60</v>
      </c>
      <c r="AQ2" s="4" t="s">
        <v>61</v>
      </c>
      <c r="AR2" s="52" t="s">
        <v>2</v>
      </c>
      <c r="AV2" t="s">
        <v>391</v>
      </c>
      <c r="AW2" t="s">
        <v>174</v>
      </c>
      <c r="AX2" t="s">
        <v>176</v>
      </c>
      <c r="AY2" s="32" t="s">
        <v>178</v>
      </c>
    </row>
    <row r="3" spans="1:51" x14ac:dyDescent="0.25">
      <c r="A3"/>
      <c r="B3" s="2" t="s">
        <v>135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9"/>
      <c r="AS3"/>
      <c r="AT3"/>
    </row>
    <row r="4" spans="1:51" x14ac:dyDescent="0.25">
      <c r="A4" s="2" t="s">
        <v>275</v>
      </c>
      <c r="C4" t="s">
        <v>45</v>
      </c>
      <c r="U4" s="1">
        <v>-9.3000000000000007</v>
      </c>
      <c r="AR4" s="3">
        <f>SUM(D4:AQ4)</f>
        <v>-9.3000000000000007</v>
      </c>
      <c r="AS4"/>
      <c r="AT4" s="1">
        <f>SUM(D4:AC4)</f>
        <v>-9.3000000000000007</v>
      </c>
    </row>
    <row r="5" spans="1:51" x14ac:dyDescent="0.25">
      <c r="A5" s="2" t="s">
        <v>275</v>
      </c>
      <c r="C5" t="s">
        <v>46</v>
      </c>
      <c r="AR5" s="3">
        <f t="shared" ref="AR5:AR23" si="0">SUM(D5:AQ5)</f>
        <v>0</v>
      </c>
      <c r="AS5"/>
      <c r="AT5" s="1">
        <f t="shared" ref="AT5:AT23" si="1">SUM(D5:AC5)</f>
        <v>0</v>
      </c>
    </row>
    <row r="6" spans="1:51" x14ac:dyDescent="0.25">
      <c r="A6" s="2" t="s">
        <v>275</v>
      </c>
      <c r="C6" t="s">
        <v>274</v>
      </c>
      <c r="M6" s="1">
        <v>-34.92</v>
      </c>
      <c r="S6" s="1">
        <v>-46.5</v>
      </c>
      <c r="U6" s="1">
        <v>-186</v>
      </c>
      <c r="Y6" s="1">
        <v>-18.600000000000001</v>
      </c>
      <c r="Z6" s="1">
        <f>-58.2-241.8</f>
        <v>-300</v>
      </c>
      <c r="AD6" s="1">
        <v>-37.200000000000003</v>
      </c>
      <c r="AE6" s="1">
        <v>-120.9</v>
      </c>
      <c r="AF6" s="1">
        <v>-9.3000000000000007</v>
      </c>
      <c r="AG6" s="1">
        <v>-9.3000000000000007</v>
      </c>
      <c r="AI6" s="1">
        <v>-75.95</v>
      </c>
      <c r="AJ6" s="1">
        <v>-27.9</v>
      </c>
      <c r="AL6" s="1">
        <v>-83.7</v>
      </c>
      <c r="AM6" s="1">
        <v>-15.5</v>
      </c>
      <c r="AO6" s="1">
        <v>-37.200000000000003</v>
      </c>
      <c r="AR6" s="3">
        <f t="shared" si="0"/>
        <v>-1002.97</v>
      </c>
      <c r="AS6"/>
      <c r="AT6" s="1">
        <f t="shared" si="1"/>
        <v>-586.02</v>
      </c>
    </row>
    <row r="7" spans="1:51" x14ac:dyDescent="0.25">
      <c r="A7" s="2" t="s">
        <v>275</v>
      </c>
      <c r="C7" t="s">
        <v>47</v>
      </c>
      <c r="AR7" s="3">
        <f t="shared" si="0"/>
        <v>0</v>
      </c>
      <c r="AS7"/>
      <c r="AT7" s="1">
        <f t="shared" si="1"/>
        <v>0</v>
      </c>
    </row>
    <row r="8" spans="1:51" x14ac:dyDescent="0.25">
      <c r="C8" t="s">
        <v>704</v>
      </c>
      <c r="AR8" s="3">
        <f t="shared" si="0"/>
        <v>0</v>
      </c>
      <c r="AS8"/>
      <c r="AT8" s="1">
        <f t="shared" si="1"/>
        <v>0</v>
      </c>
    </row>
    <row r="9" spans="1:51" x14ac:dyDescent="0.25">
      <c r="A9" s="2" t="s">
        <v>275</v>
      </c>
      <c r="C9" t="s">
        <v>48</v>
      </c>
      <c r="AF9" s="1">
        <v>-9.3000000000000007</v>
      </c>
      <c r="AR9" s="3">
        <f t="shared" si="0"/>
        <v>-9.3000000000000007</v>
      </c>
      <c r="AS9"/>
      <c r="AT9" s="1">
        <f t="shared" si="1"/>
        <v>0</v>
      </c>
    </row>
    <row r="10" spans="1:51" x14ac:dyDescent="0.25">
      <c r="A10" s="2" t="s">
        <v>275</v>
      </c>
      <c r="C10" t="s">
        <v>481</v>
      </c>
      <c r="AE10" s="1">
        <v>-9.3000000000000007</v>
      </c>
      <c r="AR10" s="3">
        <f t="shared" si="0"/>
        <v>-9.3000000000000007</v>
      </c>
      <c r="AS10"/>
      <c r="AT10" s="1">
        <f t="shared" si="1"/>
        <v>0</v>
      </c>
    </row>
    <row r="11" spans="1:51" x14ac:dyDescent="0.25">
      <c r="A11" s="2" t="s">
        <v>275</v>
      </c>
      <c r="C11" t="s">
        <v>482</v>
      </c>
      <c r="Z11" s="1">
        <v>-58.9</v>
      </c>
      <c r="AH11" s="1">
        <v>-27.9</v>
      </c>
      <c r="AN11" s="1">
        <v>-18.600000000000001</v>
      </c>
      <c r="AO11" s="1">
        <v>-18.600000000000001</v>
      </c>
      <c r="AR11" s="3">
        <f t="shared" ref="AR11:AR16" si="2">SUM(D11:AQ11)</f>
        <v>-124</v>
      </c>
      <c r="AS11"/>
      <c r="AT11" s="1">
        <f t="shared" si="1"/>
        <v>-58.9</v>
      </c>
    </row>
    <row r="12" spans="1:51" x14ac:dyDescent="0.25">
      <c r="A12" s="2" t="s">
        <v>275</v>
      </c>
      <c r="C12" t="s">
        <v>483</v>
      </c>
      <c r="Z12" s="1">
        <v>-55.8</v>
      </c>
      <c r="AD12" s="1">
        <v>-27.9</v>
      </c>
      <c r="AE12" s="1">
        <v>-9.3000000000000007</v>
      </c>
      <c r="AF12" s="1">
        <v>-27.9</v>
      </c>
      <c r="AN12" s="1">
        <v>-18.600000000000001</v>
      </c>
      <c r="AR12" s="3">
        <f t="shared" si="2"/>
        <v>-139.49999999999997</v>
      </c>
      <c r="AS12"/>
      <c r="AT12" s="1">
        <f t="shared" si="1"/>
        <v>-55.8</v>
      </c>
    </row>
    <row r="13" spans="1:51" x14ac:dyDescent="0.25">
      <c r="A13" s="2" t="s">
        <v>275</v>
      </c>
      <c r="C13" t="s">
        <v>484</v>
      </c>
      <c r="Z13" s="1">
        <v>-18.600000000000001</v>
      </c>
      <c r="AG13" s="1">
        <v>-55.8</v>
      </c>
      <c r="AN13" s="1">
        <v>-27.9</v>
      </c>
      <c r="AR13" s="3">
        <f t="shared" si="2"/>
        <v>-102.30000000000001</v>
      </c>
      <c r="AS13"/>
      <c r="AT13" s="1">
        <f t="shared" si="1"/>
        <v>-18.600000000000001</v>
      </c>
    </row>
    <row r="14" spans="1:51" x14ac:dyDescent="0.25">
      <c r="A14" s="2" t="s">
        <v>275</v>
      </c>
      <c r="C14" t="s">
        <v>485</v>
      </c>
      <c r="Z14" s="1">
        <v>-18.600000000000001</v>
      </c>
      <c r="AN14" s="1">
        <v>-18.600000000000001</v>
      </c>
      <c r="AR14" s="3">
        <f t="shared" si="2"/>
        <v>-37.200000000000003</v>
      </c>
      <c r="AS14"/>
      <c r="AT14" s="1">
        <f t="shared" si="1"/>
        <v>-18.600000000000001</v>
      </c>
    </row>
    <row r="15" spans="1:51" x14ac:dyDescent="0.25">
      <c r="A15" s="2" t="s">
        <v>275</v>
      </c>
      <c r="C15" t="s">
        <v>486</v>
      </c>
      <c r="AE15" s="1">
        <v>-37.200000000000003</v>
      </c>
      <c r="AF15" s="1">
        <v>-27.9</v>
      </c>
      <c r="AI15" s="1">
        <v>-9.3000000000000007</v>
      </c>
      <c r="AL15" s="1">
        <v>-27.9</v>
      </c>
      <c r="AN15" s="1">
        <v>-18.600000000000001</v>
      </c>
      <c r="AR15" s="3">
        <f t="shared" si="2"/>
        <v>-120.89999999999998</v>
      </c>
      <c r="AS15"/>
      <c r="AT15" s="1">
        <f t="shared" si="1"/>
        <v>0</v>
      </c>
    </row>
    <row r="16" spans="1:51" x14ac:dyDescent="0.25">
      <c r="A16" s="2" t="s">
        <v>275</v>
      </c>
      <c r="C16" t="s">
        <v>720</v>
      </c>
      <c r="AR16" s="3">
        <f t="shared" si="2"/>
        <v>0</v>
      </c>
      <c r="AS16"/>
      <c r="AT16" s="1">
        <f t="shared" si="1"/>
        <v>0</v>
      </c>
    </row>
    <row r="17" spans="1:46" x14ac:dyDescent="0.25">
      <c r="A17" s="2" t="s">
        <v>275</v>
      </c>
      <c r="C17" t="s">
        <v>49</v>
      </c>
      <c r="AG17" s="1">
        <v>-9.3000000000000007</v>
      </c>
      <c r="AR17" s="3">
        <f t="shared" si="0"/>
        <v>-9.3000000000000007</v>
      </c>
      <c r="AS17"/>
      <c r="AT17" s="1">
        <f t="shared" si="1"/>
        <v>0</v>
      </c>
    </row>
    <row r="18" spans="1:46" x14ac:dyDescent="0.25">
      <c r="A18" s="2" t="s">
        <v>275</v>
      </c>
      <c r="C18" t="s">
        <v>118</v>
      </c>
      <c r="W18" s="1">
        <v>-9.3000000000000007</v>
      </c>
      <c r="Y18" s="1">
        <v>-74.400000000000006</v>
      </c>
      <c r="Z18" s="1">
        <v>-26.46</v>
      </c>
      <c r="AB18" s="1">
        <v>-37.200000000000003</v>
      </c>
      <c r="AE18" s="1">
        <v>-9.3000000000000007</v>
      </c>
      <c r="AF18" s="1">
        <v>-18.600000000000001</v>
      </c>
      <c r="AR18" s="3">
        <f t="shared" si="0"/>
        <v>-175.26000000000002</v>
      </c>
      <c r="AS18"/>
      <c r="AT18" s="1">
        <f t="shared" si="1"/>
        <v>-147.36000000000001</v>
      </c>
    </row>
    <row r="19" spans="1:46" x14ac:dyDescent="0.25">
      <c r="A19" s="2" t="s">
        <v>275</v>
      </c>
      <c r="C19" t="s">
        <v>50</v>
      </c>
      <c r="Z19" s="1">
        <v>-9.3000000000000007</v>
      </c>
      <c r="AR19" s="3">
        <f t="shared" si="0"/>
        <v>-9.3000000000000007</v>
      </c>
      <c r="AS19"/>
      <c r="AT19" s="1">
        <f t="shared" si="1"/>
        <v>-9.3000000000000007</v>
      </c>
    </row>
    <row r="20" spans="1:46" x14ac:dyDescent="0.25">
      <c r="A20" s="2" t="s">
        <v>275</v>
      </c>
      <c r="C20" t="s">
        <v>51</v>
      </c>
      <c r="Q20" s="1">
        <v>-18.600000000000001</v>
      </c>
      <c r="X20" s="1">
        <v>-9.3000000000000007</v>
      </c>
      <c r="AG20" s="1">
        <v>-9.3000000000000007</v>
      </c>
      <c r="AR20" s="3">
        <f t="shared" si="0"/>
        <v>-37.200000000000003</v>
      </c>
      <c r="AS20"/>
      <c r="AT20" s="1">
        <f t="shared" si="1"/>
        <v>-27.900000000000002</v>
      </c>
    </row>
    <row r="21" spans="1:46" x14ac:dyDescent="0.25">
      <c r="A21" s="2" t="s">
        <v>275</v>
      </c>
      <c r="C21" t="s">
        <v>52</v>
      </c>
      <c r="X21" s="1">
        <v>-18.600000000000001</v>
      </c>
      <c r="Z21" s="1">
        <v>-18.600000000000001</v>
      </c>
      <c r="AR21" s="3">
        <f t="shared" si="0"/>
        <v>-37.200000000000003</v>
      </c>
      <c r="AS21"/>
      <c r="AT21" s="1">
        <f t="shared" si="1"/>
        <v>-37.200000000000003</v>
      </c>
    </row>
    <row r="22" spans="1:46" x14ac:dyDescent="0.25">
      <c r="A22" s="2" t="s">
        <v>275</v>
      </c>
      <c r="C22" t="s">
        <v>530</v>
      </c>
      <c r="AR22" s="3">
        <f t="shared" si="0"/>
        <v>0</v>
      </c>
      <c r="AS22"/>
      <c r="AT22" s="1">
        <f t="shared" si="1"/>
        <v>0</v>
      </c>
    </row>
    <row r="23" spans="1:46" x14ac:dyDescent="0.25">
      <c r="A23" s="2" t="s">
        <v>275</v>
      </c>
      <c r="C23" t="s">
        <v>194</v>
      </c>
      <c r="AR23" s="3">
        <f t="shared" si="0"/>
        <v>0</v>
      </c>
      <c r="AS23"/>
      <c r="AT23" s="1">
        <f t="shared" si="1"/>
        <v>0</v>
      </c>
    </row>
    <row r="24" spans="1:46" s="2" customFormat="1" x14ac:dyDescent="0.25">
      <c r="B24" s="2" t="s">
        <v>136</v>
      </c>
      <c r="D24" s="3">
        <f t="shared" ref="D24:AR24" si="3">SUM(D4:D23)</f>
        <v>0</v>
      </c>
      <c r="E24" s="3">
        <f t="shared" ref="E24:AQ24" si="4">SUM(E4:E23)</f>
        <v>0</v>
      </c>
      <c r="F24" s="3">
        <f t="shared" si="4"/>
        <v>0</v>
      </c>
      <c r="G24" s="3">
        <f t="shared" si="4"/>
        <v>0</v>
      </c>
      <c r="H24" s="3">
        <f t="shared" si="4"/>
        <v>0</v>
      </c>
      <c r="I24" s="3">
        <f t="shared" si="4"/>
        <v>0</v>
      </c>
      <c r="J24" s="3">
        <f t="shared" si="4"/>
        <v>0</v>
      </c>
      <c r="K24" s="3">
        <f t="shared" si="4"/>
        <v>0</v>
      </c>
      <c r="L24" s="3">
        <f t="shared" si="4"/>
        <v>0</v>
      </c>
      <c r="M24" s="3">
        <f t="shared" si="4"/>
        <v>-34.92</v>
      </c>
      <c r="N24" s="3">
        <f t="shared" si="4"/>
        <v>0</v>
      </c>
      <c r="O24" s="3">
        <f t="shared" si="4"/>
        <v>0</v>
      </c>
      <c r="P24" s="3">
        <f t="shared" si="4"/>
        <v>0</v>
      </c>
      <c r="Q24" s="3">
        <f t="shared" si="4"/>
        <v>-18.600000000000001</v>
      </c>
      <c r="R24" s="3">
        <f t="shared" si="4"/>
        <v>0</v>
      </c>
      <c r="S24" s="3">
        <f t="shared" si="4"/>
        <v>-46.5</v>
      </c>
      <c r="T24" s="3">
        <f t="shared" si="4"/>
        <v>0</v>
      </c>
      <c r="U24" s="3">
        <f t="shared" si="4"/>
        <v>-195.3</v>
      </c>
      <c r="V24" s="3">
        <f t="shared" si="4"/>
        <v>0</v>
      </c>
      <c r="W24" s="3">
        <f t="shared" si="4"/>
        <v>-9.3000000000000007</v>
      </c>
      <c r="X24" s="3">
        <f t="shared" si="4"/>
        <v>-27.900000000000002</v>
      </c>
      <c r="Y24" s="3">
        <f t="shared" si="4"/>
        <v>-93</v>
      </c>
      <c r="Z24" s="3">
        <f t="shared" si="4"/>
        <v>-506.26000000000005</v>
      </c>
      <c r="AA24" s="3">
        <f t="shared" si="4"/>
        <v>0</v>
      </c>
      <c r="AB24" s="3">
        <f t="shared" si="4"/>
        <v>-37.200000000000003</v>
      </c>
      <c r="AC24" s="3">
        <f t="shared" si="4"/>
        <v>0</v>
      </c>
      <c r="AD24" s="3">
        <f t="shared" si="4"/>
        <v>-65.099999999999994</v>
      </c>
      <c r="AE24" s="3">
        <f t="shared" si="4"/>
        <v>-186.00000000000006</v>
      </c>
      <c r="AF24" s="3">
        <f t="shared" si="4"/>
        <v>-93</v>
      </c>
      <c r="AG24" s="3">
        <f t="shared" si="4"/>
        <v>-83.699999999999989</v>
      </c>
      <c r="AH24" s="3">
        <f t="shared" si="4"/>
        <v>-27.9</v>
      </c>
      <c r="AI24" s="3">
        <f t="shared" si="4"/>
        <v>-85.25</v>
      </c>
      <c r="AJ24" s="3">
        <f t="shared" si="4"/>
        <v>-27.9</v>
      </c>
      <c r="AK24" s="3">
        <f t="shared" si="4"/>
        <v>0</v>
      </c>
      <c r="AL24" s="3">
        <f t="shared" si="4"/>
        <v>-111.6</v>
      </c>
      <c r="AM24" s="3">
        <f t="shared" si="4"/>
        <v>-15.5</v>
      </c>
      <c r="AN24" s="3">
        <f t="shared" si="4"/>
        <v>-102.29999999999998</v>
      </c>
      <c r="AO24" s="3">
        <f t="shared" si="4"/>
        <v>-55.800000000000004</v>
      </c>
      <c r="AP24" s="3">
        <f t="shared" si="4"/>
        <v>0</v>
      </c>
      <c r="AQ24" s="3">
        <f t="shared" si="4"/>
        <v>0</v>
      </c>
      <c r="AR24" s="3">
        <f t="shared" si="3"/>
        <v>-1823.03</v>
      </c>
      <c r="AT24" s="3">
        <f>SUM(AT4:AT23)</f>
        <v>-968.9799999999999</v>
      </c>
    </row>
    <row r="25" spans="1:46" x14ac:dyDescent="0.25">
      <c r="A25"/>
      <c r="AR25" s="9"/>
      <c r="AS25"/>
      <c r="AT25"/>
    </row>
    <row r="26" spans="1:46" x14ac:dyDescent="0.25">
      <c r="A26"/>
      <c r="B26" s="2" t="s">
        <v>137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9"/>
      <c r="AS26"/>
      <c r="AT26"/>
    </row>
    <row r="27" spans="1:46" x14ac:dyDescent="0.25">
      <c r="A27" s="2" t="s">
        <v>275</v>
      </c>
      <c r="C27" t="s">
        <v>45</v>
      </c>
      <c r="X27" s="1">
        <f>-42.12-75.6</f>
        <v>-117.72</v>
      </c>
      <c r="AR27" s="3">
        <f>SUM(D27:AQ27)</f>
        <v>-117.72</v>
      </c>
      <c r="AS27"/>
      <c r="AT27" s="1">
        <f t="shared" ref="AT27:AT46" si="5">SUM(D27:AC27)</f>
        <v>-117.72</v>
      </c>
    </row>
    <row r="28" spans="1:46" x14ac:dyDescent="0.25">
      <c r="A28" s="2" t="s">
        <v>275</v>
      </c>
      <c r="C28" t="s">
        <v>46</v>
      </c>
      <c r="AR28" s="3">
        <f t="shared" ref="AR28:AR46" si="6">SUM(D28:AQ28)</f>
        <v>0</v>
      </c>
      <c r="AS28"/>
      <c r="AT28" s="1">
        <f t="shared" si="5"/>
        <v>0</v>
      </c>
    </row>
    <row r="29" spans="1:46" x14ac:dyDescent="0.25">
      <c r="A29" s="2" t="s">
        <v>275</v>
      </c>
      <c r="C29" t="s">
        <v>274</v>
      </c>
      <c r="P29" s="1">
        <f>-0.78-5.04</f>
        <v>-5.82</v>
      </c>
      <c r="S29" s="1">
        <v>-46.8</v>
      </c>
      <c r="T29" s="1">
        <v>-1.68</v>
      </c>
      <c r="U29" s="1">
        <f>-131.04-46.2</f>
        <v>-177.24</v>
      </c>
      <c r="V29" s="1">
        <v>-88.5</v>
      </c>
      <c r="Y29" s="1">
        <f>-88.5-1.2</f>
        <v>-89.7</v>
      </c>
      <c r="Z29" s="1">
        <f>-24-28.08</f>
        <v>-52.08</v>
      </c>
      <c r="AD29" s="1">
        <f>-56.16-30.24</f>
        <v>-86.399999999999991</v>
      </c>
      <c r="AE29" s="1">
        <v>-85.8</v>
      </c>
      <c r="AR29" s="3">
        <f t="shared" si="6"/>
        <v>-634.02</v>
      </c>
      <c r="AS29"/>
      <c r="AT29" s="1">
        <f t="shared" si="5"/>
        <v>-461.82</v>
      </c>
    </row>
    <row r="30" spans="1:46" x14ac:dyDescent="0.25">
      <c r="A30" s="2" t="s">
        <v>275</v>
      </c>
      <c r="C30" t="s">
        <v>47</v>
      </c>
      <c r="AG30" s="1">
        <v>-59</v>
      </c>
      <c r="AR30" s="3">
        <f t="shared" si="6"/>
        <v>-59</v>
      </c>
      <c r="AS30"/>
      <c r="AT30" s="1">
        <f t="shared" si="5"/>
        <v>0</v>
      </c>
    </row>
    <row r="31" spans="1:46" x14ac:dyDescent="0.25">
      <c r="C31" t="s">
        <v>704</v>
      </c>
      <c r="AR31" s="3">
        <f t="shared" si="6"/>
        <v>0</v>
      </c>
      <c r="AS31"/>
      <c r="AT31" s="1">
        <f t="shared" si="5"/>
        <v>0</v>
      </c>
    </row>
    <row r="32" spans="1:46" x14ac:dyDescent="0.25">
      <c r="A32" s="2" t="s">
        <v>275</v>
      </c>
      <c r="C32" t="s">
        <v>48</v>
      </c>
      <c r="AR32" s="3">
        <f t="shared" si="6"/>
        <v>0</v>
      </c>
      <c r="AS32"/>
      <c r="AT32" s="1">
        <f t="shared" si="5"/>
        <v>0</v>
      </c>
    </row>
    <row r="33" spans="1:46" x14ac:dyDescent="0.25">
      <c r="A33" s="2" t="s">
        <v>275</v>
      </c>
      <c r="C33" t="s">
        <v>481</v>
      </c>
      <c r="AR33" s="3">
        <f t="shared" ref="AR33:AR39" si="7">SUM(D33:AQ33)</f>
        <v>0</v>
      </c>
      <c r="AS33"/>
      <c r="AT33" s="1">
        <f t="shared" si="5"/>
        <v>0</v>
      </c>
    </row>
    <row r="34" spans="1:46" x14ac:dyDescent="0.25">
      <c r="A34" s="2" t="s">
        <v>275</v>
      </c>
      <c r="C34" t="s">
        <v>482</v>
      </c>
      <c r="Y34" s="1">
        <v>-28.08</v>
      </c>
      <c r="Z34" s="1">
        <f>-28.08-15.12</f>
        <v>-43.199999999999996</v>
      </c>
      <c r="AR34" s="3">
        <f t="shared" si="7"/>
        <v>-71.28</v>
      </c>
      <c r="AS34"/>
      <c r="AT34" s="1">
        <f t="shared" si="5"/>
        <v>-71.28</v>
      </c>
    </row>
    <row r="35" spans="1:46" x14ac:dyDescent="0.25">
      <c r="A35" s="2" t="s">
        <v>275</v>
      </c>
      <c r="C35" t="s">
        <v>483</v>
      </c>
      <c r="Z35" s="1">
        <v>-15.12</v>
      </c>
      <c r="AR35" s="3">
        <f t="shared" si="7"/>
        <v>-15.12</v>
      </c>
      <c r="AS35"/>
      <c r="AT35" s="1">
        <f t="shared" si="5"/>
        <v>-15.12</v>
      </c>
    </row>
    <row r="36" spans="1:46" x14ac:dyDescent="0.25">
      <c r="A36" s="2" t="s">
        <v>275</v>
      </c>
      <c r="C36" t="s">
        <v>484</v>
      </c>
      <c r="V36" s="1">
        <v>-449.28</v>
      </c>
      <c r="AR36" s="3">
        <f t="shared" si="7"/>
        <v>-449.28</v>
      </c>
      <c r="AS36"/>
      <c r="AT36" s="1">
        <f t="shared" si="5"/>
        <v>-449.28</v>
      </c>
    </row>
    <row r="37" spans="1:46" x14ac:dyDescent="0.25">
      <c r="A37" s="2" t="s">
        <v>275</v>
      </c>
      <c r="C37" t="s">
        <v>485</v>
      </c>
      <c r="AR37" s="3">
        <f t="shared" si="7"/>
        <v>0</v>
      </c>
      <c r="AS37"/>
      <c r="AT37" s="1">
        <f t="shared" si="5"/>
        <v>0</v>
      </c>
    </row>
    <row r="38" spans="1:46" x14ac:dyDescent="0.25">
      <c r="A38" s="2" t="s">
        <v>275</v>
      </c>
      <c r="C38" t="s">
        <v>486</v>
      </c>
      <c r="AR38" s="3">
        <f t="shared" si="7"/>
        <v>0</v>
      </c>
      <c r="AS38"/>
      <c r="AT38" s="1">
        <f t="shared" si="5"/>
        <v>0</v>
      </c>
    </row>
    <row r="39" spans="1:46" x14ac:dyDescent="0.25">
      <c r="A39" s="2" t="s">
        <v>275</v>
      </c>
      <c r="C39" t="s">
        <v>720</v>
      </c>
      <c r="AR39" s="3">
        <f t="shared" si="7"/>
        <v>0</v>
      </c>
      <c r="AS39"/>
      <c r="AT39" s="1">
        <f t="shared" si="5"/>
        <v>0</v>
      </c>
    </row>
    <row r="40" spans="1:46" x14ac:dyDescent="0.25">
      <c r="A40" s="2" t="s">
        <v>275</v>
      </c>
      <c r="C40" t="s">
        <v>49</v>
      </c>
      <c r="S40" s="1">
        <v>-3.9</v>
      </c>
      <c r="AR40" s="3">
        <f t="shared" si="6"/>
        <v>-3.9</v>
      </c>
      <c r="AS40"/>
      <c r="AT40" s="1">
        <f t="shared" si="5"/>
        <v>-3.9</v>
      </c>
    </row>
    <row r="41" spans="1:46" x14ac:dyDescent="0.25">
      <c r="A41" s="2" t="s">
        <v>275</v>
      </c>
      <c r="C41" t="s">
        <v>118</v>
      </c>
      <c r="Q41" s="1">
        <f>-42.12-60.48</f>
        <v>-102.6</v>
      </c>
      <c r="S41" s="1">
        <f>-14.04-15.12</f>
        <v>-29.159999999999997</v>
      </c>
      <c r="T41" s="1">
        <f>-19.8-14.04</f>
        <v>-33.840000000000003</v>
      </c>
      <c r="W41" s="1">
        <f>-24-14.04</f>
        <v>-38.04</v>
      </c>
      <c r="Y41" s="1">
        <v>-398.4</v>
      </c>
      <c r="Z41" s="1">
        <f>-199.2-28.08</f>
        <v>-227.27999999999997</v>
      </c>
      <c r="AR41" s="3">
        <f t="shared" si="6"/>
        <v>-829.31999999999994</v>
      </c>
      <c r="AS41"/>
      <c r="AT41" s="1">
        <f t="shared" si="5"/>
        <v>-829.31999999999994</v>
      </c>
    </row>
    <row r="42" spans="1:46" x14ac:dyDescent="0.25">
      <c r="A42" s="2" t="s">
        <v>275</v>
      </c>
      <c r="C42" t="s">
        <v>50</v>
      </c>
      <c r="AR42" s="3">
        <f t="shared" si="6"/>
        <v>0</v>
      </c>
      <c r="AS42"/>
      <c r="AT42" s="1">
        <f t="shared" si="5"/>
        <v>0</v>
      </c>
    </row>
    <row r="43" spans="1:46" x14ac:dyDescent="0.25">
      <c r="A43" s="2" t="s">
        <v>275</v>
      </c>
      <c r="C43" t="s">
        <v>51</v>
      </c>
      <c r="Q43" s="1">
        <f>-28.08-30.24</f>
        <v>-58.319999999999993</v>
      </c>
      <c r="S43" s="1">
        <f>-7.02-2.52</f>
        <v>-9.5399999999999991</v>
      </c>
      <c r="T43" s="1">
        <v>-15.12</v>
      </c>
      <c r="AB43" s="1">
        <v>-14.04</v>
      </c>
      <c r="AR43" s="3">
        <f t="shared" si="6"/>
        <v>-97.019999999999982</v>
      </c>
      <c r="AS43"/>
      <c r="AT43" s="1">
        <f t="shared" si="5"/>
        <v>-97.019999999999982</v>
      </c>
    </row>
    <row r="44" spans="1:46" x14ac:dyDescent="0.25">
      <c r="A44" s="2" t="s">
        <v>275</v>
      </c>
      <c r="C44" t="s">
        <v>52</v>
      </c>
      <c r="P44" s="1">
        <f>-5.46-0.84</f>
        <v>-6.3</v>
      </c>
      <c r="X44" s="1">
        <f>-14.04-15.12</f>
        <v>-29.159999999999997</v>
      </c>
      <c r="Z44" s="1">
        <f>-87.98-28.08</f>
        <v>-116.06</v>
      </c>
      <c r="AR44" s="3">
        <f t="shared" si="6"/>
        <v>-151.51999999999998</v>
      </c>
      <c r="AS44"/>
      <c r="AT44" s="1">
        <f t="shared" si="5"/>
        <v>-151.51999999999998</v>
      </c>
    </row>
    <row r="45" spans="1:46" x14ac:dyDescent="0.25">
      <c r="A45" s="2" t="s">
        <v>275</v>
      </c>
      <c r="C45" t="s">
        <v>530</v>
      </c>
      <c r="AR45" s="3">
        <f t="shared" si="6"/>
        <v>0</v>
      </c>
      <c r="AS45"/>
      <c r="AT45" s="1">
        <f t="shared" si="5"/>
        <v>0</v>
      </c>
    </row>
    <row r="46" spans="1:46" x14ac:dyDescent="0.25">
      <c r="A46" s="2" t="s">
        <v>275</v>
      </c>
      <c r="C46" t="s">
        <v>194</v>
      </c>
      <c r="AR46" s="3">
        <f t="shared" si="6"/>
        <v>0</v>
      </c>
      <c r="AS46"/>
      <c r="AT46" s="1">
        <f t="shared" si="5"/>
        <v>0</v>
      </c>
    </row>
    <row r="47" spans="1:46" s="2" customFormat="1" x14ac:dyDescent="0.25">
      <c r="B47" s="2" t="s">
        <v>138</v>
      </c>
      <c r="D47" s="3">
        <f>SUM(D27:D46)</f>
        <v>0</v>
      </c>
      <c r="E47" s="3">
        <f t="shared" ref="E47:AQ47" si="8">SUM(E27:E46)</f>
        <v>0</v>
      </c>
      <c r="F47" s="3">
        <f t="shared" si="8"/>
        <v>0</v>
      </c>
      <c r="G47" s="3">
        <f t="shared" si="8"/>
        <v>0</v>
      </c>
      <c r="H47" s="3">
        <f t="shared" si="8"/>
        <v>0</v>
      </c>
      <c r="I47" s="3">
        <f t="shared" si="8"/>
        <v>0</v>
      </c>
      <c r="J47" s="3">
        <f t="shared" si="8"/>
        <v>0</v>
      </c>
      <c r="K47" s="3">
        <f t="shared" si="8"/>
        <v>0</v>
      </c>
      <c r="L47" s="3">
        <f t="shared" si="8"/>
        <v>0</v>
      </c>
      <c r="M47" s="3">
        <f t="shared" si="8"/>
        <v>0</v>
      </c>
      <c r="N47" s="3">
        <f t="shared" si="8"/>
        <v>0</v>
      </c>
      <c r="O47" s="3">
        <f t="shared" si="8"/>
        <v>0</v>
      </c>
      <c r="P47" s="3">
        <f t="shared" si="8"/>
        <v>-12.120000000000001</v>
      </c>
      <c r="Q47" s="3">
        <f t="shared" si="8"/>
        <v>-160.91999999999999</v>
      </c>
      <c r="R47" s="3">
        <f t="shared" si="8"/>
        <v>0</v>
      </c>
      <c r="S47" s="3">
        <f t="shared" si="8"/>
        <v>-89.399999999999977</v>
      </c>
      <c r="T47" s="3">
        <f t="shared" si="8"/>
        <v>-50.64</v>
      </c>
      <c r="U47" s="3">
        <f t="shared" si="8"/>
        <v>-177.24</v>
      </c>
      <c r="V47" s="3">
        <f t="shared" si="8"/>
        <v>-537.78</v>
      </c>
      <c r="W47" s="3">
        <f t="shared" si="8"/>
        <v>-38.04</v>
      </c>
      <c r="X47" s="3">
        <f t="shared" si="8"/>
        <v>-146.88</v>
      </c>
      <c r="Y47" s="3">
        <f t="shared" si="8"/>
        <v>-516.17999999999995</v>
      </c>
      <c r="Z47" s="3">
        <f t="shared" si="8"/>
        <v>-453.73999999999995</v>
      </c>
      <c r="AA47" s="3">
        <f t="shared" si="8"/>
        <v>0</v>
      </c>
      <c r="AB47" s="3">
        <f t="shared" si="8"/>
        <v>-14.04</v>
      </c>
      <c r="AC47" s="3">
        <f t="shared" si="8"/>
        <v>0</v>
      </c>
      <c r="AD47" s="3">
        <f t="shared" si="8"/>
        <v>-86.399999999999991</v>
      </c>
      <c r="AE47" s="3">
        <f t="shared" si="8"/>
        <v>-85.8</v>
      </c>
      <c r="AF47" s="3">
        <f t="shared" si="8"/>
        <v>0</v>
      </c>
      <c r="AG47" s="3">
        <f t="shared" si="8"/>
        <v>-59</v>
      </c>
      <c r="AH47" s="3">
        <f t="shared" si="8"/>
        <v>0</v>
      </c>
      <c r="AI47" s="3">
        <f t="shared" si="8"/>
        <v>0</v>
      </c>
      <c r="AJ47" s="3">
        <f t="shared" si="8"/>
        <v>0</v>
      </c>
      <c r="AK47" s="3">
        <f t="shared" si="8"/>
        <v>0</v>
      </c>
      <c r="AL47" s="3">
        <f t="shared" si="8"/>
        <v>0</v>
      </c>
      <c r="AM47" s="3">
        <f t="shared" si="8"/>
        <v>0</v>
      </c>
      <c r="AN47" s="3">
        <f t="shared" si="8"/>
        <v>0</v>
      </c>
      <c r="AO47" s="3">
        <f t="shared" si="8"/>
        <v>0</v>
      </c>
      <c r="AP47" s="3">
        <f t="shared" si="8"/>
        <v>0</v>
      </c>
      <c r="AQ47" s="3">
        <f t="shared" si="8"/>
        <v>0</v>
      </c>
      <c r="AR47" s="3">
        <f t="shared" ref="AR47" si="9">SUM(AR27:AR46)</f>
        <v>-2428.1800000000003</v>
      </c>
      <c r="AT47" s="3">
        <f>SUM(AT27:AT46)</f>
        <v>-2196.9799999999996</v>
      </c>
    </row>
    <row r="48" spans="1:46" s="2" customFormat="1" x14ac:dyDescent="0.25"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 spans="1:47" x14ac:dyDescent="0.25">
      <c r="A49"/>
      <c r="B49" s="2" t="s">
        <v>533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9"/>
      <c r="AS49"/>
      <c r="AT49"/>
    </row>
    <row r="50" spans="1:47" x14ac:dyDescent="0.25">
      <c r="A50" s="2" t="s">
        <v>275</v>
      </c>
      <c r="C50" t="s">
        <v>45</v>
      </c>
      <c r="T50" s="1">
        <v>-15.44</v>
      </c>
      <c r="AR50" s="3">
        <f>SUM(D50:AQ50)</f>
        <v>-15.44</v>
      </c>
      <c r="AS50"/>
      <c r="AT50" s="1">
        <f t="shared" ref="AT50:AT69" si="10">SUM(D50:AC50)</f>
        <v>-15.44</v>
      </c>
      <c r="AU50" s="1">
        <f>+AR50+AR27+AR4</f>
        <v>-142.46</v>
      </c>
    </row>
    <row r="51" spans="1:47" x14ac:dyDescent="0.25">
      <c r="A51" s="2" t="s">
        <v>275</v>
      </c>
      <c r="C51" t="s">
        <v>46</v>
      </c>
      <c r="AR51" s="3">
        <f t="shared" ref="AR51:AR69" si="11">SUM(D51:AQ51)</f>
        <v>0</v>
      </c>
      <c r="AS51"/>
      <c r="AT51" s="1">
        <f t="shared" si="10"/>
        <v>0</v>
      </c>
      <c r="AU51" s="1">
        <f>+AR51+AR28+AR5</f>
        <v>0</v>
      </c>
    </row>
    <row r="52" spans="1:47" x14ac:dyDescent="0.25">
      <c r="A52" s="2" t="s">
        <v>275</v>
      </c>
      <c r="C52" t="s">
        <v>274</v>
      </c>
      <c r="J52" s="1">
        <v>-15.44</v>
      </c>
      <c r="N52" s="1">
        <v>-30.88</v>
      </c>
      <c r="O52" s="1">
        <v>-30.88</v>
      </c>
      <c r="R52" s="1">
        <v>-50.18</v>
      </c>
      <c r="S52" s="1">
        <f>-123.52-168.48</f>
        <v>-292</v>
      </c>
      <c r="T52" s="1">
        <f>-37.44-30.88</f>
        <v>-68.319999999999993</v>
      </c>
      <c r="U52" s="1">
        <f>-138.96-205.92</f>
        <v>-344.88</v>
      </c>
      <c r="V52" s="1">
        <f>-25.09-4.16</f>
        <v>-29.25</v>
      </c>
      <c r="W52" s="1">
        <f>-108.08-74.88</f>
        <v>-182.95999999999998</v>
      </c>
      <c r="Y52" s="1">
        <v>-18.72</v>
      </c>
      <c r="Z52" s="1">
        <f>-154.4-187.2</f>
        <v>-341.6</v>
      </c>
      <c r="AC52" s="1">
        <f>-30.88-37.44</f>
        <v>-68.319999999999993</v>
      </c>
      <c r="AD52" s="1">
        <v>-30.88</v>
      </c>
      <c r="AE52" s="1">
        <v>-56.16</v>
      </c>
      <c r="AF52" s="1">
        <v>-18.72</v>
      </c>
      <c r="AG52" s="1">
        <v>-15.44</v>
      </c>
      <c r="AI52" s="1">
        <v>-46.32</v>
      </c>
      <c r="AL52" s="1">
        <f>-77.2-74.88</f>
        <v>-152.07999999999998</v>
      </c>
      <c r="AR52" s="3">
        <f t="shared" si="11"/>
        <v>-1793.0300000000002</v>
      </c>
      <c r="AS52"/>
      <c r="AT52" s="1">
        <f t="shared" si="10"/>
        <v>-1473.43</v>
      </c>
      <c r="AU52" s="1">
        <f>+AR52+AR29+AR6</f>
        <v>-3430.0200000000004</v>
      </c>
    </row>
    <row r="53" spans="1:47" x14ac:dyDescent="0.25">
      <c r="A53" s="2" t="s">
        <v>275</v>
      </c>
      <c r="C53" t="s">
        <v>47</v>
      </c>
      <c r="AR53" s="3">
        <f t="shared" si="11"/>
        <v>0</v>
      </c>
      <c r="AS53"/>
      <c r="AT53" s="1">
        <f t="shared" si="10"/>
        <v>0</v>
      </c>
      <c r="AU53" s="1">
        <f>+AR53+AR30+AR7</f>
        <v>-59</v>
      </c>
    </row>
    <row r="54" spans="1:47" x14ac:dyDescent="0.25">
      <c r="C54" t="s">
        <v>704</v>
      </c>
      <c r="AR54" s="3">
        <f t="shared" si="11"/>
        <v>0</v>
      </c>
      <c r="AS54"/>
      <c r="AT54" s="1">
        <f t="shared" si="10"/>
        <v>0</v>
      </c>
      <c r="AU54" s="1">
        <f>+AR54+AR31+AR8</f>
        <v>0</v>
      </c>
    </row>
    <row r="55" spans="1:47" x14ac:dyDescent="0.25">
      <c r="A55" s="2" t="s">
        <v>275</v>
      </c>
      <c r="C55" t="s">
        <v>48</v>
      </c>
      <c r="AR55" s="3">
        <f t="shared" si="11"/>
        <v>0</v>
      </c>
      <c r="AS55"/>
      <c r="AT55" s="1">
        <f t="shared" si="10"/>
        <v>0</v>
      </c>
      <c r="AU55" s="1">
        <f t="shared" ref="AU55:AU69" si="12">+AR55+AR32+AR9</f>
        <v>-9.3000000000000007</v>
      </c>
    </row>
    <row r="56" spans="1:47" x14ac:dyDescent="0.25">
      <c r="A56" s="2" t="s">
        <v>275</v>
      </c>
      <c r="C56" t="s">
        <v>481</v>
      </c>
      <c r="U56" s="1">
        <v>-7.28</v>
      </c>
      <c r="AR56" s="3">
        <f t="shared" si="11"/>
        <v>-7.28</v>
      </c>
      <c r="AS56"/>
      <c r="AT56" s="1">
        <f t="shared" si="10"/>
        <v>-7.28</v>
      </c>
      <c r="AU56" s="1">
        <f t="shared" si="12"/>
        <v>-16.580000000000002</v>
      </c>
    </row>
    <row r="57" spans="1:47" x14ac:dyDescent="0.25">
      <c r="A57" s="2" t="s">
        <v>275</v>
      </c>
      <c r="C57" t="s">
        <v>482</v>
      </c>
      <c r="AH57" s="1">
        <v>-18.72</v>
      </c>
      <c r="AN57" s="1">
        <f>-15.44-18.72</f>
        <v>-34.159999999999997</v>
      </c>
      <c r="AR57" s="3">
        <f t="shared" si="11"/>
        <v>-52.879999999999995</v>
      </c>
      <c r="AS57"/>
      <c r="AT57" s="1">
        <f t="shared" si="10"/>
        <v>0</v>
      </c>
      <c r="AU57" s="1">
        <f t="shared" si="12"/>
        <v>-248.16</v>
      </c>
    </row>
    <row r="58" spans="1:47" x14ac:dyDescent="0.25">
      <c r="A58" s="2" t="s">
        <v>275</v>
      </c>
      <c r="C58" t="s">
        <v>483</v>
      </c>
      <c r="AF58" s="1">
        <v>-18.72</v>
      </c>
      <c r="AR58" s="3">
        <f t="shared" si="11"/>
        <v>-18.72</v>
      </c>
      <c r="AS58"/>
      <c r="AT58" s="1">
        <f t="shared" si="10"/>
        <v>0</v>
      </c>
      <c r="AU58" s="1">
        <f t="shared" si="12"/>
        <v>-173.33999999999997</v>
      </c>
    </row>
    <row r="59" spans="1:47" x14ac:dyDescent="0.25">
      <c r="A59" s="2" t="s">
        <v>275</v>
      </c>
      <c r="C59" t="s">
        <v>484</v>
      </c>
      <c r="AR59" s="3">
        <f t="shared" si="11"/>
        <v>0</v>
      </c>
      <c r="AS59"/>
      <c r="AT59" s="1">
        <f t="shared" si="10"/>
        <v>0</v>
      </c>
      <c r="AU59" s="1">
        <f t="shared" si="12"/>
        <v>-551.57999999999993</v>
      </c>
    </row>
    <row r="60" spans="1:47" x14ac:dyDescent="0.25">
      <c r="A60" s="2" t="s">
        <v>275</v>
      </c>
      <c r="C60" t="s">
        <v>485</v>
      </c>
      <c r="AR60" s="3">
        <f t="shared" si="11"/>
        <v>0</v>
      </c>
      <c r="AS60"/>
      <c r="AT60" s="1">
        <f t="shared" si="10"/>
        <v>0</v>
      </c>
      <c r="AU60" s="1">
        <f t="shared" si="12"/>
        <v>-37.200000000000003</v>
      </c>
    </row>
    <row r="61" spans="1:47" x14ac:dyDescent="0.25">
      <c r="A61" s="2" t="s">
        <v>275</v>
      </c>
      <c r="C61" t="s">
        <v>486</v>
      </c>
      <c r="AR61" s="3">
        <f t="shared" si="11"/>
        <v>0</v>
      </c>
      <c r="AS61"/>
      <c r="AT61" s="1">
        <f t="shared" si="10"/>
        <v>0</v>
      </c>
      <c r="AU61" s="1">
        <f t="shared" si="12"/>
        <v>-120.89999999999998</v>
      </c>
    </row>
    <row r="62" spans="1:47" x14ac:dyDescent="0.25">
      <c r="A62" s="2" t="s">
        <v>275</v>
      </c>
      <c r="C62" t="s">
        <v>720</v>
      </c>
      <c r="U62" s="1">
        <v>-37.44</v>
      </c>
      <c r="AR62" s="3">
        <f t="shared" si="11"/>
        <v>-37.44</v>
      </c>
      <c r="AS62"/>
      <c r="AT62" s="1">
        <f t="shared" si="10"/>
        <v>-37.44</v>
      </c>
      <c r="AU62" s="1">
        <f t="shared" si="12"/>
        <v>-37.44</v>
      </c>
    </row>
    <row r="63" spans="1:47" x14ac:dyDescent="0.25">
      <c r="A63" s="2" t="s">
        <v>275</v>
      </c>
      <c r="C63" t="s">
        <v>49</v>
      </c>
      <c r="AR63" s="3">
        <f t="shared" si="11"/>
        <v>0</v>
      </c>
      <c r="AS63"/>
      <c r="AT63" s="1">
        <f t="shared" si="10"/>
        <v>0</v>
      </c>
      <c r="AU63" s="1">
        <f t="shared" si="12"/>
        <v>-13.200000000000001</v>
      </c>
    </row>
    <row r="64" spans="1:47" x14ac:dyDescent="0.25">
      <c r="A64" s="2" t="s">
        <v>275</v>
      </c>
      <c r="C64" t="s">
        <v>118</v>
      </c>
      <c r="AR64" s="3">
        <f t="shared" si="11"/>
        <v>0</v>
      </c>
      <c r="AS64"/>
      <c r="AT64" s="1">
        <f t="shared" si="10"/>
        <v>0</v>
      </c>
      <c r="AU64" s="1">
        <f t="shared" si="12"/>
        <v>-1004.5799999999999</v>
      </c>
    </row>
    <row r="65" spans="1:47" x14ac:dyDescent="0.25">
      <c r="A65" s="2" t="s">
        <v>275</v>
      </c>
      <c r="C65" t="s">
        <v>50</v>
      </c>
      <c r="AR65" s="3">
        <f t="shared" si="11"/>
        <v>0</v>
      </c>
      <c r="AS65"/>
      <c r="AT65" s="1">
        <f t="shared" si="10"/>
        <v>0</v>
      </c>
      <c r="AU65" s="1">
        <f t="shared" si="12"/>
        <v>-9.3000000000000007</v>
      </c>
    </row>
    <row r="66" spans="1:47" x14ac:dyDescent="0.25">
      <c r="A66" s="2" t="s">
        <v>275</v>
      </c>
      <c r="C66" t="s">
        <v>51</v>
      </c>
      <c r="Q66" s="1">
        <v>-56.16</v>
      </c>
      <c r="AR66" s="3">
        <f t="shared" si="11"/>
        <v>-56.16</v>
      </c>
      <c r="AS66"/>
      <c r="AT66" s="1">
        <f t="shared" si="10"/>
        <v>-56.16</v>
      </c>
      <c r="AU66" s="1">
        <f t="shared" si="12"/>
        <v>-190.38</v>
      </c>
    </row>
    <row r="67" spans="1:47" x14ac:dyDescent="0.25">
      <c r="A67" s="2" t="s">
        <v>275</v>
      </c>
      <c r="C67" t="s">
        <v>52</v>
      </c>
      <c r="X67" s="1">
        <v>-15.44</v>
      </c>
      <c r="Y67" s="1">
        <v>-30.88</v>
      </c>
      <c r="AC67" s="1">
        <v>-30.88</v>
      </c>
      <c r="AR67" s="3">
        <f t="shared" si="11"/>
        <v>-77.2</v>
      </c>
      <c r="AS67"/>
      <c r="AT67" s="1">
        <f t="shared" si="10"/>
        <v>-77.2</v>
      </c>
      <c r="AU67" s="1">
        <f t="shared" si="12"/>
        <v>-265.91999999999996</v>
      </c>
    </row>
    <row r="68" spans="1:47" x14ac:dyDescent="0.25">
      <c r="A68" s="2" t="s">
        <v>275</v>
      </c>
      <c r="C68" t="s">
        <v>530</v>
      </c>
      <c r="AR68" s="3">
        <f t="shared" si="11"/>
        <v>0</v>
      </c>
      <c r="AS68"/>
      <c r="AT68" s="1">
        <f t="shared" si="10"/>
        <v>0</v>
      </c>
      <c r="AU68" s="1">
        <f t="shared" si="12"/>
        <v>0</v>
      </c>
    </row>
    <row r="69" spans="1:47" x14ac:dyDescent="0.25">
      <c r="A69" s="2" t="s">
        <v>275</v>
      </c>
      <c r="C69" t="s">
        <v>194</v>
      </c>
      <c r="AR69" s="3">
        <f t="shared" si="11"/>
        <v>0</v>
      </c>
      <c r="AS69"/>
      <c r="AT69" s="1">
        <f t="shared" si="10"/>
        <v>0</v>
      </c>
      <c r="AU69" s="1">
        <f t="shared" si="12"/>
        <v>0</v>
      </c>
    </row>
    <row r="70" spans="1:47" s="2" customFormat="1" x14ac:dyDescent="0.25">
      <c r="B70" s="2" t="s">
        <v>534</v>
      </c>
      <c r="D70" s="3">
        <f>SUM(D50:D69)</f>
        <v>0</v>
      </c>
      <c r="E70" s="3">
        <f t="shared" ref="E70:AR70" si="13">SUM(E50:E69)</f>
        <v>0</v>
      </c>
      <c r="F70" s="3">
        <f t="shared" si="13"/>
        <v>0</v>
      </c>
      <c r="G70" s="3">
        <f t="shared" si="13"/>
        <v>0</v>
      </c>
      <c r="H70" s="3">
        <f t="shared" si="13"/>
        <v>0</v>
      </c>
      <c r="I70" s="3">
        <f t="shared" si="13"/>
        <v>0</v>
      </c>
      <c r="J70" s="3">
        <f t="shared" si="13"/>
        <v>-15.44</v>
      </c>
      <c r="K70" s="3">
        <f t="shared" si="13"/>
        <v>0</v>
      </c>
      <c r="L70" s="3">
        <f t="shared" si="13"/>
        <v>0</v>
      </c>
      <c r="M70" s="3">
        <f t="shared" si="13"/>
        <v>0</v>
      </c>
      <c r="N70" s="3">
        <f t="shared" si="13"/>
        <v>-30.88</v>
      </c>
      <c r="O70" s="3">
        <f t="shared" si="13"/>
        <v>-30.88</v>
      </c>
      <c r="P70" s="3">
        <f t="shared" si="13"/>
        <v>0</v>
      </c>
      <c r="Q70" s="3">
        <f t="shared" si="13"/>
        <v>-56.16</v>
      </c>
      <c r="R70" s="3">
        <f t="shared" si="13"/>
        <v>-50.18</v>
      </c>
      <c r="S70" s="3">
        <f t="shared" si="13"/>
        <v>-292</v>
      </c>
      <c r="T70" s="3">
        <f t="shared" si="13"/>
        <v>-83.759999999999991</v>
      </c>
      <c r="U70" s="3">
        <f t="shared" si="13"/>
        <v>-389.59999999999997</v>
      </c>
      <c r="V70" s="3">
        <f t="shared" si="13"/>
        <v>-29.25</v>
      </c>
      <c r="W70" s="3">
        <f t="shared" si="13"/>
        <v>-182.95999999999998</v>
      </c>
      <c r="X70" s="3">
        <f t="shared" si="13"/>
        <v>-15.44</v>
      </c>
      <c r="Y70" s="3">
        <f t="shared" si="13"/>
        <v>-49.599999999999994</v>
      </c>
      <c r="Z70" s="3">
        <f t="shared" si="13"/>
        <v>-341.6</v>
      </c>
      <c r="AA70" s="3">
        <f t="shared" si="13"/>
        <v>0</v>
      </c>
      <c r="AB70" s="3">
        <f t="shared" si="13"/>
        <v>0</v>
      </c>
      <c r="AC70" s="3">
        <f t="shared" si="13"/>
        <v>-99.199999999999989</v>
      </c>
      <c r="AD70" s="3">
        <f t="shared" si="13"/>
        <v>-30.88</v>
      </c>
      <c r="AE70" s="3">
        <f t="shared" si="13"/>
        <v>-56.16</v>
      </c>
      <c r="AF70" s="3">
        <f t="shared" si="13"/>
        <v>-37.44</v>
      </c>
      <c r="AG70" s="3">
        <f t="shared" si="13"/>
        <v>-15.44</v>
      </c>
      <c r="AH70" s="3">
        <f t="shared" si="13"/>
        <v>-18.72</v>
      </c>
      <c r="AI70" s="3">
        <f t="shared" si="13"/>
        <v>-46.32</v>
      </c>
      <c r="AJ70" s="3">
        <f t="shared" si="13"/>
        <v>0</v>
      </c>
      <c r="AK70" s="3">
        <f t="shared" si="13"/>
        <v>0</v>
      </c>
      <c r="AL70" s="3">
        <f t="shared" si="13"/>
        <v>-152.07999999999998</v>
      </c>
      <c r="AM70" s="3">
        <f t="shared" si="13"/>
        <v>0</v>
      </c>
      <c r="AN70" s="3">
        <f t="shared" si="13"/>
        <v>-34.159999999999997</v>
      </c>
      <c r="AO70" s="3">
        <f t="shared" si="13"/>
        <v>0</v>
      </c>
      <c r="AP70" s="3">
        <f t="shared" si="13"/>
        <v>0</v>
      </c>
      <c r="AQ70" s="3">
        <f t="shared" si="13"/>
        <v>0</v>
      </c>
      <c r="AR70" s="3">
        <f t="shared" si="13"/>
        <v>-2058.15</v>
      </c>
      <c r="AT70" s="3">
        <f>SUM(AT50:AT69)</f>
        <v>-1666.9500000000003</v>
      </c>
      <c r="AU70" s="3">
        <f t="shared" ref="AU70" si="14">SUM(AU50:AU69)</f>
        <v>-6309.36</v>
      </c>
    </row>
    <row r="71" spans="1:47" x14ac:dyDescent="0.25">
      <c r="A71"/>
      <c r="AS71"/>
      <c r="AT71"/>
    </row>
  </sheetData>
  <sortState xmlns:xlrd2="http://schemas.microsoft.com/office/spreadsheetml/2017/richdata2" ref="C4:C17">
    <sortCondition ref="C4:C17"/>
  </sortState>
  <pageMargins left="0.11811023622047245" right="0" top="0.74803149606299213" bottom="0.74803149606299213" header="0.31496062992125984" footer="0.31496062992125984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Y50"/>
  <sheetViews>
    <sheetView workbookViewId="0">
      <pane xSplit="3" ySplit="2" topLeftCell="X3" activePane="bottomRight" state="frozen"/>
      <selection pane="topRight" activeCell="D1" sqref="D1"/>
      <selection pane="bottomLeft" activeCell="A3" sqref="A3"/>
      <selection pane="bottomRight" activeCell="AN11" sqref="AN11"/>
    </sheetView>
  </sheetViews>
  <sheetFormatPr defaultRowHeight="15" x14ac:dyDescent="0.25"/>
  <cols>
    <col min="1" max="2" width="3.42578125" style="2" customWidth="1"/>
    <col min="3" max="3" width="28.85546875" customWidth="1"/>
    <col min="4" max="43" width="9.140625" style="1" customWidth="1"/>
    <col min="44" max="44" width="9.140625" style="3"/>
    <col min="45" max="45" width="4.42578125" style="1" customWidth="1"/>
    <col min="46" max="46" width="9.140625" style="8"/>
  </cols>
  <sheetData>
    <row r="1" spans="1:51" x14ac:dyDescent="0.25">
      <c r="A1" s="2" t="s">
        <v>43</v>
      </c>
      <c r="D1" s="142">
        <v>45292</v>
      </c>
      <c r="E1" s="142">
        <v>45292</v>
      </c>
      <c r="F1" s="142">
        <v>45292</v>
      </c>
      <c r="G1" s="142">
        <v>45292</v>
      </c>
      <c r="H1" s="142">
        <v>45292</v>
      </c>
      <c r="I1" s="142">
        <v>45323</v>
      </c>
      <c r="J1" s="142">
        <v>45323</v>
      </c>
      <c r="K1" s="142">
        <v>45323</v>
      </c>
      <c r="L1" s="142">
        <v>45323</v>
      </c>
      <c r="M1" s="142">
        <v>45352</v>
      </c>
      <c r="N1" s="142">
        <v>45352</v>
      </c>
      <c r="O1" s="142">
        <v>45352</v>
      </c>
      <c r="P1" s="142">
        <v>45352</v>
      </c>
      <c r="Q1" s="142">
        <v>45383</v>
      </c>
      <c r="R1" s="142">
        <v>45383</v>
      </c>
      <c r="S1" s="142">
        <v>45383</v>
      </c>
      <c r="T1" s="142">
        <v>45383</v>
      </c>
      <c r="U1" s="142">
        <v>45413</v>
      </c>
      <c r="V1" s="142">
        <v>45413</v>
      </c>
      <c r="W1" s="142">
        <v>45413</v>
      </c>
      <c r="X1" s="142">
        <v>45413</v>
      </c>
      <c r="Y1" s="142">
        <v>45413</v>
      </c>
      <c r="Z1" s="142">
        <v>45444</v>
      </c>
      <c r="AA1" s="142">
        <v>45444</v>
      </c>
      <c r="AB1" s="142">
        <v>45444</v>
      </c>
      <c r="AC1" s="142">
        <v>45444</v>
      </c>
      <c r="AD1" s="142">
        <v>45474</v>
      </c>
      <c r="AE1" s="142">
        <v>45474</v>
      </c>
      <c r="AF1" s="142">
        <v>45474</v>
      </c>
      <c r="AG1" s="142">
        <v>45474</v>
      </c>
      <c r="AH1" s="142">
        <v>45474</v>
      </c>
      <c r="AI1" s="142">
        <v>45505</v>
      </c>
      <c r="AJ1" s="142">
        <v>45505</v>
      </c>
      <c r="AK1" s="142">
        <v>45505</v>
      </c>
      <c r="AL1" s="142">
        <v>45505</v>
      </c>
      <c r="AM1" s="142">
        <v>45536</v>
      </c>
      <c r="AN1" s="142">
        <v>45536</v>
      </c>
      <c r="AO1" s="142">
        <v>45536</v>
      </c>
      <c r="AP1" s="142">
        <v>45536</v>
      </c>
      <c r="AQ1" s="13" t="s">
        <v>282</v>
      </c>
      <c r="AV1" t="s">
        <v>41</v>
      </c>
      <c r="AW1">
        <v>2015</v>
      </c>
      <c r="AX1" t="s">
        <v>175</v>
      </c>
      <c r="AY1" t="s">
        <v>177</v>
      </c>
    </row>
    <row r="2" spans="1:51" x14ac:dyDescent="0.25">
      <c r="A2" s="2" t="s">
        <v>296</v>
      </c>
      <c r="D2" s="13" t="s">
        <v>491</v>
      </c>
      <c r="E2" s="13" t="s">
        <v>492</v>
      </c>
      <c r="F2" s="13" t="s">
        <v>493</v>
      </c>
      <c r="G2" s="13" t="s">
        <v>494</v>
      </c>
      <c r="H2" s="13" t="s">
        <v>495</v>
      </c>
      <c r="I2" s="13" t="s">
        <v>496</v>
      </c>
      <c r="J2" s="13" t="s">
        <v>263</v>
      </c>
      <c r="K2" s="13" t="s">
        <v>264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3" t="s">
        <v>54</v>
      </c>
      <c r="V2" s="13" t="s">
        <v>20</v>
      </c>
      <c r="W2" s="13" t="s">
        <v>21</v>
      </c>
      <c r="X2" s="13" t="s">
        <v>22</v>
      </c>
      <c r="Y2" s="13" t="s">
        <v>23</v>
      </c>
      <c r="Z2" s="13" t="s">
        <v>24</v>
      </c>
      <c r="AA2" s="13" t="s">
        <v>25</v>
      </c>
      <c r="AB2" s="13" t="s">
        <v>26</v>
      </c>
      <c r="AC2" s="13" t="s">
        <v>27</v>
      </c>
      <c r="AD2" s="13" t="s">
        <v>28</v>
      </c>
      <c r="AE2" s="13" t="s">
        <v>29</v>
      </c>
      <c r="AF2" s="13" t="s">
        <v>30</v>
      </c>
      <c r="AG2" s="13" t="s">
        <v>31</v>
      </c>
      <c r="AH2" s="13" t="s">
        <v>32</v>
      </c>
      <c r="AI2" s="13" t="s">
        <v>33</v>
      </c>
      <c r="AJ2" s="13" t="s">
        <v>34</v>
      </c>
      <c r="AK2" s="13" t="s">
        <v>55</v>
      </c>
      <c r="AL2" s="13" t="s">
        <v>56</v>
      </c>
      <c r="AM2" s="13" t="s">
        <v>57</v>
      </c>
      <c r="AN2" s="13" t="s">
        <v>58</v>
      </c>
      <c r="AO2" s="13" t="s">
        <v>59</v>
      </c>
      <c r="AP2" s="13" t="s">
        <v>60</v>
      </c>
      <c r="AQ2" s="4" t="s">
        <v>61</v>
      </c>
      <c r="AR2" s="52" t="s">
        <v>2</v>
      </c>
      <c r="AV2" t="s">
        <v>291</v>
      </c>
      <c r="AW2" t="s">
        <v>174</v>
      </c>
      <c r="AX2" t="s">
        <v>176</v>
      </c>
      <c r="AY2" s="32" t="s">
        <v>178</v>
      </c>
    </row>
    <row r="3" spans="1:51" x14ac:dyDescent="0.25">
      <c r="A3"/>
      <c r="B3" s="2" t="s">
        <v>135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AR3" s="9"/>
      <c r="AS3"/>
      <c r="AT3"/>
    </row>
    <row r="4" spans="1:51" x14ac:dyDescent="0.25">
      <c r="A4" s="2" t="s">
        <v>275</v>
      </c>
      <c r="C4" t="s">
        <v>298</v>
      </c>
      <c r="AR4" s="3">
        <f>SUM(D4:AQ4)</f>
        <v>0</v>
      </c>
      <c r="AS4"/>
      <c r="AT4"/>
    </row>
    <row r="5" spans="1:51" x14ac:dyDescent="0.25">
      <c r="A5" s="2" t="s">
        <v>275</v>
      </c>
      <c r="C5" t="s">
        <v>299</v>
      </c>
      <c r="AB5" s="1">
        <v>-9.3000000000000007</v>
      </c>
      <c r="AR5" s="3">
        <f t="shared" ref="AR5:AR16" si="0">SUM(D5:AQ5)</f>
        <v>-9.3000000000000007</v>
      </c>
      <c r="AS5"/>
      <c r="AT5"/>
    </row>
    <row r="6" spans="1:51" x14ac:dyDescent="0.25">
      <c r="A6" s="2" t="s">
        <v>275</v>
      </c>
      <c r="C6" t="s">
        <v>300</v>
      </c>
      <c r="Y6" s="1">
        <v>-55.8</v>
      </c>
      <c r="AE6" s="1">
        <v>-18.600000000000001</v>
      </c>
      <c r="AR6" s="3">
        <f t="shared" si="0"/>
        <v>-74.400000000000006</v>
      </c>
      <c r="AS6"/>
      <c r="AT6"/>
    </row>
    <row r="7" spans="1:51" x14ac:dyDescent="0.25">
      <c r="A7" s="2" t="s">
        <v>275</v>
      </c>
      <c r="C7" t="s">
        <v>194</v>
      </c>
      <c r="AR7" s="3">
        <f t="shared" si="0"/>
        <v>0</v>
      </c>
      <c r="AS7"/>
      <c r="AT7"/>
    </row>
    <row r="8" spans="1:51" x14ac:dyDescent="0.25">
      <c r="A8" s="2" t="s">
        <v>275</v>
      </c>
      <c r="C8" t="s">
        <v>301</v>
      </c>
      <c r="AR8" s="3">
        <f t="shared" si="0"/>
        <v>0</v>
      </c>
      <c r="AS8"/>
      <c r="AT8"/>
    </row>
    <row r="9" spans="1:51" x14ac:dyDescent="0.25">
      <c r="A9" s="2" t="s">
        <v>275</v>
      </c>
      <c r="C9" t="s">
        <v>302</v>
      </c>
      <c r="AB9" s="1">
        <v>-9.3000000000000007</v>
      </c>
      <c r="AR9" s="3">
        <f t="shared" si="0"/>
        <v>-9.3000000000000007</v>
      </c>
      <c r="AS9"/>
      <c r="AT9"/>
    </row>
    <row r="10" spans="1:51" x14ac:dyDescent="0.25">
      <c r="A10" s="2" t="s">
        <v>275</v>
      </c>
      <c r="C10" t="s">
        <v>303</v>
      </c>
      <c r="X10" s="1">
        <v>-27.9</v>
      </c>
      <c r="AC10" s="1">
        <v>-46.5</v>
      </c>
      <c r="AE10" s="1">
        <v>-55.8</v>
      </c>
      <c r="AF10" s="1">
        <v>-9.3000000000000007</v>
      </c>
      <c r="AN10" s="1">
        <v>-18.600000000000001</v>
      </c>
      <c r="AR10" s="3">
        <f t="shared" si="0"/>
        <v>-158.1</v>
      </c>
      <c r="AS10"/>
      <c r="AT10"/>
    </row>
    <row r="11" spans="1:51" x14ac:dyDescent="0.25">
      <c r="A11" s="2" t="s">
        <v>275</v>
      </c>
      <c r="C11" t="s">
        <v>304</v>
      </c>
      <c r="AR11" s="3">
        <f t="shared" si="0"/>
        <v>0</v>
      </c>
      <c r="AS11"/>
      <c r="AT11"/>
    </row>
    <row r="12" spans="1:51" x14ac:dyDescent="0.25">
      <c r="A12" s="2" t="s">
        <v>275</v>
      </c>
      <c r="C12" t="s">
        <v>194</v>
      </c>
      <c r="AR12" s="3">
        <f t="shared" si="0"/>
        <v>0</v>
      </c>
      <c r="AS12"/>
      <c r="AT12"/>
    </row>
    <row r="13" spans="1:51" x14ac:dyDescent="0.25">
      <c r="A13" s="2" t="s">
        <v>275</v>
      </c>
      <c r="C13" t="s">
        <v>194</v>
      </c>
      <c r="AR13" s="3">
        <f t="shared" si="0"/>
        <v>0</v>
      </c>
      <c r="AS13"/>
      <c r="AT13"/>
    </row>
    <row r="14" spans="1:51" x14ac:dyDescent="0.25">
      <c r="A14" s="2" t="s">
        <v>275</v>
      </c>
      <c r="C14" t="s">
        <v>194</v>
      </c>
      <c r="AR14" s="3">
        <f t="shared" si="0"/>
        <v>0</v>
      </c>
      <c r="AS14"/>
      <c r="AT14"/>
    </row>
    <row r="15" spans="1:51" x14ac:dyDescent="0.25">
      <c r="A15" s="2" t="s">
        <v>275</v>
      </c>
      <c r="C15" t="s">
        <v>194</v>
      </c>
      <c r="AR15" s="3">
        <f t="shared" si="0"/>
        <v>0</v>
      </c>
      <c r="AS15"/>
      <c r="AT15"/>
    </row>
    <row r="16" spans="1:51" x14ac:dyDescent="0.25">
      <c r="A16" s="2" t="s">
        <v>275</v>
      </c>
      <c r="C16" t="s">
        <v>194</v>
      </c>
      <c r="AR16" s="3">
        <f t="shared" si="0"/>
        <v>0</v>
      </c>
      <c r="AS16"/>
      <c r="AT16"/>
    </row>
    <row r="17" spans="1:46" s="2" customFormat="1" x14ac:dyDescent="0.25">
      <c r="B17" s="2" t="s">
        <v>136</v>
      </c>
      <c r="D17" s="3">
        <f t="shared" ref="D17:AR17" si="1">SUM(D4:D16)</f>
        <v>0</v>
      </c>
      <c r="E17" s="3">
        <f t="shared" ref="E17:J17" si="2">SUM(E4:E16)</f>
        <v>0</v>
      </c>
      <c r="F17" s="3">
        <f t="shared" si="2"/>
        <v>0</v>
      </c>
      <c r="G17" s="3">
        <f t="shared" si="2"/>
        <v>0</v>
      </c>
      <c r="H17" s="3">
        <f t="shared" si="2"/>
        <v>0</v>
      </c>
      <c r="I17" s="3">
        <f t="shared" si="2"/>
        <v>0</v>
      </c>
      <c r="J17" s="3">
        <f t="shared" si="2"/>
        <v>0</v>
      </c>
      <c r="K17" s="3">
        <f t="shared" si="1"/>
        <v>0</v>
      </c>
      <c r="L17" s="3">
        <f t="shared" si="1"/>
        <v>0</v>
      </c>
      <c r="M17" s="3">
        <f t="shared" si="1"/>
        <v>0</v>
      </c>
      <c r="N17" s="3">
        <f t="shared" si="1"/>
        <v>0</v>
      </c>
      <c r="O17" s="3">
        <f t="shared" si="1"/>
        <v>0</v>
      </c>
      <c r="P17" s="3">
        <f t="shared" si="1"/>
        <v>0</v>
      </c>
      <c r="Q17" s="3">
        <f t="shared" si="1"/>
        <v>0</v>
      </c>
      <c r="R17" s="3">
        <f t="shared" si="1"/>
        <v>0</v>
      </c>
      <c r="S17" s="3">
        <f t="shared" si="1"/>
        <v>0</v>
      </c>
      <c r="T17" s="3">
        <f t="shared" si="1"/>
        <v>0</v>
      </c>
      <c r="U17" s="3">
        <f t="shared" si="1"/>
        <v>0</v>
      </c>
      <c r="V17" s="3">
        <f t="shared" si="1"/>
        <v>0</v>
      </c>
      <c r="W17" s="3">
        <f t="shared" si="1"/>
        <v>0</v>
      </c>
      <c r="X17" s="3">
        <f t="shared" si="1"/>
        <v>-27.9</v>
      </c>
      <c r="Y17" s="3">
        <f t="shared" si="1"/>
        <v>-55.8</v>
      </c>
      <c r="Z17" s="3">
        <f t="shared" si="1"/>
        <v>0</v>
      </c>
      <c r="AA17" s="3">
        <f t="shared" si="1"/>
        <v>0</v>
      </c>
      <c r="AB17" s="3">
        <f t="shared" si="1"/>
        <v>-18.600000000000001</v>
      </c>
      <c r="AC17" s="3">
        <f t="shared" si="1"/>
        <v>-46.5</v>
      </c>
      <c r="AD17" s="3">
        <f t="shared" si="1"/>
        <v>0</v>
      </c>
      <c r="AE17" s="3">
        <f t="shared" si="1"/>
        <v>-74.400000000000006</v>
      </c>
      <c r="AF17" s="3">
        <f t="shared" si="1"/>
        <v>-9.3000000000000007</v>
      </c>
      <c r="AG17" s="3">
        <f t="shared" si="1"/>
        <v>0</v>
      </c>
      <c r="AH17" s="3">
        <f t="shared" si="1"/>
        <v>0</v>
      </c>
      <c r="AI17" s="3">
        <f t="shared" si="1"/>
        <v>0</v>
      </c>
      <c r="AJ17" s="3">
        <f t="shared" si="1"/>
        <v>0</v>
      </c>
      <c r="AK17" s="3">
        <f t="shared" si="1"/>
        <v>0</v>
      </c>
      <c r="AL17" s="3">
        <f t="shared" si="1"/>
        <v>0</v>
      </c>
      <c r="AM17" s="3">
        <f t="shared" si="1"/>
        <v>0</v>
      </c>
      <c r="AN17" s="3">
        <f t="shared" si="1"/>
        <v>-18.600000000000001</v>
      </c>
      <c r="AO17" s="3">
        <f t="shared" si="1"/>
        <v>0</v>
      </c>
      <c r="AP17" s="3">
        <f t="shared" si="1"/>
        <v>0</v>
      </c>
      <c r="AQ17" s="3">
        <f t="shared" si="1"/>
        <v>0</v>
      </c>
      <c r="AR17" s="3">
        <f t="shared" si="1"/>
        <v>-251.1</v>
      </c>
    </row>
    <row r="18" spans="1:46" x14ac:dyDescent="0.25">
      <c r="A18"/>
      <c r="AR18" s="9"/>
      <c r="AS18"/>
      <c r="AT18"/>
    </row>
    <row r="19" spans="1:46" x14ac:dyDescent="0.25">
      <c r="A19"/>
      <c r="B19" s="2" t="s">
        <v>137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9"/>
      <c r="AS19"/>
      <c r="AT19"/>
    </row>
    <row r="20" spans="1:46" x14ac:dyDescent="0.25">
      <c r="A20" s="2" t="s">
        <v>275</v>
      </c>
      <c r="C20" t="s">
        <v>298</v>
      </c>
      <c r="AR20" s="3">
        <f>SUM(D20:AQ20)</f>
        <v>0</v>
      </c>
      <c r="AS20"/>
      <c r="AT20"/>
    </row>
    <row r="21" spans="1:46" x14ac:dyDescent="0.25">
      <c r="A21" s="2" t="s">
        <v>275</v>
      </c>
      <c r="C21" t="s">
        <v>299</v>
      </c>
      <c r="O21" s="1">
        <v>-3.36</v>
      </c>
      <c r="Z21" s="1">
        <v>-3.36</v>
      </c>
      <c r="AB21" s="1">
        <v>-15.12</v>
      </c>
      <c r="AR21" s="3">
        <f t="shared" ref="AR21:AR31" si="3">SUM(D21:AQ21)</f>
        <v>-21.84</v>
      </c>
      <c r="AS21"/>
      <c r="AT21"/>
    </row>
    <row r="22" spans="1:46" x14ac:dyDescent="0.25">
      <c r="A22" s="2" t="s">
        <v>275</v>
      </c>
      <c r="C22" t="s">
        <v>300</v>
      </c>
      <c r="Q22" s="1">
        <v>-2.52</v>
      </c>
      <c r="T22" s="1">
        <f>-14.04-10.08</f>
        <v>-24.119999999999997</v>
      </c>
      <c r="V22" s="1">
        <v>-4.0199999999999996</v>
      </c>
      <c r="W22" s="1">
        <v>-56.94</v>
      </c>
      <c r="Y22" s="1">
        <f>-14.04-0.84-106.24</f>
        <v>-121.11999999999999</v>
      </c>
      <c r="AJ22" s="1">
        <v>-14.04</v>
      </c>
      <c r="AR22" s="3">
        <f t="shared" si="3"/>
        <v>-222.75999999999996</v>
      </c>
      <c r="AS22"/>
      <c r="AT22"/>
    </row>
    <row r="23" spans="1:46" x14ac:dyDescent="0.25">
      <c r="A23" s="2" t="s">
        <v>275</v>
      </c>
      <c r="C23" t="s">
        <v>194</v>
      </c>
      <c r="AR23" s="3">
        <f t="shared" si="3"/>
        <v>0</v>
      </c>
      <c r="AS23"/>
      <c r="AT23"/>
    </row>
    <row r="24" spans="1:46" x14ac:dyDescent="0.25">
      <c r="A24" s="2" t="s">
        <v>275</v>
      </c>
      <c r="C24" t="s">
        <v>301</v>
      </c>
      <c r="AR24" s="3">
        <f t="shared" si="3"/>
        <v>0</v>
      </c>
      <c r="AS24"/>
      <c r="AT24"/>
    </row>
    <row r="25" spans="1:46" x14ac:dyDescent="0.25">
      <c r="A25" s="2" t="s">
        <v>275</v>
      </c>
      <c r="C25" t="s">
        <v>302</v>
      </c>
      <c r="O25" s="1">
        <v>-3.36</v>
      </c>
      <c r="T25" s="1">
        <f>-42.12-63</f>
        <v>-105.12</v>
      </c>
      <c r="X25" s="1">
        <v>-149.4</v>
      </c>
      <c r="AB25" s="1">
        <v>-14.04</v>
      </c>
      <c r="AR25" s="3">
        <f t="shared" si="3"/>
        <v>-271.92</v>
      </c>
      <c r="AS25"/>
      <c r="AT25"/>
    </row>
    <row r="26" spans="1:46" x14ac:dyDescent="0.25">
      <c r="A26" s="2" t="s">
        <v>275</v>
      </c>
      <c r="C26" t="s">
        <v>303</v>
      </c>
      <c r="S26" s="1">
        <f>-39.6-25.74-32.76</f>
        <v>-98.1</v>
      </c>
      <c r="X26" s="1">
        <f>-14.82-19.32</f>
        <v>-34.14</v>
      </c>
      <c r="AR26" s="3">
        <f t="shared" si="3"/>
        <v>-132.24</v>
      </c>
      <c r="AS26"/>
      <c r="AT26"/>
    </row>
    <row r="27" spans="1:46" x14ac:dyDescent="0.25">
      <c r="A27" s="2" t="s">
        <v>275</v>
      </c>
      <c r="C27" t="s">
        <v>304</v>
      </c>
      <c r="AR27" s="3">
        <f t="shared" si="3"/>
        <v>0</v>
      </c>
      <c r="AS27"/>
      <c r="AT27"/>
    </row>
    <row r="28" spans="1:46" x14ac:dyDescent="0.25">
      <c r="A28" s="2" t="s">
        <v>275</v>
      </c>
      <c r="C28" t="s">
        <v>194</v>
      </c>
      <c r="AR28" s="3">
        <f t="shared" si="3"/>
        <v>0</v>
      </c>
      <c r="AS28"/>
      <c r="AT28"/>
    </row>
    <row r="29" spans="1:46" x14ac:dyDescent="0.25">
      <c r="A29" s="2" t="s">
        <v>275</v>
      </c>
      <c r="C29" t="s">
        <v>194</v>
      </c>
      <c r="AR29" s="3">
        <f t="shared" si="3"/>
        <v>0</v>
      </c>
      <c r="AS29"/>
      <c r="AT29"/>
    </row>
    <row r="30" spans="1:46" x14ac:dyDescent="0.25">
      <c r="A30" s="2" t="s">
        <v>275</v>
      </c>
      <c r="C30" t="s">
        <v>194</v>
      </c>
      <c r="AR30" s="3">
        <f t="shared" si="3"/>
        <v>0</v>
      </c>
      <c r="AS30"/>
      <c r="AT30"/>
    </row>
    <row r="31" spans="1:46" x14ac:dyDescent="0.25">
      <c r="A31" s="2" t="s">
        <v>275</v>
      </c>
      <c r="C31" t="s">
        <v>194</v>
      </c>
      <c r="AR31" s="3">
        <f t="shared" si="3"/>
        <v>0</v>
      </c>
      <c r="AS31"/>
      <c r="AT31"/>
    </row>
    <row r="32" spans="1:46" x14ac:dyDescent="0.25">
      <c r="A32" s="2" t="s">
        <v>275</v>
      </c>
      <c r="C32" t="s">
        <v>194</v>
      </c>
      <c r="AR32" s="3">
        <f>SUM(D32:AQ32)</f>
        <v>0</v>
      </c>
      <c r="AS32"/>
      <c r="AT32"/>
    </row>
    <row r="33" spans="1:46" s="2" customFormat="1" x14ac:dyDescent="0.25">
      <c r="B33" s="2" t="s">
        <v>138</v>
      </c>
      <c r="D33" s="3">
        <f>SUM(D20:D32)</f>
        <v>0</v>
      </c>
      <c r="E33" s="3">
        <f t="shared" ref="E33:J33" si="4">SUM(E20:E32)</f>
        <v>0</v>
      </c>
      <c r="F33" s="3">
        <f t="shared" si="4"/>
        <v>0</v>
      </c>
      <c r="G33" s="3">
        <f t="shared" si="4"/>
        <v>0</v>
      </c>
      <c r="H33" s="3">
        <f t="shared" si="4"/>
        <v>0</v>
      </c>
      <c r="I33" s="3">
        <f t="shared" si="4"/>
        <v>0</v>
      </c>
      <c r="J33" s="3">
        <f t="shared" si="4"/>
        <v>0</v>
      </c>
      <c r="K33" s="3">
        <f t="shared" ref="K33:AR33" si="5">SUM(K20:K32)</f>
        <v>0</v>
      </c>
      <c r="L33" s="3">
        <f t="shared" si="5"/>
        <v>0</v>
      </c>
      <c r="M33" s="3">
        <f t="shared" si="5"/>
        <v>0</v>
      </c>
      <c r="N33" s="3">
        <f t="shared" si="5"/>
        <v>0</v>
      </c>
      <c r="O33" s="3">
        <f t="shared" si="5"/>
        <v>-6.72</v>
      </c>
      <c r="P33" s="3">
        <f t="shared" si="5"/>
        <v>0</v>
      </c>
      <c r="Q33" s="3">
        <f t="shared" si="5"/>
        <v>-2.52</v>
      </c>
      <c r="R33" s="3">
        <f t="shared" si="5"/>
        <v>0</v>
      </c>
      <c r="S33" s="3">
        <f t="shared" si="5"/>
        <v>-98.1</v>
      </c>
      <c r="T33" s="3">
        <f t="shared" si="5"/>
        <v>-129.24</v>
      </c>
      <c r="U33" s="3">
        <f t="shared" si="5"/>
        <v>0</v>
      </c>
      <c r="V33" s="3">
        <f t="shared" si="5"/>
        <v>-4.0199999999999996</v>
      </c>
      <c r="W33" s="3">
        <f t="shared" si="5"/>
        <v>-56.94</v>
      </c>
      <c r="X33" s="3">
        <f t="shared" si="5"/>
        <v>-183.54000000000002</v>
      </c>
      <c r="Y33" s="3">
        <f t="shared" si="5"/>
        <v>-121.11999999999999</v>
      </c>
      <c r="Z33" s="3">
        <f t="shared" si="5"/>
        <v>-3.36</v>
      </c>
      <c r="AA33" s="3">
        <f t="shared" si="5"/>
        <v>0</v>
      </c>
      <c r="AB33" s="3">
        <f t="shared" si="5"/>
        <v>-29.159999999999997</v>
      </c>
      <c r="AC33" s="3">
        <f t="shared" si="5"/>
        <v>0</v>
      </c>
      <c r="AD33" s="3">
        <f t="shared" si="5"/>
        <v>0</v>
      </c>
      <c r="AE33" s="3">
        <f t="shared" si="5"/>
        <v>0</v>
      </c>
      <c r="AF33" s="3">
        <f t="shared" si="5"/>
        <v>0</v>
      </c>
      <c r="AG33" s="3">
        <f t="shared" si="5"/>
        <v>0</v>
      </c>
      <c r="AH33" s="3">
        <f t="shared" si="5"/>
        <v>0</v>
      </c>
      <c r="AI33" s="3">
        <f t="shared" si="5"/>
        <v>0</v>
      </c>
      <c r="AJ33" s="3">
        <f t="shared" si="5"/>
        <v>-14.04</v>
      </c>
      <c r="AK33" s="3">
        <f t="shared" si="5"/>
        <v>0</v>
      </c>
      <c r="AL33" s="3">
        <f t="shared" si="5"/>
        <v>0</v>
      </c>
      <c r="AM33" s="3">
        <f t="shared" si="5"/>
        <v>0</v>
      </c>
      <c r="AN33" s="3">
        <f t="shared" si="5"/>
        <v>0</v>
      </c>
      <c r="AO33" s="3">
        <f t="shared" si="5"/>
        <v>0</v>
      </c>
      <c r="AP33" s="3">
        <f t="shared" si="5"/>
        <v>0</v>
      </c>
      <c r="AQ33" s="3">
        <f t="shared" si="5"/>
        <v>0</v>
      </c>
      <c r="AR33" s="3">
        <f t="shared" si="5"/>
        <v>-648.76</v>
      </c>
    </row>
    <row r="34" spans="1:46" s="2" customFormat="1" x14ac:dyDescent="0.25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1:46" x14ac:dyDescent="0.25">
      <c r="A35"/>
      <c r="B35" s="2" t="s">
        <v>533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9"/>
      <c r="AS35"/>
      <c r="AT35"/>
    </row>
    <row r="36" spans="1:46" x14ac:dyDescent="0.25">
      <c r="A36" s="2" t="s">
        <v>275</v>
      </c>
      <c r="C36" t="s">
        <v>298</v>
      </c>
      <c r="AR36" s="3">
        <f>SUM(D36:AQ36)</f>
        <v>0</v>
      </c>
      <c r="AS36"/>
      <c r="AT36"/>
    </row>
    <row r="37" spans="1:46" x14ac:dyDescent="0.25">
      <c r="A37" s="2" t="s">
        <v>275</v>
      </c>
      <c r="C37" t="s">
        <v>299</v>
      </c>
      <c r="T37" s="1">
        <v>-18.72</v>
      </c>
      <c r="AR37" s="3">
        <f t="shared" ref="AR37:AR47" si="6">SUM(D37:AQ37)</f>
        <v>-18.72</v>
      </c>
      <c r="AS37"/>
      <c r="AT37"/>
    </row>
    <row r="38" spans="1:46" x14ac:dyDescent="0.25">
      <c r="A38" s="2" t="s">
        <v>275</v>
      </c>
      <c r="C38" t="s">
        <v>300</v>
      </c>
      <c r="S38" s="1">
        <v>-30.88</v>
      </c>
      <c r="AR38" s="3">
        <f t="shared" si="6"/>
        <v>-30.88</v>
      </c>
      <c r="AS38"/>
      <c r="AT38"/>
    </row>
    <row r="39" spans="1:46" x14ac:dyDescent="0.25">
      <c r="A39" s="2" t="s">
        <v>275</v>
      </c>
      <c r="C39" t="s">
        <v>194</v>
      </c>
      <c r="AR39" s="3">
        <f t="shared" si="6"/>
        <v>0</v>
      </c>
      <c r="AS39"/>
      <c r="AT39"/>
    </row>
    <row r="40" spans="1:46" x14ac:dyDescent="0.25">
      <c r="A40" s="2" t="s">
        <v>275</v>
      </c>
      <c r="C40" t="s">
        <v>301</v>
      </c>
      <c r="AR40" s="3">
        <f t="shared" si="6"/>
        <v>0</v>
      </c>
      <c r="AS40"/>
      <c r="AT40"/>
    </row>
    <row r="41" spans="1:46" x14ac:dyDescent="0.25">
      <c r="A41" s="2" t="s">
        <v>275</v>
      </c>
      <c r="C41" t="s">
        <v>302</v>
      </c>
      <c r="H41" s="1">
        <f>-113.87-56.16</f>
        <v>-170.03</v>
      </c>
      <c r="I41" s="1">
        <v>-2.08</v>
      </c>
      <c r="J41" s="1">
        <v>-8.32</v>
      </c>
      <c r="O41" s="1">
        <v>-18.72</v>
      </c>
      <c r="U41" s="1">
        <f>-15.44-18.72</f>
        <v>-34.159999999999997</v>
      </c>
      <c r="AR41" s="3">
        <f t="shared" si="6"/>
        <v>-233.31</v>
      </c>
      <c r="AS41"/>
      <c r="AT41"/>
    </row>
    <row r="42" spans="1:46" x14ac:dyDescent="0.25">
      <c r="A42" s="2" t="s">
        <v>275</v>
      </c>
      <c r="C42" t="s">
        <v>303</v>
      </c>
      <c r="N42" s="1">
        <v>-18.72</v>
      </c>
      <c r="AC42" s="1">
        <v>-18.72</v>
      </c>
      <c r="AH42" s="1">
        <v>-18.72</v>
      </c>
      <c r="AR42" s="3">
        <f t="shared" si="6"/>
        <v>-56.16</v>
      </c>
      <c r="AS42"/>
      <c r="AT42"/>
    </row>
    <row r="43" spans="1:46" x14ac:dyDescent="0.25">
      <c r="A43" s="2" t="s">
        <v>275</v>
      </c>
      <c r="C43" t="s">
        <v>304</v>
      </c>
      <c r="AR43" s="3">
        <f t="shared" si="6"/>
        <v>0</v>
      </c>
      <c r="AS43"/>
      <c r="AT43"/>
    </row>
    <row r="44" spans="1:46" x14ac:dyDescent="0.25">
      <c r="A44" s="2" t="s">
        <v>275</v>
      </c>
      <c r="C44" t="s">
        <v>194</v>
      </c>
      <c r="AR44" s="3">
        <f t="shared" si="6"/>
        <v>0</v>
      </c>
      <c r="AS44"/>
      <c r="AT44"/>
    </row>
    <row r="45" spans="1:46" x14ac:dyDescent="0.25">
      <c r="A45" s="2" t="s">
        <v>275</v>
      </c>
      <c r="C45" t="s">
        <v>194</v>
      </c>
      <c r="AR45" s="3">
        <f t="shared" si="6"/>
        <v>0</v>
      </c>
      <c r="AS45"/>
      <c r="AT45"/>
    </row>
    <row r="46" spans="1:46" x14ac:dyDescent="0.25">
      <c r="A46" s="2" t="s">
        <v>275</v>
      </c>
      <c r="C46" t="s">
        <v>194</v>
      </c>
      <c r="AR46" s="3">
        <f t="shared" si="6"/>
        <v>0</v>
      </c>
      <c r="AS46"/>
      <c r="AT46"/>
    </row>
    <row r="47" spans="1:46" x14ac:dyDescent="0.25">
      <c r="A47" s="2" t="s">
        <v>275</v>
      </c>
      <c r="C47" t="s">
        <v>194</v>
      </c>
      <c r="AR47" s="3">
        <f t="shared" si="6"/>
        <v>0</v>
      </c>
      <c r="AS47"/>
      <c r="AT47"/>
    </row>
    <row r="48" spans="1:46" x14ac:dyDescent="0.25">
      <c r="A48" s="2" t="s">
        <v>275</v>
      </c>
      <c r="C48" t="s">
        <v>194</v>
      </c>
      <c r="AR48" s="3">
        <f>SUM(D48:AQ48)</f>
        <v>0</v>
      </c>
      <c r="AS48"/>
      <c r="AT48"/>
    </row>
    <row r="49" spans="2:44" s="2" customFormat="1" x14ac:dyDescent="0.25">
      <c r="B49" s="2" t="s">
        <v>534</v>
      </c>
      <c r="D49" s="3">
        <f>SUM(D36:D48)</f>
        <v>0</v>
      </c>
      <c r="E49" s="3">
        <f t="shared" ref="E49:AR49" si="7">SUM(E36:E48)</f>
        <v>0</v>
      </c>
      <c r="F49" s="3">
        <f t="shared" si="7"/>
        <v>0</v>
      </c>
      <c r="G49" s="3">
        <f t="shared" si="7"/>
        <v>0</v>
      </c>
      <c r="H49" s="3">
        <f t="shared" si="7"/>
        <v>-170.03</v>
      </c>
      <c r="I49" s="3">
        <f t="shared" si="7"/>
        <v>-2.08</v>
      </c>
      <c r="J49" s="3">
        <f t="shared" si="7"/>
        <v>-8.32</v>
      </c>
      <c r="K49" s="3">
        <f t="shared" si="7"/>
        <v>0</v>
      </c>
      <c r="L49" s="3">
        <f t="shared" si="7"/>
        <v>0</v>
      </c>
      <c r="M49" s="3">
        <f t="shared" si="7"/>
        <v>0</v>
      </c>
      <c r="N49" s="3">
        <f t="shared" si="7"/>
        <v>-18.72</v>
      </c>
      <c r="O49" s="3">
        <f t="shared" si="7"/>
        <v>-18.72</v>
      </c>
      <c r="P49" s="3">
        <f t="shared" si="7"/>
        <v>0</v>
      </c>
      <c r="Q49" s="3">
        <f t="shared" si="7"/>
        <v>0</v>
      </c>
      <c r="R49" s="3">
        <f t="shared" si="7"/>
        <v>0</v>
      </c>
      <c r="S49" s="3">
        <f t="shared" si="7"/>
        <v>-30.88</v>
      </c>
      <c r="T49" s="3">
        <f t="shared" si="7"/>
        <v>-18.72</v>
      </c>
      <c r="U49" s="3">
        <f t="shared" si="7"/>
        <v>-34.159999999999997</v>
      </c>
      <c r="V49" s="3">
        <f t="shared" si="7"/>
        <v>0</v>
      </c>
      <c r="W49" s="3">
        <f t="shared" si="7"/>
        <v>0</v>
      </c>
      <c r="X49" s="3">
        <f t="shared" si="7"/>
        <v>0</v>
      </c>
      <c r="Y49" s="3">
        <f t="shared" si="7"/>
        <v>0</v>
      </c>
      <c r="Z49" s="3">
        <f t="shared" si="7"/>
        <v>0</v>
      </c>
      <c r="AA49" s="3">
        <f t="shared" si="7"/>
        <v>0</v>
      </c>
      <c r="AB49" s="3">
        <f t="shared" si="7"/>
        <v>0</v>
      </c>
      <c r="AC49" s="3">
        <f t="shared" si="7"/>
        <v>-18.72</v>
      </c>
      <c r="AD49" s="3">
        <f t="shared" si="7"/>
        <v>0</v>
      </c>
      <c r="AE49" s="3">
        <f t="shared" si="7"/>
        <v>0</v>
      </c>
      <c r="AF49" s="3">
        <f t="shared" si="7"/>
        <v>0</v>
      </c>
      <c r="AG49" s="3">
        <f t="shared" si="7"/>
        <v>0</v>
      </c>
      <c r="AH49" s="3">
        <f t="shared" si="7"/>
        <v>-18.72</v>
      </c>
      <c r="AI49" s="3">
        <f t="shared" si="7"/>
        <v>0</v>
      </c>
      <c r="AJ49" s="3">
        <f t="shared" si="7"/>
        <v>0</v>
      </c>
      <c r="AK49" s="3">
        <f t="shared" si="7"/>
        <v>0</v>
      </c>
      <c r="AL49" s="3">
        <f t="shared" si="7"/>
        <v>0</v>
      </c>
      <c r="AM49" s="3">
        <f t="shared" si="7"/>
        <v>0</v>
      </c>
      <c r="AN49" s="3">
        <f t="shared" si="7"/>
        <v>0</v>
      </c>
      <c r="AO49" s="3">
        <f t="shared" si="7"/>
        <v>0</v>
      </c>
      <c r="AP49" s="3">
        <f t="shared" si="7"/>
        <v>0</v>
      </c>
      <c r="AQ49" s="3">
        <f t="shared" si="7"/>
        <v>0</v>
      </c>
      <c r="AR49" s="3">
        <f t="shared" si="7"/>
        <v>-339.06999999999994</v>
      </c>
    </row>
    <row r="50" spans="2:44" s="2" customFormat="1" x14ac:dyDescent="0.25"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Y50"/>
  <sheetViews>
    <sheetView workbookViewId="0">
      <pane xSplit="3" ySplit="2" topLeftCell="W3" activePane="bottomRight" state="frozen"/>
      <selection pane="topRight" activeCell="D1" sqref="D1"/>
      <selection pane="bottomLeft" activeCell="A3" sqref="A3"/>
      <selection pane="bottomRight" activeCell="AQ22" sqref="AQ22"/>
    </sheetView>
  </sheetViews>
  <sheetFormatPr defaultRowHeight="15" x14ac:dyDescent="0.25"/>
  <cols>
    <col min="1" max="2" width="3.42578125" style="2" customWidth="1"/>
    <col min="3" max="3" width="28.85546875" customWidth="1"/>
    <col min="4" max="43" width="9.140625" style="1" customWidth="1"/>
    <col min="44" max="44" width="9.140625" style="3"/>
    <col min="45" max="45" width="4.42578125" style="1" customWidth="1"/>
    <col min="46" max="46" width="9.140625" style="8"/>
  </cols>
  <sheetData>
    <row r="1" spans="1:51" x14ac:dyDescent="0.25">
      <c r="A1" s="2" t="s">
        <v>43</v>
      </c>
      <c r="D1" s="142">
        <v>45292</v>
      </c>
      <c r="E1" s="142">
        <v>45292</v>
      </c>
      <c r="F1" s="142">
        <v>45292</v>
      </c>
      <c r="G1" s="142">
        <v>45292</v>
      </c>
      <c r="H1" s="142">
        <v>45292</v>
      </c>
      <c r="I1" s="142">
        <v>45323</v>
      </c>
      <c r="J1" s="142">
        <v>45323</v>
      </c>
      <c r="K1" s="142">
        <v>45323</v>
      </c>
      <c r="L1" s="142">
        <v>45323</v>
      </c>
      <c r="M1" s="142">
        <v>45352</v>
      </c>
      <c r="N1" s="142">
        <v>45352</v>
      </c>
      <c r="O1" s="142">
        <v>45352</v>
      </c>
      <c r="P1" s="142">
        <v>45352</v>
      </c>
      <c r="Q1" s="142">
        <v>45383</v>
      </c>
      <c r="R1" s="142">
        <v>45383</v>
      </c>
      <c r="S1" s="142">
        <v>45383</v>
      </c>
      <c r="T1" s="142">
        <v>45383</v>
      </c>
      <c r="U1" s="142">
        <v>45413</v>
      </c>
      <c r="V1" s="142">
        <v>45413</v>
      </c>
      <c r="W1" s="142">
        <v>45413</v>
      </c>
      <c r="X1" s="142">
        <v>45413</v>
      </c>
      <c r="Y1" s="142">
        <v>45413</v>
      </c>
      <c r="Z1" s="142">
        <v>45444</v>
      </c>
      <c r="AA1" s="142">
        <v>45444</v>
      </c>
      <c r="AB1" s="142">
        <v>45444</v>
      </c>
      <c r="AC1" s="142">
        <v>45444</v>
      </c>
      <c r="AD1" s="142">
        <v>45474</v>
      </c>
      <c r="AE1" s="142">
        <v>45474</v>
      </c>
      <c r="AF1" s="142">
        <v>45474</v>
      </c>
      <c r="AG1" s="142">
        <v>45474</v>
      </c>
      <c r="AH1" s="142">
        <v>45474</v>
      </c>
      <c r="AI1" s="142">
        <v>45505</v>
      </c>
      <c r="AJ1" s="142">
        <v>45505</v>
      </c>
      <c r="AK1" s="142">
        <v>45505</v>
      </c>
      <c r="AL1" s="142">
        <v>45505</v>
      </c>
      <c r="AM1" s="142">
        <v>45536</v>
      </c>
      <c r="AN1" s="142">
        <v>45536</v>
      </c>
      <c r="AO1" s="142">
        <v>45536</v>
      </c>
      <c r="AP1" s="142">
        <v>45536</v>
      </c>
      <c r="AQ1" s="13" t="s">
        <v>282</v>
      </c>
      <c r="AV1" t="s">
        <v>41</v>
      </c>
      <c r="AW1">
        <v>2015</v>
      </c>
      <c r="AX1" t="s">
        <v>175</v>
      </c>
      <c r="AY1" t="s">
        <v>177</v>
      </c>
    </row>
    <row r="2" spans="1:51" x14ac:dyDescent="0.25">
      <c r="A2" s="2" t="s">
        <v>354</v>
      </c>
      <c r="D2" s="13" t="s">
        <v>491</v>
      </c>
      <c r="E2" s="13" t="s">
        <v>492</v>
      </c>
      <c r="F2" s="13" t="s">
        <v>493</v>
      </c>
      <c r="G2" s="13" t="s">
        <v>494</v>
      </c>
      <c r="H2" s="13" t="s">
        <v>495</v>
      </c>
      <c r="I2" s="13" t="s">
        <v>496</v>
      </c>
      <c r="J2" s="13" t="s">
        <v>263</v>
      </c>
      <c r="K2" s="13" t="s">
        <v>264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3" t="s">
        <v>54</v>
      </c>
      <c r="V2" s="13" t="s">
        <v>20</v>
      </c>
      <c r="W2" s="13" t="s">
        <v>21</v>
      </c>
      <c r="X2" s="13" t="s">
        <v>22</v>
      </c>
      <c r="Y2" s="13" t="s">
        <v>23</v>
      </c>
      <c r="Z2" s="13" t="s">
        <v>24</v>
      </c>
      <c r="AA2" s="13" t="s">
        <v>25</v>
      </c>
      <c r="AB2" s="13" t="s">
        <v>26</v>
      </c>
      <c r="AC2" s="13" t="s">
        <v>27</v>
      </c>
      <c r="AD2" s="13" t="s">
        <v>28</v>
      </c>
      <c r="AE2" s="13" t="s">
        <v>29</v>
      </c>
      <c r="AF2" s="13" t="s">
        <v>30</v>
      </c>
      <c r="AG2" s="13" t="s">
        <v>31</v>
      </c>
      <c r="AH2" s="13" t="s">
        <v>32</v>
      </c>
      <c r="AI2" s="13" t="s">
        <v>33</v>
      </c>
      <c r="AJ2" s="13" t="s">
        <v>34</v>
      </c>
      <c r="AK2" s="13" t="s">
        <v>55</v>
      </c>
      <c r="AL2" s="13" t="s">
        <v>56</v>
      </c>
      <c r="AM2" s="13" t="s">
        <v>57</v>
      </c>
      <c r="AN2" s="13" t="s">
        <v>58</v>
      </c>
      <c r="AO2" s="13" t="s">
        <v>59</v>
      </c>
      <c r="AP2" s="13" t="s">
        <v>60</v>
      </c>
      <c r="AQ2" s="4" t="s">
        <v>61</v>
      </c>
      <c r="AR2" s="52" t="s">
        <v>2</v>
      </c>
      <c r="AV2" t="s">
        <v>291</v>
      </c>
      <c r="AW2" t="s">
        <v>174</v>
      </c>
      <c r="AX2" t="s">
        <v>176</v>
      </c>
      <c r="AY2" s="32" t="s">
        <v>178</v>
      </c>
    </row>
    <row r="3" spans="1:51" x14ac:dyDescent="0.25">
      <c r="A3"/>
      <c r="B3" s="2" t="s">
        <v>135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AR3" s="9"/>
      <c r="AS3"/>
      <c r="AT3"/>
    </row>
    <row r="4" spans="1:51" x14ac:dyDescent="0.25">
      <c r="A4" s="2" t="s">
        <v>275</v>
      </c>
      <c r="C4" t="s">
        <v>355</v>
      </c>
      <c r="N4" s="1">
        <v>-9.3000000000000007</v>
      </c>
      <c r="Z4" s="1">
        <v>-9.3000000000000007</v>
      </c>
      <c r="AR4" s="3">
        <f>SUM(D4:AQ4)</f>
        <v>-18.600000000000001</v>
      </c>
      <c r="AS4"/>
      <c r="AT4"/>
    </row>
    <row r="5" spans="1:51" x14ac:dyDescent="0.25">
      <c r="A5" s="2" t="s">
        <v>275</v>
      </c>
      <c r="C5" t="s">
        <v>356</v>
      </c>
      <c r="Q5" s="1">
        <v>-176.7</v>
      </c>
      <c r="AR5" s="3">
        <f t="shared" ref="AR5:AR16" si="0">SUM(D5:AQ5)</f>
        <v>-176.7</v>
      </c>
      <c r="AS5"/>
      <c r="AT5"/>
    </row>
    <row r="6" spans="1:51" x14ac:dyDescent="0.25">
      <c r="A6" s="2" t="s">
        <v>275</v>
      </c>
      <c r="C6" t="s">
        <v>357</v>
      </c>
      <c r="U6" s="1">
        <v>-9.3000000000000007</v>
      </c>
      <c r="V6" s="1">
        <v>-3.1</v>
      </c>
      <c r="AR6" s="3">
        <f t="shared" si="0"/>
        <v>-12.4</v>
      </c>
      <c r="AS6"/>
      <c r="AT6"/>
    </row>
    <row r="7" spans="1:51" x14ac:dyDescent="0.25">
      <c r="A7" s="2" t="s">
        <v>275</v>
      </c>
      <c r="C7" t="s">
        <v>475</v>
      </c>
      <c r="P7" s="1">
        <v>-11.64</v>
      </c>
      <c r="Y7" s="1">
        <v>-27.9</v>
      </c>
      <c r="AR7" s="3">
        <f t="shared" si="0"/>
        <v>-39.54</v>
      </c>
      <c r="AS7"/>
      <c r="AT7"/>
    </row>
    <row r="8" spans="1:51" x14ac:dyDescent="0.25">
      <c r="A8" s="2" t="s">
        <v>275</v>
      </c>
      <c r="C8" t="s">
        <v>194</v>
      </c>
      <c r="AR8" s="3">
        <f t="shared" si="0"/>
        <v>0</v>
      </c>
      <c r="AS8"/>
      <c r="AT8"/>
    </row>
    <row r="9" spans="1:51" x14ac:dyDescent="0.25">
      <c r="A9" s="2" t="s">
        <v>275</v>
      </c>
      <c r="C9" t="s">
        <v>194</v>
      </c>
      <c r="AR9" s="3">
        <f t="shared" si="0"/>
        <v>0</v>
      </c>
      <c r="AS9"/>
      <c r="AT9"/>
    </row>
    <row r="10" spans="1:51" x14ac:dyDescent="0.25">
      <c r="A10" s="2" t="s">
        <v>275</v>
      </c>
      <c r="C10" t="s">
        <v>194</v>
      </c>
      <c r="AR10" s="3">
        <f t="shared" si="0"/>
        <v>0</v>
      </c>
      <c r="AS10"/>
      <c r="AT10"/>
    </row>
    <row r="11" spans="1:51" x14ac:dyDescent="0.25">
      <c r="A11" s="2" t="s">
        <v>275</v>
      </c>
      <c r="C11" t="s">
        <v>194</v>
      </c>
      <c r="AR11" s="3">
        <f t="shared" si="0"/>
        <v>0</v>
      </c>
      <c r="AS11"/>
      <c r="AT11"/>
    </row>
    <row r="12" spans="1:51" x14ac:dyDescent="0.25">
      <c r="A12" s="2" t="s">
        <v>275</v>
      </c>
      <c r="C12" t="s">
        <v>194</v>
      </c>
      <c r="AR12" s="3">
        <f t="shared" si="0"/>
        <v>0</v>
      </c>
      <c r="AS12"/>
      <c r="AT12"/>
    </row>
    <row r="13" spans="1:51" x14ac:dyDescent="0.25">
      <c r="A13" s="2" t="s">
        <v>275</v>
      </c>
      <c r="C13" t="s">
        <v>194</v>
      </c>
      <c r="AR13" s="3">
        <f t="shared" si="0"/>
        <v>0</v>
      </c>
      <c r="AS13"/>
      <c r="AT13"/>
    </row>
    <row r="14" spans="1:51" x14ac:dyDescent="0.25">
      <c r="A14" s="2" t="s">
        <v>275</v>
      </c>
      <c r="C14" t="s">
        <v>194</v>
      </c>
      <c r="AR14" s="3">
        <f t="shared" si="0"/>
        <v>0</v>
      </c>
      <c r="AS14"/>
      <c r="AT14"/>
    </row>
    <row r="15" spans="1:51" x14ac:dyDescent="0.25">
      <c r="A15" s="2" t="s">
        <v>275</v>
      </c>
      <c r="C15" t="s">
        <v>194</v>
      </c>
      <c r="AR15" s="3">
        <f t="shared" si="0"/>
        <v>0</v>
      </c>
      <c r="AS15"/>
      <c r="AT15"/>
    </row>
    <row r="16" spans="1:51" x14ac:dyDescent="0.25">
      <c r="A16" s="2" t="s">
        <v>275</v>
      </c>
      <c r="C16" t="s">
        <v>194</v>
      </c>
      <c r="AR16" s="3">
        <f t="shared" si="0"/>
        <v>0</v>
      </c>
      <c r="AS16"/>
      <c r="AT16"/>
    </row>
    <row r="17" spans="1:46" s="2" customFormat="1" x14ac:dyDescent="0.25">
      <c r="B17" s="2" t="s">
        <v>136</v>
      </c>
      <c r="D17" s="3">
        <f t="shared" ref="D17:AR17" si="1">SUM(D4:D16)</f>
        <v>0</v>
      </c>
      <c r="E17" s="3">
        <f t="shared" ref="E17:J17" si="2">SUM(E4:E16)</f>
        <v>0</v>
      </c>
      <c r="F17" s="3">
        <f t="shared" si="2"/>
        <v>0</v>
      </c>
      <c r="G17" s="3">
        <f t="shared" si="2"/>
        <v>0</v>
      </c>
      <c r="H17" s="3">
        <f t="shared" si="2"/>
        <v>0</v>
      </c>
      <c r="I17" s="3">
        <f t="shared" si="2"/>
        <v>0</v>
      </c>
      <c r="J17" s="3">
        <f t="shared" si="2"/>
        <v>0</v>
      </c>
      <c r="K17" s="3">
        <f t="shared" si="1"/>
        <v>0</v>
      </c>
      <c r="L17" s="3">
        <f t="shared" si="1"/>
        <v>0</v>
      </c>
      <c r="M17" s="3">
        <f t="shared" si="1"/>
        <v>0</v>
      </c>
      <c r="N17" s="3">
        <f t="shared" si="1"/>
        <v>-9.3000000000000007</v>
      </c>
      <c r="O17" s="3">
        <f t="shared" si="1"/>
        <v>0</v>
      </c>
      <c r="P17" s="3">
        <f t="shared" si="1"/>
        <v>-11.64</v>
      </c>
      <c r="Q17" s="3">
        <f t="shared" si="1"/>
        <v>-176.7</v>
      </c>
      <c r="R17" s="3">
        <f t="shared" si="1"/>
        <v>0</v>
      </c>
      <c r="S17" s="3">
        <f t="shared" si="1"/>
        <v>0</v>
      </c>
      <c r="T17" s="3">
        <f t="shared" si="1"/>
        <v>0</v>
      </c>
      <c r="U17" s="3">
        <f t="shared" si="1"/>
        <v>-9.3000000000000007</v>
      </c>
      <c r="V17" s="3">
        <f t="shared" si="1"/>
        <v>-3.1</v>
      </c>
      <c r="W17" s="3">
        <f t="shared" si="1"/>
        <v>0</v>
      </c>
      <c r="X17" s="3">
        <f t="shared" si="1"/>
        <v>0</v>
      </c>
      <c r="Y17" s="3">
        <f t="shared" si="1"/>
        <v>-27.9</v>
      </c>
      <c r="Z17" s="3">
        <f t="shared" si="1"/>
        <v>-9.3000000000000007</v>
      </c>
      <c r="AA17" s="3">
        <f t="shared" si="1"/>
        <v>0</v>
      </c>
      <c r="AB17" s="3">
        <f t="shared" si="1"/>
        <v>0</v>
      </c>
      <c r="AC17" s="3">
        <f t="shared" si="1"/>
        <v>0</v>
      </c>
      <c r="AD17" s="3">
        <f t="shared" si="1"/>
        <v>0</v>
      </c>
      <c r="AE17" s="3">
        <f t="shared" si="1"/>
        <v>0</v>
      </c>
      <c r="AF17" s="3">
        <f t="shared" si="1"/>
        <v>0</v>
      </c>
      <c r="AG17" s="3">
        <f t="shared" si="1"/>
        <v>0</v>
      </c>
      <c r="AH17" s="3">
        <f t="shared" si="1"/>
        <v>0</v>
      </c>
      <c r="AI17" s="3">
        <f t="shared" si="1"/>
        <v>0</v>
      </c>
      <c r="AJ17" s="3">
        <f t="shared" si="1"/>
        <v>0</v>
      </c>
      <c r="AK17" s="3">
        <f t="shared" si="1"/>
        <v>0</v>
      </c>
      <c r="AL17" s="3">
        <f t="shared" si="1"/>
        <v>0</v>
      </c>
      <c r="AM17" s="3">
        <f t="shared" si="1"/>
        <v>0</v>
      </c>
      <c r="AN17" s="3">
        <f t="shared" si="1"/>
        <v>0</v>
      </c>
      <c r="AO17" s="3">
        <f t="shared" si="1"/>
        <v>0</v>
      </c>
      <c r="AP17" s="3">
        <f t="shared" si="1"/>
        <v>0</v>
      </c>
      <c r="AQ17" s="3">
        <f t="shared" si="1"/>
        <v>0</v>
      </c>
      <c r="AR17" s="3">
        <f t="shared" si="1"/>
        <v>-247.23999999999998</v>
      </c>
    </row>
    <row r="18" spans="1:46" x14ac:dyDescent="0.25">
      <c r="A18"/>
      <c r="AR18" s="9"/>
      <c r="AS18"/>
      <c r="AT18"/>
    </row>
    <row r="19" spans="1:46" x14ac:dyDescent="0.25">
      <c r="A19"/>
      <c r="B19" s="2" t="s">
        <v>137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9"/>
      <c r="AS19"/>
      <c r="AT19"/>
    </row>
    <row r="20" spans="1:46" x14ac:dyDescent="0.25">
      <c r="A20" s="2" t="s">
        <v>275</v>
      </c>
      <c r="C20" t="s">
        <v>355</v>
      </c>
      <c r="N20" s="1">
        <v>-56.16</v>
      </c>
      <c r="O20" s="1">
        <v>-14.04</v>
      </c>
      <c r="T20" s="1">
        <v>-42.12</v>
      </c>
      <c r="Y20" s="1">
        <v>-53.12</v>
      </c>
      <c r="Z20" s="1">
        <v>-30.24</v>
      </c>
      <c r="AR20" s="3">
        <f>SUM(D20:AQ20)</f>
        <v>-195.68</v>
      </c>
      <c r="AS20"/>
      <c r="AT20"/>
    </row>
    <row r="21" spans="1:46" x14ac:dyDescent="0.25">
      <c r="A21" s="2" t="s">
        <v>275</v>
      </c>
      <c r="C21" t="s">
        <v>356</v>
      </c>
      <c r="N21" s="1">
        <v>-25.74</v>
      </c>
      <c r="P21" s="1">
        <f>-3.9-2.52</f>
        <v>-6.42</v>
      </c>
      <c r="Q21" s="1">
        <v>-30.24</v>
      </c>
      <c r="T21" s="1">
        <f>-3.9-15.96</f>
        <v>-19.86</v>
      </c>
      <c r="Y21" s="1">
        <f>-28.08-1.68</f>
        <v>-29.759999999999998</v>
      </c>
      <c r="Z21" s="1">
        <v>-97.94</v>
      </c>
      <c r="AQ21" s="1">
        <v>-1.62</v>
      </c>
      <c r="AR21" s="3">
        <f t="shared" ref="AR21:AR32" si="3">SUM(D21:AQ21)</f>
        <v>-211.57999999999998</v>
      </c>
      <c r="AS21"/>
      <c r="AT21"/>
    </row>
    <row r="22" spans="1:46" x14ac:dyDescent="0.25">
      <c r="A22" s="2" t="s">
        <v>275</v>
      </c>
      <c r="C22" t="s">
        <v>357</v>
      </c>
      <c r="U22" s="1">
        <v>-14.04</v>
      </c>
      <c r="Y22" s="1">
        <v>-159.36000000000001</v>
      </c>
      <c r="Z22" s="1">
        <v>-124.5</v>
      </c>
      <c r="AR22" s="3">
        <f t="shared" si="3"/>
        <v>-297.89999999999998</v>
      </c>
      <c r="AS22"/>
      <c r="AT22"/>
    </row>
    <row r="23" spans="1:46" x14ac:dyDescent="0.25">
      <c r="A23" s="2" t="s">
        <v>275</v>
      </c>
      <c r="C23" t="s">
        <v>475</v>
      </c>
      <c r="O23" s="1">
        <v>-14.04</v>
      </c>
      <c r="AA23" s="1">
        <v>-28.08</v>
      </c>
      <c r="AR23" s="3">
        <f t="shared" si="3"/>
        <v>-42.12</v>
      </c>
      <c r="AS23"/>
      <c r="AT23"/>
    </row>
    <row r="24" spans="1:46" x14ac:dyDescent="0.25">
      <c r="A24" s="2" t="s">
        <v>275</v>
      </c>
      <c r="C24" t="s">
        <v>194</v>
      </c>
      <c r="AR24" s="3">
        <f t="shared" si="3"/>
        <v>0</v>
      </c>
      <c r="AS24"/>
      <c r="AT24"/>
    </row>
    <row r="25" spans="1:46" x14ac:dyDescent="0.25">
      <c r="A25" s="2" t="s">
        <v>275</v>
      </c>
      <c r="C25" t="s">
        <v>194</v>
      </c>
      <c r="AR25" s="3">
        <f t="shared" si="3"/>
        <v>0</v>
      </c>
      <c r="AS25"/>
      <c r="AT25"/>
    </row>
    <row r="26" spans="1:46" x14ac:dyDescent="0.25">
      <c r="A26" s="2" t="s">
        <v>275</v>
      </c>
      <c r="C26" t="s">
        <v>194</v>
      </c>
      <c r="AR26" s="3">
        <f t="shared" si="3"/>
        <v>0</v>
      </c>
      <c r="AS26"/>
      <c r="AT26"/>
    </row>
    <row r="27" spans="1:46" x14ac:dyDescent="0.25">
      <c r="A27" s="2" t="s">
        <v>275</v>
      </c>
      <c r="C27" t="s">
        <v>194</v>
      </c>
      <c r="AR27" s="3">
        <f t="shared" si="3"/>
        <v>0</v>
      </c>
      <c r="AS27"/>
      <c r="AT27"/>
    </row>
    <row r="28" spans="1:46" x14ac:dyDescent="0.25">
      <c r="A28" s="2" t="s">
        <v>275</v>
      </c>
      <c r="C28" t="s">
        <v>194</v>
      </c>
      <c r="AR28" s="3">
        <f t="shared" si="3"/>
        <v>0</v>
      </c>
      <c r="AS28"/>
      <c r="AT28"/>
    </row>
    <row r="29" spans="1:46" x14ac:dyDescent="0.25">
      <c r="A29" s="2" t="s">
        <v>275</v>
      </c>
      <c r="C29" t="s">
        <v>194</v>
      </c>
      <c r="AR29" s="3">
        <f t="shared" si="3"/>
        <v>0</v>
      </c>
      <c r="AS29"/>
      <c r="AT29"/>
    </row>
    <row r="30" spans="1:46" x14ac:dyDescent="0.25">
      <c r="A30" s="2" t="s">
        <v>275</v>
      </c>
      <c r="C30" t="s">
        <v>194</v>
      </c>
      <c r="AR30" s="3">
        <f t="shared" si="3"/>
        <v>0</v>
      </c>
      <c r="AS30"/>
      <c r="AT30"/>
    </row>
    <row r="31" spans="1:46" x14ac:dyDescent="0.25">
      <c r="A31" s="2" t="s">
        <v>275</v>
      </c>
      <c r="C31" t="s">
        <v>194</v>
      </c>
      <c r="AR31" s="3">
        <f t="shared" si="3"/>
        <v>0</v>
      </c>
      <c r="AS31"/>
      <c r="AT31"/>
    </row>
    <row r="32" spans="1:46" x14ac:dyDescent="0.25">
      <c r="A32" s="2" t="s">
        <v>275</v>
      </c>
      <c r="C32" t="s">
        <v>194</v>
      </c>
      <c r="AR32" s="3">
        <f t="shared" si="3"/>
        <v>0</v>
      </c>
      <c r="AS32"/>
      <c r="AT32"/>
    </row>
    <row r="33" spans="1:46" s="2" customFormat="1" x14ac:dyDescent="0.25">
      <c r="B33" s="2" t="s">
        <v>138</v>
      </c>
      <c r="D33" s="3">
        <f>SUM(D20:D32)</f>
        <v>0</v>
      </c>
      <c r="E33" s="3">
        <f t="shared" ref="E33:J33" si="4">SUM(E20:E32)</f>
        <v>0</v>
      </c>
      <c r="F33" s="3">
        <f t="shared" si="4"/>
        <v>0</v>
      </c>
      <c r="G33" s="3">
        <f t="shared" si="4"/>
        <v>0</v>
      </c>
      <c r="H33" s="3">
        <f t="shared" si="4"/>
        <v>0</v>
      </c>
      <c r="I33" s="3">
        <f t="shared" si="4"/>
        <v>0</v>
      </c>
      <c r="J33" s="3">
        <f t="shared" si="4"/>
        <v>0</v>
      </c>
      <c r="K33" s="3">
        <f t="shared" ref="K33:AR33" si="5">SUM(K20:K32)</f>
        <v>0</v>
      </c>
      <c r="L33" s="3">
        <f t="shared" si="5"/>
        <v>0</v>
      </c>
      <c r="M33" s="3">
        <f t="shared" si="5"/>
        <v>0</v>
      </c>
      <c r="N33" s="3">
        <f t="shared" si="5"/>
        <v>-81.899999999999991</v>
      </c>
      <c r="O33" s="3">
        <f t="shared" si="5"/>
        <v>-28.08</v>
      </c>
      <c r="P33" s="3">
        <f t="shared" si="5"/>
        <v>-6.42</v>
      </c>
      <c r="Q33" s="3">
        <f t="shared" si="5"/>
        <v>-30.24</v>
      </c>
      <c r="R33" s="3">
        <f t="shared" si="5"/>
        <v>0</v>
      </c>
      <c r="S33" s="3">
        <f t="shared" si="5"/>
        <v>0</v>
      </c>
      <c r="T33" s="3">
        <f t="shared" si="5"/>
        <v>-61.98</v>
      </c>
      <c r="U33" s="3">
        <f t="shared" si="5"/>
        <v>-14.04</v>
      </c>
      <c r="V33" s="3">
        <f t="shared" si="5"/>
        <v>0</v>
      </c>
      <c r="W33" s="3">
        <f t="shared" si="5"/>
        <v>0</v>
      </c>
      <c r="X33" s="3">
        <f t="shared" si="5"/>
        <v>0</v>
      </c>
      <c r="Y33" s="3">
        <f t="shared" si="5"/>
        <v>-242.24</v>
      </c>
      <c r="Z33" s="3">
        <f t="shared" si="5"/>
        <v>-252.68</v>
      </c>
      <c r="AA33" s="3">
        <f t="shared" si="5"/>
        <v>-28.08</v>
      </c>
      <c r="AB33" s="3">
        <f t="shared" si="5"/>
        <v>0</v>
      </c>
      <c r="AC33" s="3">
        <f t="shared" si="5"/>
        <v>0</v>
      </c>
      <c r="AD33" s="3">
        <f t="shared" si="5"/>
        <v>0</v>
      </c>
      <c r="AE33" s="3">
        <f t="shared" si="5"/>
        <v>0</v>
      </c>
      <c r="AF33" s="3">
        <f t="shared" si="5"/>
        <v>0</v>
      </c>
      <c r="AG33" s="3">
        <f t="shared" si="5"/>
        <v>0</v>
      </c>
      <c r="AH33" s="3">
        <f t="shared" si="5"/>
        <v>0</v>
      </c>
      <c r="AI33" s="3">
        <f t="shared" si="5"/>
        <v>0</v>
      </c>
      <c r="AJ33" s="3">
        <f t="shared" si="5"/>
        <v>0</v>
      </c>
      <c r="AK33" s="3">
        <f t="shared" si="5"/>
        <v>0</v>
      </c>
      <c r="AL33" s="3">
        <f t="shared" si="5"/>
        <v>0</v>
      </c>
      <c r="AM33" s="3">
        <f t="shared" si="5"/>
        <v>0</v>
      </c>
      <c r="AN33" s="3">
        <f t="shared" si="5"/>
        <v>0</v>
      </c>
      <c r="AO33" s="3">
        <f t="shared" si="5"/>
        <v>0</v>
      </c>
      <c r="AP33" s="3">
        <f t="shared" si="5"/>
        <v>0</v>
      </c>
      <c r="AQ33" s="3">
        <f t="shared" si="5"/>
        <v>-1.62</v>
      </c>
      <c r="AR33" s="3">
        <f t="shared" si="5"/>
        <v>-747.28</v>
      </c>
    </row>
    <row r="34" spans="1:46" s="2" customFormat="1" x14ac:dyDescent="0.25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1:46" x14ac:dyDescent="0.25">
      <c r="A35"/>
      <c r="B35" s="2" t="s">
        <v>533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9"/>
      <c r="AS35"/>
      <c r="AT35"/>
    </row>
    <row r="36" spans="1:46" x14ac:dyDescent="0.25">
      <c r="A36" s="2" t="s">
        <v>275</v>
      </c>
      <c r="C36" t="s">
        <v>355</v>
      </c>
      <c r="AR36" s="3">
        <f>SUM(D36:AQ36)</f>
        <v>0</v>
      </c>
      <c r="AS36"/>
      <c r="AT36"/>
    </row>
    <row r="37" spans="1:46" x14ac:dyDescent="0.25">
      <c r="A37" s="2" t="s">
        <v>275</v>
      </c>
      <c r="C37" t="s">
        <v>356</v>
      </c>
      <c r="AR37" s="3">
        <f t="shared" ref="AR37:AR48" si="6">SUM(D37:AQ37)</f>
        <v>0</v>
      </c>
      <c r="AS37"/>
      <c r="AT37"/>
    </row>
    <row r="38" spans="1:46" x14ac:dyDescent="0.25">
      <c r="A38" s="2" t="s">
        <v>275</v>
      </c>
      <c r="C38" t="s">
        <v>357</v>
      </c>
      <c r="V38" s="1">
        <v>-1.04</v>
      </c>
      <c r="AR38" s="3">
        <f t="shared" si="6"/>
        <v>-1.04</v>
      </c>
      <c r="AS38"/>
      <c r="AT38"/>
    </row>
    <row r="39" spans="1:46" x14ac:dyDescent="0.25">
      <c r="A39" s="2" t="s">
        <v>275</v>
      </c>
      <c r="C39" t="s">
        <v>475</v>
      </c>
      <c r="AR39" s="3">
        <f t="shared" si="6"/>
        <v>0</v>
      </c>
      <c r="AS39"/>
      <c r="AT39"/>
    </row>
    <row r="40" spans="1:46" x14ac:dyDescent="0.25">
      <c r="A40" s="2" t="s">
        <v>275</v>
      </c>
      <c r="C40" t="s">
        <v>194</v>
      </c>
      <c r="AR40" s="3">
        <f t="shared" si="6"/>
        <v>0</v>
      </c>
      <c r="AS40"/>
      <c r="AT40"/>
    </row>
    <row r="41" spans="1:46" x14ac:dyDescent="0.25">
      <c r="A41" s="2" t="s">
        <v>275</v>
      </c>
      <c r="C41" t="s">
        <v>194</v>
      </c>
      <c r="AR41" s="3">
        <f t="shared" si="6"/>
        <v>0</v>
      </c>
      <c r="AS41"/>
      <c r="AT41"/>
    </row>
    <row r="42" spans="1:46" x14ac:dyDescent="0.25">
      <c r="A42" s="2" t="s">
        <v>275</v>
      </c>
      <c r="C42" t="s">
        <v>194</v>
      </c>
      <c r="AR42" s="3">
        <f t="shared" si="6"/>
        <v>0</v>
      </c>
      <c r="AS42"/>
      <c r="AT42"/>
    </row>
    <row r="43" spans="1:46" x14ac:dyDescent="0.25">
      <c r="A43" s="2" t="s">
        <v>275</v>
      </c>
      <c r="C43" t="s">
        <v>194</v>
      </c>
      <c r="AR43" s="3">
        <f t="shared" si="6"/>
        <v>0</v>
      </c>
      <c r="AS43"/>
      <c r="AT43"/>
    </row>
    <row r="44" spans="1:46" x14ac:dyDescent="0.25">
      <c r="A44" s="2" t="s">
        <v>275</v>
      </c>
      <c r="C44" t="s">
        <v>194</v>
      </c>
      <c r="AR44" s="3">
        <f t="shared" si="6"/>
        <v>0</v>
      </c>
      <c r="AS44"/>
      <c r="AT44"/>
    </row>
    <row r="45" spans="1:46" x14ac:dyDescent="0.25">
      <c r="A45" s="2" t="s">
        <v>275</v>
      </c>
      <c r="C45" t="s">
        <v>194</v>
      </c>
      <c r="AR45" s="3">
        <f t="shared" si="6"/>
        <v>0</v>
      </c>
      <c r="AS45"/>
      <c r="AT45"/>
    </row>
    <row r="46" spans="1:46" x14ac:dyDescent="0.25">
      <c r="A46" s="2" t="s">
        <v>275</v>
      </c>
      <c r="C46" t="s">
        <v>194</v>
      </c>
      <c r="AR46" s="3">
        <f t="shared" si="6"/>
        <v>0</v>
      </c>
      <c r="AS46"/>
      <c r="AT46"/>
    </row>
    <row r="47" spans="1:46" x14ac:dyDescent="0.25">
      <c r="A47" s="2" t="s">
        <v>275</v>
      </c>
      <c r="C47" t="s">
        <v>194</v>
      </c>
      <c r="AR47" s="3">
        <f t="shared" si="6"/>
        <v>0</v>
      </c>
      <c r="AS47"/>
      <c r="AT47"/>
    </row>
    <row r="48" spans="1:46" x14ac:dyDescent="0.25">
      <c r="A48" s="2" t="s">
        <v>275</v>
      </c>
      <c r="C48" t="s">
        <v>194</v>
      </c>
      <c r="AR48" s="3">
        <f t="shared" si="6"/>
        <v>0</v>
      </c>
      <c r="AS48"/>
      <c r="AT48"/>
    </row>
    <row r="49" spans="1:46" s="2" customFormat="1" x14ac:dyDescent="0.25">
      <c r="B49" s="2" t="s">
        <v>534</v>
      </c>
      <c r="D49" s="3">
        <f>SUM(D36:D48)</f>
        <v>0</v>
      </c>
      <c r="E49" s="3">
        <f t="shared" ref="E49:AR49" si="7">SUM(E36:E48)</f>
        <v>0</v>
      </c>
      <c r="F49" s="3">
        <f t="shared" si="7"/>
        <v>0</v>
      </c>
      <c r="G49" s="3">
        <f t="shared" si="7"/>
        <v>0</v>
      </c>
      <c r="H49" s="3">
        <f t="shared" si="7"/>
        <v>0</v>
      </c>
      <c r="I49" s="3">
        <f t="shared" si="7"/>
        <v>0</v>
      </c>
      <c r="J49" s="3">
        <f t="shared" si="7"/>
        <v>0</v>
      </c>
      <c r="K49" s="3">
        <f t="shared" si="7"/>
        <v>0</v>
      </c>
      <c r="L49" s="3">
        <f t="shared" si="7"/>
        <v>0</v>
      </c>
      <c r="M49" s="3">
        <f t="shared" si="7"/>
        <v>0</v>
      </c>
      <c r="N49" s="3">
        <f t="shared" si="7"/>
        <v>0</v>
      </c>
      <c r="O49" s="3">
        <f t="shared" si="7"/>
        <v>0</v>
      </c>
      <c r="P49" s="3">
        <f t="shared" si="7"/>
        <v>0</v>
      </c>
      <c r="Q49" s="3">
        <f t="shared" si="7"/>
        <v>0</v>
      </c>
      <c r="R49" s="3">
        <f t="shared" si="7"/>
        <v>0</v>
      </c>
      <c r="S49" s="3">
        <f t="shared" si="7"/>
        <v>0</v>
      </c>
      <c r="T49" s="3">
        <f t="shared" si="7"/>
        <v>0</v>
      </c>
      <c r="U49" s="3">
        <f t="shared" si="7"/>
        <v>0</v>
      </c>
      <c r="V49" s="3">
        <f t="shared" si="7"/>
        <v>-1.04</v>
      </c>
      <c r="W49" s="3">
        <f t="shared" si="7"/>
        <v>0</v>
      </c>
      <c r="X49" s="3">
        <f t="shared" si="7"/>
        <v>0</v>
      </c>
      <c r="Y49" s="3">
        <f t="shared" si="7"/>
        <v>0</v>
      </c>
      <c r="Z49" s="3">
        <f t="shared" si="7"/>
        <v>0</v>
      </c>
      <c r="AA49" s="3">
        <f t="shared" si="7"/>
        <v>0</v>
      </c>
      <c r="AB49" s="3">
        <f t="shared" si="7"/>
        <v>0</v>
      </c>
      <c r="AC49" s="3">
        <f t="shared" si="7"/>
        <v>0</v>
      </c>
      <c r="AD49" s="3">
        <f t="shared" si="7"/>
        <v>0</v>
      </c>
      <c r="AE49" s="3">
        <f t="shared" si="7"/>
        <v>0</v>
      </c>
      <c r="AF49" s="3">
        <f t="shared" si="7"/>
        <v>0</v>
      </c>
      <c r="AG49" s="3">
        <f t="shared" si="7"/>
        <v>0</v>
      </c>
      <c r="AH49" s="3">
        <f t="shared" si="7"/>
        <v>0</v>
      </c>
      <c r="AI49" s="3">
        <f t="shared" si="7"/>
        <v>0</v>
      </c>
      <c r="AJ49" s="3">
        <f t="shared" si="7"/>
        <v>0</v>
      </c>
      <c r="AK49" s="3">
        <f t="shared" si="7"/>
        <v>0</v>
      </c>
      <c r="AL49" s="3">
        <f t="shared" si="7"/>
        <v>0</v>
      </c>
      <c r="AM49" s="3">
        <f t="shared" si="7"/>
        <v>0</v>
      </c>
      <c r="AN49" s="3">
        <f t="shared" si="7"/>
        <v>0</v>
      </c>
      <c r="AO49" s="3">
        <f t="shared" si="7"/>
        <v>0</v>
      </c>
      <c r="AP49" s="3">
        <f t="shared" si="7"/>
        <v>0</v>
      </c>
      <c r="AQ49" s="3">
        <f t="shared" si="7"/>
        <v>0</v>
      </c>
      <c r="AR49" s="3">
        <f t="shared" si="7"/>
        <v>-1.04</v>
      </c>
    </row>
    <row r="50" spans="1:46" x14ac:dyDescent="0.25">
      <c r="A50"/>
      <c r="AS50"/>
      <c r="AT50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T134"/>
  <sheetViews>
    <sheetView workbookViewId="0">
      <pane xSplit="3" ySplit="2" topLeftCell="U3" activePane="bottomRight" state="frozen"/>
      <selection pane="topRight" activeCell="D1" sqref="D1"/>
      <selection pane="bottomLeft" activeCell="A3" sqref="A3"/>
      <selection pane="bottomRight" activeCell="AN21" sqref="AN21"/>
    </sheetView>
  </sheetViews>
  <sheetFormatPr defaultRowHeight="15" x14ac:dyDescent="0.25"/>
  <cols>
    <col min="1" max="2" width="3.42578125" style="2" customWidth="1"/>
    <col min="3" max="3" width="28.85546875" customWidth="1"/>
    <col min="4" max="43" width="9.140625" style="1" customWidth="1"/>
    <col min="44" max="44" width="9.140625" style="3"/>
    <col min="45" max="45" width="6.42578125" style="1" customWidth="1"/>
    <col min="46" max="46" width="9.140625" style="8"/>
    <col min="50" max="54" width="9.140625" customWidth="1"/>
  </cols>
  <sheetData>
    <row r="1" spans="1:46" x14ac:dyDescent="0.25">
      <c r="A1" s="2" t="s">
        <v>43</v>
      </c>
      <c r="D1" s="142">
        <v>45292</v>
      </c>
      <c r="E1" s="142">
        <v>45292</v>
      </c>
      <c r="F1" s="142">
        <v>45292</v>
      </c>
      <c r="G1" s="142">
        <v>45292</v>
      </c>
      <c r="H1" s="142">
        <v>45292</v>
      </c>
      <c r="I1" s="142">
        <v>45323</v>
      </c>
      <c r="J1" s="142">
        <v>45323</v>
      </c>
      <c r="K1" s="142">
        <v>45323</v>
      </c>
      <c r="L1" s="142">
        <v>45323</v>
      </c>
      <c r="M1" s="142">
        <v>45352</v>
      </c>
      <c r="N1" s="142">
        <v>45352</v>
      </c>
      <c r="O1" s="142">
        <v>45352</v>
      </c>
      <c r="P1" s="142">
        <v>45352</v>
      </c>
      <c r="Q1" s="142">
        <v>45383</v>
      </c>
      <c r="R1" s="142">
        <v>45383</v>
      </c>
      <c r="S1" s="142">
        <v>45383</v>
      </c>
      <c r="T1" s="142">
        <v>45383</v>
      </c>
      <c r="U1" s="142">
        <v>45413</v>
      </c>
      <c r="V1" s="142">
        <v>45413</v>
      </c>
      <c r="W1" s="142">
        <v>45413</v>
      </c>
      <c r="X1" s="142">
        <v>45413</v>
      </c>
      <c r="Y1" s="142">
        <v>45413</v>
      </c>
      <c r="Z1" s="142">
        <v>45444</v>
      </c>
      <c r="AA1" s="142">
        <v>45444</v>
      </c>
      <c r="AB1" s="142">
        <v>45444</v>
      </c>
      <c r="AC1" s="142">
        <v>45444</v>
      </c>
      <c r="AD1" s="142">
        <v>45474</v>
      </c>
      <c r="AE1" s="142">
        <v>45474</v>
      </c>
      <c r="AF1" s="142">
        <v>45474</v>
      </c>
      <c r="AG1" s="142">
        <v>45474</v>
      </c>
      <c r="AH1" s="142">
        <v>45474</v>
      </c>
      <c r="AI1" s="142">
        <v>45505</v>
      </c>
      <c r="AJ1" s="142">
        <v>45505</v>
      </c>
      <c r="AK1" s="142">
        <v>45505</v>
      </c>
      <c r="AL1" s="142">
        <v>45505</v>
      </c>
      <c r="AM1" s="142">
        <v>45536</v>
      </c>
      <c r="AN1" s="142">
        <v>45536</v>
      </c>
      <c r="AO1" s="142">
        <v>45536</v>
      </c>
      <c r="AP1" s="142">
        <v>45536</v>
      </c>
      <c r="AQ1" s="13" t="s">
        <v>282</v>
      </c>
    </row>
    <row r="2" spans="1:46" x14ac:dyDescent="0.25">
      <c r="A2" s="2" t="s">
        <v>424</v>
      </c>
      <c r="D2" s="13" t="s">
        <v>491</v>
      </c>
      <c r="E2" s="13" t="s">
        <v>492</v>
      </c>
      <c r="F2" s="13" t="s">
        <v>493</v>
      </c>
      <c r="G2" s="13" t="s">
        <v>494</v>
      </c>
      <c r="H2" s="13" t="s">
        <v>495</v>
      </c>
      <c r="I2" s="13" t="s">
        <v>496</v>
      </c>
      <c r="J2" s="13" t="s">
        <v>263</v>
      </c>
      <c r="K2" s="13" t="s">
        <v>264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3" t="s">
        <v>54</v>
      </c>
      <c r="V2" s="13" t="s">
        <v>20</v>
      </c>
      <c r="W2" s="13" t="s">
        <v>21</v>
      </c>
      <c r="X2" s="13" t="s">
        <v>22</v>
      </c>
      <c r="Y2" s="13" t="s">
        <v>23</v>
      </c>
      <c r="Z2" s="13" t="s">
        <v>24</v>
      </c>
      <c r="AA2" s="13" t="s">
        <v>25</v>
      </c>
      <c r="AB2" s="13" t="s">
        <v>26</v>
      </c>
      <c r="AC2" s="13" t="s">
        <v>27</v>
      </c>
      <c r="AD2" s="13" t="s">
        <v>28</v>
      </c>
      <c r="AE2" s="13" t="s">
        <v>29</v>
      </c>
      <c r="AF2" s="13" t="s">
        <v>30</v>
      </c>
      <c r="AG2" s="13" t="s">
        <v>31</v>
      </c>
      <c r="AH2" s="13" t="s">
        <v>32</v>
      </c>
      <c r="AI2" s="13" t="s">
        <v>33</v>
      </c>
      <c r="AJ2" s="13" t="s">
        <v>34</v>
      </c>
      <c r="AK2" s="13" t="s">
        <v>55</v>
      </c>
      <c r="AL2" s="13" t="s">
        <v>56</v>
      </c>
      <c r="AM2" s="13" t="s">
        <v>57</v>
      </c>
      <c r="AN2" s="13" t="s">
        <v>58</v>
      </c>
      <c r="AO2" s="13" t="s">
        <v>59</v>
      </c>
      <c r="AP2" s="13" t="s">
        <v>60</v>
      </c>
      <c r="AQ2" s="4" t="s">
        <v>61</v>
      </c>
      <c r="AR2" s="52" t="s">
        <v>2</v>
      </c>
    </row>
    <row r="3" spans="1:46" x14ac:dyDescent="0.25">
      <c r="A3"/>
      <c r="B3" s="2" t="s">
        <v>135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AR3" s="9"/>
      <c r="AS3"/>
    </row>
    <row r="4" spans="1:46" x14ac:dyDescent="0.25">
      <c r="A4" s="2" t="s">
        <v>275</v>
      </c>
      <c r="C4" t="s">
        <v>410</v>
      </c>
      <c r="AR4" s="3">
        <f>SUM(D4:AQ4)</f>
        <v>0</v>
      </c>
      <c r="AS4"/>
      <c r="AT4" s="8" t="e">
        <f>+AR4/#REF!</f>
        <v>#REF!</v>
      </c>
    </row>
    <row r="5" spans="1:46" x14ac:dyDescent="0.25">
      <c r="A5" s="2" t="s">
        <v>275</v>
      </c>
      <c r="C5" t="s">
        <v>504</v>
      </c>
      <c r="P5" s="1">
        <v>-3.88</v>
      </c>
      <c r="U5" s="1">
        <v>-3.1</v>
      </c>
      <c r="AR5" s="3">
        <f t="shared" ref="AR5:AR44" si="0">SUM(D5:AQ5)</f>
        <v>-6.98</v>
      </c>
      <c r="AS5"/>
      <c r="AT5" s="8" t="e">
        <f>+AR5/#REF!</f>
        <v>#REF!</v>
      </c>
    </row>
    <row r="6" spans="1:46" x14ac:dyDescent="0.25">
      <c r="A6" s="2" t="s">
        <v>275</v>
      </c>
      <c r="C6" t="s">
        <v>707</v>
      </c>
      <c r="AS6"/>
    </row>
    <row r="7" spans="1:46" x14ac:dyDescent="0.25">
      <c r="A7" s="2" t="s">
        <v>275</v>
      </c>
      <c r="C7" t="s">
        <v>722</v>
      </c>
      <c r="AR7" s="3">
        <f t="shared" si="0"/>
        <v>0</v>
      </c>
      <c r="AS7"/>
      <c r="AT7" s="8" t="e">
        <f>+AR7/#REF!</f>
        <v>#REF!</v>
      </c>
    </row>
    <row r="8" spans="1:46" x14ac:dyDescent="0.25">
      <c r="A8" s="2" t="s">
        <v>275</v>
      </c>
      <c r="C8" t="s">
        <v>409</v>
      </c>
      <c r="AF8" s="1">
        <v>-18.600000000000001</v>
      </c>
      <c r="AR8" s="3">
        <f t="shared" si="0"/>
        <v>-18.600000000000001</v>
      </c>
      <c r="AS8"/>
      <c r="AT8" s="8" t="e">
        <f>+AR8/#REF!</f>
        <v>#REF!</v>
      </c>
    </row>
    <row r="9" spans="1:46" x14ac:dyDescent="0.25">
      <c r="A9" s="2" t="s">
        <v>275</v>
      </c>
      <c r="C9" t="s">
        <v>723</v>
      </c>
      <c r="S9" s="1">
        <f>-362.7-104.76</f>
        <v>-467.46</v>
      </c>
      <c r="AR9" s="3">
        <f t="shared" si="0"/>
        <v>-467.46</v>
      </c>
      <c r="AS9"/>
      <c r="AT9" s="8" t="e">
        <f>+AR9/#REF!</f>
        <v>#REF!</v>
      </c>
    </row>
    <row r="10" spans="1:46" x14ac:dyDescent="0.25">
      <c r="A10" s="2" t="s">
        <v>275</v>
      </c>
      <c r="C10" t="s">
        <v>506</v>
      </c>
      <c r="Y10" s="1">
        <v>-9.3000000000000007</v>
      </c>
      <c r="AR10" s="3">
        <f t="shared" si="0"/>
        <v>-9.3000000000000007</v>
      </c>
      <c r="AS10"/>
      <c r="AT10" s="8" t="e">
        <f>+AR10/#REF!</f>
        <v>#REF!</v>
      </c>
    </row>
    <row r="11" spans="1:46" x14ac:dyDescent="0.25">
      <c r="A11" s="2" t="s">
        <v>275</v>
      </c>
      <c r="C11" t="s">
        <v>724</v>
      </c>
      <c r="AS11"/>
    </row>
    <row r="12" spans="1:46" x14ac:dyDescent="0.25">
      <c r="A12" s="2" t="s">
        <v>275</v>
      </c>
      <c r="C12" t="s">
        <v>411</v>
      </c>
      <c r="AR12" s="3">
        <f t="shared" si="0"/>
        <v>0</v>
      </c>
      <c r="AS12"/>
      <c r="AT12" s="8" t="e">
        <f>+AR12/#REF!</f>
        <v>#REF!</v>
      </c>
    </row>
    <row r="13" spans="1:46" x14ac:dyDescent="0.25">
      <c r="A13" s="2" t="s">
        <v>275</v>
      </c>
      <c r="C13" t="s">
        <v>412</v>
      </c>
      <c r="AR13" s="3">
        <f t="shared" si="0"/>
        <v>0</v>
      </c>
      <c r="AS13"/>
      <c r="AT13" s="8" t="e">
        <f>+AR13/#REF!</f>
        <v>#REF!</v>
      </c>
    </row>
    <row r="14" spans="1:46" x14ac:dyDescent="0.25">
      <c r="A14" s="2" t="s">
        <v>275</v>
      </c>
      <c r="C14" t="s">
        <v>708</v>
      </c>
      <c r="AS14"/>
    </row>
    <row r="15" spans="1:46" x14ac:dyDescent="0.25">
      <c r="A15" s="2" t="s">
        <v>275</v>
      </c>
      <c r="C15" t="s">
        <v>725</v>
      </c>
      <c r="AR15" s="3">
        <f t="shared" si="0"/>
        <v>0</v>
      </c>
      <c r="AS15"/>
      <c r="AT15" s="8" t="e">
        <f>+AR15/#REF!</f>
        <v>#REF!</v>
      </c>
    </row>
    <row r="16" spans="1:46" x14ac:dyDescent="0.25">
      <c r="A16" s="2" t="s">
        <v>275</v>
      </c>
      <c r="C16" t="s">
        <v>705</v>
      </c>
      <c r="AS16"/>
    </row>
    <row r="17" spans="1:46" x14ac:dyDescent="0.25">
      <c r="A17" s="2" t="s">
        <v>275</v>
      </c>
      <c r="C17" t="s">
        <v>726</v>
      </c>
      <c r="P17" s="1">
        <v>-9.3000000000000007</v>
      </c>
      <c r="T17" s="1">
        <v>-9.3000000000000007</v>
      </c>
      <c r="AR17" s="3">
        <f t="shared" si="0"/>
        <v>-18.600000000000001</v>
      </c>
      <c r="AT17" s="8" t="e">
        <f>+AR17/#REF!</f>
        <v>#REF!</v>
      </c>
    </row>
    <row r="18" spans="1:46" x14ac:dyDescent="0.25">
      <c r="A18" s="2" t="s">
        <v>275</v>
      </c>
      <c r="C18" t="s">
        <v>444</v>
      </c>
      <c r="AR18" s="3">
        <f t="shared" si="0"/>
        <v>0</v>
      </c>
      <c r="AT18" s="8" t="e">
        <f>+AR18/#REF!</f>
        <v>#REF!</v>
      </c>
    </row>
    <row r="19" spans="1:46" x14ac:dyDescent="0.25">
      <c r="A19" s="2" t="s">
        <v>275</v>
      </c>
      <c r="C19" t="s">
        <v>413</v>
      </c>
      <c r="AR19" s="3">
        <f t="shared" si="0"/>
        <v>0</v>
      </c>
      <c r="AT19" s="8" t="e">
        <f>+AR19/#REF!</f>
        <v>#REF!</v>
      </c>
    </row>
    <row r="20" spans="1:46" x14ac:dyDescent="0.25">
      <c r="A20" s="2" t="s">
        <v>275</v>
      </c>
      <c r="C20" t="s">
        <v>414</v>
      </c>
      <c r="AN20" s="1">
        <v>-65.099999999999994</v>
      </c>
      <c r="AR20" s="3">
        <f t="shared" si="0"/>
        <v>-65.099999999999994</v>
      </c>
      <c r="AT20" s="8" t="e">
        <f>+AR20/#REF!</f>
        <v>#REF!</v>
      </c>
    </row>
    <row r="21" spans="1:46" x14ac:dyDescent="0.25">
      <c r="A21" s="2" t="s">
        <v>275</v>
      </c>
      <c r="C21" t="s">
        <v>415</v>
      </c>
      <c r="AR21" s="3">
        <f t="shared" si="0"/>
        <v>0</v>
      </c>
      <c r="AS21"/>
      <c r="AT21" s="8" t="e">
        <f>+AR21/#REF!</f>
        <v>#REF!</v>
      </c>
    </row>
    <row r="22" spans="1:46" x14ac:dyDescent="0.25">
      <c r="A22" s="2" t="s">
        <v>275</v>
      </c>
      <c r="C22" t="s">
        <v>727</v>
      </c>
      <c r="AS22"/>
    </row>
    <row r="23" spans="1:46" x14ac:dyDescent="0.25">
      <c r="A23" s="2" t="s">
        <v>275</v>
      </c>
      <c r="C23" t="s">
        <v>416</v>
      </c>
      <c r="AR23" s="3">
        <f t="shared" si="0"/>
        <v>0</v>
      </c>
      <c r="AS23"/>
      <c r="AT23" s="8" t="e">
        <f>+AR23/#REF!</f>
        <v>#REF!</v>
      </c>
    </row>
    <row r="24" spans="1:46" x14ac:dyDescent="0.25">
      <c r="A24" s="2" t="s">
        <v>275</v>
      </c>
      <c r="C24" t="s">
        <v>706</v>
      </c>
      <c r="AS24"/>
    </row>
    <row r="25" spans="1:46" x14ac:dyDescent="0.25">
      <c r="A25" s="2" t="s">
        <v>275</v>
      </c>
      <c r="C25" t="s">
        <v>417</v>
      </c>
      <c r="Q25" s="1">
        <v>-9.3000000000000007</v>
      </c>
      <c r="Z25" s="1">
        <v>-27.9</v>
      </c>
      <c r="AR25" s="3">
        <f t="shared" si="0"/>
        <v>-37.200000000000003</v>
      </c>
      <c r="AS25"/>
      <c r="AT25" s="8" t="e">
        <f>+AR25/#REF!</f>
        <v>#REF!</v>
      </c>
    </row>
    <row r="26" spans="1:46" x14ac:dyDescent="0.25">
      <c r="A26" s="2" t="s">
        <v>275</v>
      </c>
      <c r="C26" t="s">
        <v>418</v>
      </c>
      <c r="AR26" s="3">
        <f t="shared" si="0"/>
        <v>0</v>
      </c>
      <c r="AS26"/>
      <c r="AT26" s="8" t="e">
        <f>+AR26/#REF!</f>
        <v>#REF!</v>
      </c>
    </row>
    <row r="27" spans="1:46" x14ac:dyDescent="0.25">
      <c r="A27" s="2" t="s">
        <v>275</v>
      </c>
      <c r="C27" t="s">
        <v>457</v>
      </c>
      <c r="AR27" s="3">
        <f t="shared" si="0"/>
        <v>0</v>
      </c>
      <c r="AS27"/>
      <c r="AT27" s="8" t="e">
        <f>+AR27/#REF!</f>
        <v>#REF!</v>
      </c>
    </row>
    <row r="28" spans="1:46" x14ac:dyDescent="0.25">
      <c r="A28" s="2" t="s">
        <v>275</v>
      </c>
      <c r="C28" t="s">
        <v>419</v>
      </c>
      <c r="AR28" s="3">
        <f t="shared" si="0"/>
        <v>0</v>
      </c>
      <c r="AS28"/>
      <c r="AT28" s="8" t="e">
        <f>+AR28/#REF!</f>
        <v>#REF!</v>
      </c>
    </row>
    <row r="29" spans="1:46" x14ac:dyDescent="0.25">
      <c r="A29" s="2" t="s">
        <v>275</v>
      </c>
      <c r="C29" t="s">
        <v>728</v>
      </c>
      <c r="AR29" s="3">
        <f t="shared" si="0"/>
        <v>0</v>
      </c>
      <c r="AS29"/>
      <c r="AT29" s="8" t="e">
        <f>+AR29/#REF!</f>
        <v>#REF!</v>
      </c>
    </row>
    <row r="30" spans="1:46" x14ac:dyDescent="0.25">
      <c r="A30" s="2" t="s">
        <v>275</v>
      </c>
      <c r="C30" t="s">
        <v>505</v>
      </c>
      <c r="AR30" s="3">
        <f t="shared" si="0"/>
        <v>0</v>
      </c>
      <c r="AS30"/>
      <c r="AT30" s="8" t="e">
        <f>+AR30/#REF!</f>
        <v>#REF!</v>
      </c>
    </row>
    <row r="31" spans="1:46" x14ac:dyDescent="0.25">
      <c r="A31" s="2" t="s">
        <v>275</v>
      </c>
      <c r="C31" t="s">
        <v>729</v>
      </c>
      <c r="AR31" s="3">
        <f t="shared" si="0"/>
        <v>0</v>
      </c>
      <c r="AS31"/>
      <c r="AT31" s="8" t="e">
        <f>+AR31/#REF!</f>
        <v>#REF!</v>
      </c>
    </row>
    <row r="32" spans="1:46" x14ac:dyDescent="0.25">
      <c r="A32" s="2" t="s">
        <v>275</v>
      </c>
      <c r="C32" t="s">
        <v>420</v>
      </c>
      <c r="X32" s="1">
        <v>-37.200000000000003</v>
      </c>
      <c r="AR32" s="3">
        <f t="shared" si="0"/>
        <v>-37.200000000000003</v>
      </c>
      <c r="AS32"/>
      <c r="AT32" s="8" t="e">
        <f>+AR32/#REF!</f>
        <v>#REF!</v>
      </c>
    </row>
    <row r="33" spans="1:46" x14ac:dyDescent="0.25">
      <c r="A33" s="2" t="s">
        <v>275</v>
      </c>
      <c r="C33" t="s">
        <v>730</v>
      </c>
      <c r="AR33" s="3">
        <f t="shared" si="0"/>
        <v>0</v>
      </c>
      <c r="AS33"/>
      <c r="AT33" s="8" t="e">
        <f>+AR33/#REF!</f>
        <v>#REF!</v>
      </c>
    </row>
    <row r="34" spans="1:46" x14ac:dyDescent="0.25">
      <c r="A34" s="2" t="s">
        <v>275</v>
      </c>
      <c r="C34" t="s">
        <v>731</v>
      </c>
      <c r="AS34"/>
    </row>
    <row r="35" spans="1:46" x14ac:dyDescent="0.25">
      <c r="A35" s="2" t="s">
        <v>275</v>
      </c>
      <c r="C35" t="s">
        <v>732</v>
      </c>
      <c r="AR35" s="3">
        <f t="shared" si="0"/>
        <v>0</v>
      </c>
      <c r="AS35"/>
      <c r="AT35" s="8" t="e">
        <f>+AR35/#REF!</f>
        <v>#REF!</v>
      </c>
    </row>
    <row r="36" spans="1:46" x14ac:dyDescent="0.25">
      <c r="A36" s="2" t="s">
        <v>275</v>
      </c>
      <c r="C36" t="s">
        <v>421</v>
      </c>
      <c r="AR36" s="3">
        <f t="shared" si="0"/>
        <v>0</v>
      </c>
      <c r="AS36"/>
      <c r="AT36" s="8" t="e">
        <f>+AR36/#REF!</f>
        <v>#REF!</v>
      </c>
    </row>
    <row r="37" spans="1:46" x14ac:dyDescent="0.25">
      <c r="A37" s="2" t="s">
        <v>275</v>
      </c>
      <c r="C37" t="s">
        <v>422</v>
      </c>
      <c r="AR37" s="3">
        <f t="shared" si="0"/>
        <v>0</v>
      </c>
      <c r="AS37"/>
      <c r="AT37" s="8" t="e">
        <f>+AR37/#REF!</f>
        <v>#REF!</v>
      </c>
    </row>
    <row r="38" spans="1:46" x14ac:dyDescent="0.25">
      <c r="A38" s="2" t="s">
        <v>275</v>
      </c>
      <c r="C38" t="s">
        <v>733</v>
      </c>
      <c r="AR38" s="3">
        <f t="shared" si="0"/>
        <v>0</v>
      </c>
      <c r="AS38"/>
      <c r="AT38" s="8" t="e">
        <f>+AR38/#REF!</f>
        <v>#REF!</v>
      </c>
    </row>
    <row r="39" spans="1:46" x14ac:dyDescent="0.25">
      <c r="A39" s="2" t="s">
        <v>275</v>
      </c>
      <c r="C39" t="s">
        <v>458</v>
      </c>
      <c r="AR39" s="3">
        <f t="shared" si="0"/>
        <v>0</v>
      </c>
      <c r="AS39"/>
      <c r="AT39" s="8" t="e">
        <f>+AR39/#REF!</f>
        <v>#REF!</v>
      </c>
    </row>
    <row r="40" spans="1:46" x14ac:dyDescent="0.25">
      <c r="A40" s="2" t="s">
        <v>275</v>
      </c>
      <c r="C40" t="s">
        <v>423</v>
      </c>
      <c r="AR40" s="3">
        <f t="shared" si="0"/>
        <v>0</v>
      </c>
      <c r="AS40"/>
      <c r="AT40" s="8" t="e">
        <f>+AR40/#REF!</f>
        <v>#REF!</v>
      </c>
    </row>
    <row r="41" spans="1:46" x14ac:dyDescent="0.25">
      <c r="A41" s="2" t="s">
        <v>275</v>
      </c>
      <c r="C41" t="s">
        <v>734</v>
      </c>
      <c r="AR41" s="3">
        <f t="shared" si="0"/>
        <v>0</v>
      </c>
      <c r="AS41"/>
      <c r="AT41" s="8" t="e">
        <f>+AR41/#REF!</f>
        <v>#REF!</v>
      </c>
    </row>
    <row r="42" spans="1:46" x14ac:dyDescent="0.25">
      <c r="A42" s="2" t="s">
        <v>275</v>
      </c>
      <c r="C42" s="144" t="s">
        <v>753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AR42" s="3">
        <f t="shared" si="0"/>
        <v>0</v>
      </c>
      <c r="AS42"/>
      <c r="AT42" s="8" t="e">
        <f>+AR42/#REF!</f>
        <v>#REF!</v>
      </c>
    </row>
    <row r="43" spans="1:46" x14ac:dyDescent="0.25">
      <c r="A43" s="2" t="s">
        <v>275</v>
      </c>
      <c r="C43" t="s">
        <v>194</v>
      </c>
      <c r="AR43" s="3">
        <f t="shared" si="0"/>
        <v>0</v>
      </c>
      <c r="AS43"/>
      <c r="AT43" s="8" t="e">
        <f>+AR43/#REF!</f>
        <v>#REF!</v>
      </c>
    </row>
    <row r="44" spans="1:46" x14ac:dyDescent="0.25">
      <c r="A44" s="2" t="s">
        <v>275</v>
      </c>
      <c r="C44" t="s">
        <v>194</v>
      </c>
      <c r="AR44" s="3">
        <f t="shared" si="0"/>
        <v>0</v>
      </c>
      <c r="AS44"/>
      <c r="AT44" s="8" t="e">
        <f>+AR44/#REF!</f>
        <v>#REF!</v>
      </c>
    </row>
    <row r="45" spans="1:46" s="2" customFormat="1" x14ac:dyDescent="0.25">
      <c r="B45" s="2" t="s">
        <v>136</v>
      </c>
      <c r="D45" s="3">
        <f t="shared" ref="D45:AR45" si="1">SUM(D4:D44)</f>
        <v>0</v>
      </c>
      <c r="E45" s="3">
        <f t="shared" si="1"/>
        <v>0</v>
      </c>
      <c r="F45" s="3">
        <f t="shared" si="1"/>
        <v>0</v>
      </c>
      <c r="G45" s="3">
        <f t="shared" si="1"/>
        <v>0</v>
      </c>
      <c r="H45" s="3">
        <f t="shared" si="1"/>
        <v>0</v>
      </c>
      <c r="I45" s="3">
        <f t="shared" si="1"/>
        <v>0</v>
      </c>
      <c r="J45" s="3">
        <f t="shared" si="1"/>
        <v>0</v>
      </c>
      <c r="K45" s="3">
        <f t="shared" si="1"/>
        <v>0</v>
      </c>
      <c r="L45" s="3">
        <f t="shared" si="1"/>
        <v>0</v>
      </c>
      <c r="M45" s="3">
        <f t="shared" si="1"/>
        <v>0</v>
      </c>
      <c r="N45" s="3">
        <f t="shared" si="1"/>
        <v>0</v>
      </c>
      <c r="O45" s="3">
        <f t="shared" si="1"/>
        <v>0</v>
      </c>
      <c r="P45" s="3">
        <f t="shared" si="1"/>
        <v>-13.18</v>
      </c>
      <c r="Q45" s="3">
        <f t="shared" si="1"/>
        <v>-9.3000000000000007</v>
      </c>
      <c r="R45" s="3">
        <f t="shared" si="1"/>
        <v>0</v>
      </c>
      <c r="S45" s="3">
        <f t="shared" si="1"/>
        <v>-467.46</v>
      </c>
      <c r="T45" s="3">
        <f t="shared" si="1"/>
        <v>-9.3000000000000007</v>
      </c>
      <c r="U45" s="3">
        <f t="shared" si="1"/>
        <v>-3.1</v>
      </c>
      <c r="V45" s="3">
        <f t="shared" si="1"/>
        <v>0</v>
      </c>
      <c r="W45" s="3">
        <f t="shared" si="1"/>
        <v>0</v>
      </c>
      <c r="X45" s="3">
        <f t="shared" si="1"/>
        <v>-37.200000000000003</v>
      </c>
      <c r="Y45" s="3">
        <f t="shared" si="1"/>
        <v>-9.3000000000000007</v>
      </c>
      <c r="Z45" s="3">
        <f t="shared" si="1"/>
        <v>-27.9</v>
      </c>
      <c r="AA45" s="3">
        <f t="shared" si="1"/>
        <v>0</v>
      </c>
      <c r="AB45" s="3">
        <f t="shared" si="1"/>
        <v>0</v>
      </c>
      <c r="AC45" s="3">
        <f t="shared" si="1"/>
        <v>0</v>
      </c>
      <c r="AD45" s="3">
        <f t="shared" si="1"/>
        <v>0</v>
      </c>
      <c r="AE45" s="3">
        <f t="shared" si="1"/>
        <v>0</v>
      </c>
      <c r="AF45" s="3">
        <f t="shared" si="1"/>
        <v>-18.600000000000001</v>
      </c>
      <c r="AG45" s="3">
        <f t="shared" si="1"/>
        <v>0</v>
      </c>
      <c r="AH45" s="3">
        <f t="shared" si="1"/>
        <v>0</v>
      </c>
      <c r="AI45" s="3">
        <f t="shared" si="1"/>
        <v>0</v>
      </c>
      <c r="AJ45" s="3">
        <f t="shared" si="1"/>
        <v>0</v>
      </c>
      <c r="AK45" s="3">
        <f t="shared" si="1"/>
        <v>0</v>
      </c>
      <c r="AL45" s="3">
        <f t="shared" si="1"/>
        <v>0</v>
      </c>
      <c r="AM45" s="3">
        <f t="shared" si="1"/>
        <v>0</v>
      </c>
      <c r="AN45" s="3">
        <f t="shared" si="1"/>
        <v>-65.099999999999994</v>
      </c>
      <c r="AO45" s="3">
        <f t="shared" si="1"/>
        <v>0</v>
      </c>
      <c r="AP45" s="3">
        <f t="shared" si="1"/>
        <v>0</v>
      </c>
      <c r="AQ45" s="3">
        <f t="shared" si="1"/>
        <v>0</v>
      </c>
      <c r="AR45" s="3">
        <f t="shared" si="1"/>
        <v>-660.44</v>
      </c>
      <c r="AT45" s="9"/>
    </row>
    <row r="46" spans="1:46" x14ac:dyDescent="0.25">
      <c r="A46"/>
      <c r="AR46" s="9"/>
      <c r="AS46"/>
    </row>
    <row r="47" spans="1:46" x14ac:dyDescent="0.25">
      <c r="A47"/>
      <c r="B47" s="2" t="s">
        <v>137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R47" s="9"/>
      <c r="AS47"/>
    </row>
    <row r="48" spans="1:46" x14ac:dyDescent="0.25">
      <c r="A48" s="2" t="s">
        <v>275</v>
      </c>
      <c r="C48" t="s">
        <v>410</v>
      </c>
      <c r="AR48" s="3">
        <f>SUM(D48:AQ48)</f>
        <v>0</v>
      </c>
      <c r="AS48"/>
    </row>
    <row r="49" spans="1:45" x14ac:dyDescent="0.25">
      <c r="A49" s="2" t="s">
        <v>275</v>
      </c>
      <c r="C49" t="s">
        <v>504</v>
      </c>
      <c r="W49" s="1">
        <v>-42.24</v>
      </c>
      <c r="Z49" s="1">
        <v>-292.16000000000003</v>
      </c>
      <c r="AR49" s="3">
        <f t="shared" ref="AR49:AR88" si="2">SUM(D49:AQ49)</f>
        <v>-334.40000000000003</v>
      </c>
      <c r="AS49"/>
    </row>
    <row r="50" spans="1:45" x14ac:dyDescent="0.25">
      <c r="A50" s="2" t="s">
        <v>275</v>
      </c>
      <c r="C50" t="s">
        <v>707</v>
      </c>
      <c r="AS50"/>
    </row>
    <row r="51" spans="1:45" x14ac:dyDescent="0.25">
      <c r="A51" s="2" t="s">
        <v>275</v>
      </c>
      <c r="C51" t="s">
        <v>722</v>
      </c>
      <c r="AR51" s="3">
        <f t="shared" si="2"/>
        <v>0</v>
      </c>
      <c r="AS51"/>
    </row>
    <row r="52" spans="1:45" x14ac:dyDescent="0.25">
      <c r="A52" s="2" t="s">
        <v>275</v>
      </c>
      <c r="C52" t="s">
        <v>409</v>
      </c>
      <c r="AR52" s="3">
        <f t="shared" si="2"/>
        <v>0</v>
      </c>
      <c r="AS52"/>
    </row>
    <row r="53" spans="1:45" x14ac:dyDescent="0.25">
      <c r="A53" s="2" t="s">
        <v>275</v>
      </c>
      <c r="C53" t="s">
        <v>723</v>
      </c>
      <c r="S53" s="1">
        <v>-178.2</v>
      </c>
      <c r="AR53" s="3">
        <f t="shared" si="2"/>
        <v>-178.2</v>
      </c>
      <c r="AS53"/>
    </row>
    <row r="54" spans="1:45" x14ac:dyDescent="0.25">
      <c r="A54" s="2" t="s">
        <v>275</v>
      </c>
      <c r="C54" t="s">
        <v>506</v>
      </c>
      <c r="AR54" s="3">
        <f t="shared" si="2"/>
        <v>0</v>
      </c>
      <c r="AS54"/>
    </row>
    <row r="55" spans="1:45" x14ac:dyDescent="0.25">
      <c r="A55" s="2" t="s">
        <v>275</v>
      </c>
      <c r="C55" t="s">
        <v>724</v>
      </c>
      <c r="AS55"/>
    </row>
    <row r="56" spans="1:45" x14ac:dyDescent="0.25">
      <c r="A56" s="2" t="s">
        <v>275</v>
      </c>
      <c r="C56" t="s">
        <v>411</v>
      </c>
      <c r="T56" s="1">
        <v>-24</v>
      </c>
      <c r="Z56" s="1">
        <v>-225.76</v>
      </c>
      <c r="AR56" s="3">
        <f t="shared" si="2"/>
        <v>-249.76</v>
      </c>
      <c r="AS56"/>
    </row>
    <row r="57" spans="1:45" x14ac:dyDescent="0.25">
      <c r="A57" s="2" t="s">
        <v>275</v>
      </c>
      <c r="C57" t="s">
        <v>412</v>
      </c>
      <c r="AR57" s="3">
        <f t="shared" si="2"/>
        <v>0</v>
      </c>
      <c r="AS57"/>
    </row>
    <row r="58" spans="1:45" x14ac:dyDescent="0.25">
      <c r="A58" s="2" t="s">
        <v>275</v>
      </c>
      <c r="C58" t="s">
        <v>708</v>
      </c>
      <c r="AS58"/>
    </row>
    <row r="59" spans="1:45" x14ac:dyDescent="0.25">
      <c r="A59" s="2" t="s">
        <v>275</v>
      </c>
      <c r="C59" t="s">
        <v>725</v>
      </c>
      <c r="AR59" s="3">
        <f t="shared" si="2"/>
        <v>0</v>
      </c>
      <c r="AS59"/>
    </row>
    <row r="60" spans="1:45" x14ac:dyDescent="0.25">
      <c r="A60" s="2" t="s">
        <v>275</v>
      </c>
      <c r="C60" t="s">
        <v>705</v>
      </c>
      <c r="AS60"/>
    </row>
    <row r="61" spans="1:45" x14ac:dyDescent="0.25">
      <c r="A61" s="2" t="s">
        <v>275</v>
      </c>
      <c r="C61" t="s">
        <v>726</v>
      </c>
      <c r="P61" s="1">
        <v>-84.24</v>
      </c>
      <c r="AR61" s="3">
        <f t="shared" si="2"/>
        <v>-84.24</v>
      </c>
    </row>
    <row r="62" spans="1:45" x14ac:dyDescent="0.25">
      <c r="A62" s="2" t="s">
        <v>275</v>
      </c>
      <c r="C62" t="s">
        <v>444</v>
      </c>
      <c r="AR62" s="3">
        <f t="shared" si="2"/>
        <v>0</v>
      </c>
    </row>
    <row r="63" spans="1:45" x14ac:dyDescent="0.25">
      <c r="A63" s="2" t="s">
        <v>275</v>
      </c>
      <c r="C63" t="s">
        <v>413</v>
      </c>
      <c r="Y63" s="1">
        <v>-398.4</v>
      </c>
      <c r="AR63" s="3">
        <f t="shared" si="2"/>
        <v>-398.4</v>
      </c>
    </row>
    <row r="64" spans="1:45" x14ac:dyDescent="0.25">
      <c r="A64" s="2" t="s">
        <v>275</v>
      </c>
      <c r="C64" t="s">
        <v>414</v>
      </c>
      <c r="AN64" s="1">
        <v>-246.24</v>
      </c>
      <c r="AR64" s="3">
        <f t="shared" si="2"/>
        <v>-246.24</v>
      </c>
    </row>
    <row r="65" spans="1:45" x14ac:dyDescent="0.25">
      <c r="A65" s="2" t="s">
        <v>275</v>
      </c>
      <c r="C65" t="s">
        <v>415</v>
      </c>
      <c r="AR65" s="3">
        <f t="shared" si="2"/>
        <v>0</v>
      </c>
    </row>
    <row r="66" spans="1:45" x14ac:dyDescent="0.25">
      <c r="A66" s="2" t="s">
        <v>275</v>
      </c>
      <c r="C66" t="s">
        <v>727</v>
      </c>
      <c r="AR66" s="3">
        <f t="shared" si="2"/>
        <v>0</v>
      </c>
      <c r="AS66"/>
    </row>
    <row r="67" spans="1:45" x14ac:dyDescent="0.25">
      <c r="A67" s="2" t="s">
        <v>275</v>
      </c>
      <c r="C67" t="s">
        <v>416</v>
      </c>
      <c r="AR67" s="3">
        <f t="shared" si="2"/>
        <v>0</v>
      </c>
      <c r="AS67"/>
    </row>
    <row r="68" spans="1:45" x14ac:dyDescent="0.25">
      <c r="A68" s="2" t="s">
        <v>275</v>
      </c>
      <c r="C68" t="s">
        <v>706</v>
      </c>
      <c r="AS68"/>
    </row>
    <row r="69" spans="1:45" x14ac:dyDescent="0.25">
      <c r="A69" s="2" t="s">
        <v>275</v>
      </c>
      <c r="C69" t="s">
        <v>417</v>
      </c>
      <c r="O69" s="1">
        <f>-4.68-2.52</f>
        <v>-7.1999999999999993</v>
      </c>
      <c r="Y69" s="1">
        <v>-79.680000000000007</v>
      </c>
      <c r="Z69" s="1">
        <v>-38.18</v>
      </c>
      <c r="AA69" s="1">
        <v>-14.04</v>
      </c>
      <c r="AR69" s="3">
        <f t="shared" si="2"/>
        <v>-139.1</v>
      </c>
      <c r="AS69"/>
    </row>
    <row r="70" spans="1:45" x14ac:dyDescent="0.25">
      <c r="A70" s="2" t="s">
        <v>275</v>
      </c>
      <c r="C70" t="s">
        <v>418</v>
      </c>
      <c r="AR70" s="3">
        <f t="shared" si="2"/>
        <v>0</v>
      </c>
      <c r="AS70"/>
    </row>
    <row r="71" spans="1:45" x14ac:dyDescent="0.25">
      <c r="A71" s="2" t="s">
        <v>275</v>
      </c>
      <c r="C71" t="s">
        <v>457</v>
      </c>
      <c r="AR71" s="3">
        <f t="shared" si="2"/>
        <v>0</v>
      </c>
      <c r="AS71"/>
    </row>
    <row r="72" spans="1:45" x14ac:dyDescent="0.25">
      <c r="A72" s="2" t="s">
        <v>275</v>
      </c>
      <c r="C72" t="s">
        <v>419</v>
      </c>
      <c r="AR72" s="3">
        <f t="shared" si="2"/>
        <v>0</v>
      </c>
      <c r="AS72"/>
    </row>
    <row r="73" spans="1:45" x14ac:dyDescent="0.25">
      <c r="A73" s="2" t="s">
        <v>275</v>
      </c>
      <c r="C73" t="s">
        <v>728</v>
      </c>
      <c r="AR73" s="3">
        <f t="shared" si="2"/>
        <v>0</v>
      </c>
      <c r="AS73"/>
    </row>
    <row r="74" spans="1:45" x14ac:dyDescent="0.25">
      <c r="A74" s="2" t="s">
        <v>275</v>
      </c>
      <c r="C74" t="s">
        <v>505</v>
      </c>
      <c r="AR74" s="3">
        <f t="shared" si="2"/>
        <v>0</v>
      </c>
      <c r="AS74"/>
    </row>
    <row r="75" spans="1:45" x14ac:dyDescent="0.25">
      <c r="A75" s="2" t="s">
        <v>275</v>
      </c>
      <c r="C75" t="s">
        <v>729</v>
      </c>
      <c r="AR75" s="3">
        <f t="shared" si="2"/>
        <v>0</v>
      </c>
      <c r="AS75"/>
    </row>
    <row r="76" spans="1:45" x14ac:dyDescent="0.25">
      <c r="A76" s="2" t="s">
        <v>275</v>
      </c>
      <c r="C76" t="s">
        <v>420</v>
      </c>
      <c r="Q76" s="1">
        <v>-4.68</v>
      </c>
      <c r="S76" s="1">
        <v>-9.24</v>
      </c>
      <c r="AR76" s="3">
        <f t="shared" si="2"/>
        <v>-13.92</v>
      </c>
      <c r="AS76"/>
    </row>
    <row r="77" spans="1:45" x14ac:dyDescent="0.25">
      <c r="A77" s="2" t="s">
        <v>275</v>
      </c>
      <c r="C77" t="s">
        <v>730</v>
      </c>
      <c r="AR77" s="3">
        <f t="shared" si="2"/>
        <v>0</v>
      </c>
      <c r="AS77"/>
    </row>
    <row r="78" spans="1:45" x14ac:dyDescent="0.25">
      <c r="A78" s="2" t="s">
        <v>275</v>
      </c>
      <c r="C78" t="s">
        <v>731</v>
      </c>
      <c r="AR78" s="3">
        <f t="shared" si="2"/>
        <v>0</v>
      </c>
      <c r="AS78"/>
    </row>
    <row r="79" spans="1:45" x14ac:dyDescent="0.25">
      <c r="A79" s="2" t="s">
        <v>275</v>
      </c>
      <c r="C79" t="s">
        <v>732</v>
      </c>
      <c r="AR79" s="3">
        <f t="shared" si="2"/>
        <v>0</v>
      </c>
      <c r="AS79"/>
    </row>
    <row r="80" spans="1:45" x14ac:dyDescent="0.25">
      <c r="A80" s="2" t="s">
        <v>275</v>
      </c>
      <c r="C80" t="s">
        <v>421</v>
      </c>
      <c r="AR80" s="3">
        <f t="shared" si="2"/>
        <v>0</v>
      </c>
      <c r="AS80"/>
    </row>
    <row r="81" spans="1:46" x14ac:dyDescent="0.25">
      <c r="A81" s="2" t="s">
        <v>275</v>
      </c>
      <c r="C81" t="s">
        <v>422</v>
      </c>
      <c r="Q81" s="1">
        <f>-14.04-15.12</f>
        <v>-29.159999999999997</v>
      </c>
      <c r="T81" s="1">
        <v>-30.24</v>
      </c>
      <c r="AR81" s="3">
        <f t="shared" si="2"/>
        <v>-59.399999999999991</v>
      </c>
      <c r="AS81"/>
    </row>
    <row r="82" spans="1:46" x14ac:dyDescent="0.25">
      <c r="A82" s="2" t="s">
        <v>275</v>
      </c>
      <c r="C82" t="s">
        <v>733</v>
      </c>
      <c r="AR82" s="3">
        <f t="shared" si="2"/>
        <v>0</v>
      </c>
      <c r="AS82"/>
    </row>
    <row r="83" spans="1:46" x14ac:dyDescent="0.25">
      <c r="A83" s="2" t="s">
        <v>275</v>
      </c>
      <c r="C83" t="s">
        <v>458</v>
      </c>
      <c r="AR83" s="3">
        <f t="shared" si="2"/>
        <v>0</v>
      </c>
      <c r="AS83"/>
    </row>
    <row r="84" spans="1:46" x14ac:dyDescent="0.25">
      <c r="A84" s="2" t="s">
        <v>275</v>
      </c>
      <c r="C84" t="s">
        <v>423</v>
      </c>
      <c r="AR84" s="3">
        <f t="shared" si="2"/>
        <v>0</v>
      </c>
      <c r="AS84"/>
    </row>
    <row r="85" spans="1:46" x14ac:dyDescent="0.25">
      <c r="A85" s="2" t="s">
        <v>275</v>
      </c>
      <c r="C85" t="s">
        <v>734</v>
      </c>
      <c r="AR85" s="3">
        <f t="shared" si="2"/>
        <v>0</v>
      </c>
      <c r="AS85"/>
    </row>
    <row r="86" spans="1:46" x14ac:dyDescent="0.25">
      <c r="A86" s="2" t="s">
        <v>275</v>
      </c>
      <c r="C86" s="144" t="s">
        <v>753</v>
      </c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AR86" s="3">
        <f t="shared" si="2"/>
        <v>0</v>
      </c>
      <c r="AS86"/>
    </row>
    <row r="87" spans="1:46" x14ac:dyDescent="0.25">
      <c r="A87" s="2" t="s">
        <v>275</v>
      </c>
      <c r="C87" t="s">
        <v>194</v>
      </c>
      <c r="AR87" s="3">
        <f t="shared" si="2"/>
        <v>0</v>
      </c>
      <c r="AS87"/>
    </row>
    <row r="88" spans="1:46" x14ac:dyDescent="0.25">
      <c r="A88" s="2" t="s">
        <v>275</v>
      </c>
      <c r="C88" t="s">
        <v>194</v>
      </c>
      <c r="AR88" s="3">
        <f t="shared" si="2"/>
        <v>0</v>
      </c>
      <c r="AS88"/>
    </row>
    <row r="89" spans="1:46" s="2" customFormat="1" x14ac:dyDescent="0.25">
      <c r="B89" s="2" t="s">
        <v>138</v>
      </c>
      <c r="D89" s="3">
        <f t="shared" ref="D89:AR89" si="3">SUM(D48:D88)</f>
        <v>0</v>
      </c>
      <c r="E89" s="3">
        <f t="shared" si="3"/>
        <v>0</v>
      </c>
      <c r="F89" s="3">
        <f t="shared" si="3"/>
        <v>0</v>
      </c>
      <c r="G89" s="3">
        <f t="shared" si="3"/>
        <v>0</v>
      </c>
      <c r="H89" s="3">
        <f t="shared" si="3"/>
        <v>0</v>
      </c>
      <c r="I89" s="3">
        <f t="shared" si="3"/>
        <v>0</v>
      </c>
      <c r="J89" s="3">
        <f t="shared" si="3"/>
        <v>0</v>
      </c>
      <c r="K89" s="3">
        <f t="shared" si="3"/>
        <v>0</v>
      </c>
      <c r="L89" s="3">
        <f t="shared" si="3"/>
        <v>0</v>
      </c>
      <c r="M89" s="3">
        <f t="shared" si="3"/>
        <v>0</v>
      </c>
      <c r="N89" s="3">
        <f t="shared" si="3"/>
        <v>0</v>
      </c>
      <c r="O89" s="3">
        <f t="shared" si="3"/>
        <v>-7.1999999999999993</v>
      </c>
      <c r="P89" s="3">
        <f t="shared" si="3"/>
        <v>-84.24</v>
      </c>
      <c r="Q89" s="3">
        <f t="shared" si="3"/>
        <v>-33.839999999999996</v>
      </c>
      <c r="R89" s="3">
        <f t="shared" si="3"/>
        <v>0</v>
      </c>
      <c r="S89" s="3">
        <f t="shared" si="3"/>
        <v>-187.44</v>
      </c>
      <c r="T89" s="3">
        <f t="shared" si="3"/>
        <v>-54.239999999999995</v>
      </c>
      <c r="U89" s="3">
        <f t="shared" si="3"/>
        <v>0</v>
      </c>
      <c r="V89" s="3">
        <f t="shared" si="3"/>
        <v>0</v>
      </c>
      <c r="W89" s="3">
        <f t="shared" si="3"/>
        <v>-42.24</v>
      </c>
      <c r="X89" s="3">
        <f t="shared" si="3"/>
        <v>0</v>
      </c>
      <c r="Y89" s="3">
        <f t="shared" si="3"/>
        <v>-478.08</v>
      </c>
      <c r="Z89" s="3">
        <f t="shared" si="3"/>
        <v>-556.1</v>
      </c>
      <c r="AA89" s="3">
        <f t="shared" si="3"/>
        <v>-14.04</v>
      </c>
      <c r="AB89" s="3">
        <f t="shared" si="3"/>
        <v>0</v>
      </c>
      <c r="AC89" s="3">
        <f t="shared" si="3"/>
        <v>0</v>
      </c>
      <c r="AD89" s="3">
        <f t="shared" si="3"/>
        <v>0</v>
      </c>
      <c r="AE89" s="3">
        <f t="shared" si="3"/>
        <v>0</v>
      </c>
      <c r="AF89" s="3">
        <f t="shared" si="3"/>
        <v>0</v>
      </c>
      <c r="AG89" s="3">
        <f t="shared" si="3"/>
        <v>0</v>
      </c>
      <c r="AH89" s="3">
        <f t="shared" si="3"/>
        <v>0</v>
      </c>
      <c r="AI89" s="3">
        <f t="shared" si="3"/>
        <v>0</v>
      </c>
      <c r="AJ89" s="3">
        <f t="shared" si="3"/>
        <v>0</v>
      </c>
      <c r="AK89" s="3">
        <f t="shared" si="3"/>
        <v>0</v>
      </c>
      <c r="AL89" s="3">
        <f t="shared" si="3"/>
        <v>0</v>
      </c>
      <c r="AM89" s="3">
        <f t="shared" si="3"/>
        <v>0</v>
      </c>
      <c r="AN89" s="3">
        <f t="shared" si="3"/>
        <v>-246.24</v>
      </c>
      <c r="AO89" s="3">
        <f t="shared" si="3"/>
        <v>0</v>
      </c>
      <c r="AP89" s="3">
        <f t="shared" si="3"/>
        <v>0</v>
      </c>
      <c r="AQ89" s="3">
        <f t="shared" si="3"/>
        <v>0</v>
      </c>
      <c r="AR89" s="3">
        <f t="shared" si="3"/>
        <v>-1703.66</v>
      </c>
      <c r="AS89"/>
      <c r="AT89" s="8"/>
    </row>
    <row r="90" spans="1:46" x14ac:dyDescent="0.25">
      <c r="A90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9"/>
      <c r="AS90"/>
    </row>
    <row r="91" spans="1:46" x14ac:dyDescent="0.25">
      <c r="A91"/>
      <c r="B91" s="2" t="s">
        <v>533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R91" s="9"/>
      <c r="AS91"/>
    </row>
    <row r="92" spans="1:46" x14ac:dyDescent="0.25">
      <c r="A92" s="2" t="s">
        <v>275</v>
      </c>
      <c r="C92" t="s">
        <v>410</v>
      </c>
      <c r="AR92" s="3">
        <f>SUM(D92:AQ92)</f>
        <v>0</v>
      </c>
      <c r="AS92"/>
    </row>
    <row r="93" spans="1:46" x14ac:dyDescent="0.25">
      <c r="A93" s="2" t="s">
        <v>275</v>
      </c>
      <c r="C93" t="s">
        <v>504</v>
      </c>
      <c r="U93" s="1">
        <v>-15.44</v>
      </c>
      <c r="W93" s="1">
        <v>-30.88</v>
      </c>
      <c r="AR93" s="3">
        <f t="shared" ref="AR93:AR132" si="4">SUM(D93:AQ93)</f>
        <v>-46.32</v>
      </c>
      <c r="AS93"/>
    </row>
    <row r="94" spans="1:46" x14ac:dyDescent="0.25">
      <c r="A94" s="2" t="s">
        <v>275</v>
      </c>
      <c r="C94" t="s">
        <v>707</v>
      </c>
      <c r="AS94"/>
    </row>
    <row r="95" spans="1:46" x14ac:dyDescent="0.25">
      <c r="A95" s="2" t="s">
        <v>275</v>
      </c>
      <c r="C95" t="s">
        <v>722</v>
      </c>
      <c r="AR95" s="3">
        <f t="shared" si="4"/>
        <v>0</v>
      </c>
      <c r="AS95"/>
    </row>
    <row r="96" spans="1:46" x14ac:dyDescent="0.25">
      <c r="A96" s="2" t="s">
        <v>275</v>
      </c>
      <c r="C96" t="s">
        <v>409</v>
      </c>
      <c r="AR96" s="3">
        <f t="shared" si="4"/>
        <v>0</v>
      </c>
      <c r="AS96"/>
    </row>
    <row r="97" spans="1:45" x14ac:dyDescent="0.25">
      <c r="A97" s="2" t="s">
        <v>275</v>
      </c>
      <c r="C97" t="s">
        <v>723</v>
      </c>
      <c r="AR97" s="3">
        <f t="shared" si="4"/>
        <v>0</v>
      </c>
      <c r="AS97"/>
    </row>
    <row r="98" spans="1:45" x14ac:dyDescent="0.25">
      <c r="A98" s="2" t="s">
        <v>275</v>
      </c>
      <c r="C98" t="s">
        <v>506</v>
      </c>
      <c r="AR98" s="3">
        <f t="shared" si="4"/>
        <v>0</v>
      </c>
      <c r="AS98"/>
    </row>
    <row r="99" spans="1:45" x14ac:dyDescent="0.25">
      <c r="A99" s="2" t="s">
        <v>275</v>
      </c>
      <c r="C99" t="s">
        <v>724</v>
      </c>
      <c r="AS99"/>
    </row>
    <row r="100" spans="1:45" x14ac:dyDescent="0.25">
      <c r="A100" s="2" t="s">
        <v>275</v>
      </c>
      <c r="C100" t="s">
        <v>411</v>
      </c>
      <c r="AR100" s="3">
        <f t="shared" si="4"/>
        <v>0</v>
      </c>
      <c r="AS100"/>
    </row>
    <row r="101" spans="1:45" x14ac:dyDescent="0.25">
      <c r="A101" s="2" t="s">
        <v>275</v>
      </c>
      <c r="C101" t="s">
        <v>412</v>
      </c>
      <c r="AR101" s="3">
        <f t="shared" si="4"/>
        <v>0</v>
      </c>
      <c r="AS101"/>
    </row>
    <row r="102" spans="1:45" x14ac:dyDescent="0.25">
      <c r="A102" s="2" t="s">
        <v>275</v>
      </c>
      <c r="C102" t="s">
        <v>708</v>
      </c>
      <c r="AS102"/>
    </row>
    <row r="103" spans="1:45" x14ac:dyDescent="0.25">
      <c r="A103" s="2" t="s">
        <v>275</v>
      </c>
      <c r="C103" t="s">
        <v>725</v>
      </c>
      <c r="AR103" s="3">
        <f t="shared" si="4"/>
        <v>0</v>
      </c>
      <c r="AS103"/>
    </row>
    <row r="104" spans="1:45" x14ac:dyDescent="0.25">
      <c r="A104" s="2" t="s">
        <v>275</v>
      </c>
      <c r="C104" t="s">
        <v>705</v>
      </c>
      <c r="AS104"/>
    </row>
    <row r="105" spans="1:45" x14ac:dyDescent="0.25">
      <c r="A105" s="2" t="s">
        <v>275</v>
      </c>
      <c r="C105" t="s">
        <v>726</v>
      </c>
      <c r="P105" s="1">
        <v>-15.6</v>
      </c>
      <c r="T105" s="1">
        <v>-18.72</v>
      </c>
      <c r="AR105" s="3">
        <f t="shared" si="4"/>
        <v>-34.32</v>
      </c>
    </row>
    <row r="106" spans="1:45" x14ac:dyDescent="0.25">
      <c r="A106" s="2" t="s">
        <v>275</v>
      </c>
      <c r="C106" t="s">
        <v>444</v>
      </c>
      <c r="AR106" s="3">
        <f t="shared" si="4"/>
        <v>0</v>
      </c>
    </row>
    <row r="107" spans="1:45" x14ac:dyDescent="0.25">
      <c r="A107" s="2" t="s">
        <v>275</v>
      </c>
      <c r="C107" t="s">
        <v>413</v>
      </c>
      <c r="Q107" s="1">
        <f>-69.48-4.16</f>
        <v>-73.64</v>
      </c>
      <c r="AR107" s="3">
        <f t="shared" si="4"/>
        <v>-73.64</v>
      </c>
    </row>
    <row r="108" spans="1:45" x14ac:dyDescent="0.25">
      <c r="A108" s="2" t="s">
        <v>275</v>
      </c>
      <c r="C108" t="s">
        <v>414</v>
      </c>
      <c r="AR108" s="3">
        <f t="shared" si="4"/>
        <v>0</v>
      </c>
    </row>
    <row r="109" spans="1:45" x14ac:dyDescent="0.25">
      <c r="A109" s="2" t="s">
        <v>275</v>
      </c>
      <c r="C109" t="s">
        <v>415</v>
      </c>
      <c r="AR109" s="3">
        <f t="shared" si="4"/>
        <v>0</v>
      </c>
    </row>
    <row r="110" spans="1:45" x14ac:dyDescent="0.25">
      <c r="A110" s="2" t="s">
        <v>275</v>
      </c>
      <c r="C110" t="s">
        <v>727</v>
      </c>
      <c r="AR110" s="3">
        <f t="shared" si="4"/>
        <v>0</v>
      </c>
      <c r="AS110"/>
    </row>
    <row r="111" spans="1:45" x14ac:dyDescent="0.25">
      <c r="A111" s="2" t="s">
        <v>275</v>
      </c>
      <c r="C111" t="s">
        <v>416</v>
      </c>
      <c r="AR111" s="3">
        <f t="shared" si="4"/>
        <v>0</v>
      </c>
      <c r="AS111"/>
    </row>
    <row r="112" spans="1:45" x14ac:dyDescent="0.25">
      <c r="A112" s="2" t="s">
        <v>275</v>
      </c>
      <c r="C112" t="s">
        <v>706</v>
      </c>
      <c r="U112" s="1">
        <v>-18.72</v>
      </c>
      <c r="V112" s="1">
        <v>-18.72</v>
      </c>
      <c r="AS112"/>
    </row>
    <row r="113" spans="1:45" x14ac:dyDescent="0.25">
      <c r="A113" s="2" t="s">
        <v>275</v>
      </c>
      <c r="C113" t="s">
        <v>417</v>
      </c>
      <c r="AR113" s="3">
        <f t="shared" si="4"/>
        <v>0</v>
      </c>
      <c r="AS113"/>
    </row>
    <row r="114" spans="1:45" x14ac:dyDescent="0.25">
      <c r="A114" s="2" t="s">
        <v>275</v>
      </c>
      <c r="C114" t="s">
        <v>418</v>
      </c>
      <c r="AR114" s="3">
        <f t="shared" si="4"/>
        <v>0</v>
      </c>
      <c r="AS114"/>
    </row>
    <row r="115" spans="1:45" x14ac:dyDescent="0.25">
      <c r="A115" s="2" t="s">
        <v>275</v>
      </c>
      <c r="C115" t="s">
        <v>457</v>
      </c>
      <c r="AR115" s="3">
        <f t="shared" si="4"/>
        <v>0</v>
      </c>
      <c r="AS115"/>
    </row>
    <row r="116" spans="1:45" x14ac:dyDescent="0.25">
      <c r="A116" s="2" t="s">
        <v>275</v>
      </c>
      <c r="C116" t="s">
        <v>419</v>
      </c>
      <c r="AR116" s="3">
        <f t="shared" si="4"/>
        <v>0</v>
      </c>
      <c r="AS116"/>
    </row>
    <row r="117" spans="1:45" x14ac:dyDescent="0.25">
      <c r="A117" s="2" t="s">
        <v>275</v>
      </c>
      <c r="C117" t="s">
        <v>728</v>
      </c>
      <c r="AR117" s="3">
        <f t="shared" si="4"/>
        <v>0</v>
      </c>
      <c r="AS117"/>
    </row>
    <row r="118" spans="1:45" x14ac:dyDescent="0.25">
      <c r="A118" s="2" t="s">
        <v>275</v>
      </c>
      <c r="C118" t="s">
        <v>505</v>
      </c>
      <c r="AR118" s="3">
        <f t="shared" si="4"/>
        <v>0</v>
      </c>
      <c r="AS118"/>
    </row>
    <row r="119" spans="1:45" x14ac:dyDescent="0.25">
      <c r="A119" s="2" t="s">
        <v>275</v>
      </c>
      <c r="C119" t="s">
        <v>729</v>
      </c>
      <c r="AR119" s="3">
        <f t="shared" si="4"/>
        <v>0</v>
      </c>
      <c r="AS119"/>
    </row>
    <row r="120" spans="1:45" x14ac:dyDescent="0.25">
      <c r="A120" s="2" t="s">
        <v>275</v>
      </c>
      <c r="C120" t="s">
        <v>420</v>
      </c>
      <c r="X120" s="1">
        <f>-46.32-39.52</f>
        <v>-85.84</v>
      </c>
      <c r="Y120" s="1">
        <f>-34.74-17.68</f>
        <v>-52.42</v>
      </c>
      <c r="AR120" s="3">
        <f t="shared" si="4"/>
        <v>-138.26</v>
      </c>
      <c r="AS120"/>
    </row>
    <row r="121" spans="1:45" x14ac:dyDescent="0.25">
      <c r="A121" s="2" t="s">
        <v>275</v>
      </c>
      <c r="C121" t="s">
        <v>730</v>
      </c>
      <c r="AR121" s="3">
        <f t="shared" si="4"/>
        <v>0</v>
      </c>
      <c r="AS121"/>
    </row>
    <row r="122" spans="1:45" x14ac:dyDescent="0.25">
      <c r="A122" s="2" t="s">
        <v>275</v>
      </c>
      <c r="C122" t="s">
        <v>731</v>
      </c>
      <c r="AR122" s="3">
        <f t="shared" si="4"/>
        <v>0</v>
      </c>
      <c r="AS122"/>
    </row>
    <row r="123" spans="1:45" x14ac:dyDescent="0.25">
      <c r="A123" s="2" t="s">
        <v>275</v>
      </c>
      <c r="C123" t="s">
        <v>732</v>
      </c>
      <c r="AR123" s="3">
        <f t="shared" si="4"/>
        <v>0</v>
      </c>
      <c r="AS123"/>
    </row>
    <row r="124" spans="1:45" x14ac:dyDescent="0.25">
      <c r="A124" s="2" t="s">
        <v>275</v>
      </c>
      <c r="C124" t="s">
        <v>421</v>
      </c>
      <c r="AR124" s="3">
        <f t="shared" si="4"/>
        <v>0</v>
      </c>
      <c r="AS124"/>
    </row>
    <row r="125" spans="1:45" x14ac:dyDescent="0.25">
      <c r="A125" s="2" t="s">
        <v>275</v>
      </c>
      <c r="C125" t="s">
        <v>422</v>
      </c>
      <c r="Q125" s="1">
        <v>-15.44</v>
      </c>
      <c r="T125" s="1">
        <v>-30.88</v>
      </c>
      <c r="U125" s="1">
        <v>-56.16</v>
      </c>
      <c r="AR125" s="3">
        <f t="shared" si="4"/>
        <v>-102.47999999999999</v>
      </c>
      <c r="AS125"/>
    </row>
    <row r="126" spans="1:45" x14ac:dyDescent="0.25">
      <c r="A126" s="2" t="s">
        <v>275</v>
      </c>
      <c r="C126" t="s">
        <v>733</v>
      </c>
      <c r="AR126" s="3">
        <f t="shared" si="4"/>
        <v>0</v>
      </c>
      <c r="AS126"/>
    </row>
    <row r="127" spans="1:45" x14ac:dyDescent="0.25">
      <c r="A127" s="2" t="s">
        <v>275</v>
      </c>
      <c r="C127" t="s">
        <v>458</v>
      </c>
      <c r="AR127" s="3">
        <f t="shared" si="4"/>
        <v>0</v>
      </c>
      <c r="AS127"/>
    </row>
    <row r="128" spans="1:45" x14ac:dyDescent="0.25">
      <c r="A128" s="2" t="s">
        <v>275</v>
      </c>
      <c r="C128" t="s">
        <v>423</v>
      </c>
      <c r="AR128" s="3">
        <f t="shared" si="4"/>
        <v>0</v>
      </c>
      <c r="AS128"/>
    </row>
    <row r="129" spans="1:46" x14ac:dyDescent="0.25">
      <c r="A129" s="2" t="s">
        <v>275</v>
      </c>
      <c r="C129" t="s">
        <v>734</v>
      </c>
      <c r="AR129" s="3">
        <f t="shared" si="4"/>
        <v>0</v>
      </c>
      <c r="AS129"/>
    </row>
    <row r="130" spans="1:46" x14ac:dyDescent="0.25">
      <c r="A130" s="2" t="s">
        <v>275</v>
      </c>
      <c r="C130" s="144" t="s">
        <v>753</v>
      </c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AR130" s="3">
        <f t="shared" si="4"/>
        <v>0</v>
      </c>
      <c r="AS130"/>
    </row>
    <row r="131" spans="1:46" x14ac:dyDescent="0.25">
      <c r="A131" s="2" t="s">
        <v>275</v>
      </c>
      <c r="C131" t="s">
        <v>194</v>
      </c>
      <c r="AR131" s="3">
        <f t="shared" si="4"/>
        <v>0</v>
      </c>
      <c r="AS131"/>
    </row>
    <row r="132" spans="1:46" x14ac:dyDescent="0.25">
      <c r="A132" s="2" t="s">
        <v>275</v>
      </c>
      <c r="C132" t="s">
        <v>194</v>
      </c>
      <c r="AR132" s="3">
        <f t="shared" si="4"/>
        <v>0</v>
      </c>
      <c r="AS132"/>
    </row>
    <row r="133" spans="1:46" s="2" customFormat="1" x14ac:dyDescent="0.25">
      <c r="B133" s="2" t="s">
        <v>534</v>
      </c>
      <c r="D133" s="3">
        <f t="shared" ref="D133:AR133" si="5">SUM(D92:D132)</f>
        <v>0</v>
      </c>
      <c r="E133" s="3">
        <f t="shared" si="5"/>
        <v>0</v>
      </c>
      <c r="F133" s="3">
        <f t="shared" si="5"/>
        <v>0</v>
      </c>
      <c r="G133" s="3">
        <f t="shared" si="5"/>
        <v>0</v>
      </c>
      <c r="H133" s="3">
        <f t="shared" si="5"/>
        <v>0</v>
      </c>
      <c r="I133" s="3">
        <f t="shared" si="5"/>
        <v>0</v>
      </c>
      <c r="J133" s="3">
        <f t="shared" si="5"/>
        <v>0</v>
      </c>
      <c r="K133" s="3">
        <f t="shared" si="5"/>
        <v>0</v>
      </c>
      <c r="L133" s="3">
        <f t="shared" si="5"/>
        <v>0</v>
      </c>
      <c r="M133" s="3">
        <f t="shared" si="5"/>
        <v>0</v>
      </c>
      <c r="N133" s="3">
        <f t="shared" si="5"/>
        <v>0</v>
      </c>
      <c r="O133" s="3">
        <f t="shared" si="5"/>
        <v>0</v>
      </c>
      <c r="P133" s="3">
        <f t="shared" si="5"/>
        <v>-15.6</v>
      </c>
      <c r="Q133" s="3">
        <f t="shared" si="5"/>
        <v>-89.08</v>
      </c>
      <c r="R133" s="3">
        <f t="shared" si="5"/>
        <v>0</v>
      </c>
      <c r="S133" s="3">
        <f t="shared" si="5"/>
        <v>0</v>
      </c>
      <c r="T133" s="3">
        <f t="shared" si="5"/>
        <v>-49.599999999999994</v>
      </c>
      <c r="U133" s="3">
        <f t="shared" si="5"/>
        <v>-90.32</v>
      </c>
      <c r="V133" s="3">
        <f t="shared" si="5"/>
        <v>-18.72</v>
      </c>
      <c r="W133" s="3">
        <f t="shared" si="5"/>
        <v>-30.88</v>
      </c>
      <c r="X133" s="3">
        <f t="shared" si="5"/>
        <v>-85.84</v>
      </c>
      <c r="Y133" s="3">
        <f t="shared" si="5"/>
        <v>-52.42</v>
      </c>
      <c r="Z133" s="3">
        <f t="shared" si="5"/>
        <v>0</v>
      </c>
      <c r="AA133" s="3">
        <f t="shared" si="5"/>
        <v>0</v>
      </c>
      <c r="AB133" s="3">
        <f t="shared" si="5"/>
        <v>0</v>
      </c>
      <c r="AC133" s="3">
        <f t="shared" si="5"/>
        <v>0</v>
      </c>
      <c r="AD133" s="3">
        <f t="shared" si="5"/>
        <v>0</v>
      </c>
      <c r="AE133" s="3">
        <f t="shared" si="5"/>
        <v>0</v>
      </c>
      <c r="AF133" s="3">
        <f t="shared" si="5"/>
        <v>0</v>
      </c>
      <c r="AG133" s="3">
        <f t="shared" si="5"/>
        <v>0</v>
      </c>
      <c r="AH133" s="3">
        <f t="shared" si="5"/>
        <v>0</v>
      </c>
      <c r="AI133" s="3">
        <f t="shared" si="5"/>
        <v>0</v>
      </c>
      <c r="AJ133" s="3">
        <f t="shared" si="5"/>
        <v>0</v>
      </c>
      <c r="AK133" s="3">
        <f t="shared" si="5"/>
        <v>0</v>
      </c>
      <c r="AL133" s="3">
        <f t="shared" si="5"/>
        <v>0</v>
      </c>
      <c r="AM133" s="3">
        <f t="shared" si="5"/>
        <v>0</v>
      </c>
      <c r="AN133" s="3">
        <f t="shared" si="5"/>
        <v>0</v>
      </c>
      <c r="AO133" s="3">
        <f t="shared" si="5"/>
        <v>0</v>
      </c>
      <c r="AP133" s="3">
        <f t="shared" si="5"/>
        <v>0</v>
      </c>
      <c r="AQ133" s="3">
        <f t="shared" si="5"/>
        <v>0</v>
      </c>
      <c r="AR133" s="3">
        <f t="shared" si="5"/>
        <v>-395.02</v>
      </c>
      <c r="AS133"/>
      <c r="AT133" s="8"/>
    </row>
    <row r="134" spans="1:46" x14ac:dyDescent="0.25">
      <c r="A134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9"/>
      <c r="AS134"/>
    </row>
  </sheetData>
  <pageMargins left="0.11811023622047245" right="0.11811023622047245" top="0.15748031496062992" bottom="0.35433070866141736" header="0.31496062992125984" footer="0.31496062992125984"/>
  <pageSetup paperSize="9" scale="7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Y193"/>
  <sheetViews>
    <sheetView workbookViewId="0">
      <pane xSplit="3" ySplit="2" topLeftCell="T121" activePane="bottomRight" state="frozen"/>
      <selection pane="topRight" activeCell="D1" sqref="D1"/>
      <selection pane="bottomLeft" activeCell="A3" sqref="A3"/>
      <selection pane="bottomRight" activeCell="AQ133" sqref="AQ133"/>
    </sheetView>
  </sheetViews>
  <sheetFormatPr defaultRowHeight="15" x14ac:dyDescent="0.25"/>
  <cols>
    <col min="1" max="2" width="3.42578125" style="2" customWidth="1"/>
    <col min="3" max="3" width="32" customWidth="1"/>
    <col min="4" max="11" width="9.140625" style="1" customWidth="1"/>
    <col min="12" max="14" width="9.140625" style="1"/>
    <col min="15" max="43" width="9.140625" style="1" customWidth="1"/>
    <col min="44" max="44" width="9.140625" style="3" customWidth="1"/>
    <col min="45" max="45" width="4.42578125" style="1" customWidth="1"/>
    <col min="46" max="46" width="9.140625" style="8"/>
  </cols>
  <sheetData>
    <row r="1" spans="1:51" x14ac:dyDescent="0.25">
      <c r="A1" s="2" t="s">
        <v>43</v>
      </c>
      <c r="D1" s="142">
        <v>45292</v>
      </c>
      <c r="E1" s="142">
        <v>45292</v>
      </c>
      <c r="F1" s="142">
        <v>45292</v>
      </c>
      <c r="G1" s="142">
        <v>45292</v>
      </c>
      <c r="H1" s="142">
        <v>45292</v>
      </c>
      <c r="I1" s="142">
        <v>45323</v>
      </c>
      <c r="J1" s="142">
        <v>45323</v>
      </c>
      <c r="K1" s="142">
        <v>45323</v>
      </c>
      <c r="L1" s="142">
        <v>45323</v>
      </c>
      <c r="M1" s="142">
        <v>45352</v>
      </c>
      <c r="N1" s="142">
        <v>45352</v>
      </c>
      <c r="O1" s="142">
        <v>45352</v>
      </c>
      <c r="P1" s="142">
        <v>45352</v>
      </c>
      <c r="Q1" s="142">
        <v>45383</v>
      </c>
      <c r="R1" s="142">
        <v>45383</v>
      </c>
      <c r="S1" s="142">
        <v>45383</v>
      </c>
      <c r="T1" s="142">
        <v>45383</v>
      </c>
      <c r="U1" s="142">
        <v>45413</v>
      </c>
      <c r="V1" s="142">
        <v>45413</v>
      </c>
      <c r="W1" s="142">
        <v>45413</v>
      </c>
      <c r="X1" s="142">
        <v>45413</v>
      </c>
      <c r="Y1" s="142">
        <v>45413</v>
      </c>
      <c r="Z1" s="142">
        <v>45444</v>
      </c>
      <c r="AA1" s="142">
        <v>45444</v>
      </c>
      <c r="AB1" s="142">
        <v>45444</v>
      </c>
      <c r="AC1" s="142">
        <v>45444</v>
      </c>
      <c r="AD1" s="142">
        <v>45474</v>
      </c>
      <c r="AE1" s="142">
        <v>45474</v>
      </c>
      <c r="AF1" s="142">
        <v>45474</v>
      </c>
      <c r="AG1" s="142">
        <v>45474</v>
      </c>
      <c r="AH1" s="142">
        <v>45474</v>
      </c>
      <c r="AI1" s="142">
        <v>45505</v>
      </c>
      <c r="AJ1" s="142">
        <v>45505</v>
      </c>
      <c r="AK1" s="142">
        <v>45505</v>
      </c>
      <c r="AL1" s="142">
        <v>45505</v>
      </c>
      <c r="AM1" s="142">
        <v>45536</v>
      </c>
      <c r="AN1" s="142">
        <v>45536</v>
      </c>
      <c r="AO1" s="142">
        <v>45536</v>
      </c>
      <c r="AP1" s="142">
        <v>45536</v>
      </c>
      <c r="AQ1" s="4" t="s">
        <v>282</v>
      </c>
    </row>
    <row r="2" spans="1:51" x14ac:dyDescent="0.25">
      <c r="A2" s="2" t="s">
        <v>193</v>
      </c>
      <c r="D2" s="4" t="s">
        <v>491</v>
      </c>
      <c r="E2" s="4" t="s">
        <v>492</v>
      </c>
      <c r="F2" s="4" t="s">
        <v>493</v>
      </c>
      <c r="G2" s="4" t="s">
        <v>494</v>
      </c>
      <c r="H2" s="4" t="s">
        <v>495</v>
      </c>
      <c r="I2" s="4" t="s">
        <v>496</v>
      </c>
      <c r="J2" s="4" t="s">
        <v>263</v>
      </c>
      <c r="K2" s="4" t="s">
        <v>264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54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4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4" t="s">
        <v>31</v>
      </c>
      <c r="AH2" s="4" t="s">
        <v>32</v>
      </c>
      <c r="AI2" s="4" t="s">
        <v>33</v>
      </c>
      <c r="AJ2" s="4" t="s">
        <v>34</v>
      </c>
      <c r="AK2" s="4" t="s">
        <v>55</v>
      </c>
      <c r="AL2" s="4" t="s">
        <v>56</v>
      </c>
      <c r="AM2" s="4" t="s">
        <v>57</v>
      </c>
      <c r="AN2" s="4" t="s">
        <v>58</v>
      </c>
      <c r="AO2" s="4" t="s">
        <v>59</v>
      </c>
      <c r="AP2" s="4" t="s">
        <v>60</v>
      </c>
      <c r="AQ2" s="4" t="s">
        <v>480</v>
      </c>
      <c r="AR2" s="52" t="s">
        <v>2</v>
      </c>
      <c r="AY2" s="32"/>
    </row>
    <row r="3" spans="1:51" x14ac:dyDescent="0.25">
      <c r="C3" s="2" t="s">
        <v>135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52"/>
      <c r="AY3" s="32"/>
    </row>
    <row r="4" spans="1:51" x14ac:dyDescent="0.25">
      <c r="B4" s="2">
        <v>1</v>
      </c>
      <c r="C4" s="58" t="s">
        <v>669</v>
      </c>
      <c r="N4" s="1">
        <v>-18.600000000000001</v>
      </c>
      <c r="S4" s="1">
        <v>-13.58</v>
      </c>
      <c r="W4" s="1">
        <v>-27.9</v>
      </c>
      <c r="AC4" s="1">
        <v>-9.3000000000000007</v>
      </c>
      <c r="AD4" s="1">
        <v>-27.9</v>
      </c>
      <c r="AE4" s="1">
        <v>-130.19999999999999</v>
      </c>
      <c r="AF4" s="1">
        <v>-9.3000000000000007</v>
      </c>
      <c r="AH4" s="1">
        <v>-9.3000000000000007</v>
      </c>
      <c r="AM4" s="1">
        <v>-83.7</v>
      </c>
      <c r="AN4" s="1">
        <v>-37.200000000000003</v>
      </c>
      <c r="AO4" s="1">
        <v>-83.7</v>
      </c>
      <c r="AR4" s="3">
        <f>SUM(D4:AQ4)</f>
        <v>-450.68</v>
      </c>
    </row>
    <row r="5" spans="1:51" x14ac:dyDescent="0.25">
      <c r="B5" s="2">
        <v>1</v>
      </c>
      <c r="C5" t="s">
        <v>619</v>
      </c>
      <c r="AR5" s="3">
        <f t="shared" ref="AR5:AR64" si="0">SUM(D5:AQ5)</f>
        <v>0</v>
      </c>
    </row>
    <row r="6" spans="1:51" x14ac:dyDescent="0.25">
      <c r="B6" s="2">
        <v>1</v>
      </c>
      <c r="C6" t="s">
        <v>620</v>
      </c>
      <c r="AR6" s="3">
        <f t="shared" si="0"/>
        <v>0</v>
      </c>
    </row>
    <row r="7" spans="1:51" x14ac:dyDescent="0.25">
      <c r="B7" s="2">
        <v>1</v>
      </c>
      <c r="C7" t="s">
        <v>621</v>
      </c>
      <c r="AR7" s="3">
        <f t="shared" si="0"/>
        <v>0</v>
      </c>
    </row>
    <row r="8" spans="1:51" x14ac:dyDescent="0.25">
      <c r="B8" s="2">
        <v>1</v>
      </c>
      <c r="C8" t="s">
        <v>622</v>
      </c>
      <c r="AR8" s="3">
        <f t="shared" si="0"/>
        <v>0</v>
      </c>
    </row>
    <row r="9" spans="1:51" x14ac:dyDescent="0.25">
      <c r="B9" s="2">
        <v>1</v>
      </c>
      <c r="C9" t="s">
        <v>625</v>
      </c>
      <c r="AR9" s="3">
        <f t="shared" si="0"/>
        <v>0</v>
      </c>
    </row>
    <row r="10" spans="1:51" x14ac:dyDescent="0.25">
      <c r="B10" s="2">
        <v>1</v>
      </c>
      <c r="C10" t="s">
        <v>626</v>
      </c>
      <c r="AR10" s="3">
        <f t="shared" si="0"/>
        <v>0</v>
      </c>
    </row>
    <row r="11" spans="1:51" x14ac:dyDescent="0.25">
      <c r="B11" s="2">
        <v>1</v>
      </c>
      <c r="C11" t="s">
        <v>627</v>
      </c>
      <c r="AR11" s="3">
        <f t="shared" si="0"/>
        <v>0</v>
      </c>
    </row>
    <row r="12" spans="1:51" x14ac:dyDescent="0.25">
      <c r="B12" s="2">
        <v>1</v>
      </c>
      <c r="C12" t="s">
        <v>628</v>
      </c>
      <c r="AR12" s="3">
        <f t="shared" si="0"/>
        <v>0</v>
      </c>
    </row>
    <row r="13" spans="1:51" x14ac:dyDescent="0.25">
      <c r="B13" s="2">
        <v>1</v>
      </c>
      <c r="C13" t="s">
        <v>630</v>
      </c>
      <c r="AR13" s="3">
        <f t="shared" si="0"/>
        <v>0</v>
      </c>
    </row>
    <row r="14" spans="1:51" x14ac:dyDescent="0.25">
      <c r="B14" s="2">
        <v>1</v>
      </c>
      <c r="C14" t="s">
        <v>632</v>
      </c>
      <c r="AR14" s="3">
        <f t="shared" si="0"/>
        <v>0</v>
      </c>
    </row>
    <row r="15" spans="1:51" x14ac:dyDescent="0.25">
      <c r="B15" s="2">
        <v>1</v>
      </c>
      <c r="C15" t="s">
        <v>634</v>
      </c>
      <c r="AR15" s="3">
        <f t="shared" si="0"/>
        <v>0</v>
      </c>
    </row>
    <row r="16" spans="1:51" x14ac:dyDescent="0.25">
      <c r="B16" s="2">
        <v>1</v>
      </c>
      <c r="C16" t="s">
        <v>635</v>
      </c>
      <c r="AR16" s="3">
        <f t="shared" si="0"/>
        <v>0</v>
      </c>
    </row>
    <row r="17" spans="2:44" x14ac:dyDescent="0.25">
      <c r="B17" s="2">
        <v>1</v>
      </c>
      <c r="C17" t="s">
        <v>636</v>
      </c>
      <c r="AR17" s="3">
        <f t="shared" si="0"/>
        <v>0</v>
      </c>
    </row>
    <row r="18" spans="2:44" x14ac:dyDescent="0.25">
      <c r="B18" s="2">
        <v>1</v>
      </c>
      <c r="C18" t="s">
        <v>638</v>
      </c>
      <c r="AR18" s="3">
        <f t="shared" si="0"/>
        <v>0</v>
      </c>
    </row>
    <row r="19" spans="2:44" x14ac:dyDescent="0.25">
      <c r="B19" s="2">
        <v>1</v>
      </c>
      <c r="C19" t="s">
        <v>642</v>
      </c>
      <c r="AR19" s="3">
        <f t="shared" si="0"/>
        <v>0</v>
      </c>
    </row>
    <row r="20" spans="2:44" x14ac:dyDescent="0.25">
      <c r="B20" s="2">
        <v>1</v>
      </c>
      <c r="C20" t="s">
        <v>645</v>
      </c>
      <c r="AR20" s="3">
        <f t="shared" si="0"/>
        <v>0</v>
      </c>
    </row>
    <row r="21" spans="2:44" x14ac:dyDescent="0.25">
      <c r="B21" s="2">
        <v>1</v>
      </c>
      <c r="C21" t="s">
        <v>646</v>
      </c>
      <c r="AR21" s="3">
        <f t="shared" si="0"/>
        <v>0</v>
      </c>
    </row>
    <row r="22" spans="2:44" x14ac:dyDescent="0.25">
      <c r="B22" s="2">
        <v>1</v>
      </c>
      <c r="C22" t="s">
        <v>647</v>
      </c>
      <c r="AR22" s="3">
        <f t="shared" si="0"/>
        <v>0</v>
      </c>
    </row>
    <row r="23" spans="2:44" x14ac:dyDescent="0.25">
      <c r="B23" s="2">
        <v>1</v>
      </c>
      <c r="C23" t="s">
        <v>648</v>
      </c>
      <c r="AR23" s="3">
        <f t="shared" si="0"/>
        <v>0</v>
      </c>
    </row>
    <row r="24" spans="2:44" x14ac:dyDescent="0.25">
      <c r="B24" s="2">
        <v>1</v>
      </c>
      <c r="C24" t="s">
        <v>649</v>
      </c>
      <c r="AR24" s="3">
        <f t="shared" si="0"/>
        <v>0</v>
      </c>
    </row>
    <row r="25" spans="2:44" x14ac:dyDescent="0.25">
      <c r="B25" s="2">
        <v>1</v>
      </c>
      <c r="C25" t="s">
        <v>650</v>
      </c>
      <c r="AR25" s="3">
        <f t="shared" si="0"/>
        <v>0</v>
      </c>
    </row>
    <row r="26" spans="2:44" x14ac:dyDescent="0.25">
      <c r="B26" s="2">
        <v>1</v>
      </c>
      <c r="C26" t="s">
        <v>651</v>
      </c>
      <c r="AR26" s="3">
        <f t="shared" si="0"/>
        <v>0</v>
      </c>
    </row>
    <row r="27" spans="2:44" x14ac:dyDescent="0.25">
      <c r="B27" s="2">
        <v>1</v>
      </c>
      <c r="C27" t="s">
        <v>652</v>
      </c>
      <c r="AR27" s="3">
        <f t="shared" si="0"/>
        <v>0</v>
      </c>
    </row>
    <row r="28" spans="2:44" x14ac:dyDescent="0.25">
      <c r="B28" s="2">
        <v>1</v>
      </c>
      <c r="C28" t="s">
        <v>654</v>
      </c>
      <c r="AR28" s="3">
        <f t="shared" si="0"/>
        <v>0</v>
      </c>
    </row>
    <row r="29" spans="2:44" x14ac:dyDescent="0.25">
      <c r="B29" s="2">
        <v>1</v>
      </c>
      <c r="C29" t="s">
        <v>655</v>
      </c>
      <c r="AR29" s="3">
        <f t="shared" si="0"/>
        <v>0</v>
      </c>
    </row>
    <row r="30" spans="2:44" x14ac:dyDescent="0.25">
      <c r="B30" s="2">
        <v>1</v>
      </c>
      <c r="C30" t="s">
        <v>656</v>
      </c>
      <c r="AR30" s="3">
        <f t="shared" si="0"/>
        <v>0</v>
      </c>
    </row>
    <row r="31" spans="2:44" x14ac:dyDescent="0.25">
      <c r="B31" s="2">
        <v>1</v>
      </c>
      <c r="C31" t="s">
        <v>657</v>
      </c>
      <c r="AR31" s="3">
        <f t="shared" si="0"/>
        <v>0</v>
      </c>
    </row>
    <row r="32" spans="2:44" x14ac:dyDescent="0.25">
      <c r="B32" s="2">
        <v>1</v>
      </c>
      <c r="C32" t="s">
        <v>658</v>
      </c>
      <c r="AR32" s="3">
        <f t="shared" si="0"/>
        <v>0</v>
      </c>
    </row>
    <row r="33" spans="2:44" x14ac:dyDescent="0.25">
      <c r="B33" s="2">
        <v>1</v>
      </c>
      <c r="C33" t="s">
        <v>660</v>
      </c>
      <c r="AR33" s="3">
        <f t="shared" si="0"/>
        <v>0</v>
      </c>
    </row>
    <row r="34" spans="2:44" x14ac:dyDescent="0.25">
      <c r="B34" s="2">
        <v>1</v>
      </c>
      <c r="C34" t="s">
        <v>662</v>
      </c>
      <c r="AR34" s="3">
        <f t="shared" si="0"/>
        <v>0</v>
      </c>
    </row>
    <row r="35" spans="2:44" x14ac:dyDescent="0.25">
      <c r="B35" s="2">
        <v>1</v>
      </c>
      <c r="C35" t="s">
        <v>663</v>
      </c>
      <c r="AR35" s="3">
        <f t="shared" si="0"/>
        <v>0</v>
      </c>
    </row>
    <row r="36" spans="2:44" x14ac:dyDescent="0.25">
      <c r="B36" s="2">
        <v>1</v>
      </c>
      <c r="C36" t="s">
        <v>664</v>
      </c>
      <c r="AR36" s="3">
        <f t="shared" si="0"/>
        <v>0</v>
      </c>
    </row>
    <row r="37" spans="2:44" x14ac:dyDescent="0.25">
      <c r="B37" s="2">
        <v>1</v>
      </c>
      <c r="C37" t="s">
        <v>665</v>
      </c>
      <c r="AR37" s="3">
        <f t="shared" si="0"/>
        <v>0</v>
      </c>
    </row>
    <row r="38" spans="2:44" x14ac:dyDescent="0.25">
      <c r="B38" s="2">
        <v>1</v>
      </c>
      <c r="C38" t="s">
        <v>667</v>
      </c>
      <c r="AR38" s="3">
        <f t="shared" si="0"/>
        <v>0</v>
      </c>
    </row>
    <row r="39" spans="2:44" x14ac:dyDescent="0.25">
      <c r="AR39" s="3">
        <f t="shared" si="0"/>
        <v>0</v>
      </c>
    </row>
    <row r="40" spans="2:44" x14ac:dyDescent="0.25">
      <c r="C40" s="58" t="s">
        <v>670</v>
      </c>
      <c r="AR40" s="3">
        <f t="shared" si="0"/>
        <v>0</v>
      </c>
    </row>
    <row r="41" spans="2:44" x14ac:dyDescent="0.25">
      <c r="C41" t="s">
        <v>611</v>
      </c>
      <c r="AR41" s="3">
        <f t="shared" si="0"/>
        <v>0</v>
      </c>
    </row>
    <row r="42" spans="2:44" x14ac:dyDescent="0.25">
      <c r="C42" t="s">
        <v>612</v>
      </c>
      <c r="AR42" s="3">
        <f t="shared" si="0"/>
        <v>0</v>
      </c>
    </row>
    <row r="43" spans="2:44" x14ac:dyDescent="0.25">
      <c r="C43" t="s">
        <v>613</v>
      </c>
      <c r="AR43" s="3">
        <f t="shared" si="0"/>
        <v>0</v>
      </c>
    </row>
    <row r="44" spans="2:44" x14ac:dyDescent="0.25">
      <c r="C44" t="s">
        <v>614</v>
      </c>
      <c r="AR44" s="3">
        <f t="shared" si="0"/>
        <v>0</v>
      </c>
    </row>
    <row r="45" spans="2:44" x14ac:dyDescent="0.25">
      <c r="C45" t="s">
        <v>615</v>
      </c>
      <c r="AR45" s="3">
        <f t="shared" si="0"/>
        <v>0</v>
      </c>
    </row>
    <row r="46" spans="2:44" x14ac:dyDescent="0.25">
      <c r="C46" t="s">
        <v>616</v>
      </c>
      <c r="AR46" s="3">
        <f t="shared" si="0"/>
        <v>0</v>
      </c>
    </row>
    <row r="47" spans="2:44" x14ac:dyDescent="0.25">
      <c r="C47" t="s">
        <v>617</v>
      </c>
      <c r="AR47" s="3">
        <f t="shared" si="0"/>
        <v>0</v>
      </c>
    </row>
    <row r="48" spans="2:44" x14ac:dyDescent="0.25">
      <c r="C48" t="s">
        <v>618</v>
      </c>
      <c r="AR48" s="3">
        <f t="shared" si="0"/>
        <v>0</v>
      </c>
    </row>
    <row r="49" spans="3:44" x14ac:dyDescent="0.25">
      <c r="C49" t="s">
        <v>623</v>
      </c>
      <c r="AR49" s="3">
        <f t="shared" si="0"/>
        <v>0</v>
      </c>
    </row>
    <row r="50" spans="3:44" x14ac:dyDescent="0.25">
      <c r="C50" t="s">
        <v>624</v>
      </c>
      <c r="AR50" s="3">
        <f t="shared" si="0"/>
        <v>0</v>
      </c>
    </row>
    <row r="51" spans="3:44" x14ac:dyDescent="0.25">
      <c r="C51" t="s">
        <v>629</v>
      </c>
      <c r="AR51" s="3">
        <f t="shared" si="0"/>
        <v>0</v>
      </c>
    </row>
    <row r="52" spans="3:44" x14ac:dyDescent="0.25">
      <c r="C52" t="s">
        <v>631</v>
      </c>
      <c r="AR52" s="3">
        <f t="shared" si="0"/>
        <v>0</v>
      </c>
    </row>
    <row r="53" spans="3:44" x14ac:dyDescent="0.25">
      <c r="C53" t="s">
        <v>633</v>
      </c>
      <c r="AR53" s="3">
        <f t="shared" si="0"/>
        <v>0</v>
      </c>
    </row>
    <row r="54" spans="3:44" x14ac:dyDescent="0.25">
      <c r="C54" t="s">
        <v>637</v>
      </c>
      <c r="AR54" s="3">
        <f t="shared" si="0"/>
        <v>0</v>
      </c>
    </row>
    <row r="55" spans="3:44" x14ac:dyDescent="0.25">
      <c r="C55" t="s">
        <v>639</v>
      </c>
      <c r="AR55" s="3">
        <f t="shared" si="0"/>
        <v>0</v>
      </c>
    </row>
    <row r="56" spans="3:44" x14ac:dyDescent="0.25">
      <c r="C56" t="s">
        <v>640</v>
      </c>
      <c r="AR56" s="3">
        <f t="shared" si="0"/>
        <v>0</v>
      </c>
    </row>
    <row r="57" spans="3:44" x14ac:dyDescent="0.25">
      <c r="C57" t="s">
        <v>641</v>
      </c>
      <c r="AR57" s="3">
        <f t="shared" si="0"/>
        <v>0</v>
      </c>
    </row>
    <row r="58" spans="3:44" x14ac:dyDescent="0.25">
      <c r="C58" t="s">
        <v>643</v>
      </c>
      <c r="AR58" s="3">
        <f t="shared" si="0"/>
        <v>0</v>
      </c>
    </row>
    <row r="59" spans="3:44" x14ac:dyDescent="0.25">
      <c r="C59" t="s">
        <v>644</v>
      </c>
      <c r="AR59" s="3">
        <f t="shared" si="0"/>
        <v>0</v>
      </c>
    </row>
    <row r="60" spans="3:44" x14ac:dyDescent="0.25">
      <c r="C60" t="s">
        <v>653</v>
      </c>
      <c r="AR60" s="3">
        <f t="shared" si="0"/>
        <v>0</v>
      </c>
    </row>
    <row r="61" spans="3:44" x14ac:dyDescent="0.25">
      <c r="C61" t="s">
        <v>659</v>
      </c>
      <c r="AR61" s="3">
        <f t="shared" si="0"/>
        <v>0</v>
      </c>
    </row>
    <row r="62" spans="3:44" x14ac:dyDescent="0.25">
      <c r="C62" t="s">
        <v>661</v>
      </c>
      <c r="AR62" s="3">
        <f t="shared" si="0"/>
        <v>0</v>
      </c>
    </row>
    <row r="63" spans="3:44" x14ac:dyDescent="0.25">
      <c r="C63" t="s">
        <v>666</v>
      </c>
      <c r="AR63" s="3">
        <f t="shared" si="0"/>
        <v>0</v>
      </c>
    </row>
    <row r="64" spans="3:44" x14ac:dyDescent="0.25">
      <c r="C64" t="s">
        <v>668</v>
      </c>
      <c r="AN64" s="1">
        <v>-27.9</v>
      </c>
      <c r="AR64" s="3">
        <f t="shared" si="0"/>
        <v>-27.9</v>
      </c>
    </row>
    <row r="65" spans="2:46" s="2" customFormat="1" x14ac:dyDescent="0.25">
      <c r="C65" s="2" t="s">
        <v>136</v>
      </c>
      <c r="D65" s="3">
        <f>SUM(D4:D64)</f>
        <v>0</v>
      </c>
      <c r="E65" s="3">
        <f t="shared" ref="E65:AR65" si="1">SUM(E4:E64)</f>
        <v>0</v>
      </c>
      <c r="F65" s="3">
        <f t="shared" si="1"/>
        <v>0</v>
      </c>
      <c r="G65" s="3">
        <f t="shared" si="1"/>
        <v>0</v>
      </c>
      <c r="H65" s="3">
        <f t="shared" si="1"/>
        <v>0</v>
      </c>
      <c r="I65" s="3">
        <f t="shared" si="1"/>
        <v>0</v>
      </c>
      <c r="J65" s="3">
        <f t="shared" si="1"/>
        <v>0</v>
      </c>
      <c r="K65" s="3">
        <f t="shared" si="1"/>
        <v>0</v>
      </c>
      <c r="L65" s="3">
        <f t="shared" si="1"/>
        <v>0</v>
      </c>
      <c r="M65" s="3">
        <f t="shared" si="1"/>
        <v>0</v>
      </c>
      <c r="N65" s="3">
        <f t="shared" si="1"/>
        <v>-18.600000000000001</v>
      </c>
      <c r="O65" s="3">
        <f t="shared" si="1"/>
        <v>0</v>
      </c>
      <c r="P65" s="3">
        <f t="shared" si="1"/>
        <v>0</v>
      </c>
      <c r="Q65" s="3">
        <f t="shared" si="1"/>
        <v>0</v>
      </c>
      <c r="R65" s="3">
        <f t="shared" si="1"/>
        <v>0</v>
      </c>
      <c r="S65" s="3">
        <f t="shared" si="1"/>
        <v>-13.58</v>
      </c>
      <c r="T65" s="3">
        <f t="shared" si="1"/>
        <v>0</v>
      </c>
      <c r="U65" s="3">
        <f t="shared" si="1"/>
        <v>0</v>
      </c>
      <c r="V65" s="3">
        <f t="shared" si="1"/>
        <v>0</v>
      </c>
      <c r="W65" s="3">
        <f t="shared" si="1"/>
        <v>-27.9</v>
      </c>
      <c r="X65" s="3">
        <f t="shared" si="1"/>
        <v>0</v>
      </c>
      <c r="Y65" s="3">
        <f t="shared" si="1"/>
        <v>0</v>
      </c>
      <c r="Z65" s="3">
        <f t="shared" si="1"/>
        <v>0</v>
      </c>
      <c r="AA65" s="3">
        <f t="shared" si="1"/>
        <v>0</v>
      </c>
      <c r="AB65" s="3">
        <f t="shared" si="1"/>
        <v>0</v>
      </c>
      <c r="AC65" s="3">
        <f t="shared" si="1"/>
        <v>-9.3000000000000007</v>
      </c>
      <c r="AD65" s="3">
        <f t="shared" si="1"/>
        <v>-27.9</v>
      </c>
      <c r="AE65" s="3">
        <f t="shared" si="1"/>
        <v>-130.19999999999999</v>
      </c>
      <c r="AF65" s="3">
        <f t="shared" si="1"/>
        <v>-9.3000000000000007</v>
      </c>
      <c r="AG65" s="3">
        <f t="shared" si="1"/>
        <v>0</v>
      </c>
      <c r="AH65" s="3">
        <f t="shared" si="1"/>
        <v>-9.3000000000000007</v>
      </c>
      <c r="AI65" s="3">
        <f t="shared" si="1"/>
        <v>0</v>
      </c>
      <c r="AJ65" s="3">
        <f t="shared" si="1"/>
        <v>0</v>
      </c>
      <c r="AK65" s="3">
        <f t="shared" si="1"/>
        <v>0</v>
      </c>
      <c r="AL65" s="3">
        <f t="shared" si="1"/>
        <v>0</v>
      </c>
      <c r="AM65" s="3">
        <f t="shared" si="1"/>
        <v>-83.7</v>
      </c>
      <c r="AN65" s="3">
        <f t="shared" si="1"/>
        <v>-65.099999999999994</v>
      </c>
      <c r="AO65" s="3">
        <f t="shared" si="1"/>
        <v>-83.7</v>
      </c>
      <c r="AP65" s="3">
        <f t="shared" si="1"/>
        <v>0</v>
      </c>
      <c r="AQ65" s="3">
        <f t="shared" si="1"/>
        <v>0</v>
      </c>
      <c r="AR65" s="3">
        <f t="shared" si="1"/>
        <v>-478.58</v>
      </c>
      <c r="AS65" s="3"/>
      <c r="AT65" s="9"/>
    </row>
    <row r="67" spans="2:46" x14ac:dyDescent="0.25">
      <c r="C67" s="2" t="s">
        <v>137</v>
      </c>
    </row>
    <row r="68" spans="2:46" x14ac:dyDescent="0.25">
      <c r="B68" s="2">
        <v>1</v>
      </c>
      <c r="C68" s="58" t="s">
        <v>669</v>
      </c>
      <c r="N68" s="1">
        <v>-85.02</v>
      </c>
      <c r="O68" s="1">
        <v>-28.08</v>
      </c>
      <c r="S68" s="1">
        <f>-28.8-39.6</f>
        <v>-68.400000000000006</v>
      </c>
      <c r="U68" s="1">
        <f>-230.4-138.6-24.5</f>
        <v>-393.5</v>
      </c>
      <c r="X68" s="1">
        <v>-14.04</v>
      </c>
      <c r="Z68" s="1">
        <v>-56.16</v>
      </c>
      <c r="AA68" s="1">
        <v>-29.16</v>
      </c>
      <c r="AQ68" s="1">
        <v>-86.4</v>
      </c>
      <c r="AR68" s="3">
        <f>SUM(D68:AQ68)</f>
        <v>-760.75999999999988</v>
      </c>
    </row>
    <row r="69" spans="2:46" x14ac:dyDescent="0.25">
      <c r="B69" s="2">
        <v>1</v>
      </c>
      <c r="C69" t="s">
        <v>619</v>
      </c>
      <c r="AR69" s="3">
        <f t="shared" ref="AR69:AR128" si="2">SUM(D69:AQ69)</f>
        <v>0</v>
      </c>
    </row>
    <row r="70" spans="2:46" x14ac:dyDescent="0.25">
      <c r="B70" s="2">
        <v>1</v>
      </c>
      <c r="C70" t="s">
        <v>620</v>
      </c>
      <c r="AR70" s="3">
        <f t="shared" si="2"/>
        <v>0</v>
      </c>
    </row>
    <row r="71" spans="2:46" x14ac:dyDescent="0.25">
      <c r="B71" s="2">
        <v>1</v>
      </c>
      <c r="C71" t="s">
        <v>621</v>
      </c>
      <c r="AR71" s="3">
        <f t="shared" si="2"/>
        <v>0</v>
      </c>
    </row>
    <row r="72" spans="2:46" x14ac:dyDescent="0.25">
      <c r="B72" s="2">
        <v>1</v>
      </c>
      <c r="C72" t="s">
        <v>622</v>
      </c>
      <c r="AR72" s="3">
        <f t="shared" si="2"/>
        <v>0</v>
      </c>
    </row>
    <row r="73" spans="2:46" x14ac:dyDescent="0.25">
      <c r="B73" s="2">
        <v>1</v>
      </c>
      <c r="C73" t="s">
        <v>625</v>
      </c>
      <c r="AR73" s="3">
        <f t="shared" si="2"/>
        <v>0</v>
      </c>
    </row>
    <row r="74" spans="2:46" x14ac:dyDescent="0.25">
      <c r="B74" s="2">
        <v>1</v>
      </c>
      <c r="C74" t="s">
        <v>626</v>
      </c>
      <c r="AR74" s="3">
        <f t="shared" si="2"/>
        <v>0</v>
      </c>
    </row>
    <row r="75" spans="2:46" x14ac:dyDescent="0.25">
      <c r="B75" s="2">
        <v>1</v>
      </c>
      <c r="C75" t="s">
        <v>627</v>
      </c>
      <c r="AR75" s="3">
        <f t="shared" si="2"/>
        <v>0</v>
      </c>
    </row>
    <row r="76" spans="2:46" x14ac:dyDescent="0.25">
      <c r="B76" s="2">
        <v>1</v>
      </c>
      <c r="C76" t="s">
        <v>628</v>
      </c>
      <c r="AR76" s="3">
        <f t="shared" si="2"/>
        <v>0</v>
      </c>
    </row>
    <row r="77" spans="2:46" x14ac:dyDescent="0.25">
      <c r="B77" s="2">
        <v>1</v>
      </c>
      <c r="C77" t="s">
        <v>630</v>
      </c>
      <c r="AR77" s="3">
        <f t="shared" si="2"/>
        <v>0</v>
      </c>
    </row>
    <row r="78" spans="2:46" x14ac:dyDescent="0.25">
      <c r="B78" s="2">
        <v>1</v>
      </c>
      <c r="C78" t="s">
        <v>632</v>
      </c>
      <c r="AR78" s="3">
        <f t="shared" si="2"/>
        <v>0</v>
      </c>
    </row>
    <row r="79" spans="2:46" x14ac:dyDescent="0.25">
      <c r="B79" s="2">
        <v>1</v>
      </c>
      <c r="C79" t="s">
        <v>634</v>
      </c>
      <c r="AR79" s="3">
        <f t="shared" si="2"/>
        <v>0</v>
      </c>
    </row>
    <row r="80" spans="2:46" x14ac:dyDescent="0.25">
      <c r="B80" s="2">
        <v>1</v>
      </c>
      <c r="C80" t="s">
        <v>635</v>
      </c>
      <c r="AR80" s="3">
        <f t="shared" si="2"/>
        <v>0</v>
      </c>
    </row>
    <row r="81" spans="2:44" x14ac:dyDescent="0.25">
      <c r="B81" s="2">
        <v>1</v>
      </c>
      <c r="C81" t="s">
        <v>636</v>
      </c>
      <c r="AR81" s="3">
        <f t="shared" si="2"/>
        <v>0</v>
      </c>
    </row>
    <row r="82" spans="2:44" x14ac:dyDescent="0.25">
      <c r="B82" s="2">
        <v>1</v>
      </c>
      <c r="C82" t="s">
        <v>638</v>
      </c>
      <c r="AR82" s="3">
        <f t="shared" si="2"/>
        <v>0</v>
      </c>
    </row>
    <row r="83" spans="2:44" x14ac:dyDescent="0.25">
      <c r="B83" s="2">
        <v>1</v>
      </c>
      <c r="C83" t="s">
        <v>642</v>
      </c>
      <c r="AR83" s="3">
        <f t="shared" si="2"/>
        <v>0</v>
      </c>
    </row>
    <row r="84" spans="2:44" x14ac:dyDescent="0.25">
      <c r="B84" s="2">
        <v>1</v>
      </c>
      <c r="C84" t="s">
        <v>645</v>
      </c>
      <c r="AR84" s="3">
        <f t="shared" si="2"/>
        <v>0</v>
      </c>
    </row>
    <row r="85" spans="2:44" x14ac:dyDescent="0.25">
      <c r="B85" s="2">
        <v>1</v>
      </c>
      <c r="C85" t="s">
        <v>646</v>
      </c>
      <c r="AR85" s="3">
        <f t="shared" si="2"/>
        <v>0</v>
      </c>
    </row>
    <row r="86" spans="2:44" x14ac:dyDescent="0.25">
      <c r="B86" s="2">
        <v>1</v>
      </c>
      <c r="C86" t="s">
        <v>647</v>
      </c>
      <c r="AR86" s="3">
        <f t="shared" si="2"/>
        <v>0</v>
      </c>
    </row>
    <row r="87" spans="2:44" x14ac:dyDescent="0.25">
      <c r="B87" s="2">
        <v>1</v>
      </c>
      <c r="C87" t="s">
        <v>648</v>
      </c>
      <c r="AR87" s="3">
        <f t="shared" si="2"/>
        <v>0</v>
      </c>
    </row>
    <row r="88" spans="2:44" x14ac:dyDescent="0.25">
      <c r="B88" s="2">
        <v>1</v>
      </c>
      <c r="C88" t="s">
        <v>649</v>
      </c>
      <c r="AR88" s="3">
        <f t="shared" si="2"/>
        <v>0</v>
      </c>
    </row>
    <row r="89" spans="2:44" x14ac:dyDescent="0.25">
      <c r="B89" s="2">
        <v>1</v>
      </c>
      <c r="C89" t="s">
        <v>650</v>
      </c>
      <c r="AR89" s="3">
        <f t="shared" si="2"/>
        <v>0</v>
      </c>
    </row>
    <row r="90" spans="2:44" x14ac:dyDescent="0.25">
      <c r="B90" s="2">
        <v>1</v>
      </c>
      <c r="C90" t="s">
        <v>651</v>
      </c>
      <c r="AR90" s="3">
        <f t="shared" si="2"/>
        <v>0</v>
      </c>
    </row>
    <row r="91" spans="2:44" x14ac:dyDescent="0.25">
      <c r="B91" s="2">
        <v>1</v>
      </c>
      <c r="C91" t="s">
        <v>652</v>
      </c>
      <c r="AR91" s="3">
        <f t="shared" si="2"/>
        <v>0</v>
      </c>
    </row>
    <row r="92" spans="2:44" x14ac:dyDescent="0.25">
      <c r="B92" s="2">
        <v>1</v>
      </c>
      <c r="C92" t="s">
        <v>654</v>
      </c>
      <c r="AR92" s="3">
        <f t="shared" si="2"/>
        <v>0</v>
      </c>
    </row>
    <row r="93" spans="2:44" x14ac:dyDescent="0.25">
      <c r="B93" s="2">
        <v>1</v>
      </c>
      <c r="C93" t="s">
        <v>655</v>
      </c>
      <c r="AR93" s="3">
        <f t="shared" si="2"/>
        <v>0</v>
      </c>
    </row>
    <row r="94" spans="2:44" x14ac:dyDescent="0.25">
      <c r="B94" s="2">
        <v>1</v>
      </c>
      <c r="C94" t="s">
        <v>656</v>
      </c>
      <c r="AR94" s="3">
        <f t="shared" si="2"/>
        <v>0</v>
      </c>
    </row>
    <row r="95" spans="2:44" x14ac:dyDescent="0.25">
      <c r="B95" s="2">
        <v>1</v>
      </c>
      <c r="C95" t="s">
        <v>657</v>
      </c>
      <c r="AR95" s="3">
        <f t="shared" si="2"/>
        <v>0</v>
      </c>
    </row>
    <row r="96" spans="2:44" x14ac:dyDescent="0.25">
      <c r="B96" s="2">
        <v>1</v>
      </c>
      <c r="C96" t="s">
        <v>658</v>
      </c>
      <c r="AR96" s="3">
        <f t="shared" si="2"/>
        <v>0</v>
      </c>
    </row>
    <row r="97" spans="2:44" x14ac:dyDescent="0.25">
      <c r="B97" s="2">
        <v>1</v>
      </c>
      <c r="C97" t="s">
        <v>660</v>
      </c>
      <c r="AR97" s="3">
        <f t="shared" si="2"/>
        <v>0</v>
      </c>
    </row>
    <row r="98" spans="2:44" x14ac:dyDescent="0.25">
      <c r="B98" s="2">
        <v>1</v>
      </c>
      <c r="C98" t="s">
        <v>662</v>
      </c>
      <c r="AR98" s="3">
        <f t="shared" si="2"/>
        <v>0</v>
      </c>
    </row>
    <row r="99" spans="2:44" x14ac:dyDescent="0.25">
      <c r="B99" s="2">
        <v>1</v>
      </c>
      <c r="C99" t="s">
        <v>663</v>
      </c>
      <c r="AR99" s="3">
        <f t="shared" si="2"/>
        <v>0</v>
      </c>
    </row>
    <row r="100" spans="2:44" x14ac:dyDescent="0.25">
      <c r="B100" s="2">
        <v>1</v>
      </c>
      <c r="C100" t="s">
        <v>664</v>
      </c>
      <c r="AR100" s="3">
        <f t="shared" si="2"/>
        <v>0</v>
      </c>
    </row>
    <row r="101" spans="2:44" x14ac:dyDescent="0.25">
      <c r="B101" s="2">
        <v>1</v>
      </c>
      <c r="C101" t="s">
        <v>665</v>
      </c>
      <c r="AR101" s="3">
        <f t="shared" si="2"/>
        <v>0</v>
      </c>
    </row>
    <row r="102" spans="2:44" x14ac:dyDescent="0.25">
      <c r="B102" s="2">
        <v>1</v>
      </c>
      <c r="C102" t="s">
        <v>667</v>
      </c>
      <c r="AR102" s="3">
        <f t="shared" si="2"/>
        <v>0</v>
      </c>
    </row>
    <row r="103" spans="2:44" x14ac:dyDescent="0.25">
      <c r="AR103" s="3">
        <f t="shared" si="2"/>
        <v>0</v>
      </c>
    </row>
    <row r="104" spans="2:44" x14ac:dyDescent="0.25">
      <c r="C104" s="58" t="s">
        <v>670</v>
      </c>
      <c r="AR104" s="3">
        <f t="shared" si="2"/>
        <v>0</v>
      </c>
    </row>
    <row r="105" spans="2:44" x14ac:dyDescent="0.25">
      <c r="C105" t="s">
        <v>611</v>
      </c>
      <c r="AR105" s="3">
        <f t="shared" si="2"/>
        <v>0</v>
      </c>
    </row>
    <row r="106" spans="2:44" x14ac:dyDescent="0.25">
      <c r="C106" t="s">
        <v>612</v>
      </c>
      <c r="AR106" s="3">
        <f t="shared" si="2"/>
        <v>0</v>
      </c>
    </row>
    <row r="107" spans="2:44" x14ac:dyDescent="0.25">
      <c r="C107" t="s">
        <v>613</v>
      </c>
      <c r="AR107" s="3">
        <f t="shared" si="2"/>
        <v>0</v>
      </c>
    </row>
    <row r="108" spans="2:44" x14ac:dyDescent="0.25">
      <c r="C108" t="s">
        <v>614</v>
      </c>
      <c r="AR108" s="3">
        <f t="shared" si="2"/>
        <v>0</v>
      </c>
    </row>
    <row r="109" spans="2:44" x14ac:dyDescent="0.25">
      <c r="C109" t="s">
        <v>615</v>
      </c>
      <c r="AR109" s="3">
        <f t="shared" si="2"/>
        <v>0</v>
      </c>
    </row>
    <row r="110" spans="2:44" x14ac:dyDescent="0.25">
      <c r="C110" t="s">
        <v>616</v>
      </c>
      <c r="AR110" s="3">
        <f t="shared" si="2"/>
        <v>0</v>
      </c>
    </row>
    <row r="111" spans="2:44" x14ac:dyDescent="0.25">
      <c r="C111" t="s">
        <v>617</v>
      </c>
      <c r="AR111" s="3">
        <f t="shared" si="2"/>
        <v>0</v>
      </c>
    </row>
    <row r="112" spans="2:44" x14ac:dyDescent="0.25">
      <c r="C112" t="s">
        <v>618</v>
      </c>
      <c r="AR112" s="3">
        <f t="shared" si="2"/>
        <v>0</v>
      </c>
    </row>
    <row r="113" spans="3:44" x14ac:dyDescent="0.25">
      <c r="C113" t="s">
        <v>623</v>
      </c>
      <c r="AR113" s="3">
        <f t="shared" si="2"/>
        <v>0</v>
      </c>
    </row>
    <row r="114" spans="3:44" x14ac:dyDescent="0.25">
      <c r="C114" t="s">
        <v>624</v>
      </c>
      <c r="AR114" s="3">
        <f t="shared" si="2"/>
        <v>0</v>
      </c>
    </row>
    <row r="115" spans="3:44" x14ac:dyDescent="0.25">
      <c r="C115" t="s">
        <v>629</v>
      </c>
      <c r="AR115" s="3">
        <f t="shared" si="2"/>
        <v>0</v>
      </c>
    </row>
    <row r="116" spans="3:44" x14ac:dyDescent="0.25">
      <c r="C116" t="s">
        <v>631</v>
      </c>
      <c r="AR116" s="3">
        <f t="shared" si="2"/>
        <v>0</v>
      </c>
    </row>
    <row r="117" spans="3:44" x14ac:dyDescent="0.25">
      <c r="C117" t="s">
        <v>633</v>
      </c>
      <c r="AR117" s="3">
        <f t="shared" si="2"/>
        <v>0</v>
      </c>
    </row>
    <row r="118" spans="3:44" x14ac:dyDescent="0.25">
      <c r="C118" t="s">
        <v>637</v>
      </c>
      <c r="AR118" s="3">
        <f t="shared" si="2"/>
        <v>0</v>
      </c>
    </row>
    <row r="119" spans="3:44" x14ac:dyDescent="0.25">
      <c r="C119" t="s">
        <v>639</v>
      </c>
      <c r="AR119" s="3">
        <f t="shared" si="2"/>
        <v>0</v>
      </c>
    </row>
    <row r="120" spans="3:44" x14ac:dyDescent="0.25">
      <c r="C120" t="s">
        <v>640</v>
      </c>
      <c r="AR120" s="3">
        <f t="shared" si="2"/>
        <v>0</v>
      </c>
    </row>
    <row r="121" spans="3:44" x14ac:dyDescent="0.25">
      <c r="C121" t="s">
        <v>641</v>
      </c>
      <c r="AR121" s="3">
        <f t="shared" si="2"/>
        <v>0</v>
      </c>
    </row>
    <row r="122" spans="3:44" x14ac:dyDescent="0.25">
      <c r="C122" t="s">
        <v>643</v>
      </c>
      <c r="AR122" s="3">
        <f t="shared" si="2"/>
        <v>0</v>
      </c>
    </row>
    <row r="123" spans="3:44" x14ac:dyDescent="0.25">
      <c r="C123" t="s">
        <v>644</v>
      </c>
      <c r="AR123" s="3">
        <f t="shared" si="2"/>
        <v>0</v>
      </c>
    </row>
    <row r="124" spans="3:44" x14ac:dyDescent="0.25">
      <c r="C124" t="s">
        <v>653</v>
      </c>
      <c r="AR124" s="3">
        <f t="shared" si="2"/>
        <v>0</v>
      </c>
    </row>
    <row r="125" spans="3:44" x14ac:dyDescent="0.25">
      <c r="C125" t="s">
        <v>659</v>
      </c>
      <c r="AR125" s="3">
        <f t="shared" si="2"/>
        <v>0</v>
      </c>
    </row>
    <row r="126" spans="3:44" x14ac:dyDescent="0.25">
      <c r="C126" t="s">
        <v>661</v>
      </c>
      <c r="AR126" s="3">
        <f t="shared" si="2"/>
        <v>0</v>
      </c>
    </row>
    <row r="127" spans="3:44" x14ac:dyDescent="0.25">
      <c r="C127" t="s">
        <v>666</v>
      </c>
      <c r="AR127" s="3">
        <f t="shared" si="2"/>
        <v>0</v>
      </c>
    </row>
    <row r="128" spans="3:44" x14ac:dyDescent="0.25">
      <c r="C128" t="s">
        <v>668</v>
      </c>
      <c r="N128" s="1">
        <v>-14.82</v>
      </c>
      <c r="O128" s="1">
        <v>-13.26</v>
      </c>
      <c r="S128" s="1">
        <v>-17.28</v>
      </c>
      <c r="AR128" s="3">
        <f t="shared" si="2"/>
        <v>-45.36</v>
      </c>
    </row>
    <row r="129" spans="2:44" x14ac:dyDescent="0.25">
      <c r="C129" s="2" t="s">
        <v>138</v>
      </c>
      <c r="D129" s="3">
        <f>SUM(D68:D128)</f>
        <v>0</v>
      </c>
      <c r="E129" s="3">
        <f t="shared" ref="E129" si="3">SUM(E68:E128)</f>
        <v>0</v>
      </c>
      <c r="F129" s="3">
        <f t="shared" ref="F129" si="4">SUM(F68:F128)</f>
        <v>0</v>
      </c>
      <c r="G129" s="3">
        <f t="shared" ref="G129" si="5">SUM(G68:G128)</f>
        <v>0</v>
      </c>
      <c r="H129" s="3">
        <f t="shared" ref="H129" si="6">SUM(H68:H128)</f>
        <v>0</v>
      </c>
      <c r="I129" s="3">
        <f t="shared" ref="I129" si="7">SUM(I68:I128)</f>
        <v>0</v>
      </c>
      <c r="J129" s="3">
        <f t="shared" ref="J129" si="8">SUM(J68:J128)</f>
        <v>0</v>
      </c>
      <c r="K129" s="3">
        <f t="shared" ref="K129" si="9">SUM(K68:K128)</f>
        <v>0</v>
      </c>
      <c r="L129" s="3">
        <f t="shared" ref="L129" si="10">SUM(L68:L128)</f>
        <v>0</v>
      </c>
      <c r="M129" s="3">
        <f t="shared" ref="M129" si="11">SUM(M68:M128)</f>
        <v>0</v>
      </c>
      <c r="N129" s="3">
        <f t="shared" ref="N129" si="12">SUM(N68:N128)</f>
        <v>-99.84</v>
      </c>
      <c r="O129" s="3">
        <f t="shared" ref="O129" si="13">SUM(O68:O128)</f>
        <v>-41.339999999999996</v>
      </c>
      <c r="P129" s="3">
        <f t="shared" ref="P129" si="14">SUM(P68:P128)</f>
        <v>0</v>
      </c>
      <c r="Q129" s="3">
        <f t="shared" ref="Q129" si="15">SUM(Q68:Q128)</f>
        <v>0</v>
      </c>
      <c r="R129" s="3">
        <f t="shared" ref="R129" si="16">SUM(R68:R128)</f>
        <v>0</v>
      </c>
      <c r="S129" s="3">
        <f t="shared" ref="S129" si="17">SUM(S68:S128)</f>
        <v>-85.68</v>
      </c>
      <c r="T129" s="3">
        <f t="shared" ref="T129" si="18">SUM(T68:T128)</f>
        <v>0</v>
      </c>
      <c r="U129" s="3">
        <f t="shared" ref="U129" si="19">SUM(U68:U128)</f>
        <v>-393.5</v>
      </c>
      <c r="V129" s="3">
        <f t="shared" ref="V129" si="20">SUM(V68:V128)</f>
        <v>0</v>
      </c>
      <c r="W129" s="3">
        <f t="shared" ref="W129" si="21">SUM(W68:W128)</f>
        <v>0</v>
      </c>
      <c r="X129" s="3">
        <f t="shared" ref="X129" si="22">SUM(X68:X128)</f>
        <v>-14.04</v>
      </c>
      <c r="Y129" s="3">
        <f t="shared" ref="Y129" si="23">SUM(Y68:Y128)</f>
        <v>0</v>
      </c>
      <c r="Z129" s="3">
        <f t="shared" ref="Z129" si="24">SUM(Z68:Z128)</f>
        <v>-56.16</v>
      </c>
      <c r="AA129" s="3">
        <f t="shared" ref="AA129" si="25">SUM(AA68:AA128)</f>
        <v>-29.16</v>
      </c>
      <c r="AB129" s="3">
        <f t="shared" ref="AB129" si="26">SUM(AB68:AB128)</f>
        <v>0</v>
      </c>
      <c r="AC129" s="3">
        <f t="shared" ref="AC129" si="27">SUM(AC68:AC128)</f>
        <v>0</v>
      </c>
      <c r="AD129" s="3">
        <f t="shared" ref="AD129" si="28">SUM(AD68:AD128)</f>
        <v>0</v>
      </c>
      <c r="AE129" s="3">
        <f t="shared" ref="AE129" si="29">SUM(AE68:AE128)</f>
        <v>0</v>
      </c>
      <c r="AF129" s="3">
        <f t="shared" ref="AF129" si="30">SUM(AF68:AF128)</f>
        <v>0</v>
      </c>
      <c r="AG129" s="3">
        <f t="shared" ref="AG129" si="31">SUM(AG68:AG128)</f>
        <v>0</v>
      </c>
      <c r="AH129" s="3">
        <f t="shared" ref="AH129" si="32">SUM(AH68:AH128)</f>
        <v>0</v>
      </c>
      <c r="AI129" s="3">
        <f t="shared" ref="AI129" si="33">SUM(AI68:AI128)</f>
        <v>0</v>
      </c>
      <c r="AJ129" s="3">
        <f t="shared" ref="AJ129" si="34">SUM(AJ68:AJ128)</f>
        <v>0</v>
      </c>
      <c r="AK129" s="3">
        <f t="shared" ref="AK129" si="35">SUM(AK68:AK128)</f>
        <v>0</v>
      </c>
      <c r="AL129" s="3">
        <f t="shared" ref="AL129" si="36">SUM(AL68:AL128)</f>
        <v>0</v>
      </c>
      <c r="AM129" s="3">
        <f t="shared" ref="AM129" si="37">SUM(AM68:AM128)</f>
        <v>0</v>
      </c>
      <c r="AN129" s="3">
        <f t="shared" ref="AN129" si="38">SUM(AN68:AN128)</f>
        <v>0</v>
      </c>
      <c r="AO129" s="3">
        <f t="shared" ref="AO129" si="39">SUM(AO68:AO128)</f>
        <v>0</v>
      </c>
      <c r="AP129" s="3">
        <f t="shared" ref="AP129" si="40">SUM(AP68:AP128)</f>
        <v>0</v>
      </c>
      <c r="AQ129" s="3">
        <f t="shared" ref="AQ129" si="41">SUM(AQ68:AQ128)</f>
        <v>-86.4</v>
      </c>
      <c r="AR129" s="3">
        <f t="shared" ref="AR129" si="42">SUM(AR68:AR128)</f>
        <v>-806.11999999999989</v>
      </c>
    </row>
    <row r="131" spans="2:44" x14ac:dyDescent="0.25">
      <c r="C131" s="2" t="s">
        <v>533</v>
      </c>
    </row>
    <row r="132" spans="2:44" x14ac:dyDescent="0.25">
      <c r="B132" s="2">
        <v>1</v>
      </c>
      <c r="C132" s="58" t="s">
        <v>669</v>
      </c>
      <c r="P132" s="1">
        <v>-18.72</v>
      </c>
      <c r="V132" s="1">
        <v>-18.72</v>
      </c>
      <c r="W132" s="1">
        <v>-37.44</v>
      </c>
      <c r="X132" s="1">
        <v>-18.72</v>
      </c>
      <c r="Z132" s="1">
        <f>-77.2-56.16</f>
        <v>-133.36000000000001</v>
      </c>
      <c r="AC132" s="1">
        <v>-18.72</v>
      </c>
      <c r="AD132" s="1">
        <v>-18.72</v>
      </c>
      <c r="AG132" s="1">
        <v>-30.88</v>
      </c>
      <c r="AH132" s="1">
        <v>-15.44</v>
      </c>
      <c r="AI132" s="1">
        <f>-61.76-18.72</f>
        <v>-80.47999999999999</v>
      </c>
      <c r="AK132" s="1">
        <v>-15.44</v>
      </c>
      <c r="AO132" s="1">
        <v>-15.44</v>
      </c>
      <c r="AQ132" s="1">
        <v>-154.4</v>
      </c>
      <c r="AR132" s="3">
        <f>SUM(D132:AQ132)</f>
        <v>-576.4799999999999</v>
      </c>
    </row>
    <row r="133" spans="2:44" x14ac:dyDescent="0.25">
      <c r="B133" s="2">
        <v>1</v>
      </c>
      <c r="C133" t="s">
        <v>619</v>
      </c>
      <c r="AR133" s="3">
        <f t="shared" ref="AR133:AR192" si="43">SUM(D133:AQ133)</f>
        <v>0</v>
      </c>
    </row>
    <row r="134" spans="2:44" x14ac:dyDescent="0.25">
      <c r="B134" s="2">
        <v>1</v>
      </c>
      <c r="C134" t="s">
        <v>620</v>
      </c>
      <c r="AR134" s="3">
        <f t="shared" si="43"/>
        <v>0</v>
      </c>
    </row>
    <row r="135" spans="2:44" x14ac:dyDescent="0.25">
      <c r="B135" s="2">
        <v>1</v>
      </c>
      <c r="C135" t="s">
        <v>621</v>
      </c>
      <c r="AR135" s="3">
        <f t="shared" si="43"/>
        <v>0</v>
      </c>
    </row>
    <row r="136" spans="2:44" x14ac:dyDescent="0.25">
      <c r="B136" s="2">
        <v>1</v>
      </c>
      <c r="C136" t="s">
        <v>622</v>
      </c>
      <c r="AR136" s="3">
        <f t="shared" si="43"/>
        <v>0</v>
      </c>
    </row>
    <row r="137" spans="2:44" x14ac:dyDescent="0.25">
      <c r="B137" s="2">
        <v>1</v>
      </c>
      <c r="C137" t="s">
        <v>625</v>
      </c>
      <c r="AR137" s="3">
        <f t="shared" si="43"/>
        <v>0</v>
      </c>
    </row>
    <row r="138" spans="2:44" x14ac:dyDescent="0.25">
      <c r="B138" s="2">
        <v>1</v>
      </c>
      <c r="C138" t="s">
        <v>626</v>
      </c>
      <c r="AR138" s="3">
        <f t="shared" si="43"/>
        <v>0</v>
      </c>
    </row>
    <row r="139" spans="2:44" x14ac:dyDescent="0.25">
      <c r="B139" s="2">
        <v>1</v>
      </c>
      <c r="C139" t="s">
        <v>627</v>
      </c>
      <c r="AR139" s="3">
        <f t="shared" si="43"/>
        <v>0</v>
      </c>
    </row>
    <row r="140" spans="2:44" x14ac:dyDescent="0.25">
      <c r="B140" s="2">
        <v>1</v>
      </c>
      <c r="C140" t="s">
        <v>628</v>
      </c>
      <c r="AR140" s="3">
        <f t="shared" si="43"/>
        <v>0</v>
      </c>
    </row>
    <row r="141" spans="2:44" x14ac:dyDescent="0.25">
      <c r="B141" s="2">
        <v>1</v>
      </c>
      <c r="C141" t="s">
        <v>630</v>
      </c>
      <c r="AR141" s="3">
        <f t="shared" si="43"/>
        <v>0</v>
      </c>
    </row>
    <row r="142" spans="2:44" x14ac:dyDescent="0.25">
      <c r="B142" s="2">
        <v>1</v>
      </c>
      <c r="C142" t="s">
        <v>632</v>
      </c>
      <c r="AR142" s="3">
        <f t="shared" si="43"/>
        <v>0</v>
      </c>
    </row>
    <row r="143" spans="2:44" x14ac:dyDescent="0.25">
      <c r="B143" s="2">
        <v>1</v>
      </c>
      <c r="C143" t="s">
        <v>634</v>
      </c>
      <c r="AR143" s="3">
        <f t="shared" si="43"/>
        <v>0</v>
      </c>
    </row>
    <row r="144" spans="2:44" x14ac:dyDescent="0.25">
      <c r="B144" s="2">
        <v>1</v>
      </c>
      <c r="C144" t="s">
        <v>635</v>
      </c>
      <c r="AR144" s="3">
        <f t="shared" si="43"/>
        <v>0</v>
      </c>
    </row>
    <row r="145" spans="2:44" x14ac:dyDescent="0.25">
      <c r="B145" s="2">
        <v>1</v>
      </c>
      <c r="C145" t="s">
        <v>636</v>
      </c>
      <c r="AR145" s="3">
        <f t="shared" si="43"/>
        <v>0</v>
      </c>
    </row>
    <row r="146" spans="2:44" x14ac:dyDescent="0.25">
      <c r="B146" s="2">
        <v>1</v>
      </c>
      <c r="C146" t="s">
        <v>638</v>
      </c>
      <c r="AR146" s="3">
        <f t="shared" si="43"/>
        <v>0</v>
      </c>
    </row>
    <row r="147" spans="2:44" x14ac:dyDescent="0.25">
      <c r="B147" s="2">
        <v>1</v>
      </c>
      <c r="C147" t="s">
        <v>642</v>
      </c>
      <c r="AR147" s="3">
        <f t="shared" si="43"/>
        <v>0</v>
      </c>
    </row>
    <row r="148" spans="2:44" x14ac:dyDescent="0.25">
      <c r="B148" s="2">
        <v>1</v>
      </c>
      <c r="C148" t="s">
        <v>645</v>
      </c>
      <c r="AR148" s="3">
        <f t="shared" si="43"/>
        <v>0</v>
      </c>
    </row>
    <row r="149" spans="2:44" x14ac:dyDescent="0.25">
      <c r="B149" s="2">
        <v>1</v>
      </c>
      <c r="C149" t="s">
        <v>646</v>
      </c>
      <c r="AR149" s="3">
        <f t="shared" si="43"/>
        <v>0</v>
      </c>
    </row>
    <row r="150" spans="2:44" x14ac:dyDescent="0.25">
      <c r="B150" s="2">
        <v>1</v>
      </c>
      <c r="C150" t="s">
        <v>647</v>
      </c>
      <c r="AR150" s="3">
        <f t="shared" si="43"/>
        <v>0</v>
      </c>
    </row>
    <row r="151" spans="2:44" x14ac:dyDescent="0.25">
      <c r="B151" s="2">
        <v>1</v>
      </c>
      <c r="C151" t="s">
        <v>648</v>
      </c>
      <c r="AR151" s="3">
        <f t="shared" si="43"/>
        <v>0</v>
      </c>
    </row>
    <row r="152" spans="2:44" x14ac:dyDescent="0.25">
      <c r="B152" s="2">
        <v>1</v>
      </c>
      <c r="C152" t="s">
        <v>649</v>
      </c>
      <c r="AR152" s="3">
        <f t="shared" si="43"/>
        <v>0</v>
      </c>
    </row>
    <row r="153" spans="2:44" x14ac:dyDescent="0.25">
      <c r="B153" s="2">
        <v>1</v>
      </c>
      <c r="C153" t="s">
        <v>650</v>
      </c>
      <c r="AR153" s="3">
        <f t="shared" si="43"/>
        <v>0</v>
      </c>
    </row>
    <row r="154" spans="2:44" x14ac:dyDescent="0.25">
      <c r="B154" s="2">
        <v>1</v>
      </c>
      <c r="C154" t="s">
        <v>651</v>
      </c>
      <c r="AR154" s="3">
        <f t="shared" si="43"/>
        <v>0</v>
      </c>
    </row>
    <row r="155" spans="2:44" x14ac:dyDescent="0.25">
      <c r="B155" s="2">
        <v>1</v>
      </c>
      <c r="C155" t="s">
        <v>652</v>
      </c>
      <c r="AR155" s="3">
        <f t="shared" si="43"/>
        <v>0</v>
      </c>
    </row>
    <row r="156" spans="2:44" x14ac:dyDescent="0.25">
      <c r="B156" s="2">
        <v>1</v>
      </c>
      <c r="C156" t="s">
        <v>654</v>
      </c>
      <c r="AR156" s="3">
        <f t="shared" si="43"/>
        <v>0</v>
      </c>
    </row>
    <row r="157" spans="2:44" x14ac:dyDescent="0.25">
      <c r="B157" s="2">
        <v>1</v>
      </c>
      <c r="C157" t="s">
        <v>655</v>
      </c>
      <c r="AR157" s="3">
        <f t="shared" si="43"/>
        <v>0</v>
      </c>
    </row>
    <row r="158" spans="2:44" x14ac:dyDescent="0.25">
      <c r="B158" s="2">
        <v>1</v>
      </c>
      <c r="C158" t="s">
        <v>656</v>
      </c>
      <c r="AR158" s="3">
        <f t="shared" si="43"/>
        <v>0</v>
      </c>
    </row>
    <row r="159" spans="2:44" x14ac:dyDescent="0.25">
      <c r="B159" s="2">
        <v>1</v>
      </c>
      <c r="C159" t="s">
        <v>657</v>
      </c>
      <c r="AR159" s="3">
        <f t="shared" si="43"/>
        <v>0</v>
      </c>
    </row>
    <row r="160" spans="2:44" x14ac:dyDescent="0.25">
      <c r="B160" s="2">
        <v>1</v>
      </c>
      <c r="C160" t="s">
        <v>658</v>
      </c>
      <c r="AR160" s="3">
        <f t="shared" si="43"/>
        <v>0</v>
      </c>
    </row>
    <row r="161" spans="2:44" x14ac:dyDescent="0.25">
      <c r="B161" s="2">
        <v>1</v>
      </c>
      <c r="C161" t="s">
        <v>660</v>
      </c>
      <c r="AR161" s="3">
        <f t="shared" si="43"/>
        <v>0</v>
      </c>
    </row>
    <row r="162" spans="2:44" x14ac:dyDescent="0.25">
      <c r="B162" s="2">
        <v>1</v>
      </c>
      <c r="C162" t="s">
        <v>662</v>
      </c>
      <c r="AR162" s="3">
        <f t="shared" si="43"/>
        <v>0</v>
      </c>
    </row>
    <row r="163" spans="2:44" x14ac:dyDescent="0.25">
      <c r="B163" s="2">
        <v>1</v>
      </c>
      <c r="C163" t="s">
        <v>663</v>
      </c>
      <c r="AR163" s="3">
        <f t="shared" si="43"/>
        <v>0</v>
      </c>
    </row>
    <row r="164" spans="2:44" x14ac:dyDescent="0.25">
      <c r="B164" s="2">
        <v>1</v>
      </c>
      <c r="C164" t="s">
        <v>664</v>
      </c>
      <c r="AR164" s="3">
        <f t="shared" si="43"/>
        <v>0</v>
      </c>
    </row>
    <row r="165" spans="2:44" x14ac:dyDescent="0.25">
      <c r="B165" s="2">
        <v>1</v>
      </c>
      <c r="C165" t="s">
        <v>665</v>
      </c>
      <c r="AR165" s="3">
        <f t="shared" si="43"/>
        <v>0</v>
      </c>
    </row>
    <row r="166" spans="2:44" x14ac:dyDescent="0.25">
      <c r="B166" s="2">
        <v>1</v>
      </c>
      <c r="C166" t="s">
        <v>667</v>
      </c>
      <c r="AR166" s="3">
        <f t="shared" si="43"/>
        <v>0</v>
      </c>
    </row>
    <row r="167" spans="2:44" x14ac:dyDescent="0.25">
      <c r="AR167" s="3">
        <f t="shared" si="43"/>
        <v>0</v>
      </c>
    </row>
    <row r="168" spans="2:44" x14ac:dyDescent="0.25">
      <c r="C168" s="58" t="s">
        <v>670</v>
      </c>
      <c r="AA168" s="1">
        <v>-19</v>
      </c>
      <c r="AR168" s="3">
        <f t="shared" si="43"/>
        <v>-19</v>
      </c>
    </row>
    <row r="169" spans="2:44" x14ac:dyDescent="0.25">
      <c r="C169" t="s">
        <v>611</v>
      </c>
      <c r="AR169" s="3">
        <f t="shared" si="43"/>
        <v>0</v>
      </c>
    </row>
    <row r="170" spans="2:44" x14ac:dyDescent="0.25">
      <c r="C170" t="s">
        <v>612</v>
      </c>
      <c r="AR170" s="3">
        <f t="shared" si="43"/>
        <v>0</v>
      </c>
    </row>
    <row r="171" spans="2:44" x14ac:dyDescent="0.25">
      <c r="C171" t="s">
        <v>613</v>
      </c>
      <c r="AR171" s="3">
        <f t="shared" si="43"/>
        <v>0</v>
      </c>
    </row>
    <row r="172" spans="2:44" x14ac:dyDescent="0.25">
      <c r="C172" t="s">
        <v>614</v>
      </c>
      <c r="AR172" s="3">
        <f t="shared" si="43"/>
        <v>0</v>
      </c>
    </row>
    <row r="173" spans="2:44" x14ac:dyDescent="0.25">
      <c r="C173" t="s">
        <v>615</v>
      </c>
      <c r="AR173" s="3">
        <f t="shared" si="43"/>
        <v>0</v>
      </c>
    </row>
    <row r="174" spans="2:44" x14ac:dyDescent="0.25">
      <c r="C174" t="s">
        <v>616</v>
      </c>
      <c r="AR174" s="3">
        <f t="shared" si="43"/>
        <v>0</v>
      </c>
    </row>
    <row r="175" spans="2:44" x14ac:dyDescent="0.25">
      <c r="C175" t="s">
        <v>617</v>
      </c>
      <c r="AR175" s="3">
        <f t="shared" si="43"/>
        <v>0</v>
      </c>
    </row>
    <row r="176" spans="2:44" x14ac:dyDescent="0.25">
      <c r="C176" t="s">
        <v>618</v>
      </c>
      <c r="AR176" s="3">
        <f t="shared" si="43"/>
        <v>0</v>
      </c>
    </row>
    <row r="177" spans="3:44" x14ac:dyDescent="0.25">
      <c r="C177" t="s">
        <v>623</v>
      </c>
      <c r="AR177" s="3">
        <f t="shared" si="43"/>
        <v>0</v>
      </c>
    </row>
    <row r="178" spans="3:44" x14ac:dyDescent="0.25">
      <c r="C178" t="s">
        <v>624</v>
      </c>
      <c r="AR178" s="3">
        <f t="shared" si="43"/>
        <v>0</v>
      </c>
    </row>
    <row r="179" spans="3:44" x14ac:dyDescent="0.25">
      <c r="C179" t="s">
        <v>629</v>
      </c>
      <c r="AR179" s="3">
        <f t="shared" si="43"/>
        <v>0</v>
      </c>
    </row>
    <row r="180" spans="3:44" x14ac:dyDescent="0.25">
      <c r="C180" t="s">
        <v>631</v>
      </c>
      <c r="AR180" s="3">
        <f t="shared" si="43"/>
        <v>0</v>
      </c>
    </row>
    <row r="181" spans="3:44" x14ac:dyDescent="0.25">
      <c r="C181" t="s">
        <v>633</v>
      </c>
      <c r="AR181" s="3">
        <f t="shared" si="43"/>
        <v>0</v>
      </c>
    </row>
    <row r="182" spans="3:44" x14ac:dyDescent="0.25">
      <c r="C182" t="s">
        <v>637</v>
      </c>
      <c r="AR182" s="3">
        <f t="shared" si="43"/>
        <v>0</v>
      </c>
    </row>
    <row r="183" spans="3:44" x14ac:dyDescent="0.25">
      <c r="C183" t="s">
        <v>639</v>
      </c>
      <c r="AR183" s="3">
        <f t="shared" si="43"/>
        <v>0</v>
      </c>
    </row>
    <row r="184" spans="3:44" x14ac:dyDescent="0.25">
      <c r="C184" t="s">
        <v>640</v>
      </c>
      <c r="AR184" s="3">
        <f t="shared" si="43"/>
        <v>0</v>
      </c>
    </row>
    <row r="185" spans="3:44" x14ac:dyDescent="0.25">
      <c r="C185" t="s">
        <v>641</v>
      </c>
      <c r="AR185" s="3">
        <f t="shared" si="43"/>
        <v>0</v>
      </c>
    </row>
    <row r="186" spans="3:44" x14ac:dyDescent="0.25">
      <c r="C186" t="s">
        <v>643</v>
      </c>
      <c r="AR186" s="3">
        <f t="shared" si="43"/>
        <v>0</v>
      </c>
    </row>
    <row r="187" spans="3:44" x14ac:dyDescent="0.25">
      <c r="C187" t="s">
        <v>644</v>
      </c>
      <c r="AR187" s="3">
        <f t="shared" si="43"/>
        <v>0</v>
      </c>
    </row>
    <row r="188" spans="3:44" x14ac:dyDescent="0.25">
      <c r="C188" t="s">
        <v>653</v>
      </c>
      <c r="AR188" s="3">
        <f t="shared" si="43"/>
        <v>0</v>
      </c>
    </row>
    <row r="189" spans="3:44" x14ac:dyDescent="0.25">
      <c r="C189" t="s">
        <v>659</v>
      </c>
      <c r="AR189" s="3">
        <f t="shared" si="43"/>
        <v>0</v>
      </c>
    </row>
    <row r="190" spans="3:44" x14ac:dyDescent="0.25">
      <c r="C190" t="s">
        <v>661</v>
      </c>
      <c r="AR190" s="3">
        <f t="shared" si="43"/>
        <v>0</v>
      </c>
    </row>
    <row r="191" spans="3:44" x14ac:dyDescent="0.25">
      <c r="C191" t="s">
        <v>666</v>
      </c>
      <c r="AR191" s="3">
        <f t="shared" si="43"/>
        <v>0</v>
      </c>
    </row>
    <row r="192" spans="3:44" x14ac:dyDescent="0.25">
      <c r="C192" t="s">
        <v>668</v>
      </c>
      <c r="AR192" s="3">
        <f t="shared" si="43"/>
        <v>0</v>
      </c>
    </row>
    <row r="193" spans="3:44" x14ac:dyDescent="0.25">
      <c r="C193" s="2" t="s">
        <v>534</v>
      </c>
      <c r="D193" s="3">
        <f>SUM(D132:D192)</f>
        <v>0</v>
      </c>
      <c r="E193" s="3">
        <f t="shared" ref="E193" si="44">SUM(E132:E192)</f>
        <v>0</v>
      </c>
      <c r="F193" s="3">
        <f t="shared" ref="F193" si="45">SUM(F132:F192)</f>
        <v>0</v>
      </c>
      <c r="G193" s="3">
        <f t="shared" ref="G193" si="46">SUM(G132:G192)</f>
        <v>0</v>
      </c>
      <c r="H193" s="3">
        <f t="shared" ref="H193" si="47">SUM(H132:H192)</f>
        <v>0</v>
      </c>
      <c r="I193" s="3">
        <f t="shared" ref="I193" si="48">SUM(I132:I192)</f>
        <v>0</v>
      </c>
      <c r="J193" s="3">
        <f t="shared" ref="J193" si="49">SUM(J132:J192)</f>
        <v>0</v>
      </c>
      <c r="K193" s="3">
        <f t="shared" ref="K193" si="50">SUM(K132:K192)</f>
        <v>0</v>
      </c>
      <c r="L193" s="3">
        <f t="shared" ref="L193" si="51">SUM(L132:L192)</f>
        <v>0</v>
      </c>
      <c r="M193" s="3">
        <f t="shared" ref="M193" si="52">SUM(M132:M192)</f>
        <v>0</v>
      </c>
      <c r="N193" s="3">
        <f t="shared" ref="N193" si="53">SUM(N132:N192)</f>
        <v>0</v>
      </c>
      <c r="O193" s="3">
        <f t="shared" ref="O193" si="54">SUM(O132:O192)</f>
        <v>0</v>
      </c>
      <c r="P193" s="3">
        <f t="shared" ref="P193" si="55">SUM(P132:P192)</f>
        <v>-18.72</v>
      </c>
      <c r="Q193" s="3">
        <f t="shared" ref="Q193" si="56">SUM(Q132:Q192)</f>
        <v>0</v>
      </c>
      <c r="R193" s="3">
        <f t="shared" ref="R193" si="57">SUM(R132:R192)</f>
        <v>0</v>
      </c>
      <c r="S193" s="3">
        <f t="shared" ref="S193" si="58">SUM(S132:S192)</f>
        <v>0</v>
      </c>
      <c r="T193" s="3">
        <f t="shared" ref="T193" si="59">SUM(T132:T192)</f>
        <v>0</v>
      </c>
      <c r="U193" s="3">
        <f t="shared" ref="U193" si="60">SUM(U132:U192)</f>
        <v>0</v>
      </c>
      <c r="V193" s="3">
        <f t="shared" ref="V193" si="61">SUM(V132:V192)</f>
        <v>-18.72</v>
      </c>
      <c r="W193" s="3">
        <f t="shared" ref="W193" si="62">SUM(W132:W192)</f>
        <v>-37.44</v>
      </c>
      <c r="X193" s="3">
        <f t="shared" ref="X193" si="63">SUM(X132:X192)</f>
        <v>-18.72</v>
      </c>
      <c r="Y193" s="3">
        <f t="shared" ref="Y193" si="64">SUM(Y132:Y192)</f>
        <v>0</v>
      </c>
      <c r="Z193" s="3">
        <f t="shared" ref="Z193" si="65">SUM(Z132:Z192)</f>
        <v>-133.36000000000001</v>
      </c>
      <c r="AA193" s="3">
        <f t="shared" ref="AA193" si="66">SUM(AA132:AA192)</f>
        <v>-19</v>
      </c>
      <c r="AB193" s="3">
        <f t="shared" ref="AB193" si="67">SUM(AB132:AB192)</f>
        <v>0</v>
      </c>
      <c r="AC193" s="3">
        <f t="shared" ref="AC193" si="68">SUM(AC132:AC192)</f>
        <v>-18.72</v>
      </c>
      <c r="AD193" s="3">
        <f t="shared" ref="AD193" si="69">SUM(AD132:AD192)</f>
        <v>-18.72</v>
      </c>
      <c r="AE193" s="3">
        <f t="shared" ref="AE193" si="70">SUM(AE132:AE192)</f>
        <v>0</v>
      </c>
      <c r="AF193" s="3">
        <f t="shared" ref="AF193" si="71">SUM(AF132:AF192)</f>
        <v>0</v>
      </c>
      <c r="AG193" s="3">
        <f t="shared" ref="AG193" si="72">SUM(AG132:AG192)</f>
        <v>-30.88</v>
      </c>
      <c r="AH193" s="3">
        <f t="shared" ref="AH193" si="73">SUM(AH132:AH192)</f>
        <v>-15.44</v>
      </c>
      <c r="AI193" s="3">
        <f t="shared" ref="AI193" si="74">SUM(AI132:AI192)</f>
        <v>-80.47999999999999</v>
      </c>
      <c r="AJ193" s="3">
        <f t="shared" ref="AJ193" si="75">SUM(AJ132:AJ192)</f>
        <v>0</v>
      </c>
      <c r="AK193" s="3">
        <f t="shared" ref="AK193" si="76">SUM(AK132:AK192)</f>
        <v>-15.44</v>
      </c>
      <c r="AL193" s="3">
        <f t="shared" ref="AL193" si="77">SUM(AL132:AL192)</f>
        <v>0</v>
      </c>
      <c r="AM193" s="3">
        <f t="shared" ref="AM193" si="78">SUM(AM132:AM192)</f>
        <v>0</v>
      </c>
      <c r="AN193" s="3">
        <f t="shared" ref="AN193" si="79">SUM(AN132:AN192)</f>
        <v>0</v>
      </c>
      <c r="AO193" s="3">
        <f t="shared" ref="AO193" si="80">SUM(AO132:AO192)</f>
        <v>-15.44</v>
      </c>
      <c r="AP193" s="3">
        <f t="shared" ref="AP193" si="81">SUM(AP132:AP192)</f>
        <v>0</v>
      </c>
      <c r="AQ193" s="3">
        <f t="shared" ref="AQ193" si="82">SUM(AQ132:AQ192)</f>
        <v>-154.4</v>
      </c>
      <c r="AR193" s="3">
        <f t="shared" ref="AR193" si="83">SUM(AR132:AR192)</f>
        <v>-595.4799999999999</v>
      </c>
    </row>
  </sheetData>
  <sortState xmlns:xlrd2="http://schemas.microsoft.com/office/spreadsheetml/2017/richdata2" ref="A3:D62">
    <sortCondition ref="B3:B62"/>
  </sortState>
  <pageMargins left="0.11811023622047245" right="0.11811023622047245" top="0.74803149606299213" bottom="0.74803149606299213" header="0.31496062992125984" footer="0.31496062992125984"/>
  <pageSetup paperSize="9" scale="6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V202"/>
  <sheetViews>
    <sheetView workbookViewId="0">
      <pane xSplit="3" ySplit="2" topLeftCell="X86" activePane="bottomRight" state="frozen"/>
      <selection pane="topRight" activeCell="D1" sqref="D1"/>
      <selection pane="bottomLeft" activeCell="A3" sqref="A3"/>
      <selection pane="bottomRight" activeCell="AO162" sqref="AO162"/>
    </sheetView>
  </sheetViews>
  <sheetFormatPr defaultRowHeight="15" x14ac:dyDescent="0.25"/>
  <cols>
    <col min="1" max="2" width="3.42578125" style="2" customWidth="1"/>
    <col min="3" max="3" width="28.85546875" customWidth="1"/>
    <col min="4" max="14" width="9.140625" style="1"/>
    <col min="15" max="43" width="9.140625" style="1" customWidth="1"/>
    <col min="44" max="44" width="9.140625" style="3"/>
    <col min="45" max="45" width="4.42578125" style="1" customWidth="1"/>
    <col min="46" max="46" width="9.140625" style="8"/>
  </cols>
  <sheetData>
    <row r="1" spans="1:46" x14ac:dyDescent="0.25">
      <c r="A1" s="2" t="s">
        <v>43</v>
      </c>
      <c r="D1" s="142">
        <v>45292</v>
      </c>
      <c r="E1" s="142">
        <v>45292</v>
      </c>
      <c r="F1" s="142">
        <v>45292</v>
      </c>
      <c r="G1" s="142">
        <v>45292</v>
      </c>
      <c r="H1" s="142">
        <v>45292</v>
      </c>
      <c r="I1" s="142">
        <v>45323</v>
      </c>
      <c r="J1" s="142">
        <v>45323</v>
      </c>
      <c r="K1" s="142">
        <v>45323</v>
      </c>
      <c r="L1" s="142">
        <v>45323</v>
      </c>
      <c r="M1" s="142">
        <v>45352</v>
      </c>
      <c r="N1" s="142">
        <v>45352</v>
      </c>
      <c r="O1" s="142">
        <v>45352</v>
      </c>
      <c r="P1" s="142">
        <v>45352</v>
      </c>
      <c r="Q1" s="142">
        <v>45383</v>
      </c>
      <c r="R1" s="142">
        <v>45383</v>
      </c>
      <c r="S1" s="142">
        <v>45383</v>
      </c>
      <c r="T1" s="142">
        <v>45383</v>
      </c>
      <c r="U1" s="142">
        <v>45413</v>
      </c>
      <c r="V1" s="142">
        <v>45413</v>
      </c>
      <c r="W1" s="142">
        <v>45413</v>
      </c>
      <c r="X1" s="142">
        <v>45413</v>
      </c>
      <c r="Y1" s="142">
        <v>45413</v>
      </c>
      <c r="Z1" s="142">
        <v>45444</v>
      </c>
      <c r="AA1" s="142">
        <v>45444</v>
      </c>
      <c r="AB1" s="142">
        <v>45444</v>
      </c>
      <c r="AC1" s="142">
        <v>45444</v>
      </c>
      <c r="AD1" s="142">
        <v>45474</v>
      </c>
      <c r="AE1" s="142">
        <v>45474</v>
      </c>
      <c r="AF1" s="142">
        <v>45474</v>
      </c>
      <c r="AG1" s="142">
        <v>45474</v>
      </c>
      <c r="AH1" s="142">
        <v>45474</v>
      </c>
      <c r="AI1" s="142">
        <v>45505</v>
      </c>
      <c r="AJ1" s="142">
        <v>45505</v>
      </c>
      <c r="AK1" s="142">
        <v>45505</v>
      </c>
      <c r="AL1" s="142">
        <v>45505</v>
      </c>
      <c r="AM1" s="142">
        <v>45536</v>
      </c>
      <c r="AN1" s="142">
        <v>45536</v>
      </c>
      <c r="AO1" s="142">
        <v>45536</v>
      </c>
      <c r="AP1" s="142">
        <v>45536</v>
      </c>
      <c r="AQ1" s="13" t="s">
        <v>282</v>
      </c>
    </row>
    <row r="2" spans="1:46" x14ac:dyDescent="0.25">
      <c r="A2" s="2" t="s">
        <v>139</v>
      </c>
      <c r="D2" s="13" t="s">
        <v>491</v>
      </c>
      <c r="E2" s="13" t="s">
        <v>492</v>
      </c>
      <c r="F2" s="13" t="s">
        <v>493</v>
      </c>
      <c r="G2" s="13" t="s">
        <v>494</v>
      </c>
      <c r="H2" s="13" t="s">
        <v>495</v>
      </c>
      <c r="I2" s="13" t="s">
        <v>496</v>
      </c>
      <c r="J2" s="13" t="s">
        <v>263</v>
      </c>
      <c r="K2" s="13" t="s">
        <v>264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3" t="s">
        <v>54</v>
      </c>
      <c r="V2" s="13" t="s">
        <v>20</v>
      </c>
      <c r="W2" s="13" t="s">
        <v>21</v>
      </c>
      <c r="X2" s="13" t="s">
        <v>22</v>
      </c>
      <c r="Y2" s="13" t="s">
        <v>23</v>
      </c>
      <c r="Z2" s="13" t="s">
        <v>24</v>
      </c>
      <c r="AA2" s="13" t="s">
        <v>25</v>
      </c>
      <c r="AB2" s="13" t="s">
        <v>26</v>
      </c>
      <c r="AC2" s="13" t="s">
        <v>27</v>
      </c>
      <c r="AD2" s="13" t="s">
        <v>28</v>
      </c>
      <c r="AE2" s="13" t="s">
        <v>29</v>
      </c>
      <c r="AF2" s="13" t="s">
        <v>30</v>
      </c>
      <c r="AG2" s="13" t="s">
        <v>31</v>
      </c>
      <c r="AH2" s="13" t="s">
        <v>32</v>
      </c>
      <c r="AI2" s="13" t="s">
        <v>33</v>
      </c>
      <c r="AJ2" s="13" t="s">
        <v>34</v>
      </c>
      <c r="AK2" s="13" t="s">
        <v>55</v>
      </c>
      <c r="AL2" s="13" t="s">
        <v>56</v>
      </c>
      <c r="AM2" s="13" t="s">
        <v>57</v>
      </c>
      <c r="AN2" s="13" t="s">
        <v>58</v>
      </c>
      <c r="AO2" s="13" t="s">
        <v>59</v>
      </c>
      <c r="AP2" s="13" t="s">
        <v>60</v>
      </c>
      <c r="AQ2" s="4" t="s">
        <v>61</v>
      </c>
      <c r="AR2" s="52" t="s">
        <v>2</v>
      </c>
    </row>
    <row r="3" spans="1:46" x14ac:dyDescent="0.25">
      <c r="A3" s="14" t="s">
        <v>96</v>
      </c>
      <c r="V3" s="4"/>
      <c r="AR3" s="17"/>
      <c r="AS3"/>
      <c r="AT3"/>
    </row>
    <row r="4" spans="1:46" s="1" customFormat="1" x14ac:dyDescent="0.25">
      <c r="A4" s="15"/>
      <c r="B4" s="1" t="s">
        <v>105</v>
      </c>
      <c r="L4" s="1">
        <v>10634</v>
      </c>
      <c r="M4" s="1">
        <v>1197</v>
      </c>
      <c r="N4" s="1">
        <v>2201</v>
      </c>
      <c r="O4" s="1">
        <v>6804</v>
      </c>
      <c r="P4" s="1">
        <v>3462</v>
      </c>
      <c r="Q4" s="1">
        <v>3318</v>
      </c>
      <c r="R4" s="1">
        <v>11069</v>
      </c>
      <c r="S4" s="1">
        <v>8517</v>
      </c>
      <c r="T4" s="1">
        <v>10129</v>
      </c>
      <c r="U4" s="1">
        <v>10651</v>
      </c>
      <c r="V4" s="1">
        <v>5510</v>
      </c>
      <c r="W4" s="1">
        <v>7693</v>
      </c>
      <c r="X4" s="1">
        <v>8916</v>
      </c>
      <c r="Y4" s="1">
        <v>6284</v>
      </c>
      <c r="Z4" s="1">
        <v>3640</v>
      </c>
      <c r="AA4" s="1">
        <v>3199</v>
      </c>
      <c r="AB4" s="1">
        <v>3297</v>
      </c>
      <c r="AC4" s="1">
        <v>1294</v>
      </c>
      <c r="AD4" s="1">
        <v>3118</v>
      </c>
      <c r="AE4" s="1">
        <v>603</v>
      </c>
      <c r="AF4" s="1">
        <v>306</v>
      </c>
      <c r="AH4" s="1">
        <v>3813</v>
      </c>
      <c r="AI4" s="1">
        <v>126</v>
      </c>
      <c r="AR4" s="17">
        <f>SUM(D4:AQ4)</f>
        <v>115781</v>
      </c>
    </row>
    <row r="5" spans="1:46" s="1" customFormat="1" x14ac:dyDescent="0.25">
      <c r="A5" s="15"/>
      <c r="B5" s="1" t="s">
        <v>106</v>
      </c>
      <c r="P5" s="1">
        <v>7272</v>
      </c>
      <c r="S5" s="1">
        <v>4836</v>
      </c>
      <c r="T5" s="1">
        <v>4163</v>
      </c>
      <c r="U5" s="1">
        <v>6045</v>
      </c>
      <c r="W5" s="1">
        <v>6285</v>
      </c>
      <c r="X5" s="1">
        <v>6702</v>
      </c>
      <c r="Z5" s="1">
        <v>2802</v>
      </c>
      <c r="AA5" s="1">
        <v>2777</v>
      </c>
      <c r="AB5" s="1">
        <v>2094</v>
      </c>
      <c r="AC5" s="1">
        <v>1275</v>
      </c>
      <c r="AD5" s="1">
        <v>777</v>
      </c>
      <c r="AE5" s="1">
        <v>1608</v>
      </c>
      <c r="AF5" s="1">
        <v>739</v>
      </c>
      <c r="AG5" s="1">
        <v>1425</v>
      </c>
      <c r="AH5" s="1">
        <v>1681</v>
      </c>
      <c r="AI5" s="1">
        <v>813</v>
      </c>
      <c r="AJ5" s="1">
        <v>2324</v>
      </c>
      <c r="AK5" s="1">
        <v>2349</v>
      </c>
      <c r="AL5" s="1">
        <v>1761</v>
      </c>
      <c r="AM5" s="1">
        <v>958</v>
      </c>
      <c r="AN5" s="1">
        <v>477</v>
      </c>
      <c r="AR5" s="17">
        <f t="shared" ref="AR5:AR14" si="0">SUM(D5:AQ5)</f>
        <v>59163</v>
      </c>
      <c r="AT5" s="1" t="s">
        <v>763</v>
      </c>
    </row>
    <row r="6" spans="1:46" s="1" customFormat="1" x14ac:dyDescent="0.25">
      <c r="A6" s="16"/>
      <c r="B6" s="1" t="s">
        <v>107</v>
      </c>
      <c r="M6" s="1">
        <v>1419</v>
      </c>
      <c r="N6" s="1">
        <v>3102</v>
      </c>
      <c r="O6" s="1">
        <v>3990</v>
      </c>
      <c r="P6" s="1">
        <v>6942</v>
      </c>
      <c r="Q6" s="1">
        <v>5493</v>
      </c>
      <c r="R6" s="1">
        <v>3805</v>
      </c>
      <c r="S6" s="1">
        <v>3081</v>
      </c>
      <c r="T6" s="1">
        <v>4589</v>
      </c>
      <c r="U6" s="1">
        <v>4464</v>
      </c>
      <c r="V6" s="1">
        <v>6997</v>
      </c>
      <c r="W6" s="1">
        <v>3987</v>
      </c>
      <c r="X6" s="1">
        <v>7647</v>
      </c>
      <c r="Y6" s="1">
        <v>4698</v>
      </c>
      <c r="Z6" s="1">
        <v>2746</v>
      </c>
      <c r="AR6" s="17">
        <f t="shared" si="0"/>
        <v>62960</v>
      </c>
      <c r="AT6" s="1" t="s">
        <v>764</v>
      </c>
    </row>
    <row r="7" spans="1:46" s="1" customFormat="1" x14ac:dyDescent="0.25">
      <c r="A7" s="16"/>
      <c r="B7" s="1" t="s">
        <v>108</v>
      </c>
      <c r="L7" s="1">
        <v>4191</v>
      </c>
      <c r="M7" s="1">
        <v>3345</v>
      </c>
      <c r="N7" s="1">
        <v>3615</v>
      </c>
      <c r="O7" s="1">
        <v>6153</v>
      </c>
      <c r="P7" s="1">
        <v>6692</v>
      </c>
      <c r="Q7" s="1">
        <v>4836</v>
      </c>
      <c r="R7" s="1">
        <v>5383</v>
      </c>
      <c r="S7" s="1">
        <v>3712</v>
      </c>
      <c r="T7" s="1">
        <v>2859</v>
      </c>
      <c r="U7" s="1">
        <v>2622</v>
      </c>
      <c r="V7" s="1">
        <v>5643</v>
      </c>
      <c r="W7" s="1">
        <v>4353</v>
      </c>
      <c r="X7" s="1">
        <v>1008</v>
      </c>
      <c r="Y7" s="1">
        <v>1216</v>
      </c>
      <c r="AA7" s="1">
        <v>1089</v>
      </c>
      <c r="AB7" s="1">
        <v>1067</v>
      </c>
      <c r="AC7" s="1">
        <v>1451</v>
      </c>
      <c r="AD7" s="1">
        <v>204</v>
      </c>
      <c r="AE7" s="1">
        <v>673</v>
      </c>
      <c r="AF7" s="1">
        <v>717</v>
      </c>
      <c r="AG7" s="1">
        <v>354</v>
      </c>
      <c r="AH7" s="1">
        <v>1253</v>
      </c>
      <c r="AI7" s="1">
        <v>1314</v>
      </c>
      <c r="AR7" s="17">
        <f t="shared" si="0"/>
        <v>63750</v>
      </c>
    </row>
    <row r="8" spans="1:46" s="1" customFormat="1" x14ac:dyDescent="0.25">
      <c r="A8" s="16"/>
      <c r="B8" s="1" t="s">
        <v>109</v>
      </c>
      <c r="L8" s="1">
        <v>1878</v>
      </c>
      <c r="M8" s="1">
        <v>4244</v>
      </c>
      <c r="N8" s="1">
        <v>2047</v>
      </c>
      <c r="O8" s="1">
        <v>2319</v>
      </c>
      <c r="Q8" s="1">
        <v>6777</v>
      </c>
      <c r="R8" s="1">
        <v>5322</v>
      </c>
      <c r="S8" s="1">
        <v>3327</v>
      </c>
      <c r="T8" s="1">
        <v>2367</v>
      </c>
      <c r="U8" s="1">
        <v>5778</v>
      </c>
      <c r="V8" s="1">
        <v>4709</v>
      </c>
      <c r="W8" s="1">
        <v>6483</v>
      </c>
      <c r="X8" s="1">
        <v>3283</v>
      </c>
      <c r="Y8" s="1">
        <v>1036</v>
      </c>
      <c r="Z8" s="1">
        <v>835</v>
      </c>
      <c r="AR8" s="17">
        <f t="shared" si="0"/>
        <v>50405</v>
      </c>
    </row>
    <row r="9" spans="1:46" s="1" customFormat="1" x14ac:dyDescent="0.25">
      <c r="A9" s="16"/>
      <c r="B9" s="1" t="s">
        <v>110</v>
      </c>
      <c r="AR9" s="17">
        <f t="shared" si="0"/>
        <v>0</v>
      </c>
    </row>
    <row r="10" spans="1:46" s="1" customFormat="1" x14ac:dyDescent="0.25">
      <c r="A10" s="16"/>
      <c r="B10" s="1" t="s">
        <v>111</v>
      </c>
      <c r="AR10" s="17">
        <f t="shared" si="0"/>
        <v>0</v>
      </c>
    </row>
    <row r="11" spans="1:46" s="1" customFormat="1" x14ac:dyDescent="0.25">
      <c r="A11" s="16"/>
      <c r="B11" s="1" t="s">
        <v>6</v>
      </c>
      <c r="L11" s="1">
        <f>+PassVol!L82</f>
        <v>6480</v>
      </c>
      <c r="M11" s="1">
        <f>+PassVol!M82</f>
        <v>2700</v>
      </c>
      <c r="N11" s="1">
        <f>+PassVol!N82</f>
        <v>2693</v>
      </c>
      <c r="O11" s="1">
        <f>+PassVol!O82</f>
        <v>2700</v>
      </c>
      <c r="P11" s="1">
        <f>+PassVol!P82</f>
        <v>2160</v>
      </c>
      <c r="Q11" s="1">
        <f>+PassVol!Q82</f>
        <v>6480</v>
      </c>
      <c r="R11" s="1">
        <f>+PassVol!R82</f>
        <v>2160</v>
      </c>
      <c r="S11" s="1">
        <f>+PassVol!S82</f>
        <v>2430</v>
      </c>
      <c r="T11" s="1">
        <f>+PassVol!T82</f>
        <v>2652</v>
      </c>
      <c r="U11" s="1">
        <f>+PassVol!U82</f>
        <v>1920</v>
      </c>
      <c r="V11" s="1">
        <f>+PassVol!V82</f>
        <v>1656</v>
      </c>
      <c r="W11" s="1">
        <f>+PassVol!W82</f>
        <v>1404</v>
      </c>
      <c r="X11" s="1">
        <f>+PassVol!X82</f>
        <v>0</v>
      </c>
      <c r="Y11" s="1">
        <f>+PassVol!Y82</f>
        <v>1545</v>
      </c>
      <c r="Z11" s="1">
        <f>+PassVol!Z82</f>
        <v>0</v>
      </c>
      <c r="AA11" s="1">
        <f>+PassVol!AA82</f>
        <v>1300</v>
      </c>
      <c r="AB11" s="1">
        <f>+PassVol!AB82</f>
        <v>0</v>
      </c>
      <c r="AC11" s="1">
        <f>+PassVol!AC82</f>
        <v>1350</v>
      </c>
      <c r="AD11" s="1">
        <f>+PassVol!AD82</f>
        <v>0</v>
      </c>
      <c r="AE11" s="1">
        <f>+PassVol!AE82</f>
        <v>1080</v>
      </c>
      <c r="AF11" s="1">
        <f>+PassVol!AF82</f>
        <v>0</v>
      </c>
      <c r="AG11" s="1">
        <f>+PassVol!AG82</f>
        <v>0</v>
      </c>
      <c r="AH11" s="1">
        <f>+PassVol!AH82</f>
        <v>5400</v>
      </c>
      <c r="AI11" s="1">
        <f>+PassVol!AI82</f>
        <v>0</v>
      </c>
      <c r="AJ11" s="1">
        <f>+PassVol!AJ82</f>
        <v>0</v>
      </c>
      <c r="AK11" s="1">
        <f>+PassVol!AK82</f>
        <v>0</v>
      </c>
      <c r="AL11" s="1">
        <f>+PassVol!AL82</f>
        <v>0</v>
      </c>
      <c r="AM11" s="1">
        <f>+PassVol!AM82</f>
        <v>0</v>
      </c>
      <c r="AN11" s="1">
        <f>+PassVol!AN82</f>
        <v>0</v>
      </c>
      <c r="AO11" s="1">
        <f>+PassVol!AO82</f>
        <v>0</v>
      </c>
      <c r="AP11" s="1">
        <f>+PassVol!AP82</f>
        <v>0</v>
      </c>
      <c r="AQ11" s="1">
        <f>+PassVol!AQ82</f>
        <v>0</v>
      </c>
      <c r="AR11" s="17">
        <f t="shared" si="0"/>
        <v>46110</v>
      </c>
    </row>
    <row r="12" spans="1:46" s="3" customFormat="1" x14ac:dyDescent="0.25">
      <c r="A12" s="16"/>
      <c r="B12" s="3" t="s">
        <v>2</v>
      </c>
      <c r="D12" s="3">
        <f>SUM(D4:D11)</f>
        <v>0</v>
      </c>
      <c r="E12" s="3">
        <f t="shared" ref="E12:J12" si="1">SUM(E4:E11)</f>
        <v>0</v>
      </c>
      <c r="F12" s="3">
        <f t="shared" si="1"/>
        <v>0</v>
      </c>
      <c r="G12" s="3">
        <f t="shared" si="1"/>
        <v>0</v>
      </c>
      <c r="H12" s="3">
        <f t="shared" si="1"/>
        <v>0</v>
      </c>
      <c r="I12" s="3">
        <f t="shared" si="1"/>
        <v>0</v>
      </c>
      <c r="J12" s="3">
        <f t="shared" si="1"/>
        <v>0</v>
      </c>
      <c r="K12" s="3">
        <f>SUM(K4:K11)</f>
        <v>0</v>
      </c>
      <c r="L12" s="3">
        <f>SUM(L4:L11)</f>
        <v>23183</v>
      </c>
      <c r="M12" s="3">
        <f>SUM(M4:M11)</f>
        <v>12905</v>
      </c>
      <c r="N12" s="3">
        <f>SUM(N4:N11)</f>
        <v>13658</v>
      </c>
      <c r="O12" s="3">
        <f t="shared" ref="O12:AR12" si="2">SUM(O4:O11)</f>
        <v>21966</v>
      </c>
      <c r="P12" s="3">
        <f t="shared" si="2"/>
        <v>26528</v>
      </c>
      <c r="Q12" s="3">
        <f t="shared" si="2"/>
        <v>26904</v>
      </c>
      <c r="R12" s="3">
        <f t="shared" si="2"/>
        <v>27739</v>
      </c>
      <c r="S12" s="3">
        <f t="shared" si="2"/>
        <v>25903</v>
      </c>
      <c r="T12" s="3">
        <f t="shared" si="2"/>
        <v>26759</v>
      </c>
      <c r="U12" s="3">
        <f t="shared" si="2"/>
        <v>31480</v>
      </c>
      <c r="V12" s="3">
        <f t="shared" si="2"/>
        <v>24515</v>
      </c>
      <c r="W12" s="3">
        <f t="shared" si="2"/>
        <v>30205</v>
      </c>
      <c r="X12" s="3">
        <f t="shared" si="2"/>
        <v>27556</v>
      </c>
      <c r="Y12" s="3">
        <f t="shared" si="2"/>
        <v>14779</v>
      </c>
      <c r="Z12" s="3">
        <f t="shared" si="2"/>
        <v>10023</v>
      </c>
      <c r="AA12" s="3">
        <f t="shared" si="2"/>
        <v>8365</v>
      </c>
      <c r="AB12" s="3">
        <f t="shared" si="2"/>
        <v>6458</v>
      </c>
      <c r="AC12" s="3">
        <f t="shared" si="2"/>
        <v>5370</v>
      </c>
      <c r="AD12" s="3">
        <f t="shared" si="2"/>
        <v>4099</v>
      </c>
      <c r="AE12" s="3">
        <f t="shared" si="2"/>
        <v>3964</v>
      </c>
      <c r="AF12" s="3">
        <f t="shared" si="2"/>
        <v>1762</v>
      </c>
      <c r="AG12" s="3">
        <f t="shared" si="2"/>
        <v>1779</v>
      </c>
      <c r="AH12" s="3">
        <f t="shared" si="2"/>
        <v>12147</v>
      </c>
      <c r="AI12" s="3">
        <f t="shared" si="2"/>
        <v>2253</v>
      </c>
      <c r="AJ12" s="3">
        <f t="shared" si="2"/>
        <v>2324</v>
      </c>
      <c r="AK12" s="3">
        <f t="shared" si="2"/>
        <v>2349</v>
      </c>
      <c r="AL12" s="3">
        <f t="shared" si="2"/>
        <v>1761</v>
      </c>
      <c r="AM12" s="3">
        <f t="shared" si="2"/>
        <v>958</v>
      </c>
      <c r="AN12" s="3">
        <f t="shared" si="2"/>
        <v>477</v>
      </c>
      <c r="AO12" s="3">
        <f t="shared" si="2"/>
        <v>0</v>
      </c>
      <c r="AP12" s="3">
        <f t="shared" si="2"/>
        <v>0</v>
      </c>
      <c r="AQ12" s="3">
        <f t="shared" si="2"/>
        <v>0</v>
      </c>
      <c r="AR12" s="17">
        <f t="shared" si="2"/>
        <v>398169</v>
      </c>
    </row>
    <row r="13" spans="1:46" s="3" customFormat="1" x14ac:dyDescent="0.25">
      <c r="A13" s="16"/>
      <c r="B13" s="3" t="s">
        <v>503</v>
      </c>
      <c r="D13" s="25">
        <f>+D12-Analysis!C6</f>
        <v>0</v>
      </c>
      <c r="E13" s="25">
        <f>+E12-Analysis!D6</f>
        <v>0</v>
      </c>
      <c r="F13" s="25">
        <f>+F12-Analysis!E6</f>
        <v>0</v>
      </c>
      <c r="G13" s="25">
        <f>+G12-Analysis!F6</f>
        <v>0</v>
      </c>
      <c r="H13" s="25">
        <f>+H12-Analysis!G6</f>
        <v>0</v>
      </c>
      <c r="I13" s="25">
        <f>+I12-Analysis!H6</f>
        <v>0</v>
      </c>
      <c r="J13" s="25">
        <f>+J12-Analysis!I6</f>
        <v>0</v>
      </c>
      <c r="K13" s="25">
        <f>+K12-Analysis!J6</f>
        <v>0</v>
      </c>
      <c r="L13" s="25">
        <f>+L12-Analysis!K6</f>
        <v>0</v>
      </c>
      <c r="M13" s="25">
        <f>+M12-Analysis!L6</f>
        <v>15</v>
      </c>
      <c r="N13" s="25">
        <f>+N12-Analysis!M6</f>
        <v>0</v>
      </c>
      <c r="O13" s="25">
        <f>+O12-Analysis!N6</f>
        <v>0</v>
      </c>
      <c r="P13" s="25">
        <f>+P12-Analysis!O6</f>
        <v>-1</v>
      </c>
      <c r="Q13" s="25">
        <f>+Q12-Analysis!P6</f>
        <v>0</v>
      </c>
      <c r="R13" s="25">
        <f>+R12-Analysis!Q6</f>
        <v>0</v>
      </c>
      <c r="S13" s="25">
        <f>+S12-Analysis!R6</f>
        <v>0</v>
      </c>
      <c r="T13" s="25">
        <f>+T12-Analysis!S6</f>
        <v>0</v>
      </c>
      <c r="U13" s="25">
        <f>+U12-Analysis!T6</f>
        <v>42</v>
      </c>
      <c r="V13" s="25">
        <f>+V12-Analysis!U6</f>
        <v>0</v>
      </c>
      <c r="W13" s="25">
        <f>+W12-Analysis!V6</f>
        <v>0</v>
      </c>
      <c r="X13" s="25">
        <f>+X12-Analysis!W6</f>
        <v>0</v>
      </c>
      <c r="Y13" s="25">
        <f>+Y12-Analysis!X6</f>
        <v>0</v>
      </c>
      <c r="Z13" s="25">
        <f>+Z12-Analysis!Y6</f>
        <v>0</v>
      </c>
      <c r="AA13" s="25">
        <f>+AA12-Analysis!Z6</f>
        <v>0</v>
      </c>
      <c r="AB13" s="25">
        <f>+AB12-Analysis!AA6</f>
        <v>0</v>
      </c>
      <c r="AC13" s="25">
        <f>+AC12-Analysis!AB6</f>
        <v>-1</v>
      </c>
      <c r="AD13" s="25">
        <f>+AD12-Analysis!AC6</f>
        <v>0</v>
      </c>
      <c r="AE13" s="25">
        <f>+AE12-Analysis!AD6</f>
        <v>0</v>
      </c>
      <c r="AF13" s="25">
        <f>+AF12-Analysis!AE6</f>
        <v>6</v>
      </c>
      <c r="AG13" s="25">
        <f>+AG12-Analysis!AF6</f>
        <v>0</v>
      </c>
      <c r="AH13" s="25">
        <f>+AH12-Analysis!AG6</f>
        <v>0</v>
      </c>
      <c r="AI13" s="25">
        <f>+AI12-Analysis!AH6</f>
        <v>0</v>
      </c>
      <c r="AJ13" s="25">
        <f>+AJ12-Analysis!AI6</f>
        <v>0</v>
      </c>
      <c r="AK13" s="25">
        <f>+AK12-Analysis!AJ6</f>
        <v>0</v>
      </c>
      <c r="AL13" s="25">
        <f>+AL12-Analysis!AK6</f>
        <v>0</v>
      </c>
      <c r="AM13" s="25">
        <f>+AM12-Analysis!AL6</f>
        <v>0</v>
      </c>
      <c r="AN13" s="25">
        <f>+AN12-Analysis!AM6</f>
        <v>0</v>
      </c>
      <c r="AO13" s="25">
        <f>+AO12-Analysis!AN6</f>
        <v>0</v>
      </c>
      <c r="AP13" s="25">
        <f>+AP12-Analysis!AO6</f>
        <v>0</v>
      </c>
      <c r="AQ13" s="25">
        <f>+AQ12-Analysis!AP6</f>
        <v>0</v>
      </c>
      <c r="AR13" s="17"/>
    </row>
    <row r="14" spans="1:46" s="1" customFormat="1" x14ac:dyDescent="0.25">
      <c r="A14" s="16" t="s">
        <v>361</v>
      </c>
      <c r="B14" s="3"/>
      <c r="L14" s="1">
        <v>120</v>
      </c>
      <c r="M14" s="1">
        <v>50</v>
      </c>
      <c r="N14" s="1">
        <v>50</v>
      </c>
      <c r="O14" s="1">
        <v>50</v>
      </c>
      <c r="P14" s="1">
        <v>40</v>
      </c>
      <c r="Q14" s="1">
        <v>120</v>
      </c>
      <c r="R14" s="1">
        <v>100</v>
      </c>
      <c r="S14" s="1">
        <v>45</v>
      </c>
      <c r="T14" s="1">
        <v>110</v>
      </c>
      <c r="U14" s="1">
        <v>40</v>
      </c>
      <c r="V14" s="1">
        <v>83</v>
      </c>
      <c r="W14" s="1">
        <v>26</v>
      </c>
      <c r="X14" s="1">
        <v>0</v>
      </c>
      <c r="Y14" s="1">
        <v>30</v>
      </c>
      <c r="Z14" s="1">
        <v>0</v>
      </c>
      <c r="AA14" s="1">
        <v>25</v>
      </c>
      <c r="AC14" s="1">
        <v>25</v>
      </c>
      <c r="AE14" s="1">
        <v>20</v>
      </c>
      <c r="AH14" s="1">
        <v>100</v>
      </c>
      <c r="AR14" s="17">
        <f t="shared" si="0"/>
        <v>1034</v>
      </c>
    </row>
    <row r="15" spans="1:46" s="1" customFormat="1" x14ac:dyDescent="0.25">
      <c r="A15" s="16" t="s">
        <v>693</v>
      </c>
      <c r="B15" s="3"/>
      <c r="G15" s="1">
        <v>163</v>
      </c>
      <c r="J15" s="1">
        <v>40</v>
      </c>
      <c r="K15" s="1">
        <v>75</v>
      </c>
      <c r="L15" s="1">
        <v>326</v>
      </c>
      <c r="M15" s="1">
        <f>204+2</f>
        <v>206</v>
      </c>
      <c r="N15" s="1">
        <f>214+2</f>
        <v>216</v>
      </c>
      <c r="O15" s="1">
        <v>290</v>
      </c>
      <c r="P15" s="1">
        <v>250</v>
      </c>
      <c r="Q15" s="1">
        <v>696</v>
      </c>
      <c r="R15" s="1">
        <f>628+97</f>
        <v>725</v>
      </c>
      <c r="S15" s="1">
        <f>665-S14</f>
        <v>620</v>
      </c>
      <c r="T15" s="1">
        <f>713-T14</f>
        <v>603</v>
      </c>
      <c r="U15" s="1">
        <f>644-U14+128</f>
        <v>732</v>
      </c>
      <c r="V15" s="1">
        <f>394-V14+26</f>
        <v>337</v>
      </c>
      <c r="W15" s="1">
        <f>481-W14+118</f>
        <v>573</v>
      </c>
      <c r="X15" s="1">
        <f>486-X14</f>
        <v>486</v>
      </c>
      <c r="Y15" s="1">
        <f>596-Y14+24</f>
        <v>590</v>
      </c>
      <c r="Z15" s="1">
        <f>205-Z14</f>
        <v>205</v>
      </c>
      <c r="AA15" s="1">
        <f>197-AA14</f>
        <v>172</v>
      </c>
      <c r="AB15" s="1">
        <f>142-AB14</f>
        <v>142</v>
      </c>
      <c r="AC15" s="1">
        <f>79-AC14</f>
        <v>54</v>
      </c>
      <c r="AD15" s="1">
        <f>122-AD14</f>
        <v>122</v>
      </c>
      <c r="AE15" s="1">
        <f>41-AE14</f>
        <v>21</v>
      </c>
      <c r="AF15" s="1">
        <v>10</v>
      </c>
      <c r="AG15" s="1">
        <v>0</v>
      </c>
      <c r="AH15" s="1">
        <f>229-AH14</f>
        <v>129</v>
      </c>
      <c r="AI15" s="1">
        <v>20</v>
      </c>
      <c r="AR15" s="17">
        <f>SUM(D15:AQ15)</f>
        <v>7803</v>
      </c>
    </row>
    <row r="16" spans="1:46" s="1" customFormat="1" x14ac:dyDescent="0.25">
      <c r="A16" s="16" t="s">
        <v>317</v>
      </c>
      <c r="B16" s="3"/>
      <c r="AG16" s="4" t="s">
        <v>761</v>
      </c>
      <c r="AR16" s="17"/>
    </row>
    <row r="17" spans="1:46" s="1" customFormat="1" x14ac:dyDescent="0.25">
      <c r="A17" s="16"/>
      <c r="B17" s="1" t="s">
        <v>105</v>
      </c>
      <c r="D17" s="1">
        <f t="shared" ref="D17:Y17" si="3">+D60+D71+D82+D93+D105+D116+D127</f>
        <v>0</v>
      </c>
      <c r="E17" s="1">
        <f t="shared" si="3"/>
        <v>0</v>
      </c>
      <c r="F17" s="1">
        <f t="shared" si="3"/>
        <v>0</v>
      </c>
      <c r="G17" s="1">
        <f t="shared" si="3"/>
        <v>4517</v>
      </c>
      <c r="H17" s="1">
        <f t="shared" si="3"/>
        <v>390</v>
      </c>
      <c r="I17" s="1">
        <f t="shared" si="3"/>
        <v>0</v>
      </c>
      <c r="J17" s="1">
        <f t="shared" si="3"/>
        <v>1200</v>
      </c>
      <c r="K17" s="1">
        <f t="shared" si="3"/>
        <v>2295</v>
      </c>
      <c r="L17" s="1">
        <f t="shared" si="3"/>
        <v>1852</v>
      </c>
      <c r="M17" s="1">
        <f t="shared" si="3"/>
        <v>4588</v>
      </c>
      <c r="N17" s="1">
        <f t="shared" ref="N17:S17" si="4">+N60+N71+N82+N93+N105+N116+N127</f>
        <v>4213</v>
      </c>
      <c r="O17" s="1">
        <f t="shared" si="4"/>
        <v>3587</v>
      </c>
      <c r="P17" s="1">
        <f t="shared" si="4"/>
        <v>4498</v>
      </c>
      <c r="Q17" s="1">
        <f t="shared" si="4"/>
        <v>2700</v>
      </c>
      <c r="R17" s="1">
        <f t="shared" si="4"/>
        <v>12581</v>
      </c>
      <c r="S17" s="1">
        <f t="shared" si="4"/>
        <v>11665</v>
      </c>
      <c r="T17" s="1">
        <f t="shared" si="3"/>
        <v>11979</v>
      </c>
      <c r="U17" s="1">
        <f t="shared" si="3"/>
        <v>12617</v>
      </c>
      <c r="V17" s="1">
        <f t="shared" si="3"/>
        <v>5717</v>
      </c>
      <c r="W17" s="1">
        <f t="shared" si="3"/>
        <v>10313</v>
      </c>
      <c r="X17" s="1">
        <f t="shared" si="3"/>
        <v>8107</v>
      </c>
      <c r="Y17" s="1">
        <f t="shared" si="3"/>
        <v>8987</v>
      </c>
      <c r="Z17" s="1">
        <f t="shared" ref="Z17:AQ17" si="5">+Z60+Z71+Z82+Z93+Z105+Z116+Z127</f>
        <v>2903</v>
      </c>
      <c r="AA17" s="1">
        <f t="shared" si="5"/>
        <v>2306</v>
      </c>
      <c r="AB17" s="1">
        <f t="shared" si="5"/>
        <v>1537</v>
      </c>
      <c r="AC17" s="1">
        <f t="shared" si="5"/>
        <v>624</v>
      </c>
      <c r="AD17" s="1">
        <f t="shared" si="5"/>
        <v>278</v>
      </c>
      <c r="AE17" s="1">
        <f t="shared" si="5"/>
        <v>195</v>
      </c>
      <c r="AF17" s="1">
        <f t="shared" si="5"/>
        <v>105</v>
      </c>
      <c r="AG17" s="1">
        <f t="shared" si="5"/>
        <v>0</v>
      </c>
      <c r="AH17" s="1">
        <f t="shared" si="5"/>
        <v>438</v>
      </c>
      <c r="AI17" s="1">
        <f t="shared" si="5"/>
        <v>510</v>
      </c>
      <c r="AJ17" s="1">
        <f t="shared" si="5"/>
        <v>0</v>
      </c>
      <c r="AK17" s="1">
        <f t="shared" si="5"/>
        <v>0</v>
      </c>
      <c r="AL17" s="1">
        <f t="shared" si="5"/>
        <v>0</v>
      </c>
      <c r="AM17" s="1">
        <f t="shared" si="5"/>
        <v>0</v>
      </c>
      <c r="AN17" s="1">
        <f t="shared" si="5"/>
        <v>0</v>
      </c>
      <c r="AO17" s="1">
        <f t="shared" si="5"/>
        <v>0</v>
      </c>
      <c r="AP17" s="1">
        <f t="shared" si="5"/>
        <v>0</v>
      </c>
      <c r="AQ17" s="1">
        <f t="shared" si="5"/>
        <v>0</v>
      </c>
      <c r="AR17" s="17">
        <f>SUM(D17:AQ17)</f>
        <v>120702</v>
      </c>
    </row>
    <row r="18" spans="1:46" s="1" customFormat="1" x14ac:dyDescent="0.25">
      <c r="A18" s="16"/>
      <c r="B18" s="1" t="s">
        <v>106</v>
      </c>
      <c r="D18" s="1">
        <f t="shared" ref="D18:D23" si="6">+D61+D72+D83+D94+D106+D117+D128</f>
        <v>0</v>
      </c>
      <c r="E18" s="1">
        <f t="shared" ref="E18:M18" si="7">+E61+E72+E83+E94+E106+E117+E128</f>
        <v>0</v>
      </c>
      <c r="F18" s="1">
        <f t="shared" si="7"/>
        <v>0</v>
      </c>
      <c r="G18" s="1">
        <f t="shared" si="7"/>
        <v>0</v>
      </c>
      <c r="H18" s="1">
        <f t="shared" si="7"/>
        <v>0</v>
      </c>
      <c r="I18" s="1">
        <f t="shared" si="7"/>
        <v>0</v>
      </c>
      <c r="J18" s="1">
        <f t="shared" si="7"/>
        <v>0</v>
      </c>
      <c r="K18" s="1">
        <f t="shared" si="7"/>
        <v>0</v>
      </c>
      <c r="L18" s="1">
        <f t="shared" si="7"/>
        <v>0</v>
      </c>
      <c r="M18" s="1">
        <f t="shared" si="7"/>
        <v>0</v>
      </c>
      <c r="N18" s="1">
        <f t="shared" ref="N18" si="8">+N61+N72+N83+N94+N106+N117+N128</f>
        <v>0</v>
      </c>
      <c r="O18" s="1">
        <f t="shared" ref="O18:S18" si="9">+O61+O72+O83+O94+O106+O117+O128</f>
        <v>0</v>
      </c>
      <c r="P18" s="1">
        <f t="shared" si="9"/>
        <v>4605</v>
      </c>
      <c r="Q18" s="1">
        <f t="shared" si="9"/>
        <v>0</v>
      </c>
      <c r="R18" s="1">
        <f t="shared" si="9"/>
        <v>0</v>
      </c>
      <c r="S18" s="1">
        <f t="shared" si="9"/>
        <v>3283</v>
      </c>
      <c r="T18" s="1">
        <f t="shared" ref="T18:Y23" si="10">+T61+T72+T83+T94+T106+T117+T128</f>
        <v>5643</v>
      </c>
      <c r="U18" s="1">
        <f t="shared" si="10"/>
        <v>5822</v>
      </c>
      <c r="V18" s="1">
        <f t="shared" si="10"/>
        <v>0</v>
      </c>
      <c r="W18" s="1">
        <f t="shared" si="10"/>
        <v>3488</v>
      </c>
      <c r="X18" s="1">
        <f t="shared" si="10"/>
        <v>3232</v>
      </c>
      <c r="Y18" s="1">
        <f t="shared" si="10"/>
        <v>0</v>
      </c>
      <c r="Z18" s="1">
        <f t="shared" ref="Z18:AQ18" si="11">+Z61+Z72+Z83+Z94+Z106+Z117+Z128</f>
        <v>1020</v>
      </c>
      <c r="AA18" s="1">
        <f t="shared" si="11"/>
        <v>1485</v>
      </c>
      <c r="AB18" s="1">
        <f t="shared" si="11"/>
        <v>708</v>
      </c>
      <c r="AC18" s="1">
        <f t="shared" si="11"/>
        <v>244</v>
      </c>
      <c r="AD18" s="1">
        <f t="shared" si="11"/>
        <v>1263</v>
      </c>
      <c r="AE18" s="1">
        <f t="shared" si="11"/>
        <v>403</v>
      </c>
      <c r="AF18" s="1">
        <f t="shared" si="11"/>
        <v>318</v>
      </c>
      <c r="AG18" s="1">
        <f t="shared" si="11"/>
        <v>583</v>
      </c>
      <c r="AH18" s="1">
        <f t="shared" si="11"/>
        <v>88</v>
      </c>
      <c r="AI18" s="1">
        <f t="shared" si="11"/>
        <v>162</v>
      </c>
      <c r="AJ18" s="1">
        <f t="shared" si="11"/>
        <v>2191</v>
      </c>
      <c r="AK18" s="1">
        <f t="shared" si="11"/>
        <v>955</v>
      </c>
      <c r="AL18" s="1">
        <f t="shared" si="11"/>
        <v>748</v>
      </c>
      <c r="AM18" s="1">
        <f t="shared" si="11"/>
        <v>460</v>
      </c>
      <c r="AN18" s="1">
        <f t="shared" si="11"/>
        <v>434</v>
      </c>
      <c r="AO18" s="1">
        <f t="shared" si="11"/>
        <v>126</v>
      </c>
      <c r="AP18" s="1">
        <f t="shared" si="11"/>
        <v>0</v>
      </c>
      <c r="AQ18" s="1">
        <f t="shared" si="11"/>
        <v>0</v>
      </c>
      <c r="AR18" s="17">
        <f t="shared" ref="AR18:AR24" si="12">SUM(D18:AQ18)</f>
        <v>37261</v>
      </c>
    </row>
    <row r="19" spans="1:46" s="1" customFormat="1" x14ac:dyDescent="0.25">
      <c r="A19" s="16"/>
      <c r="B19" s="1" t="s">
        <v>107</v>
      </c>
      <c r="D19" s="1">
        <f t="shared" si="6"/>
        <v>0</v>
      </c>
      <c r="E19" s="1">
        <f t="shared" ref="E19:M19" si="13">+E62+E73+E84+E95+E107+E118+E129</f>
        <v>0</v>
      </c>
      <c r="F19" s="1">
        <f t="shared" si="13"/>
        <v>0</v>
      </c>
      <c r="G19" s="1">
        <f t="shared" si="13"/>
        <v>0</v>
      </c>
      <c r="H19" s="1">
        <f t="shared" si="13"/>
        <v>0</v>
      </c>
      <c r="I19" s="1">
        <f t="shared" si="13"/>
        <v>0</v>
      </c>
      <c r="J19" s="1">
        <f t="shared" si="13"/>
        <v>0</v>
      </c>
      <c r="K19" s="1">
        <f t="shared" si="13"/>
        <v>0</v>
      </c>
      <c r="L19" s="1">
        <f t="shared" si="13"/>
        <v>0</v>
      </c>
      <c r="M19" s="1">
        <f t="shared" si="13"/>
        <v>2191</v>
      </c>
      <c r="N19" s="1">
        <f t="shared" ref="N19" si="14">+N62+N73+N84+N95+N107+N118+N129</f>
        <v>1660</v>
      </c>
      <c r="O19" s="1">
        <f t="shared" ref="O19:S19" si="15">+O62+O73+O84+O95+O107+O118+O129</f>
        <v>2527</v>
      </c>
      <c r="P19" s="1">
        <f t="shared" si="15"/>
        <v>5001</v>
      </c>
      <c r="Q19" s="1">
        <f t="shared" si="15"/>
        <v>4520</v>
      </c>
      <c r="R19" s="1">
        <f t="shared" si="15"/>
        <v>4256</v>
      </c>
      <c r="S19" s="1">
        <f t="shared" si="15"/>
        <v>3243</v>
      </c>
      <c r="T19" s="1">
        <f t="shared" si="10"/>
        <v>4460</v>
      </c>
      <c r="U19" s="1">
        <f t="shared" si="10"/>
        <v>3975</v>
      </c>
      <c r="V19" s="1">
        <f t="shared" si="10"/>
        <v>5655</v>
      </c>
      <c r="W19" s="1">
        <f t="shared" si="10"/>
        <v>1452</v>
      </c>
      <c r="X19" s="1">
        <f t="shared" si="10"/>
        <v>3356</v>
      </c>
      <c r="Y19" s="1">
        <f t="shared" si="10"/>
        <v>3227</v>
      </c>
      <c r="Z19" s="1">
        <f t="shared" ref="Z19:AQ19" si="16">+Z62+Z73+Z84+Z95+Z107+Z118+Z129</f>
        <v>1153</v>
      </c>
      <c r="AA19" s="1">
        <f t="shared" si="16"/>
        <v>0</v>
      </c>
      <c r="AB19" s="1">
        <f t="shared" si="16"/>
        <v>0</v>
      </c>
      <c r="AC19" s="1">
        <f t="shared" si="16"/>
        <v>0</v>
      </c>
      <c r="AD19" s="1">
        <f t="shared" si="16"/>
        <v>0</v>
      </c>
      <c r="AE19" s="1">
        <f t="shared" si="16"/>
        <v>0</v>
      </c>
      <c r="AF19" s="1">
        <f t="shared" si="16"/>
        <v>0</v>
      </c>
      <c r="AG19" s="1">
        <f t="shared" si="16"/>
        <v>0</v>
      </c>
      <c r="AH19" s="1">
        <f t="shared" si="16"/>
        <v>0</v>
      </c>
      <c r="AI19" s="1">
        <f t="shared" si="16"/>
        <v>0</v>
      </c>
      <c r="AJ19" s="1">
        <f t="shared" si="16"/>
        <v>0</v>
      </c>
      <c r="AK19" s="1">
        <f t="shared" si="16"/>
        <v>0</v>
      </c>
      <c r="AL19" s="1">
        <f t="shared" si="16"/>
        <v>0</v>
      </c>
      <c r="AM19" s="1">
        <f t="shared" si="16"/>
        <v>0</v>
      </c>
      <c r="AN19" s="1">
        <f t="shared" si="16"/>
        <v>0</v>
      </c>
      <c r="AO19" s="1">
        <f t="shared" si="16"/>
        <v>0</v>
      </c>
      <c r="AP19" s="1">
        <f t="shared" si="16"/>
        <v>0</v>
      </c>
      <c r="AQ19" s="1">
        <f t="shared" si="16"/>
        <v>0</v>
      </c>
      <c r="AR19" s="17">
        <f t="shared" si="12"/>
        <v>46676</v>
      </c>
    </row>
    <row r="20" spans="1:46" s="1" customFormat="1" x14ac:dyDescent="0.25">
      <c r="A20" s="16"/>
      <c r="B20" s="1" t="s">
        <v>108</v>
      </c>
      <c r="D20" s="1">
        <f t="shared" si="6"/>
        <v>0</v>
      </c>
      <c r="E20" s="1">
        <f t="shared" ref="E20:M20" si="17">+E63+E74+E85+E96+E108+E119+E130</f>
        <v>0</v>
      </c>
      <c r="F20" s="1">
        <f t="shared" si="17"/>
        <v>0</v>
      </c>
      <c r="G20" s="1">
        <f t="shared" si="17"/>
        <v>1073</v>
      </c>
      <c r="H20" s="1">
        <f t="shared" si="17"/>
        <v>1852</v>
      </c>
      <c r="I20" s="1">
        <f t="shared" si="17"/>
        <v>426</v>
      </c>
      <c r="J20" s="1">
        <f t="shared" si="17"/>
        <v>348</v>
      </c>
      <c r="K20" s="1">
        <f t="shared" si="17"/>
        <v>1342</v>
      </c>
      <c r="L20" s="1">
        <f t="shared" si="17"/>
        <v>1842</v>
      </c>
      <c r="M20" s="1">
        <f t="shared" si="17"/>
        <v>2690</v>
      </c>
      <c r="N20" s="1">
        <f t="shared" ref="N20" si="18">+N63+N74+N85+N96+N108+N119+N130</f>
        <v>2350</v>
      </c>
      <c r="O20" s="1">
        <f t="shared" ref="O20:S20" si="19">+O63+O74+O85+O96+O108+O119+O130</f>
        <v>3773</v>
      </c>
      <c r="P20" s="1">
        <f t="shared" si="19"/>
        <v>3383</v>
      </c>
      <c r="Q20" s="1">
        <f t="shared" si="19"/>
        <v>5211</v>
      </c>
      <c r="R20" s="1">
        <f t="shared" si="19"/>
        <v>4684</v>
      </c>
      <c r="S20" s="1">
        <f t="shared" si="19"/>
        <v>3977</v>
      </c>
      <c r="T20" s="1">
        <f t="shared" si="10"/>
        <v>2950</v>
      </c>
      <c r="U20" s="1">
        <f t="shared" si="10"/>
        <v>1738</v>
      </c>
      <c r="V20" s="1">
        <f t="shared" si="10"/>
        <v>3492</v>
      </c>
      <c r="W20" s="1">
        <f t="shared" si="10"/>
        <v>2636</v>
      </c>
      <c r="X20" s="1">
        <f t="shared" si="10"/>
        <v>548</v>
      </c>
      <c r="Y20" s="1">
        <f t="shared" si="10"/>
        <v>962</v>
      </c>
      <c r="Z20" s="1">
        <f t="shared" ref="Z20:AQ20" si="20">+Z63+Z74+Z85+Z96+Z108+Z119+Z130</f>
        <v>0</v>
      </c>
      <c r="AA20" s="1">
        <f t="shared" si="20"/>
        <v>898</v>
      </c>
      <c r="AB20" s="1">
        <f t="shared" si="20"/>
        <v>819</v>
      </c>
      <c r="AC20" s="1">
        <f t="shared" si="20"/>
        <v>960</v>
      </c>
      <c r="AD20" s="1">
        <f t="shared" si="20"/>
        <v>442</v>
      </c>
      <c r="AE20" s="1">
        <f t="shared" si="20"/>
        <v>379</v>
      </c>
      <c r="AF20" s="1">
        <f t="shared" si="20"/>
        <v>380</v>
      </c>
      <c r="AG20" s="1">
        <f t="shared" si="20"/>
        <v>328</v>
      </c>
      <c r="AH20" s="1">
        <f t="shared" si="20"/>
        <v>554</v>
      </c>
      <c r="AI20" s="1">
        <f t="shared" si="20"/>
        <v>466</v>
      </c>
      <c r="AJ20" s="1">
        <f t="shared" si="20"/>
        <v>0</v>
      </c>
      <c r="AK20" s="1">
        <f t="shared" si="20"/>
        <v>0</v>
      </c>
      <c r="AL20" s="1">
        <f t="shared" si="20"/>
        <v>0</v>
      </c>
      <c r="AM20" s="1">
        <f t="shared" si="20"/>
        <v>0</v>
      </c>
      <c r="AN20" s="1">
        <f t="shared" si="20"/>
        <v>0</v>
      </c>
      <c r="AO20" s="1">
        <f t="shared" si="20"/>
        <v>0</v>
      </c>
      <c r="AP20" s="1">
        <f t="shared" si="20"/>
        <v>0</v>
      </c>
      <c r="AQ20" s="1">
        <f t="shared" si="20"/>
        <v>0</v>
      </c>
      <c r="AR20" s="17">
        <f t="shared" si="12"/>
        <v>50503</v>
      </c>
    </row>
    <row r="21" spans="1:46" s="1" customFormat="1" x14ac:dyDescent="0.25">
      <c r="A21" s="16"/>
      <c r="B21" s="1" t="s">
        <v>109</v>
      </c>
      <c r="D21" s="1">
        <f t="shared" si="6"/>
        <v>0</v>
      </c>
      <c r="E21" s="1">
        <f t="shared" ref="E21:M21" si="21">+E64+E75+E86+E97+E109+E120+E131</f>
        <v>0</v>
      </c>
      <c r="F21" s="1">
        <f t="shared" si="21"/>
        <v>0</v>
      </c>
      <c r="G21" s="1">
        <f t="shared" si="21"/>
        <v>0</v>
      </c>
      <c r="H21" s="1">
        <f t="shared" si="21"/>
        <v>0</v>
      </c>
      <c r="I21" s="1">
        <f t="shared" si="21"/>
        <v>0</v>
      </c>
      <c r="J21" s="1">
        <f t="shared" si="21"/>
        <v>0</v>
      </c>
      <c r="K21" s="1">
        <f t="shared" si="21"/>
        <v>0</v>
      </c>
      <c r="L21" s="1">
        <f t="shared" si="21"/>
        <v>1238</v>
      </c>
      <c r="M21" s="1">
        <f t="shared" si="21"/>
        <v>2666</v>
      </c>
      <c r="N21" s="1">
        <f t="shared" ref="N21" si="22">+N64+N75+N86+N97+N109+N120+N131</f>
        <v>1399</v>
      </c>
      <c r="O21" s="1">
        <f t="shared" ref="O21:S23" si="23">+O64+O75+O86+O97+O109+O120+O131</f>
        <v>1366</v>
      </c>
      <c r="P21" s="1">
        <f t="shared" si="23"/>
        <v>0</v>
      </c>
      <c r="Q21" s="1">
        <f t="shared" si="23"/>
        <v>14174</v>
      </c>
      <c r="R21" s="1">
        <f t="shared" si="23"/>
        <v>5185</v>
      </c>
      <c r="S21" s="1">
        <f t="shared" si="23"/>
        <v>4679</v>
      </c>
      <c r="T21" s="1">
        <f t="shared" si="10"/>
        <v>2960</v>
      </c>
      <c r="U21" s="1">
        <f t="shared" si="10"/>
        <v>4074</v>
      </c>
      <c r="V21" s="1">
        <f t="shared" si="10"/>
        <v>2536</v>
      </c>
      <c r="W21" s="1">
        <f t="shared" si="10"/>
        <v>2568</v>
      </c>
      <c r="X21" s="1">
        <f t="shared" si="10"/>
        <v>2186</v>
      </c>
      <c r="Y21" s="1">
        <f t="shared" si="10"/>
        <v>1366</v>
      </c>
      <c r="Z21" s="1">
        <f t="shared" ref="Z21:AQ21" si="24">+Z64+Z75+Z86+Z97+Z109+Z120+Z131</f>
        <v>496</v>
      </c>
      <c r="AA21" s="1">
        <f t="shared" si="24"/>
        <v>0</v>
      </c>
      <c r="AB21" s="1">
        <f t="shared" si="24"/>
        <v>0</v>
      </c>
      <c r="AC21" s="1">
        <f t="shared" si="24"/>
        <v>0</v>
      </c>
      <c r="AD21" s="1">
        <f t="shared" si="24"/>
        <v>0</v>
      </c>
      <c r="AE21" s="1">
        <f t="shared" si="24"/>
        <v>0</v>
      </c>
      <c r="AF21" s="1">
        <f t="shared" si="24"/>
        <v>0</v>
      </c>
      <c r="AG21" s="1">
        <f t="shared" si="24"/>
        <v>0</v>
      </c>
      <c r="AH21" s="1">
        <f t="shared" si="24"/>
        <v>0</v>
      </c>
      <c r="AI21" s="1">
        <f t="shared" si="24"/>
        <v>0</v>
      </c>
      <c r="AJ21" s="1">
        <f t="shared" si="24"/>
        <v>0</v>
      </c>
      <c r="AK21" s="1">
        <f t="shared" si="24"/>
        <v>0</v>
      </c>
      <c r="AL21" s="1">
        <f t="shared" si="24"/>
        <v>0</v>
      </c>
      <c r="AM21" s="1">
        <f t="shared" si="24"/>
        <v>0</v>
      </c>
      <c r="AN21" s="1">
        <f t="shared" si="24"/>
        <v>0</v>
      </c>
      <c r="AO21" s="1">
        <f t="shared" si="24"/>
        <v>0</v>
      </c>
      <c r="AP21" s="1">
        <f t="shared" si="24"/>
        <v>0</v>
      </c>
      <c r="AQ21" s="1">
        <f t="shared" si="24"/>
        <v>0</v>
      </c>
      <c r="AR21" s="17">
        <f t="shared" si="12"/>
        <v>46893</v>
      </c>
    </row>
    <row r="22" spans="1:46" s="1" customFormat="1" x14ac:dyDescent="0.25">
      <c r="A22" s="16"/>
      <c r="B22" s="1" t="s">
        <v>110</v>
      </c>
      <c r="D22" s="1">
        <f t="shared" si="6"/>
        <v>0</v>
      </c>
      <c r="E22" s="1">
        <f t="shared" ref="E22:M22" si="25">+E65+E76+E87+E98+E110+E121+E132</f>
        <v>0</v>
      </c>
      <c r="F22" s="1">
        <f t="shared" si="25"/>
        <v>0</v>
      </c>
      <c r="G22" s="1">
        <f t="shared" si="25"/>
        <v>0</v>
      </c>
      <c r="H22" s="1">
        <f t="shared" si="25"/>
        <v>0</v>
      </c>
      <c r="I22" s="1">
        <f t="shared" si="25"/>
        <v>0</v>
      </c>
      <c r="J22" s="1">
        <f t="shared" si="25"/>
        <v>0</v>
      </c>
      <c r="K22" s="1">
        <f t="shared" si="25"/>
        <v>0</v>
      </c>
      <c r="L22" s="1">
        <f t="shared" si="25"/>
        <v>0</v>
      </c>
      <c r="M22" s="1">
        <f t="shared" si="25"/>
        <v>0</v>
      </c>
      <c r="N22" s="1">
        <f t="shared" ref="N22" si="26">+N65+N76+N87+N98+N110+N121+N132</f>
        <v>0</v>
      </c>
      <c r="O22" s="1">
        <f t="shared" si="23"/>
        <v>0</v>
      </c>
      <c r="P22" s="1">
        <f t="shared" si="23"/>
        <v>0</v>
      </c>
      <c r="Q22" s="1">
        <f t="shared" si="23"/>
        <v>0</v>
      </c>
      <c r="R22" s="1">
        <f t="shared" si="23"/>
        <v>0</v>
      </c>
      <c r="S22" s="1">
        <f t="shared" si="23"/>
        <v>0</v>
      </c>
      <c r="T22" s="1">
        <f t="shared" si="10"/>
        <v>0</v>
      </c>
      <c r="U22" s="1">
        <f t="shared" si="10"/>
        <v>0</v>
      </c>
      <c r="V22" s="1">
        <f t="shared" si="10"/>
        <v>0</v>
      </c>
      <c r="W22" s="1">
        <f t="shared" si="10"/>
        <v>0</v>
      </c>
      <c r="X22" s="1">
        <f t="shared" si="10"/>
        <v>0</v>
      </c>
      <c r="Y22" s="1">
        <f t="shared" si="10"/>
        <v>0</v>
      </c>
      <c r="Z22" s="1">
        <f t="shared" ref="Z22:AQ22" si="27">+Z65+Z76+Z87+Z98+Z110+Z121+Z132</f>
        <v>0</v>
      </c>
      <c r="AA22" s="1">
        <f t="shared" si="27"/>
        <v>0</v>
      </c>
      <c r="AB22" s="1">
        <f t="shared" si="27"/>
        <v>0</v>
      </c>
      <c r="AC22" s="1">
        <f t="shared" si="27"/>
        <v>0</v>
      </c>
      <c r="AD22" s="1">
        <f t="shared" si="27"/>
        <v>0</v>
      </c>
      <c r="AE22" s="1">
        <f t="shared" si="27"/>
        <v>0</v>
      </c>
      <c r="AF22" s="1">
        <f t="shared" si="27"/>
        <v>0</v>
      </c>
      <c r="AG22" s="1">
        <f t="shared" si="27"/>
        <v>0</v>
      </c>
      <c r="AH22" s="1">
        <f t="shared" si="27"/>
        <v>0</v>
      </c>
      <c r="AI22" s="1">
        <f t="shared" si="27"/>
        <v>0</v>
      </c>
      <c r="AJ22" s="1">
        <f t="shared" si="27"/>
        <v>0</v>
      </c>
      <c r="AK22" s="1">
        <f t="shared" si="27"/>
        <v>0</v>
      </c>
      <c r="AL22" s="1">
        <f t="shared" si="27"/>
        <v>0</v>
      </c>
      <c r="AM22" s="1">
        <f t="shared" si="27"/>
        <v>0</v>
      </c>
      <c r="AN22" s="1">
        <f t="shared" si="27"/>
        <v>0</v>
      </c>
      <c r="AO22" s="1">
        <f t="shared" si="27"/>
        <v>0</v>
      </c>
      <c r="AP22" s="1">
        <f t="shared" si="27"/>
        <v>0</v>
      </c>
      <c r="AQ22" s="1">
        <f t="shared" si="27"/>
        <v>0</v>
      </c>
      <c r="AR22" s="17">
        <f t="shared" si="12"/>
        <v>0</v>
      </c>
    </row>
    <row r="23" spans="1:46" s="1" customFormat="1" x14ac:dyDescent="0.25">
      <c r="A23" s="16"/>
      <c r="B23" s="1" t="s">
        <v>193</v>
      </c>
      <c r="D23" s="1">
        <f t="shared" si="6"/>
        <v>0</v>
      </c>
      <c r="E23" s="1">
        <f t="shared" ref="E23:M23" si="28">+E66+E77+E88+E99+E111+E122+E133</f>
        <v>0</v>
      </c>
      <c r="F23" s="1">
        <f t="shared" si="28"/>
        <v>0</v>
      </c>
      <c r="G23" s="1">
        <f t="shared" si="28"/>
        <v>0</v>
      </c>
      <c r="H23" s="1">
        <f t="shared" si="28"/>
        <v>0</v>
      </c>
      <c r="I23" s="1">
        <f t="shared" si="28"/>
        <v>0</v>
      </c>
      <c r="J23" s="1">
        <f t="shared" si="28"/>
        <v>0</v>
      </c>
      <c r="K23" s="1">
        <f t="shared" si="28"/>
        <v>0</v>
      </c>
      <c r="L23" s="1">
        <f t="shared" si="28"/>
        <v>0</v>
      </c>
      <c r="M23" s="1">
        <f t="shared" si="28"/>
        <v>0</v>
      </c>
      <c r="N23" s="1">
        <f t="shared" ref="N23" si="29">+N66+N77+N88+N99+N111+N122+N133</f>
        <v>0</v>
      </c>
      <c r="O23" s="1">
        <f t="shared" si="23"/>
        <v>0</v>
      </c>
      <c r="P23" s="1">
        <f t="shared" si="23"/>
        <v>0</v>
      </c>
      <c r="Q23" s="1">
        <f t="shared" si="23"/>
        <v>0</v>
      </c>
      <c r="R23" s="1">
        <f t="shared" si="23"/>
        <v>0</v>
      </c>
      <c r="S23" s="1">
        <f t="shared" si="23"/>
        <v>0</v>
      </c>
      <c r="T23" s="1">
        <f t="shared" si="10"/>
        <v>0</v>
      </c>
      <c r="U23" s="1">
        <f t="shared" si="10"/>
        <v>0</v>
      </c>
      <c r="V23" s="1">
        <f t="shared" si="10"/>
        <v>0</v>
      </c>
      <c r="W23" s="1">
        <f t="shared" si="10"/>
        <v>0</v>
      </c>
      <c r="X23" s="1">
        <f t="shared" si="10"/>
        <v>0</v>
      </c>
      <c r="Y23" s="1">
        <f t="shared" si="10"/>
        <v>0</v>
      </c>
      <c r="Z23" s="1">
        <f t="shared" ref="Z23:AQ23" si="30">+Z66+Z77+Z88+Z99+Z111+Z122+Z133</f>
        <v>0</v>
      </c>
      <c r="AA23" s="1">
        <f t="shared" si="30"/>
        <v>0</v>
      </c>
      <c r="AB23" s="1">
        <f t="shared" si="30"/>
        <v>0</v>
      </c>
      <c r="AC23" s="1">
        <f t="shared" si="30"/>
        <v>0</v>
      </c>
      <c r="AD23" s="1">
        <f t="shared" si="30"/>
        <v>0</v>
      </c>
      <c r="AE23" s="1">
        <f t="shared" si="30"/>
        <v>0</v>
      </c>
      <c r="AF23" s="1">
        <f t="shared" si="30"/>
        <v>0</v>
      </c>
      <c r="AG23" s="1">
        <f t="shared" si="30"/>
        <v>0</v>
      </c>
      <c r="AH23" s="1">
        <f t="shared" si="30"/>
        <v>0</v>
      </c>
      <c r="AI23" s="1">
        <f t="shared" si="30"/>
        <v>0</v>
      </c>
      <c r="AJ23" s="1">
        <f t="shared" si="30"/>
        <v>0</v>
      </c>
      <c r="AK23" s="1">
        <f t="shared" si="30"/>
        <v>0</v>
      </c>
      <c r="AL23" s="1">
        <f t="shared" si="30"/>
        <v>0</v>
      </c>
      <c r="AM23" s="1">
        <f t="shared" si="30"/>
        <v>0</v>
      </c>
      <c r="AN23" s="1">
        <f t="shared" si="30"/>
        <v>0</v>
      </c>
      <c r="AO23" s="1">
        <f t="shared" si="30"/>
        <v>0</v>
      </c>
      <c r="AP23" s="1">
        <f t="shared" si="30"/>
        <v>0</v>
      </c>
      <c r="AQ23" s="1">
        <f t="shared" si="30"/>
        <v>0</v>
      </c>
      <c r="AR23" s="17">
        <f>SUM(D23:AQ23)</f>
        <v>0</v>
      </c>
    </row>
    <row r="24" spans="1:46" s="1" customFormat="1" x14ac:dyDescent="0.25">
      <c r="A24" s="16"/>
      <c r="B24" s="1" t="s">
        <v>6</v>
      </c>
      <c r="D24" s="1">
        <f>+D67+D78+D89+D100+D112+D123+D135</f>
        <v>0</v>
      </c>
      <c r="E24" s="1">
        <f t="shared" ref="E24:M24" si="31">+E67+E78+E89+E100+E112+E123+E135</f>
        <v>0</v>
      </c>
      <c r="F24" s="1">
        <f t="shared" si="31"/>
        <v>0</v>
      </c>
      <c r="G24" s="1">
        <f t="shared" si="31"/>
        <v>0</v>
      </c>
      <c r="H24" s="1">
        <f t="shared" si="31"/>
        <v>0</v>
      </c>
      <c r="I24" s="1">
        <f t="shared" si="31"/>
        <v>0</v>
      </c>
      <c r="J24" s="1">
        <f t="shared" si="31"/>
        <v>0</v>
      </c>
      <c r="K24" s="1">
        <f t="shared" si="31"/>
        <v>0</v>
      </c>
      <c r="L24" s="1">
        <f t="shared" si="31"/>
        <v>0</v>
      </c>
      <c r="M24" s="1">
        <f t="shared" si="31"/>
        <v>0</v>
      </c>
      <c r="N24" s="1">
        <f t="shared" ref="N24" si="32">+N67+N78+N89+N100+N112+N123+N135</f>
        <v>0</v>
      </c>
      <c r="O24" s="1">
        <f t="shared" ref="O24:Y24" si="33">+O67+O78+O89+O100+O112+O123+O135</f>
        <v>0</v>
      </c>
      <c r="P24" s="1">
        <f t="shared" si="33"/>
        <v>0</v>
      </c>
      <c r="Q24" s="1">
        <f t="shared" si="33"/>
        <v>0</v>
      </c>
      <c r="R24" s="1">
        <f t="shared" si="33"/>
        <v>1800</v>
      </c>
      <c r="S24" s="1">
        <f t="shared" si="33"/>
        <v>0</v>
      </c>
      <c r="T24" s="1">
        <f t="shared" si="33"/>
        <v>1350</v>
      </c>
      <c r="U24" s="1">
        <f t="shared" si="33"/>
        <v>240</v>
      </c>
      <c r="V24" s="1">
        <f t="shared" si="33"/>
        <v>1186</v>
      </c>
      <c r="W24" s="1">
        <f t="shared" si="33"/>
        <v>0</v>
      </c>
      <c r="X24" s="1">
        <f t="shared" si="33"/>
        <v>0</v>
      </c>
      <c r="Y24" s="1">
        <f t="shared" si="33"/>
        <v>0</v>
      </c>
      <c r="Z24" s="1">
        <f t="shared" ref="Z24:AQ24" si="34">+Z67+Z78+Z89+Z100+Z112+Z123+Z135</f>
        <v>0</v>
      </c>
      <c r="AA24" s="1">
        <f t="shared" si="34"/>
        <v>0</v>
      </c>
      <c r="AB24" s="1">
        <f t="shared" si="34"/>
        <v>0</v>
      </c>
      <c r="AC24" s="1">
        <f t="shared" si="34"/>
        <v>0</v>
      </c>
      <c r="AD24" s="1">
        <f t="shared" si="34"/>
        <v>0</v>
      </c>
      <c r="AE24" s="1">
        <f t="shared" si="34"/>
        <v>0</v>
      </c>
      <c r="AF24" s="1">
        <f t="shared" si="34"/>
        <v>0</v>
      </c>
      <c r="AG24" s="1">
        <f t="shared" si="34"/>
        <v>0</v>
      </c>
      <c r="AH24" s="1">
        <f t="shared" si="34"/>
        <v>0</v>
      </c>
      <c r="AI24" s="1">
        <f t="shared" si="34"/>
        <v>0</v>
      </c>
      <c r="AJ24" s="1">
        <f t="shared" si="34"/>
        <v>0</v>
      </c>
      <c r="AK24" s="1">
        <f t="shared" si="34"/>
        <v>0</v>
      </c>
      <c r="AL24" s="1">
        <f t="shared" si="34"/>
        <v>0</v>
      </c>
      <c r="AM24" s="1">
        <f t="shared" si="34"/>
        <v>0</v>
      </c>
      <c r="AN24" s="1">
        <f t="shared" si="34"/>
        <v>0</v>
      </c>
      <c r="AO24" s="1">
        <f t="shared" si="34"/>
        <v>0</v>
      </c>
      <c r="AP24" s="1">
        <f t="shared" si="34"/>
        <v>0</v>
      </c>
      <c r="AQ24" s="1">
        <f t="shared" si="34"/>
        <v>0</v>
      </c>
      <c r="AR24" s="17">
        <f t="shared" si="12"/>
        <v>4576</v>
      </c>
    </row>
    <row r="25" spans="1:46" s="3" customFormat="1" x14ac:dyDescent="0.25">
      <c r="A25" s="16"/>
      <c r="B25" s="3" t="s">
        <v>2</v>
      </c>
      <c r="D25" s="3">
        <f t="shared" ref="D25:AR25" si="35">SUM(D17:D24)</f>
        <v>0</v>
      </c>
      <c r="E25" s="3">
        <f t="shared" ref="E25:J25" si="36">SUM(E17:E24)</f>
        <v>0</v>
      </c>
      <c r="F25" s="3">
        <f t="shared" si="36"/>
        <v>0</v>
      </c>
      <c r="G25" s="3">
        <f t="shared" si="36"/>
        <v>5590</v>
      </c>
      <c r="H25" s="3">
        <f t="shared" si="36"/>
        <v>2242</v>
      </c>
      <c r="I25" s="3">
        <f t="shared" si="36"/>
        <v>426</v>
      </c>
      <c r="J25" s="3">
        <f t="shared" si="36"/>
        <v>1548</v>
      </c>
      <c r="K25" s="3">
        <f t="shared" si="35"/>
        <v>3637</v>
      </c>
      <c r="L25" s="3">
        <f t="shared" si="35"/>
        <v>4932</v>
      </c>
      <c r="M25" s="3">
        <f t="shared" si="35"/>
        <v>12135</v>
      </c>
      <c r="N25" s="3">
        <f t="shared" si="35"/>
        <v>9622</v>
      </c>
      <c r="O25" s="3">
        <f t="shared" si="35"/>
        <v>11253</v>
      </c>
      <c r="P25" s="3">
        <f t="shared" si="35"/>
        <v>17487</v>
      </c>
      <c r="Q25" s="3">
        <f t="shared" si="35"/>
        <v>26605</v>
      </c>
      <c r="R25" s="3">
        <f t="shared" si="35"/>
        <v>28506</v>
      </c>
      <c r="S25" s="3">
        <f t="shared" si="35"/>
        <v>26847</v>
      </c>
      <c r="T25" s="3">
        <f t="shared" si="35"/>
        <v>29342</v>
      </c>
      <c r="U25" s="3">
        <f t="shared" si="35"/>
        <v>28466</v>
      </c>
      <c r="V25" s="3">
        <f t="shared" si="35"/>
        <v>18586</v>
      </c>
      <c r="W25" s="3">
        <f t="shared" si="35"/>
        <v>20457</v>
      </c>
      <c r="X25" s="3">
        <f t="shared" si="35"/>
        <v>17429</v>
      </c>
      <c r="Y25" s="3">
        <f t="shared" si="35"/>
        <v>14542</v>
      </c>
      <c r="Z25" s="3">
        <f t="shared" si="35"/>
        <v>5572</v>
      </c>
      <c r="AA25" s="3">
        <f t="shared" si="35"/>
        <v>4689</v>
      </c>
      <c r="AB25" s="3">
        <f t="shared" si="35"/>
        <v>3064</v>
      </c>
      <c r="AC25" s="3">
        <f t="shared" si="35"/>
        <v>1828</v>
      </c>
      <c r="AD25" s="3">
        <f t="shared" si="35"/>
        <v>1983</v>
      </c>
      <c r="AE25" s="3">
        <f t="shared" si="35"/>
        <v>977</v>
      </c>
      <c r="AF25" s="3">
        <f t="shared" si="35"/>
        <v>803</v>
      </c>
      <c r="AG25" s="3">
        <f t="shared" si="35"/>
        <v>911</v>
      </c>
      <c r="AH25" s="3">
        <f t="shared" si="35"/>
        <v>1080</v>
      </c>
      <c r="AI25" s="3">
        <f t="shared" si="35"/>
        <v>1138</v>
      </c>
      <c r="AJ25" s="3">
        <f t="shared" si="35"/>
        <v>2191</v>
      </c>
      <c r="AK25" s="3">
        <f t="shared" si="35"/>
        <v>955</v>
      </c>
      <c r="AL25" s="3">
        <f t="shared" si="35"/>
        <v>748</v>
      </c>
      <c r="AM25" s="3">
        <f t="shared" si="35"/>
        <v>460</v>
      </c>
      <c r="AN25" s="3">
        <f t="shared" si="35"/>
        <v>434</v>
      </c>
      <c r="AO25" s="3">
        <f t="shared" si="35"/>
        <v>126</v>
      </c>
      <c r="AP25" s="3">
        <f t="shared" si="35"/>
        <v>0</v>
      </c>
      <c r="AQ25" s="3">
        <f t="shared" si="35"/>
        <v>0</v>
      </c>
      <c r="AR25" s="17">
        <f t="shared" si="35"/>
        <v>306611</v>
      </c>
    </row>
    <row r="26" spans="1:46" s="107" customFormat="1" ht="12" x14ac:dyDescent="0.2">
      <c r="A26" s="105"/>
      <c r="B26" s="106"/>
      <c r="C26" s="22" t="s">
        <v>248</v>
      </c>
      <c r="D26" s="108">
        <f t="shared" ref="D26:X26" si="37">+D69+D80+D91+D102+D114+D125+D137+D28+D29+D30+D34+D36+D37</f>
        <v>0</v>
      </c>
      <c r="E26" s="108">
        <f t="shared" si="37"/>
        <v>0</v>
      </c>
      <c r="F26" s="108">
        <f t="shared" si="37"/>
        <v>0</v>
      </c>
      <c r="G26" s="108">
        <f t="shared" si="37"/>
        <v>73760</v>
      </c>
      <c r="H26" s="108">
        <f t="shared" si="37"/>
        <v>32846</v>
      </c>
      <c r="I26" s="108">
        <f t="shared" si="37"/>
        <v>6328</v>
      </c>
      <c r="J26" s="108">
        <f t="shared" si="37"/>
        <v>20614</v>
      </c>
      <c r="K26" s="108">
        <f t="shared" si="37"/>
        <v>46056</v>
      </c>
      <c r="L26" s="108">
        <f t="shared" si="37"/>
        <v>71296</v>
      </c>
      <c r="M26" s="108">
        <f t="shared" si="37"/>
        <v>199570</v>
      </c>
      <c r="N26" s="108">
        <f t="shared" si="37"/>
        <v>155116</v>
      </c>
      <c r="O26" s="108">
        <f t="shared" si="37"/>
        <v>188344</v>
      </c>
      <c r="P26" s="108">
        <f t="shared" si="37"/>
        <v>291606</v>
      </c>
      <c r="Q26" s="108">
        <f t="shared" si="37"/>
        <v>383112</v>
      </c>
      <c r="R26" s="108">
        <f t="shared" si="37"/>
        <v>416208</v>
      </c>
      <c r="S26" s="108">
        <f t="shared" si="37"/>
        <v>410906</v>
      </c>
      <c r="T26" s="108">
        <f t="shared" si="37"/>
        <v>425846</v>
      </c>
      <c r="U26" s="108">
        <f t="shared" si="37"/>
        <v>430274</v>
      </c>
      <c r="V26" s="108">
        <f t="shared" si="37"/>
        <v>296502</v>
      </c>
      <c r="W26" s="108">
        <f t="shared" si="37"/>
        <v>303486</v>
      </c>
      <c r="X26" s="108">
        <f t="shared" si="37"/>
        <v>286742</v>
      </c>
      <c r="Y26" s="108">
        <f t="shared" ref="Y26:AR26" si="38">+Y69+Y80+Y91+Y102+Y114+Y125+Y137+Y28+Y29+Y36+Y37</f>
        <v>209266</v>
      </c>
      <c r="Z26" s="108">
        <f t="shared" si="38"/>
        <v>84726</v>
      </c>
      <c r="AA26" s="108">
        <f t="shared" si="38"/>
        <v>67372</v>
      </c>
      <c r="AB26" s="108">
        <f t="shared" si="38"/>
        <v>42342</v>
      </c>
      <c r="AC26" s="108">
        <f t="shared" si="38"/>
        <v>23144</v>
      </c>
      <c r="AD26" s="108">
        <f t="shared" si="38"/>
        <v>25594</v>
      </c>
      <c r="AE26" s="108">
        <f t="shared" si="38"/>
        <v>11446</v>
      </c>
      <c r="AF26" s="108">
        <f t="shared" si="38"/>
        <v>10814</v>
      </c>
      <c r="AG26" s="108">
        <f t="shared" si="38"/>
        <v>11648</v>
      </c>
      <c r="AH26" s="108">
        <f t="shared" si="38"/>
        <v>12200</v>
      </c>
      <c r="AI26" s="108">
        <f t="shared" si="38"/>
        <v>14654</v>
      </c>
      <c r="AJ26" s="108">
        <f t="shared" si="38"/>
        <v>24798</v>
      </c>
      <c r="AK26" s="108">
        <f t="shared" si="38"/>
        <v>14000</v>
      </c>
      <c r="AL26" s="108">
        <f t="shared" si="38"/>
        <v>9954</v>
      </c>
      <c r="AM26" s="108">
        <f t="shared" si="38"/>
        <v>5950</v>
      </c>
      <c r="AN26" s="108">
        <f t="shared" si="38"/>
        <v>5502</v>
      </c>
      <c r="AO26" s="108">
        <f t="shared" si="38"/>
        <v>1758</v>
      </c>
      <c r="AP26" s="108">
        <f t="shared" si="38"/>
        <v>0</v>
      </c>
      <c r="AQ26" s="108">
        <f t="shared" si="38"/>
        <v>0</v>
      </c>
      <c r="AR26" s="109">
        <f t="shared" si="38"/>
        <v>4627018</v>
      </c>
    </row>
    <row r="27" spans="1:46" s="107" customFormat="1" ht="12" x14ac:dyDescent="0.2">
      <c r="A27" s="105"/>
      <c r="B27" s="106"/>
      <c r="C27" s="22" t="s">
        <v>441</v>
      </c>
      <c r="D27" s="108">
        <f>+D26-D91-D102</f>
        <v>0</v>
      </c>
      <c r="E27" s="108">
        <f t="shared" ref="E27:J27" si="39">+E26-E91-E102</f>
        <v>0</v>
      </c>
      <c r="F27" s="108">
        <f t="shared" si="39"/>
        <v>0</v>
      </c>
      <c r="G27" s="108">
        <f t="shared" si="39"/>
        <v>0</v>
      </c>
      <c r="H27" s="108">
        <f t="shared" si="39"/>
        <v>0</v>
      </c>
      <c r="I27" s="108">
        <f t="shared" si="39"/>
        <v>0</v>
      </c>
      <c r="J27" s="108">
        <f t="shared" si="39"/>
        <v>0</v>
      </c>
      <c r="K27" s="108">
        <f t="shared" ref="K27:AR27" si="40">+K26-K91-K102</f>
        <v>0</v>
      </c>
      <c r="L27" s="108">
        <f t="shared" si="40"/>
        <v>26874</v>
      </c>
      <c r="M27" s="108">
        <f t="shared" si="40"/>
        <v>159822</v>
      </c>
      <c r="N27" s="108">
        <f t="shared" si="40"/>
        <v>102996</v>
      </c>
      <c r="O27" s="108">
        <f t="shared" si="40"/>
        <v>150318</v>
      </c>
      <c r="P27" s="108">
        <f t="shared" si="40"/>
        <v>236592</v>
      </c>
      <c r="Q27" s="108">
        <f t="shared" si="40"/>
        <v>322568</v>
      </c>
      <c r="R27" s="108">
        <f t="shared" si="40"/>
        <v>347904</v>
      </c>
      <c r="S27" s="108">
        <f t="shared" si="40"/>
        <v>340642</v>
      </c>
      <c r="T27" s="108">
        <f t="shared" si="40"/>
        <v>352852</v>
      </c>
      <c r="U27" s="108">
        <f t="shared" si="40"/>
        <v>342404</v>
      </c>
      <c r="V27" s="108">
        <f t="shared" si="40"/>
        <v>229286</v>
      </c>
      <c r="W27" s="108">
        <f t="shared" si="40"/>
        <v>237588</v>
      </c>
      <c r="X27" s="108">
        <f t="shared" si="40"/>
        <v>211410</v>
      </c>
      <c r="Y27" s="108">
        <f t="shared" si="40"/>
        <v>148370</v>
      </c>
      <c r="Z27" s="108">
        <f t="shared" si="40"/>
        <v>49320</v>
      </c>
      <c r="AA27" s="108">
        <f t="shared" si="40"/>
        <v>28548</v>
      </c>
      <c r="AB27" s="108">
        <f t="shared" si="40"/>
        <v>10854</v>
      </c>
      <c r="AC27" s="108">
        <f t="shared" si="40"/>
        <v>1062</v>
      </c>
      <c r="AD27" s="108">
        <f t="shared" si="40"/>
        <v>162</v>
      </c>
      <c r="AE27" s="108">
        <f t="shared" si="40"/>
        <v>0</v>
      </c>
      <c r="AF27" s="108">
        <f t="shared" si="40"/>
        <v>0</v>
      </c>
      <c r="AG27" s="108">
        <f t="shared" si="40"/>
        <v>0</v>
      </c>
      <c r="AH27" s="108">
        <f t="shared" si="40"/>
        <v>0</v>
      </c>
      <c r="AI27" s="108">
        <f t="shared" si="40"/>
        <v>0</v>
      </c>
      <c r="AJ27" s="108">
        <f t="shared" si="40"/>
        <v>0</v>
      </c>
      <c r="AK27" s="108">
        <f t="shared" si="40"/>
        <v>0</v>
      </c>
      <c r="AL27" s="108">
        <f t="shared" si="40"/>
        <v>0</v>
      </c>
      <c r="AM27" s="108">
        <f t="shared" si="40"/>
        <v>0</v>
      </c>
      <c r="AN27" s="108">
        <f t="shared" si="40"/>
        <v>0</v>
      </c>
      <c r="AO27" s="108">
        <f t="shared" si="40"/>
        <v>0</v>
      </c>
      <c r="AP27" s="108">
        <f t="shared" si="40"/>
        <v>0</v>
      </c>
      <c r="AQ27" s="108">
        <f t="shared" si="40"/>
        <v>0</v>
      </c>
      <c r="AR27" s="108">
        <f t="shared" si="40"/>
        <v>3312810</v>
      </c>
    </row>
    <row r="28" spans="1:46" x14ac:dyDescent="0.25">
      <c r="A28" s="14" t="s">
        <v>351</v>
      </c>
      <c r="C28" s="22"/>
      <c r="AR28" s="17">
        <f>SUM(D28:AQ28)</f>
        <v>0</v>
      </c>
      <c r="AS28"/>
      <c r="AT28"/>
    </row>
    <row r="29" spans="1:46" x14ac:dyDescent="0.25">
      <c r="A29" s="14" t="s">
        <v>364</v>
      </c>
      <c r="C29" s="22"/>
      <c r="AR29" s="17">
        <f>SUM(D29:AQ29)</f>
        <v>0</v>
      </c>
      <c r="AS29"/>
      <c r="AT29"/>
    </row>
    <row r="30" spans="1:46" x14ac:dyDescent="0.25">
      <c r="A30" s="14" t="s">
        <v>537</v>
      </c>
      <c r="C30" s="22"/>
      <c r="AR30" s="17">
        <f t="shared" ref="AR30:AR37" si="41">SUM(D30:AQ30)</f>
        <v>0</v>
      </c>
      <c r="AS30"/>
      <c r="AT30"/>
    </row>
    <row r="31" spans="1:46" x14ac:dyDescent="0.25">
      <c r="A31" s="14" t="s">
        <v>392</v>
      </c>
      <c r="C31" s="22"/>
      <c r="AR31" s="17">
        <f t="shared" si="41"/>
        <v>0</v>
      </c>
      <c r="AS31"/>
      <c r="AT31"/>
    </row>
    <row r="32" spans="1:46" x14ac:dyDescent="0.25">
      <c r="A32" s="14"/>
      <c r="B32" s="2" t="s">
        <v>433</v>
      </c>
      <c r="C32" s="22"/>
      <c r="AR32" s="17">
        <f t="shared" si="41"/>
        <v>0</v>
      </c>
      <c r="AS32"/>
      <c r="AT32"/>
    </row>
    <row r="33" spans="1:46" x14ac:dyDescent="0.25">
      <c r="A33" s="14"/>
      <c r="B33" s="2" t="s">
        <v>531</v>
      </c>
      <c r="C33" s="22"/>
      <c r="AR33" s="17"/>
      <c r="AS33"/>
      <c r="AT33"/>
    </row>
    <row r="34" spans="1:46" x14ac:dyDescent="0.25">
      <c r="A34" s="14" t="s">
        <v>541</v>
      </c>
      <c r="C34" s="22"/>
      <c r="AR34" s="17">
        <f t="shared" si="41"/>
        <v>0</v>
      </c>
      <c r="AS34"/>
      <c r="AT34"/>
    </row>
    <row r="35" spans="1:46" x14ac:dyDescent="0.25">
      <c r="A35" s="14" t="s">
        <v>390</v>
      </c>
      <c r="C35" s="22"/>
      <c r="AR35" s="17">
        <f t="shared" si="41"/>
        <v>0</v>
      </c>
      <c r="AS35"/>
      <c r="AT35"/>
    </row>
    <row r="36" spans="1:46" x14ac:dyDescent="0.25">
      <c r="A36" s="14" t="s">
        <v>365</v>
      </c>
      <c r="C36" s="22"/>
      <c r="AR36" s="17">
        <f t="shared" si="41"/>
        <v>0</v>
      </c>
      <c r="AS36"/>
      <c r="AT36"/>
    </row>
    <row r="37" spans="1:46" x14ac:dyDescent="0.25">
      <c r="A37" s="14" t="s">
        <v>539</v>
      </c>
      <c r="C37" s="22"/>
      <c r="AR37" s="17">
        <f t="shared" si="41"/>
        <v>0</v>
      </c>
      <c r="AS37"/>
      <c r="AT37"/>
    </row>
    <row r="38" spans="1:46" x14ac:dyDescent="0.25">
      <c r="A38" s="14" t="s">
        <v>160</v>
      </c>
      <c r="AR38" s="17"/>
      <c r="AS38"/>
      <c r="AT38"/>
    </row>
    <row r="39" spans="1:46" x14ac:dyDescent="0.25">
      <c r="A39" s="14"/>
      <c r="B39" s="1" t="s">
        <v>105</v>
      </c>
      <c r="C39" s="1"/>
      <c r="L39" s="1">
        <v>136</v>
      </c>
      <c r="M39" s="1">
        <v>76</v>
      </c>
      <c r="N39" s="1">
        <v>76</v>
      </c>
      <c r="O39" s="1">
        <v>118</v>
      </c>
      <c r="P39" s="1">
        <v>76</v>
      </c>
      <c r="Q39" s="1">
        <v>127</v>
      </c>
      <c r="R39" s="1">
        <v>153</v>
      </c>
      <c r="S39" s="1">
        <v>135</v>
      </c>
      <c r="T39" s="1">
        <v>155</v>
      </c>
      <c r="U39" s="1">
        <v>161</v>
      </c>
      <c r="V39" s="1">
        <v>98</v>
      </c>
      <c r="W39" s="1">
        <v>119</v>
      </c>
      <c r="X39" s="1">
        <v>129</v>
      </c>
      <c r="Y39" s="1">
        <v>119</v>
      </c>
      <c r="Z39" s="1">
        <v>85</v>
      </c>
      <c r="AA39" s="1">
        <v>89</v>
      </c>
      <c r="AB39" s="1">
        <v>69</v>
      </c>
      <c r="AC39" s="1">
        <v>28</v>
      </c>
      <c r="AD39" s="1">
        <v>26</v>
      </c>
      <c r="AE39" s="1">
        <v>12</v>
      </c>
      <c r="AF39" s="1">
        <v>6</v>
      </c>
      <c r="AH39" s="1">
        <v>111</v>
      </c>
      <c r="AI39" s="1">
        <v>5</v>
      </c>
      <c r="AR39" s="17">
        <f t="shared" ref="AR39:AR44" si="42">SUM(D39:AQ39)</f>
        <v>2109</v>
      </c>
      <c r="AS39"/>
      <c r="AT39"/>
    </row>
    <row r="40" spans="1:46" x14ac:dyDescent="0.25">
      <c r="A40" s="14"/>
      <c r="B40" s="1" t="s">
        <v>106</v>
      </c>
      <c r="C40" s="1"/>
      <c r="P40" s="1">
        <v>158</v>
      </c>
      <c r="S40" s="1">
        <v>130</v>
      </c>
      <c r="T40" s="1">
        <v>142</v>
      </c>
      <c r="U40" s="1">
        <v>153</v>
      </c>
      <c r="W40" s="1">
        <v>149</v>
      </c>
      <c r="X40" s="1">
        <v>139</v>
      </c>
      <c r="Z40" s="1">
        <v>91</v>
      </c>
      <c r="AA40" s="1">
        <v>99</v>
      </c>
      <c r="AB40" s="1">
        <v>67</v>
      </c>
      <c r="AC40" s="1">
        <v>37</v>
      </c>
      <c r="AD40" s="1">
        <v>66</v>
      </c>
      <c r="AE40" s="1">
        <v>44</v>
      </c>
      <c r="AF40" s="1">
        <v>26</v>
      </c>
      <c r="AG40" s="1">
        <v>38</v>
      </c>
      <c r="AH40" s="1">
        <v>54</v>
      </c>
      <c r="AI40" s="1">
        <v>26</v>
      </c>
      <c r="AJ40" s="1">
        <v>88</v>
      </c>
      <c r="AK40" s="1">
        <v>71</v>
      </c>
      <c r="AL40" s="1">
        <v>71</v>
      </c>
      <c r="AM40" s="1">
        <v>35</v>
      </c>
      <c r="AN40" s="1">
        <v>22</v>
      </c>
      <c r="AR40" s="17">
        <f t="shared" si="42"/>
        <v>1706</v>
      </c>
      <c r="AS40"/>
      <c r="AT40"/>
    </row>
    <row r="41" spans="1:46" x14ac:dyDescent="0.25">
      <c r="A41" s="14"/>
      <c r="B41" s="1" t="s">
        <v>107</v>
      </c>
      <c r="C41" s="1"/>
      <c r="M41" s="1">
        <v>56</v>
      </c>
      <c r="N41" s="1">
        <v>103</v>
      </c>
      <c r="O41" s="1">
        <v>117</v>
      </c>
      <c r="P41" s="1">
        <v>177</v>
      </c>
      <c r="Q41" s="1">
        <v>154</v>
      </c>
      <c r="R41" s="1">
        <v>100</v>
      </c>
      <c r="S41" s="1">
        <v>88</v>
      </c>
      <c r="T41" s="1">
        <v>124</v>
      </c>
      <c r="U41" s="1">
        <v>96</v>
      </c>
      <c r="V41" s="1">
        <v>211</v>
      </c>
      <c r="W41" s="1">
        <v>77</v>
      </c>
      <c r="X41" s="1">
        <v>170</v>
      </c>
      <c r="Y41" s="1">
        <v>153</v>
      </c>
      <c r="Z41" s="1">
        <v>91</v>
      </c>
      <c r="AR41" s="17">
        <f t="shared" si="42"/>
        <v>1717</v>
      </c>
      <c r="AS41"/>
      <c r="AT41"/>
    </row>
    <row r="42" spans="1:46" x14ac:dyDescent="0.25">
      <c r="A42" s="14"/>
      <c r="B42" s="1" t="s">
        <v>108</v>
      </c>
      <c r="C42" s="1"/>
      <c r="L42" s="1">
        <v>99</v>
      </c>
      <c r="M42" s="1">
        <v>84</v>
      </c>
      <c r="N42" s="1">
        <v>121</v>
      </c>
      <c r="O42" s="1">
        <v>185</v>
      </c>
      <c r="P42" s="1">
        <v>188</v>
      </c>
      <c r="Q42" s="1">
        <v>120</v>
      </c>
      <c r="R42" s="1">
        <v>177</v>
      </c>
      <c r="S42" s="1">
        <v>121</v>
      </c>
      <c r="T42" s="1">
        <v>108</v>
      </c>
      <c r="U42" s="1">
        <v>72</v>
      </c>
      <c r="V42" s="1">
        <v>132</v>
      </c>
      <c r="W42" s="1">
        <v>117</v>
      </c>
      <c r="X42" s="1">
        <v>32</v>
      </c>
      <c r="Y42" s="1">
        <v>52</v>
      </c>
      <c r="AA42" s="1">
        <v>55</v>
      </c>
      <c r="AB42" s="1">
        <v>48</v>
      </c>
      <c r="AC42" s="1">
        <v>56</v>
      </c>
      <c r="AD42" s="1">
        <v>12</v>
      </c>
      <c r="AE42" s="1">
        <v>29</v>
      </c>
      <c r="AF42" s="1">
        <v>23</v>
      </c>
      <c r="AG42" s="1">
        <v>17</v>
      </c>
      <c r="AH42" s="1">
        <v>44</v>
      </c>
      <c r="AI42" s="1">
        <v>51</v>
      </c>
      <c r="AR42" s="17">
        <f t="shared" si="42"/>
        <v>1943</v>
      </c>
      <c r="AS42"/>
      <c r="AT42"/>
    </row>
    <row r="43" spans="1:46" x14ac:dyDescent="0.25">
      <c r="A43" s="14"/>
      <c r="B43" s="1" t="s">
        <v>109</v>
      </c>
      <c r="L43" s="1">
        <v>71</v>
      </c>
      <c r="M43" s="1">
        <v>109</v>
      </c>
      <c r="N43" s="1">
        <v>66</v>
      </c>
      <c r="O43" s="1">
        <v>77</v>
      </c>
      <c r="Q43" s="1">
        <v>133</v>
      </c>
      <c r="R43" s="1">
        <v>201</v>
      </c>
      <c r="S43" s="1">
        <v>148</v>
      </c>
      <c r="T43" s="1">
        <v>90</v>
      </c>
      <c r="U43" s="1">
        <v>167</v>
      </c>
      <c r="V43" s="1">
        <v>109</v>
      </c>
      <c r="W43" s="1">
        <v>138</v>
      </c>
      <c r="X43" s="1">
        <v>105</v>
      </c>
      <c r="Y43" s="1">
        <v>48</v>
      </c>
      <c r="Z43" s="1">
        <v>33</v>
      </c>
      <c r="AR43" s="17">
        <f t="shared" si="42"/>
        <v>1495</v>
      </c>
      <c r="AS43"/>
      <c r="AT43"/>
    </row>
    <row r="44" spans="1:46" x14ac:dyDescent="0.25">
      <c r="A44" s="14"/>
      <c r="B44" s="1" t="s">
        <v>110</v>
      </c>
      <c r="AR44" s="17">
        <f t="shared" si="42"/>
        <v>0</v>
      </c>
      <c r="AS44"/>
      <c r="AT44"/>
    </row>
    <row r="45" spans="1:46" s="3" customFormat="1" x14ac:dyDescent="0.25">
      <c r="A45" s="16"/>
      <c r="B45" s="3" t="s">
        <v>2</v>
      </c>
      <c r="D45" s="3">
        <f t="shared" ref="D45:J45" si="43">SUM(D39:D44)</f>
        <v>0</v>
      </c>
      <c r="E45" s="3">
        <f t="shared" si="43"/>
        <v>0</v>
      </c>
      <c r="F45" s="3">
        <f t="shared" si="43"/>
        <v>0</v>
      </c>
      <c r="G45" s="3">
        <f t="shared" si="43"/>
        <v>0</v>
      </c>
      <c r="H45" s="3">
        <f t="shared" si="43"/>
        <v>0</v>
      </c>
      <c r="I45" s="3">
        <f t="shared" si="43"/>
        <v>0</v>
      </c>
      <c r="J45" s="3">
        <f t="shared" si="43"/>
        <v>0</v>
      </c>
      <c r="K45" s="3">
        <f>SUM(K39:K44)</f>
        <v>0</v>
      </c>
      <c r="L45" s="3">
        <f>SUM(L39:L44)</f>
        <v>306</v>
      </c>
      <c r="M45" s="3">
        <f>SUM(M39:M44)</f>
        <v>325</v>
      </c>
      <c r="N45" s="3">
        <f t="shared" ref="N45:AR45" si="44">SUM(N39:N44)</f>
        <v>366</v>
      </c>
      <c r="O45" s="3">
        <f t="shared" si="44"/>
        <v>497</v>
      </c>
      <c r="P45" s="3">
        <f t="shared" si="44"/>
        <v>599</v>
      </c>
      <c r="Q45" s="3">
        <f t="shared" si="44"/>
        <v>534</v>
      </c>
      <c r="R45" s="3">
        <f t="shared" si="44"/>
        <v>631</v>
      </c>
      <c r="S45" s="3">
        <f t="shared" si="44"/>
        <v>622</v>
      </c>
      <c r="T45" s="3">
        <f t="shared" si="44"/>
        <v>619</v>
      </c>
      <c r="U45" s="3">
        <f t="shared" si="44"/>
        <v>649</v>
      </c>
      <c r="V45" s="3">
        <f t="shared" si="44"/>
        <v>550</v>
      </c>
      <c r="W45" s="3">
        <f t="shared" si="44"/>
        <v>600</v>
      </c>
      <c r="X45" s="3">
        <f t="shared" si="44"/>
        <v>575</v>
      </c>
      <c r="Y45" s="3">
        <f t="shared" si="44"/>
        <v>372</v>
      </c>
      <c r="Z45" s="3">
        <f t="shared" si="44"/>
        <v>300</v>
      </c>
      <c r="AA45" s="3">
        <f t="shared" si="44"/>
        <v>243</v>
      </c>
      <c r="AB45" s="3">
        <f t="shared" si="44"/>
        <v>184</v>
      </c>
      <c r="AC45" s="3">
        <f t="shared" si="44"/>
        <v>121</v>
      </c>
      <c r="AD45" s="3">
        <f t="shared" si="44"/>
        <v>104</v>
      </c>
      <c r="AE45" s="3">
        <f t="shared" si="44"/>
        <v>85</v>
      </c>
      <c r="AF45" s="3">
        <f t="shared" si="44"/>
        <v>55</v>
      </c>
      <c r="AG45" s="3">
        <f t="shared" si="44"/>
        <v>55</v>
      </c>
      <c r="AH45" s="3">
        <f t="shared" si="44"/>
        <v>209</v>
      </c>
      <c r="AI45" s="3">
        <f t="shared" si="44"/>
        <v>82</v>
      </c>
      <c r="AJ45" s="3">
        <f t="shared" si="44"/>
        <v>88</v>
      </c>
      <c r="AK45" s="3">
        <f t="shared" si="44"/>
        <v>71</v>
      </c>
      <c r="AL45" s="3">
        <f t="shared" si="44"/>
        <v>71</v>
      </c>
      <c r="AM45" s="3">
        <f t="shared" si="44"/>
        <v>35</v>
      </c>
      <c r="AN45" s="3">
        <f t="shared" si="44"/>
        <v>22</v>
      </c>
      <c r="AO45" s="3">
        <f t="shared" si="44"/>
        <v>0</v>
      </c>
      <c r="AP45" s="3">
        <f t="shared" si="44"/>
        <v>0</v>
      </c>
      <c r="AQ45" s="3">
        <f t="shared" si="44"/>
        <v>0</v>
      </c>
      <c r="AR45" s="17">
        <f t="shared" si="44"/>
        <v>8970</v>
      </c>
    </row>
    <row r="46" spans="1:46" s="3" customFormat="1" x14ac:dyDescent="0.25">
      <c r="A46" s="16"/>
      <c r="AR46" s="17"/>
    </row>
    <row r="47" spans="1:46" x14ac:dyDescent="0.25">
      <c r="A47" s="14" t="s">
        <v>161</v>
      </c>
      <c r="AR47" s="17"/>
      <c r="AS47"/>
      <c r="AT47"/>
    </row>
    <row r="48" spans="1:46" x14ac:dyDescent="0.25">
      <c r="A48" s="14"/>
      <c r="B48" s="1" t="s">
        <v>105</v>
      </c>
      <c r="C48" s="1"/>
      <c r="AR48" s="17">
        <f t="shared" ref="AR48:AR53" si="45">SUM(D48:AQ48)</f>
        <v>0</v>
      </c>
      <c r="AS48"/>
      <c r="AT48"/>
    </row>
    <row r="49" spans="1:46" x14ac:dyDescent="0.25">
      <c r="A49" s="14"/>
      <c r="B49" s="1" t="s">
        <v>106</v>
      </c>
      <c r="C49" s="1"/>
      <c r="AR49" s="17">
        <f t="shared" si="45"/>
        <v>0</v>
      </c>
      <c r="AS49"/>
      <c r="AT49"/>
    </row>
    <row r="50" spans="1:46" x14ac:dyDescent="0.25">
      <c r="A50" s="14"/>
      <c r="B50" s="1" t="s">
        <v>107</v>
      </c>
      <c r="C50" s="1"/>
      <c r="AR50" s="17">
        <f t="shared" si="45"/>
        <v>0</v>
      </c>
      <c r="AS50"/>
      <c r="AT50"/>
    </row>
    <row r="51" spans="1:46" x14ac:dyDescent="0.25">
      <c r="A51" s="14"/>
      <c r="B51" s="1" t="s">
        <v>108</v>
      </c>
      <c r="C51" s="1"/>
      <c r="AR51" s="17">
        <f t="shared" si="45"/>
        <v>0</v>
      </c>
      <c r="AS51"/>
      <c r="AT51"/>
    </row>
    <row r="52" spans="1:46" x14ac:dyDescent="0.25">
      <c r="A52" s="14"/>
      <c r="B52" s="1" t="s">
        <v>109</v>
      </c>
      <c r="AR52" s="17">
        <f t="shared" si="45"/>
        <v>0</v>
      </c>
      <c r="AS52"/>
      <c r="AT52"/>
    </row>
    <row r="53" spans="1:46" x14ac:dyDescent="0.25">
      <c r="A53" s="14"/>
      <c r="B53" s="1" t="s">
        <v>110</v>
      </c>
      <c r="AR53" s="17">
        <f t="shared" si="45"/>
        <v>0</v>
      </c>
      <c r="AS53"/>
      <c r="AT53"/>
    </row>
    <row r="54" spans="1:46" s="3" customFormat="1" x14ac:dyDescent="0.25">
      <c r="A54" s="16"/>
      <c r="B54" s="3" t="s">
        <v>2</v>
      </c>
      <c r="D54" s="3">
        <f>SUM(D48:D53)</f>
        <v>0</v>
      </c>
      <c r="K54" s="3">
        <f>SUM(K48:K53)</f>
        <v>0</v>
      </c>
      <c r="L54" s="3">
        <f>SUM(L48:L53)</f>
        <v>0</v>
      </c>
      <c r="M54" s="3">
        <f>SUM(M48:M53)</f>
        <v>0</v>
      </c>
      <c r="N54" s="3">
        <f t="shared" ref="N54:AQ54" si="46">SUM(N48:N53)</f>
        <v>0</v>
      </c>
      <c r="O54" s="3">
        <f t="shared" si="46"/>
        <v>0</v>
      </c>
      <c r="P54" s="3">
        <f t="shared" si="46"/>
        <v>0</v>
      </c>
      <c r="Q54" s="3">
        <f t="shared" si="46"/>
        <v>0</v>
      </c>
      <c r="R54" s="3">
        <f t="shared" si="46"/>
        <v>0</v>
      </c>
      <c r="S54" s="3">
        <f t="shared" si="46"/>
        <v>0</v>
      </c>
      <c r="T54" s="3">
        <f t="shared" si="46"/>
        <v>0</v>
      </c>
      <c r="U54" s="3">
        <f t="shared" si="46"/>
        <v>0</v>
      </c>
      <c r="V54" s="3">
        <f t="shared" si="46"/>
        <v>0</v>
      </c>
      <c r="W54" s="3">
        <f t="shared" si="46"/>
        <v>0</v>
      </c>
      <c r="X54" s="3">
        <f t="shared" si="46"/>
        <v>0</v>
      </c>
      <c r="Y54" s="3">
        <f t="shared" si="46"/>
        <v>0</v>
      </c>
      <c r="Z54" s="3">
        <f t="shared" si="46"/>
        <v>0</v>
      </c>
      <c r="AA54" s="3">
        <f t="shared" si="46"/>
        <v>0</v>
      </c>
      <c r="AB54" s="3">
        <f t="shared" si="46"/>
        <v>0</v>
      </c>
      <c r="AC54" s="3">
        <f t="shared" si="46"/>
        <v>0</v>
      </c>
      <c r="AD54" s="3">
        <f t="shared" si="46"/>
        <v>0</v>
      </c>
      <c r="AE54" s="3">
        <f t="shared" si="46"/>
        <v>0</v>
      </c>
      <c r="AF54" s="3">
        <f t="shared" si="46"/>
        <v>0</v>
      </c>
      <c r="AG54" s="3">
        <f t="shared" si="46"/>
        <v>0</v>
      </c>
      <c r="AH54" s="3">
        <f t="shared" si="46"/>
        <v>0</v>
      </c>
      <c r="AI54" s="3">
        <f t="shared" si="46"/>
        <v>0</v>
      </c>
      <c r="AJ54" s="3">
        <f t="shared" si="46"/>
        <v>0</v>
      </c>
      <c r="AK54" s="3">
        <f t="shared" si="46"/>
        <v>0</v>
      </c>
      <c r="AL54" s="3">
        <f t="shared" si="46"/>
        <v>0</v>
      </c>
      <c r="AM54" s="3">
        <f t="shared" si="46"/>
        <v>0</v>
      </c>
      <c r="AN54" s="3">
        <f t="shared" si="46"/>
        <v>0</v>
      </c>
      <c r="AO54" s="3">
        <f t="shared" si="46"/>
        <v>0</v>
      </c>
      <c r="AP54" s="3">
        <f t="shared" si="46"/>
        <v>0</v>
      </c>
      <c r="AQ54" s="3">
        <f t="shared" si="46"/>
        <v>0</v>
      </c>
      <c r="AR54" s="17">
        <f>SUM(AR48:AR53)</f>
        <v>0</v>
      </c>
    </row>
    <row r="55" spans="1:46" s="3" customFormat="1" x14ac:dyDescent="0.25">
      <c r="A55" s="16"/>
      <c r="AR55" s="17"/>
    </row>
    <row r="56" spans="1:46" s="3" customFormat="1" x14ac:dyDescent="0.25">
      <c r="A56" s="16"/>
      <c r="B56" s="3" t="s">
        <v>162</v>
      </c>
      <c r="D56" s="3">
        <f t="shared" ref="D56:AR56" si="47">IF(D45=0,0,+(D12-D11)/D45)</f>
        <v>0</v>
      </c>
      <c r="E56" s="3">
        <f t="shared" si="47"/>
        <v>0</v>
      </c>
      <c r="F56" s="3">
        <f t="shared" si="47"/>
        <v>0</v>
      </c>
      <c r="G56" s="3">
        <f t="shared" si="47"/>
        <v>0</v>
      </c>
      <c r="H56" s="3">
        <f t="shared" si="47"/>
        <v>0</v>
      </c>
      <c r="I56" s="3">
        <f t="shared" si="47"/>
        <v>0</v>
      </c>
      <c r="J56" s="3">
        <f t="shared" si="47"/>
        <v>0</v>
      </c>
      <c r="K56" s="3">
        <f t="shared" si="47"/>
        <v>0</v>
      </c>
      <c r="L56" s="3">
        <f t="shared" si="47"/>
        <v>54.584967320261441</v>
      </c>
      <c r="M56" s="3">
        <f t="shared" si="47"/>
        <v>31.4</v>
      </c>
      <c r="N56" s="3">
        <f t="shared" si="47"/>
        <v>29.959016393442624</v>
      </c>
      <c r="O56" s="3">
        <f t="shared" si="47"/>
        <v>38.764587525150908</v>
      </c>
      <c r="P56" s="3">
        <f t="shared" si="47"/>
        <v>40.681135225375627</v>
      </c>
      <c r="Q56" s="3">
        <f t="shared" si="47"/>
        <v>38.247191011235955</v>
      </c>
      <c r="R56" s="3">
        <f t="shared" si="47"/>
        <v>40.537242472266243</v>
      </c>
      <c r="S56" s="3">
        <f t="shared" si="47"/>
        <v>37.737942122186496</v>
      </c>
      <c r="T56" s="3">
        <f t="shared" si="47"/>
        <v>38.945072697899839</v>
      </c>
      <c r="U56" s="3">
        <f t="shared" si="47"/>
        <v>45.546995377503855</v>
      </c>
      <c r="V56" s="3">
        <f t="shared" si="47"/>
        <v>41.561818181818182</v>
      </c>
      <c r="W56" s="3">
        <f t="shared" si="47"/>
        <v>48.001666666666665</v>
      </c>
      <c r="X56" s="3">
        <f t="shared" si="47"/>
        <v>47.923478260869565</v>
      </c>
      <c r="Y56" s="3">
        <f t="shared" si="47"/>
        <v>35.575268817204304</v>
      </c>
      <c r="Z56" s="3">
        <f t="shared" si="47"/>
        <v>33.409999999999997</v>
      </c>
      <c r="AA56" s="3">
        <f t="shared" si="47"/>
        <v>29.074074074074073</v>
      </c>
      <c r="AB56" s="3">
        <f t="shared" si="47"/>
        <v>35.097826086956523</v>
      </c>
      <c r="AC56" s="3">
        <f t="shared" si="47"/>
        <v>33.223140495867767</v>
      </c>
      <c r="AD56" s="3">
        <f t="shared" si="47"/>
        <v>39.41346153846154</v>
      </c>
      <c r="AE56" s="3">
        <f t="shared" si="47"/>
        <v>33.929411764705883</v>
      </c>
      <c r="AF56" s="3">
        <f t="shared" si="47"/>
        <v>32.036363636363639</v>
      </c>
      <c r="AG56" s="3">
        <f t="shared" si="47"/>
        <v>32.345454545454544</v>
      </c>
      <c r="AH56" s="3">
        <f t="shared" si="47"/>
        <v>32.282296650717704</v>
      </c>
      <c r="AI56" s="3">
        <f t="shared" si="47"/>
        <v>27.475609756097562</v>
      </c>
      <c r="AJ56" s="3">
        <f t="shared" si="47"/>
        <v>26.40909090909091</v>
      </c>
      <c r="AK56" s="3">
        <f t="shared" si="47"/>
        <v>33.08450704225352</v>
      </c>
      <c r="AL56" s="3">
        <f t="shared" si="47"/>
        <v>24.802816901408452</v>
      </c>
      <c r="AM56" s="3">
        <f t="shared" si="47"/>
        <v>27.37142857142857</v>
      </c>
      <c r="AN56" s="3">
        <f t="shared" si="47"/>
        <v>21.681818181818183</v>
      </c>
      <c r="AO56" s="3">
        <f t="shared" si="47"/>
        <v>0</v>
      </c>
      <c r="AP56" s="3">
        <f t="shared" si="47"/>
        <v>0</v>
      </c>
      <c r="AQ56" s="3">
        <f t="shared" si="47"/>
        <v>0</v>
      </c>
      <c r="AR56" s="17">
        <f t="shared" si="47"/>
        <v>39.248494983277595</v>
      </c>
    </row>
    <row r="57" spans="1:46" ht="15.75" thickBot="1" x14ac:dyDescent="0.3">
      <c r="A57" s="18"/>
      <c r="B57" s="19"/>
      <c r="C57" s="20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54"/>
    </row>
    <row r="58" spans="1:46" ht="15.75" thickTop="1" x14ac:dyDescent="0.25"/>
    <row r="59" spans="1:46" x14ac:dyDescent="0.25">
      <c r="A59" s="2" t="s">
        <v>284</v>
      </c>
    </row>
    <row r="60" spans="1:46" x14ac:dyDescent="0.25">
      <c r="C60" s="1" t="s">
        <v>105</v>
      </c>
      <c r="M60" s="1">
        <v>2711</v>
      </c>
      <c r="N60" s="1">
        <v>1737</v>
      </c>
      <c r="O60" s="1">
        <v>2450</v>
      </c>
      <c r="P60" s="1">
        <f>303+2335+80</f>
        <v>2718</v>
      </c>
      <c r="Q60" s="1">
        <f>1596+318</f>
        <v>1914</v>
      </c>
      <c r="R60" s="1">
        <v>3831</v>
      </c>
      <c r="S60" s="1">
        <v>4241</v>
      </c>
      <c r="T60" s="1">
        <f>22+4469</f>
        <v>4491</v>
      </c>
      <c r="U60" s="1">
        <f>4747+32</f>
        <v>4779</v>
      </c>
      <c r="V60" s="1">
        <f>3320+12</f>
        <v>3332</v>
      </c>
      <c r="W60" s="1">
        <f>4105+30</f>
        <v>4135</v>
      </c>
      <c r="X60" s="1">
        <v>5074</v>
      </c>
      <c r="Y60" s="1">
        <v>3688</v>
      </c>
      <c r="Z60" s="1">
        <v>1800</v>
      </c>
      <c r="AA60" s="1">
        <v>704</v>
      </c>
      <c r="AB60" s="1">
        <v>152</v>
      </c>
      <c r="AD60" s="1">
        <v>9</v>
      </c>
      <c r="AR60" s="3">
        <f>SUM(D60:AQ60)</f>
        <v>47766</v>
      </c>
    </row>
    <row r="61" spans="1:46" x14ac:dyDescent="0.25">
      <c r="C61" s="1" t="s">
        <v>106</v>
      </c>
      <c r="P61" s="1">
        <f>2844+288+722</f>
        <v>3854</v>
      </c>
      <c r="S61" s="1">
        <f>2295+266</f>
        <v>2561</v>
      </c>
      <c r="T61" s="1">
        <f>1915+639</f>
        <v>2554</v>
      </c>
      <c r="U61" s="1">
        <f>3364+327</f>
        <v>3691</v>
      </c>
      <c r="W61" s="1">
        <f>2355+72</f>
        <v>2427</v>
      </c>
      <c r="X61" s="1">
        <v>2366</v>
      </c>
      <c r="Z61" s="1">
        <v>464</v>
      </c>
      <c r="AA61" s="1">
        <v>676</v>
      </c>
      <c r="AB61" s="1">
        <v>260</v>
      </c>
      <c r="AC61" s="1">
        <v>15</v>
      </c>
      <c r="AR61" s="3">
        <f t="shared" ref="AR61:AR67" si="48">SUM(D61:AQ61)</f>
        <v>18868</v>
      </c>
    </row>
    <row r="62" spans="1:46" x14ac:dyDescent="0.25">
      <c r="C62" s="1" t="s">
        <v>107</v>
      </c>
      <c r="M62" s="1">
        <f>748+504</f>
        <v>1252</v>
      </c>
      <c r="N62" s="1">
        <f>861+207</f>
        <v>1068</v>
      </c>
      <c r="O62" s="1">
        <f>364+1428</f>
        <v>1792</v>
      </c>
      <c r="P62" s="1">
        <f>3619+187</f>
        <v>3806</v>
      </c>
      <c r="Q62" s="1">
        <f>3211+338</f>
        <v>3549</v>
      </c>
      <c r="R62" s="1">
        <f>1643+266</f>
        <v>1909</v>
      </c>
      <c r="S62" s="1">
        <f>2068+136</f>
        <v>2204</v>
      </c>
      <c r="T62" s="1">
        <f>2802+184</f>
        <v>2986</v>
      </c>
      <c r="U62" s="1">
        <f>2704+123</f>
        <v>2827</v>
      </c>
      <c r="V62" s="1">
        <f>3597+140</f>
        <v>3737</v>
      </c>
      <c r="W62" s="1">
        <f>928+22</f>
        <v>950</v>
      </c>
      <c r="X62" s="1">
        <v>2342</v>
      </c>
      <c r="Y62" s="1">
        <v>2290</v>
      </c>
      <c r="Z62" s="1">
        <v>309</v>
      </c>
      <c r="AR62" s="3">
        <f t="shared" si="48"/>
        <v>31021</v>
      </c>
    </row>
    <row r="63" spans="1:46" x14ac:dyDescent="0.25">
      <c r="C63" s="1" t="s">
        <v>108</v>
      </c>
      <c r="L63" s="1">
        <v>1021</v>
      </c>
      <c r="M63" s="1">
        <f>1384+737</f>
        <v>2121</v>
      </c>
      <c r="N63" s="1">
        <f>1457+24</f>
        <v>1481</v>
      </c>
      <c r="O63" s="1">
        <f>2026+501</f>
        <v>2527</v>
      </c>
      <c r="P63" s="1">
        <f>1936+420</f>
        <v>2356</v>
      </c>
      <c r="Q63" s="1">
        <f>2992+579</f>
        <v>3571</v>
      </c>
      <c r="R63" s="1">
        <f>3314+56</f>
        <v>3370</v>
      </c>
      <c r="S63" s="1">
        <f>2744+224</f>
        <v>2968</v>
      </c>
      <c r="T63" s="1">
        <f>1959+144</f>
        <v>2103</v>
      </c>
      <c r="U63" s="1">
        <f>1120+18</f>
        <v>1138</v>
      </c>
      <c r="V63" s="1">
        <f>2368+113</f>
        <v>2481</v>
      </c>
      <c r="W63" s="1">
        <v>1851</v>
      </c>
      <c r="X63" s="1">
        <v>430</v>
      </c>
      <c r="Y63" s="1">
        <v>507</v>
      </c>
      <c r="AA63" s="1">
        <v>206</v>
      </c>
      <c r="AB63" s="1">
        <v>191</v>
      </c>
      <c r="AC63" s="1">
        <v>44</v>
      </c>
      <c r="AR63" s="3">
        <f t="shared" si="48"/>
        <v>28366</v>
      </c>
    </row>
    <row r="64" spans="1:46" x14ac:dyDescent="0.25">
      <c r="C64" s="1" t="s">
        <v>109</v>
      </c>
      <c r="L64" s="1">
        <v>472</v>
      </c>
      <c r="M64" s="1">
        <f>1368+499</f>
        <v>1867</v>
      </c>
      <c r="N64" s="1">
        <f>826+54</f>
        <v>880</v>
      </c>
      <c r="O64" s="1">
        <f>523+232</f>
        <v>755</v>
      </c>
      <c r="Q64" s="1">
        <v>3536</v>
      </c>
      <c r="R64" s="1">
        <f>3709+92</f>
        <v>3801</v>
      </c>
      <c r="S64" s="1">
        <f>2930+312</f>
        <v>3242</v>
      </c>
      <c r="T64" s="1">
        <f>1699+94</f>
        <v>1793</v>
      </c>
      <c r="U64" s="1">
        <f>2607+93</f>
        <v>2700</v>
      </c>
      <c r="V64" s="1">
        <f>1623+43</f>
        <v>1666</v>
      </c>
      <c r="W64" s="1">
        <f>1683+20</f>
        <v>1703</v>
      </c>
      <c r="X64" s="1">
        <v>1533</v>
      </c>
      <c r="Y64" s="1">
        <v>508</v>
      </c>
      <c r="Z64" s="1">
        <v>167</v>
      </c>
      <c r="AR64" s="3">
        <f t="shared" si="48"/>
        <v>24623</v>
      </c>
    </row>
    <row r="65" spans="1:48" x14ac:dyDescent="0.25">
      <c r="C65" s="1" t="s">
        <v>325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3">
        <f t="shared" si="48"/>
        <v>0</v>
      </c>
      <c r="AS65" s="8"/>
      <c r="AU65" s="8"/>
      <c r="AV65" s="8"/>
    </row>
    <row r="66" spans="1:48" x14ac:dyDescent="0.25">
      <c r="C66" s="1" t="s">
        <v>193</v>
      </c>
      <c r="AR66" s="3">
        <f t="shared" si="48"/>
        <v>0</v>
      </c>
      <c r="AT66" s="1"/>
      <c r="AU66" s="8"/>
      <c r="AV66" s="8"/>
    </row>
    <row r="67" spans="1:48" x14ac:dyDescent="0.25">
      <c r="C67" s="1" t="s">
        <v>6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3">
        <f t="shared" si="48"/>
        <v>0</v>
      </c>
      <c r="AS67" s="8"/>
      <c r="AU67" s="8"/>
      <c r="AV67" s="8"/>
    </row>
    <row r="68" spans="1:48" s="2" customFormat="1" x14ac:dyDescent="0.25">
      <c r="D68" s="3">
        <f t="shared" ref="D68:J68" si="49">SUM(D60:D67)</f>
        <v>0</v>
      </c>
      <c r="E68" s="3">
        <f t="shared" si="49"/>
        <v>0</v>
      </c>
      <c r="F68" s="3">
        <f t="shared" si="49"/>
        <v>0</v>
      </c>
      <c r="G68" s="3">
        <f t="shared" si="49"/>
        <v>0</v>
      </c>
      <c r="H68" s="3">
        <f t="shared" si="49"/>
        <v>0</v>
      </c>
      <c r="I68" s="3">
        <f t="shared" si="49"/>
        <v>0</v>
      </c>
      <c r="J68" s="3">
        <f t="shared" si="49"/>
        <v>0</v>
      </c>
      <c r="K68" s="3">
        <f t="shared" ref="K68:AR68" si="50">SUM(K60:K67)</f>
        <v>0</v>
      </c>
      <c r="L68" s="3">
        <f t="shared" si="50"/>
        <v>1493</v>
      </c>
      <c r="M68" s="3">
        <f t="shared" si="50"/>
        <v>7951</v>
      </c>
      <c r="N68" s="3">
        <f t="shared" si="50"/>
        <v>5166</v>
      </c>
      <c r="O68" s="3">
        <f t="shared" si="50"/>
        <v>7524</v>
      </c>
      <c r="P68" s="3">
        <f t="shared" si="50"/>
        <v>12734</v>
      </c>
      <c r="Q68" s="3">
        <f t="shared" si="50"/>
        <v>12570</v>
      </c>
      <c r="R68" s="3">
        <f t="shared" si="50"/>
        <v>12911</v>
      </c>
      <c r="S68" s="3">
        <f t="shared" si="50"/>
        <v>15216</v>
      </c>
      <c r="T68" s="3">
        <f t="shared" si="50"/>
        <v>13927</v>
      </c>
      <c r="U68" s="3">
        <f t="shared" si="50"/>
        <v>15135</v>
      </c>
      <c r="V68" s="3">
        <f t="shared" si="50"/>
        <v>11216</v>
      </c>
      <c r="W68" s="3">
        <f t="shared" si="50"/>
        <v>11066</v>
      </c>
      <c r="X68" s="3">
        <f t="shared" si="50"/>
        <v>11745</v>
      </c>
      <c r="Y68" s="3">
        <f t="shared" si="50"/>
        <v>6993</v>
      </c>
      <c r="Z68" s="3">
        <f t="shared" si="50"/>
        <v>2740</v>
      </c>
      <c r="AA68" s="3">
        <f t="shared" si="50"/>
        <v>1586</v>
      </c>
      <c r="AB68" s="3">
        <f t="shared" si="50"/>
        <v>603</v>
      </c>
      <c r="AC68" s="3">
        <f t="shared" si="50"/>
        <v>59</v>
      </c>
      <c r="AD68" s="3">
        <f t="shared" si="50"/>
        <v>9</v>
      </c>
      <c r="AE68" s="3">
        <f t="shared" si="50"/>
        <v>0</v>
      </c>
      <c r="AF68" s="3">
        <f t="shared" si="50"/>
        <v>0</v>
      </c>
      <c r="AG68" s="3">
        <f t="shared" si="50"/>
        <v>0</v>
      </c>
      <c r="AH68" s="3">
        <f t="shared" si="50"/>
        <v>0</v>
      </c>
      <c r="AI68" s="3">
        <f t="shared" si="50"/>
        <v>0</v>
      </c>
      <c r="AJ68" s="3">
        <f t="shared" si="50"/>
        <v>0</v>
      </c>
      <c r="AK68" s="3">
        <f t="shared" si="50"/>
        <v>0</v>
      </c>
      <c r="AL68" s="3">
        <f t="shared" si="50"/>
        <v>0</v>
      </c>
      <c r="AM68" s="3">
        <f t="shared" si="50"/>
        <v>0</v>
      </c>
      <c r="AN68" s="3">
        <f t="shared" si="50"/>
        <v>0</v>
      </c>
      <c r="AO68" s="3">
        <f t="shared" si="50"/>
        <v>0</v>
      </c>
      <c r="AP68" s="3">
        <f t="shared" si="50"/>
        <v>0</v>
      </c>
      <c r="AQ68" s="3">
        <f t="shared" si="50"/>
        <v>0</v>
      </c>
      <c r="AR68" s="3">
        <f t="shared" si="50"/>
        <v>150644</v>
      </c>
      <c r="AS68" s="9"/>
      <c r="AT68" s="9"/>
      <c r="AU68" s="9"/>
      <c r="AV68" s="9"/>
    </row>
    <row r="69" spans="1:48" s="23" customFormat="1" x14ac:dyDescent="0.25">
      <c r="D69" s="48">
        <f t="shared" ref="D69:J69" si="51">+D68*18</f>
        <v>0</v>
      </c>
      <c r="E69" s="48">
        <f t="shared" si="51"/>
        <v>0</v>
      </c>
      <c r="F69" s="48">
        <f t="shared" si="51"/>
        <v>0</v>
      </c>
      <c r="G69" s="48">
        <f t="shared" si="51"/>
        <v>0</v>
      </c>
      <c r="H69" s="48">
        <f t="shared" si="51"/>
        <v>0</v>
      </c>
      <c r="I69" s="48">
        <f t="shared" si="51"/>
        <v>0</v>
      </c>
      <c r="J69" s="48">
        <f t="shared" si="51"/>
        <v>0</v>
      </c>
      <c r="K69" s="48">
        <f>+K68*18</f>
        <v>0</v>
      </c>
      <c r="L69" s="48">
        <f>+L68*18</f>
        <v>26874</v>
      </c>
      <c r="M69" s="48">
        <f>+M68*18</f>
        <v>143118</v>
      </c>
      <c r="N69" s="48">
        <f t="shared" ref="N69:AR69" si="52">+N68*18</f>
        <v>92988</v>
      </c>
      <c r="O69" s="48">
        <f t="shared" si="52"/>
        <v>135432</v>
      </c>
      <c r="P69" s="48">
        <f t="shared" si="52"/>
        <v>229212</v>
      </c>
      <c r="Q69" s="48">
        <f t="shared" si="52"/>
        <v>226260</v>
      </c>
      <c r="R69" s="48">
        <f t="shared" si="52"/>
        <v>232398</v>
      </c>
      <c r="S69" s="48">
        <f t="shared" si="52"/>
        <v>273888</v>
      </c>
      <c r="T69" s="48">
        <f t="shared" si="52"/>
        <v>250686</v>
      </c>
      <c r="U69" s="48">
        <f t="shared" si="52"/>
        <v>272430</v>
      </c>
      <c r="V69" s="48">
        <f t="shared" si="52"/>
        <v>201888</v>
      </c>
      <c r="W69" s="48">
        <f t="shared" si="52"/>
        <v>199188</v>
      </c>
      <c r="X69" s="48">
        <f t="shared" si="52"/>
        <v>211410</v>
      </c>
      <c r="Y69" s="48">
        <f t="shared" si="52"/>
        <v>125874</v>
      </c>
      <c r="Z69" s="48">
        <f t="shared" si="52"/>
        <v>49320</v>
      </c>
      <c r="AA69" s="48">
        <f t="shared" si="52"/>
        <v>28548</v>
      </c>
      <c r="AB69" s="48">
        <f t="shared" si="52"/>
        <v>10854</v>
      </c>
      <c r="AC69" s="48">
        <f t="shared" si="52"/>
        <v>1062</v>
      </c>
      <c r="AD69" s="48">
        <f t="shared" si="52"/>
        <v>162</v>
      </c>
      <c r="AE69" s="48">
        <f t="shared" si="52"/>
        <v>0</v>
      </c>
      <c r="AF69" s="48">
        <f t="shared" si="52"/>
        <v>0</v>
      </c>
      <c r="AG69" s="48">
        <f t="shared" si="52"/>
        <v>0</v>
      </c>
      <c r="AH69" s="48">
        <f t="shared" si="52"/>
        <v>0</v>
      </c>
      <c r="AI69" s="48">
        <f t="shared" si="52"/>
        <v>0</v>
      </c>
      <c r="AJ69" s="48">
        <f t="shared" si="52"/>
        <v>0</v>
      </c>
      <c r="AK69" s="48">
        <f t="shared" si="52"/>
        <v>0</v>
      </c>
      <c r="AL69" s="48">
        <f t="shared" si="52"/>
        <v>0</v>
      </c>
      <c r="AM69" s="48">
        <f t="shared" si="52"/>
        <v>0</v>
      </c>
      <c r="AN69" s="48">
        <f t="shared" si="52"/>
        <v>0</v>
      </c>
      <c r="AO69" s="48">
        <f t="shared" si="52"/>
        <v>0</v>
      </c>
      <c r="AP69" s="48">
        <f t="shared" si="52"/>
        <v>0</v>
      </c>
      <c r="AQ69" s="48">
        <f t="shared" si="52"/>
        <v>0</v>
      </c>
      <c r="AR69" s="48">
        <f t="shared" si="52"/>
        <v>2711592</v>
      </c>
      <c r="AS69" s="49"/>
      <c r="AT69" s="49"/>
      <c r="AU69" s="49"/>
      <c r="AV69" s="49"/>
    </row>
    <row r="70" spans="1:48" x14ac:dyDescent="0.25">
      <c r="A70" s="2" t="s">
        <v>227</v>
      </c>
    </row>
    <row r="71" spans="1:48" x14ac:dyDescent="0.25">
      <c r="C71" s="1" t="s">
        <v>105</v>
      </c>
      <c r="N71" s="1">
        <v>40</v>
      </c>
      <c r="P71" s="1">
        <v>0</v>
      </c>
      <c r="R71" s="1">
        <v>431</v>
      </c>
      <c r="S71" s="1">
        <v>5</v>
      </c>
      <c r="T71" s="1">
        <v>21</v>
      </c>
      <c r="U71" s="1">
        <v>25</v>
      </c>
      <c r="V71" s="1">
        <v>19</v>
      </c>
      <c r="W71" s="1">
        <v>26</v>
      </c>
      <c r="AR71" s="3">
        <f>SUM(D71:AQ71)</f>
        <v>567</v>
      </c>
    </row>
    <row r="72" spans="1:48" x14ac:dyDescent="0.25">
      <c r="C72" s="1" t="s">
        <v>106</v>
      </c>
      <c r="P72" s="1">
        <v>354</v>
      </c>
      <c r="S72" s="1">
        <v>134</v>
      </c>
      <c r="T72" s="1">
        <v>206</v>
      </c>
      <c r="U72" s="1">
        <v>208</v>
      </c>
      <c r="W72" s="1">
        <v>77</v>
      </c>
      <c r="AR72" s="3">
        <f t="shared" ref="AR72:AR78" si="53">SUM(D72:AQ72)</f>
        <v>979</v>
      </c>
    </row>
    <row r="73" spans="1:48" x14ac:dyDescent="0.25">
      <c r="C73" s="1" t="s">
        <v>107</v>
      </c>
      <c r="M73" s="1">
        <v>797</v>
      </c>
      <c r="N73" s="1">
        <v>197</v>
      </c>
      <c r="O73" s="1">
        <v>415</v>
      </c>
      <c r="P73" s="1">
        <v>44</v>
      </c>
      <c r="Q73" s="1">
        <v>16</v>
      </c>
      <c r="R73" s="1">
        <v>582</v>
      </c>
      <c r="S73" s="1">
        <v>172</v>
      </c>
      <c r="T73" s="1">
        <v>130</v>
      </c>
      <c r="U73" s="1">
        <v>36</v>
      </c>
      <c r="V73" s="1">
        <v>138</v>
      </c>
      <c r="W73" s="1">
        <v>44</v>
      </c>
      <c r="AR73" s="3">
        <f t="shared" si="53"/>
        <v>2571</v>
      </c>
    </row>
    <row r="74" spans="1:48" x14ac:dyDescent="0.25">
      <c r="C74" s="1" t="s">
        <v>108</v>
      </c>
      <c r="M74" s="1">
        <v>91</v>
      </c>
      <c r="N74" s="1">
        <v>144</v>
      </c>
      <c r="O74" s="1">
        <v>308</v>
      </c>
      <c r="P74" s="1">
        <v>12</v>
      </c>
      <c r="Q74" s="1">
        <v>270</v>
      </c>
      <c r="S74" s="1">
        <v>195</v>
      </c>
      <c r="T74" s="1">
        <v>87</v>
      </c>
      <c r="U74" s="1">
        <v>4</v>
      </c>
      <c r="V74" s="1">
        <v>156</v>
      </c>
      <c r="W74" s="1">
        <v>3</v>
      </c>
      <c r="AR74" s="3">
        <f t="shared" si="53"/>
        <v>1270</v>
      </c>
    </row>
    <row r="75" spans="1:48" x14ac:dyDescent="0.25">
      <c r="C75" s="1" t="s">
        <v>109</v>
      </c>
      <c r="M75" s="1">
        <v>40</v>
      </c>
      <c r="N75" s="1">
        <v>175</v>
      </c>
      <c r="O75" s="1">
        <v>104</v>
      </c>
      <c r="R75" s="1">
        <v>4</v>
      </c>
      <c r="S75" s="1">
        <v>97</v>
      </c>
      <c r="T75" s="1">
        <v>18</v>
      </c>
      <c r="U75" s="1">
        <v>10</v>
      </c>
      <c r="V75" s="1">
        <v>108</v>
      </c>
      <c r="W75" s="1">
        <v>8</v>
      </c>
      <c r="AR75" s="3">
        <f t="shared" si="53"/>
        <v>564</v>
      </c>
    </row>
    <row r="76" spans="1:48" x14ac:dyDescent="0.25">
      <c r="C76" s="1" t="s">
        <v>110</v>
      </c>
      <c r="AR76" s="3">
        <f t="shared" si="53"/>
        <v>0</v>
      </c>
    </row>
    <row r="77" spans="1:48" x14ac:dyDescent="0.25">
      <c r="C77" s="1" t="s">
        <v>193</v>
      </c>
    </row>
    <row r="78" spans="1:48" x14ac:dyDescent="0.25">
      <c r="C78" s="1" t="s">
        <v>6</v>
      </c>
      <c r="AR78" s="3">
        <f t="shared" si="53"/>
        <v>0</v>
      </c>
    </row>
    <row r="79" spans="1:48" s="2" customFormat="1" x14ac:dyDescent="0.25">
      <c r="D79" s="3">
        <f t="shared" ref="D79:J79" si="54">SUM(D71:D78)</f>
        <v>0</v>
      </c>
      <c r="E79" s="3">
        <f t="shared" si="54"/>
        <v>0</v>
      </c>
      <c r="F79" s="3">
        <f t="shared" si="54"/>
        <v>0</v>
      </c>
      <c r="G79" s="3">
        <f t="shared" si="54"/>
        <v>0</v>
      </c>
      <c r="H79" s="3">
        <f t="shared" si="54"/>
        <v>0</v>
      </c>
      <c r="I79" s="3">
        <f t="shared" si="54"/>
        <v>0</v>
      </c>
      <c r="J79" s="3">
        <f t="shared" si="54"/>
        <v>0</v>
      </c>
      <c r="K79" s="3">
        <f>SUM(K71:K78)</f>
        <v>0</v>
      </c>
      <c r="L79" s="3">
        <f>SUM(L71:L78)</f>
        <v>0</v>
      </c>
      <c r="M79" s="3">
        <f t="shared" ref="M79:AR79" si="55">SUM(M71:M78)</f>
        <v>928</v>
      </c>
      <c r="N79" s="3">
        <f t="shared" si="55"/>
        <v>556</v>
      </c>
      <c r="O79" s="3">
        <f t="shared" si="55"/>
        <v>827</v>
      </c>
      <c r="P79" s="3">
        <f t="shared" si="55"/>
        <v>410</v>
      </c>
      <c r="Q79" s="3">
        <f t="shared" si="55"/>
        <v>286</v>
      </c>
      <c r="R79" s="3">
        <f t="shared" si="55"/>
        <v>1017</v>
      </c>
      <c r="S79" s="3">
        <f t="shared" si="55"/>
        <v>603</v>
      </c>
      <c r="T79" s="3">
        <f t="shared" si="55"/>
        <v>462</v>
      </c>
      <c r="U79" s="3">
        <f t="shared" si="55"/>
        <v>283</v>
      </c>
      <c r="V79" s="3">
        <f t="shared" si="55"/>
        <v>421</v>
      </c>
      <c r="W79" s="3">
        <f t="shared" si="55"/>
        <v>158</v>
      </c>
      <c r="X79" s="3">
        <f t="shared" si="55"/>
        <v>0</v>
      </c>
      <c r="Y79" s="3">
        <f t="shared" si="55"/>
        <v>0</v>
      </c>
      <c r="Z79" s="3">
        <f t="shared" si="55"/>
        <v>0</v>
      </c>
      <c r="AA79" s="3">
        <f t="shared" si="55"/>
        <v>0</v>
      </c>
      <c r="AB79" s="3">
        <f t="shared" si="55"/>
        <v>0</v>
      </c>
      <c r="AC79" s="3">
        <f t="shared" si="55"/>
        <v>0</v>
      </c>
      <c r="AD79" s="3">
        <f t="shared" si="55"/>
        <v>0</v>
      </c>
      <c r="AE79" s="3">
        <f t="shared" si="55"/>
        <v>0</v>
      </c>
      <c r="AF79" s="3">
        <f t="shared" si="55"/>
        <v>0</v>
      </c>
      <c r="AG79" s="3">
        <f t="shared" si="55"/>
        <v>0</v>
      </c>
      <c r="AH79" s="3">
        <f t="shared" si="55"/>
        <v>0</v>
      </c>
      <c r="AI79" s="3">
        <f t="shared" si="55"/>
        <v>0</v>
      </c>
      <c r="AJ79" s="3">
        <f t="shared" si="55"/>
        <v>0</v>
      </c>
      <c r="AK79" s="3">
        <f t="shared" si="55"/>
        <v>0</v>
      </c>
      <c r="AL79" s="3">
        <f t="shared" si="55"/>
        <v>0</v>
      </c>
      <c r="AM79" s="3">
        <f t="shared" si="55"/>
        <v>0</v>
      </c>
      <c r="AN79" s="3">
        <f t="shared" si="55"/>
        <v>0</v>
      </c>
      <c r="AO79" s="3">
        <f t="shared" si="55"/>
        <v>0</v>
      </c>
      <c r="AP79" s="3">
        <f t="shared" si="55"/>
        <v>0</v>
      </c>
      <c r="AQ79" s="3">
        <f t="shared" si="55"/>
        <v>0</v>
      </c>
      <c r="AR79" s="3">
        <f t="shared" si="55"/>
        <v>5951</v>
      </c>
      <c r="AS79" s="3"/>
      <c r="AT79" s="9"/>
    </row>
    <row r="80" spans="1:48" s="2" customFormat="1" x14ac:dyDescent="0.25">
      <c r="D80" s="3">
        <f t="shared" ref="D80:J80" si="56">+D79*18</f>
        <v>0</v>
      </c>
      <c r="E80" s="3">
        <f t="shared" si="56"/>
        <v>0</v>
      </c>
      <c r="F80" s="3">
        <f t="shared" si="56"/>
        <v>0</v>
      </c>
      <c r="G80" s="3">
        <f t="shared" si="56"/>
        <v>0</v>
      </c>
      <c r="H80" s="3">
        <f t="shared" si="56"/>
        <v>0</v>
      </c>
      <c r="I80" s="3">
        <f t="shared" si="56"/>
        <v>0</v>
      </c>
      <c r="J80" s="3">
        <f t="shared" si="56"/>
        <v>0</v>
      </c>
      <c r="K80" s="3">
        <f>+K79*18</f>
        <v>0</v>
      </c>
      <c r="L80" s="3">
        <f>+L79*18</f>
        <v>0</v>
      </c>
      <c r="M80" s="3">
        <f t="shared" ref="M80:AR80" si="57">+M79*18</f>
        <v>16704</v>
      </c>
      <c r="N80" s="3">
        <f t="shared" si="57"/>
        <v>10008</v>
      </c>
      <c r="O80" s="3">
        <f t="shared" si="57"/>
        <v>14886</v>
      </c>
      <c r="P80" s="3">
        <f t="shared" si="57"/>
        <v>7380</v>
      </c>
      <c r="Q80" s="3">
        <f t="shared" si="57"/>
        <v>5148</v>
      </c>
      <c r="R80" s="3">
        <f t="shared" si="57"/>
        <v>18306</v>
      </c>
      <c r="S80" s="3">
        <f t="shared" si="57"/>
        <v>10854</v>
      </c>
      <c r="T80" s="3">
        <f t="shared" si="57"/>
        <v>8316</v>
      </c>
      <c r="U80" s="3">
        <f t="shared" si="57"/>
        <v>5094</v>
      </c>
      <c r="V80" s="3">
        <f t="shared" si="57"/>
        <v>7578</v>
      </c>
      <c r="W80" s="3">
        <f t="shared" si="57"/>
        <v>2844</v>
      </c>
      <c r="X80" s="3">
        <f t="shared" si="57"/>
        <v>0</v>
      </c>
      <c r="Y80" s="3">
        <f t="shared" si="57"/>
        <v>0</v>
      </c>
      <c r="Z80" s="3">
        <f t="shared" si="57"/>
        <v>0</v>
      </c>
      <c r="AA80" s="3">
        <f t="shared" si="57"/>
        <v>0</v>
      </c>
      <c r="AB80" s="3">
        <f t="shared" si="57"/>
        <v>0</v>
      </c>
      <c r="AC80" s="3">
        <f t="shared" si="57"/>
        <v>0</v>
      </c>
      <c r="AD80" s="3">
        <f t="shared" si="57"/>
        <v>0</v>
      </c>
      <c r="AE80" s="3">
        <f t="shared" si="57"/>
        <v>0</v>
      </c>
      <c r="AF80" s="3">
        <f t="shared" si="57"/>
        <v>0</v>
      </c>
      <c r="AG80" s="3">
        <f t="shared" si="57"/>
        <v>0</v>
      </c>
      <c r="AH80" s="3">
        <f t="shared" si="57"/>
        <v>0</v>
      </c>
      <c r="AI80" s="3">
        <f t="shared" si="57"/>
        <v>0</v>
      </c>
      <c r="AJ80" s="3">
        <f t="shared" si="57"/>
        <v>0</v>
      </c>
      <c r="AK80" s="3">
        <f t="shared" si="57"/>
        <v>0</v>
      </c>
      <c r="AL80" s="3">
        <f t="shared" si="57"/>
        <v>0</v>
      </c>
      <c r="AM80" s="3">
        <f t="shared" si="57"/>
        <v>0</v>
      </c>
      <c r="AN80" s="3">
        <f t="shared" si="57"/>
        <v>0</v>
      </c>
      <c r="AO80" s="3">
        <f t="shared" si="57"/>
        <v>0</v>
      </c>
      <c r="AP80" s="3">
        <f t="shared" si="57"/>
        <v>0</v>
      </c>
      <c r="AQ80" s="3">
        <f t="shared" si="57"/>
        <v>0</v>
      </c>
      <c r="AR80" s="3">
        <f t="shared" si="57"/>
        <v>107118</v>
      </c>
      <c r="AS80" s="3"/>
      <c r="AT80" s="9"/>
    </row>
    <row r="81" spans="1:44" x14ac:dyDescent="0.25">
      <c r="A81" s="2" t="s">
        <v>464</v>
      </c>
    </row>
    <row r="82" spans="1:44" x14ac:dyDescent="0.25">
      <c r="C82" s="1" t="s">
        <v>105</v>
      </c>
      <c r="G82" s="1">
        <v>2364</v>
      </c>
      <c r="H82" s="1">
        <v>390</v>
      </c>
      <c r="J82" s="1">
        <v>667</v>
      </c>
      <c r="K82" s="1">
        <v>726</v>
      </c>
      <c r="L82" s="1">
        <v>919</v>
      </c>
      <c r="M82" s="1">
        <v>848</v>
      </c>
      <c r="N82" s="1">
        <v>1311</v>
      </c>
      <c r="O82" s="1">
        <v>557</v>
      </c>
      <c r="P82" s="1">
        <v>743</v>
      </c>
      <c r="Q82" s="1">
        <v>403</v>
      </c>
      <c r="R82" s="1">
        <v>1738</v>
      </c>
      <c r="S82" s="1">
        <v>1042</v>
      </c>
      <c r="T82" s="1">
        <v>1416</v>
      </c>
      <c r="U82" s="1">
        <v>2061</v>
      </c>
      <c r="V82" s="1">
        <v>1172</v>
      </c>
      <c r="W82" s="1">
        <v>1160</v>
      </c>
      <c r="X82" s="1">
        <v>1472</v>
      </c>
      <c r="Y82" s="1">
        <v>1232</v>
      </c>
      <c r="Z82" s="1">
        <v>504</v>
      </c>
      <c r="AA82" s="1">
        <v>630</v>
      </c>
      <c r="AB82" s="1">
        <v>641</v>
      </c>
      <c r="AC82" s="1">
        <v>240</v>
      </c>
      <c r="AD82" s="1">
        <v>118</v>
      </c>
      <c r="AE82" s="1">
        <v>40</v>
      </c>
      <c r="AF82" s="1">
        <v>52</v>
      </c>
      <c r="AH82" s="1">
        <v>128</v>
      </c>
      <c r="AI82" s="1">
        <v>259</v>
      </c>
      <c r="AR82" s="3">
        <f t="shared" ref="AR82:AR89" si="58">SUM(D82:AQ82)</f>
        <v>22833</v>
      </c>
    </row>
    <row r="83" spans="1:44" x14ac:dyDescent="0.25">
      <c r="C83" s="1" t="s">
        <v>106</v>
      </c>
      <c r="P83" s="1">
        <v>222</v>
      </c>
      <c r="S83" s="1">
        <v>258</v>
      </c>
      <c r="T83" s="1">
        <v>405</v>
      </c>
      <c r="U83" s="1">
        <v>459</v>
      </c>
      <c r="W83" s="1">
        <v>402</v>
      </c>
      <c r="X83" s="1">
        <v>525</v>
      </c>
      <c r="Z83" s="1">
        <v>268</v>
      </c>
      <c r="AA83" s="1">
        <v>420</v>
      </c>
      <c r="AB83" s="1">
        <v>197</v>
      </c>
      <c r="AC83" s="1">
        <v>100</v>
      </c>
      <c r="AD83" s="1">
        <v>638</v>
      </c>
      <c r="AE83" s="1">
        <v>140</v>
      </c>
      <c r="AF83" s="1">
        <v>171</v>
      </c>
      <c r="AG83" s="1">
        <v>259</v>
      </c>
      <c r="AH83" s="1">
        <v>41</v>
      </c>
      <c r="AI83" s="1">
        <v>90</v>
      </c>
      <c r="AJ83" s="1">
        <v>727</v>
      </c>
      <c r="AK83" s="1">
        <v>636</v>
      </c>
      <c r="AL83" s="1">
        <v>397</v>
      </c>
      <c r="AM83" s="1">
        <v>227</v>
      </c>
      <c r="AN83" s="1">
        <v>203</v>
      </c>
      <c r="AO83" s="1">
        <v>75</v>
      </c>
      <c r="AR83" s="3">
        <f t="shared" si="58"/>
        <v>6860</v>
      </c>
    </row>
    <row r="84" spans="1:44" x14ac:dyDescent="0.25">
      <c r="C84" s="1" t="s">
        <v>107</v>
      </c>
      <c r="M84" s="1">
        <v>69</v>
      </c>
      <c r="N84" s="1">
        <v>182</v>
      </c>
      <c r="O84" s="1">
        <v>183</v>
      </c>
      <c r="P84" s="1">
        <v>585</v>
      </c>
      <c r="Q84" s="1">
        <v>536</v>
      </c>
      <c r="R84" s="1">
        <v>204</v>
      </c>
      <c r="S84" s="1">
        <v>343</v>
      </c>
      <c r="T84" s="1">
        <v>442</v>
      </c>
      <c r="U84" s="1">
        <v>439</v>
      </c>
      <c r="V84" s="1">
        <v>887</v>
      </c>
      <c r="W84" s="1">
        <v>209</v>
      </c>
      <c r="X84" s="1">
        <v>519</v>
      </c>
      <c r="Y84" s="1">
        <v>459</v>
      </c>
      <c r="Z84" s="1">
        <v>354</v>
      </c>
      <c r="AR84" s="3">
        <f t="shared" si="58"/>
        <v>5411</v>
      </c>
    </row>
    <row r="85" spans="1:44" x14ac:dyDescent="0.25">
      <c r="C85" s="1" t="s">
        <v>108</v>
      </c>
      <c r="G85" s="1">
        <v>540</v>
      </c>
      <c r="H85" s="1">
        <v>1101</v>
      </c>
      <c r="I85" s="1">
        <v>292</v>
      </c>
      <c r="J85" s="1">
        <v>156</v>
      </c>
      <c r="K85" s="1">
        <v>970</v>
      </c>
      <c r="L85" s="1">
        <v>421</v>
      </c>
      <c r="M85" s="1">
        <v>231</v>
      </c>
      <c r="N85" s="1">
        <v>377</v>
      </c>
      <c r="O85" s="1">
        <v>524</v>
      </c>
      <c r="P85" s="1">
        <v>477</v>
      </c>
      <c r="Q85" s="1">
        <v>637</v>
      </c>
      <c r="R85" s="1">
        <v>442</v>
      </c>
      <c r="S85" s="1">
        <v>374</v>
      </c>
      <c r="T85" s="1">
        <v>300</v>
      </c>
      <c r="U85" s="1">
        <v>219</v>
      </c>
      <c r="V85" s="1">
        <v>375</v>
      </c>
      <c r="W85" s="1">
        <v>405</v>
      </c>
      <c r="X85" s="1">
        <v>60</v>
      </c>
      <c r="Y85" s="1">
        <v>217</v>
      </c>
      <c r="AA85" s="1">
        <v>350</v>
      </c>
      <c r="AB85" s="1">
        <v>342</v>
      </c>
      <c r="AC85" s="1">
        <v>453</v>
      </c>
      <c r="AD85" s="1">
        <v>208</v>
      </c>
      <c r="AE85" s="1">
        <v>183</v>
      </c>
      <c r="AF85" s="1">
        <v>216</v>
      </c>
      <c r="AG85" s="1">
        <v>177</v>
      </c>
      <c r="AH85" s="1">
        <v>187</v>
      </c>
      <c r="AI85" s="1">
        <v>206</v>
      </c>
      <c r="AR85" s="3">
        <f t="shared" si="58"/>
        <v>10440</v>
      </c>
    </row>
    <row r="86" spans="1:44" x14ac:dyDescent="0.25">
      <c r="C86" s="1" t="s">
        <v>109</v>
      </c>
      <c r="L86" s="1">
        <v>351</v>
      </c>
      <c r="M86" s="1">
        <v>222</v>
      </c>
      <c r="N86" s="1">
        <v>222</v>
      </c>
      <c r="O86" s="1">
        <v>217</v>
      </c>
      <c r="Q86" s="1">
        <v>772</v>
      </c>
      <c r="R86" s="1">
        <v>560</v>
      </c>
      <c r="S86" s="1">
        <v>659</v>
      </c>
      <c r="T86" s="1">
        <v>282</v>
      </c>
      <c r="U86" s="1">
        <v>361</v>
      </c>
      <c r="V86" s="1">
        <v>314</v>
      </c>
      <c r="W86" s="1">
        <v>481</v>
      </c>
      <c r="X86" s="1">
        <v>410</v>
      </c>
      <c r="Y86" s="1">
        <v>392</v>
      </c>
      <c r="Z86" s="1">
        <v>149</v>
      </c>
      <c r="AR86" s="3">
        <f t="shared" si="58"/>
        <v>5392</v>
      </c>
    </row>
    <row r="87" spans="1:44" x14ac:dyDescent="0.25">
      <c r="C87" s="1" t="s">
        <v>110</v>
      </c>
      <c r="AR87" s="3">
        <f t="shared" si="58"/>
        <v>0</v>
      </c>
    </row>
    <row r="88" spans="1:44" x14ac:dyDescent="0.25">
      <c r="C88" s="1" t="s">
        <v>193</v>
      </c>
    </row>
    <row r="89" spans="1:44" x14ac:dyDescent="0.25">
      <c r="C89" s="1" t="s">
        <v>6</v>
      </c>
      <c r="AR89" s="3">
        <f t="shared" si="58"/>
        <v>0</v>
      </c>
    </row>
    <row r="90" spans="1:44" x14ac:dyDescent="0.25">
      <c r="D90" s="3">
        <f t="shared" ref="D90:J90" si="59">SUM(D82:D89)</f>
        <v>0</v>
      </c>
      <c r="E90" s="3">
        <f t="shared" si="59"/>
        <v>0</v>
      </c>
      <c r="F90" s="3">
        <f t="shared" si="59"/>
        <v>0</v>
      </c>
      <c r="G90" s="3">
        <f t="shared" si="59"/>
        <v>2904</v>
      </c>
      <c r="H90" s="3">
        <f t="shared" si="59"/>
        <v>1491</v>
      </c>
      <c r="I90" s="3">
        <f t="shared" si="59"/>
        <v>292</v>
      </c>
      <c r="J90" s="3">
        <f t="shared" si="59"/>
        <v>823</v>
      </c>
      <c r="K90" s="3">
        <f>SUM(K82:K89)</f>
        <v>1696</v>
      </c>
      <c r="L90" s="3">
        <f>SUM(L82:L89)</f>
        <v>1691</v>
      </c>
      <c r="M90" s="3">
        <f>SUM(M82:M89)</f>
        <v>1370</v>
      </c>
      <c r="N90" s="3">
        <f t="shared" ref="N90:AR90" si="60">SUM(N82:N89)</f>
        <v>2092</v>
      </c>
      <c r="O90" s="3">
        <f t="shared" si="60"/>
        <v>1481</v>
      </c>
      <c r="P90" s="3">
        <f t="shared" si="60"/>
        <v>2027</v>
      </c>
      <c r="Q90" s="3">
        <f t="shared" si="60"/>
        <v>2348</v>
      </c>
      <c r="R90" s="3">
        <f t="shared" si="60"/>
        <v>2944</v>
      </c>
      <c r="S90" s="3">
        <f t="shared" si="60"/>
        <v>2676</v>
      </c>
      <c r="T90" s="3">
        <f t="shared" si="60"/>
        <v>2845</v>
      </c>
      <c r="U90" s="3">
        <f t="shared" si="60"/>
        <v>3539</v>
      </c>
      <c r="V90" s="3">
        <f t="shared" si="60"/>
        <v>2748</v>
      </c>
      <c r="W90" s="3">
        <f t="shared" si="60"/>
        <v>2657</v>
      </c>
      <c r="X90" s="3">
        <f t="shared" si="60"/>
        <v>2986</v>
      </c>
      <c r="Y90" s="3">
        <f t="shared" si="60"/>
        <v>2300</v>
      </c>
      <c r="Z90" s="3">
        <f t="shared" si="60"/>
        <v>1275</v>
      </c>
      <c r="AA90" s="3">
        <f t="shared" si="60"/>
        <v>1400</v>
      </c>
      <c r="AB90" s="3">
        <f t="shared" si="60"/>
        <v>1180</v>
      </c>
      <c r="AC90" s="3">
        <f t="shared" si="60"/>
        <v>793</v>
      </c>
      <c r="AD90" s="3">
        <f t="shared" si="60"/>
        <v>964</v>
      </c>
      <c r="AE90" s="3">
        <f t="shared" si="60"/>
        <v>363</v>
      </c>
      <c r="AF90" s="3">
        <f t="shared" si="60"/>
        <v>439</v>
      </c>
      <c r="AG90" s="3">
        <f t="shared" si="60"/>
        <v>436</v>
      </c>
      <c r="AH90" s="3">
        <f t="shared" si="60"/>
        <v>356</v>
      </c>
      <c r="AI90" s="3">
        <f t="shared" si="60"/>
        <v>555</v>
      </c>
      <c r="AJ90" s="3">
        <f t="shared" si="60"/>
        <v>727</v>
      </c>
      <c r="AK90" s="3">
        <f t="shared" si="60"/>
        <v>636</v>
      </c>
      <c r="AL90" s="3">
        <f t="shared" si="60"/>
        <v>397</v>
      </c>
      <c r="AM90" s="3">
        <f t="shared" si="60"/>
        <v>227</v>
      </c>
      <c r="AN90" s="3">
        <f t="shared" si="60"/>
        <v>203</v>
      </c>
      <c r="AO90" s="3">
        <f t="shared" si="60"/>
        <v>75</v>
      </c>
      <c r="AP90" s="3">
        <f t="shared" si="60"/>
        <v>0</v>
      </c>
      <c r="AQ90" s="3">
        <f t="shared" si="60"/>
        <v>0</v>
      </c>
      <c r="AR90" s="3">
        <f t="shared" si="60"/>
        <v>50936</v>
      </c>
    </row>
    <row r="91" spans="1:44" x14ac:dyDescent="0.25">
      <c r="D91" s="3">
        <f t="shared" ref="D91:J91" si="61">+D90*18</f>
        <v>0</v>
      </c>
      <c r="E91" s="3">
        <f t="shared" si="61"/>
        <v>0</v>
      </c>
      <c r="F91" s="3">
        <f t="shared" si="61"/>
        <v>0</v>
      </c>
      <c r="G91" s="3">
        <f t="shared" si="61"/>
        <v>52272</v>
      </c>
      <c r="H91" s="3">
        <f t="shared" si="61"/>
        <v>26838</v>
      </c>
      <c r="I91" s="3">
        <f t="shared" si="61"/>
        <v>5256</v>
      </c>
      <c r="J91" s="3">
        <f t="shared" si="61"/>
        <v>14814</v>
      </c>
      <c r="K91" s="3">
        <f>+K90*18</f>
        <v>30528</v>
      </c>
      <c r="L91" s="3">
        <f>+L90*18</f>
        <v>30438</v>
      </c>
      <c r="M91" s="3">
        <f>+M90*18</f>
        <v>24660</v>
      </c>
      <c r="N91" s="3">
        <f t="shared" ref="N91:AR91" si="62">+N90*18</f>
        <v>37656</v>
      </c>
      <c r="O91" s="3">
        <f t="shared" si="62"/>
        <v>26658</v>
      </c>
      <c r="P91" s="3">
        <f t="shared" si="62"/>
        <v>36486</v>
      </c>
      <c r="Q91" s="3">
        <f t="shared" si="62"/>
        <v>42264</v>
      </c>
      <c r="R91" s="3">
        <f t="shared" si="62"/>
        <v>52992</v>
      </c>
      <c r="S91" s="3">
        <f t="shared" si="62"/>
        <v>48168</v>
      </c>
      <c r="T91" s="3">
        <f t="shared" si="62"/>
        <v>51210</v>
      </c>
      <c r="U91" s="3">
        <f t="shared" si="62"/>
        <v>63702</v>
      </c>
      <c r="V91" s="3">
        <f t="shared" si="62"/>
        <v>49464</v>
      </c>
      <c r="W91" s="3">
        <f t="shared" si="62"/>
        <v>47826</v>
      </c>
      <c r="X91" s="3">
        <f t="shared" si="62"/>
        <v>53748</v>
      </c>
      <c r="Y91" s="3">
        <f t="shared" si="62"/>
        <v>41400</v>
      </c>
      <c r="Z91" s="3">
        <f t="shared" si="62"/>
        <v>22950</v>
      </c>
      <c r="AA91" s="3">
        <f t="shared" si="62"/>
        <v>25200</v>
      </c>
      <c r="AB91" s="3">
        <f t="shared" si="62"/>
        <v>21240</v>
      </c>
      <c r="AC91" s="3">
        <f t="shared" si="62"/>
        <v>14274</v>
      </c>
      <c r="AD91" s="3">
        <f t="shared" si="62"/>
        <v>17352</v>
      </c>
      <c r="AE91" s="3">
        <f t="shared" si="62"/>
        <v>6534</v>
      </c>
      <c r="AF91" s="3">
        <f t="shared" si="62"/>
        <v>7902</v>
      </c>
      <c r="AG91" s="3">
        <f t="shared" si="62"/>
        <v>7848</v>
      </c>
      <c r="AH91" s="3">
        <f t="shared" si="62"/>
        <v>6408</v>
      </c>
      <c r="AI91" s="3">
        <f t="shared" si="62"/>
        <v>9990</v>
      </c>
      <c r="AJ91" s="3">
        <f t="shared" si="62"/>
        <v>13086</v>
      </c>
      <c r="AK91" s="3">
        <f t="shared" si="62"/>
        <v>11448</v>
      </c>
      <c r="AL91" s="3">
        <f t="shared" si="62"/>
        <v>7146</v>
      </c>
      <c r="AM91" s="3">
        <f t="shared" si="62"/>
        <v>4086</v>
      </c>
      <c r="AN91" s="3">
        <f t="shared" si="62"/>
        <v>3654</v>
      </c>
      <c r="AO91" s="3">
        <f t="shared" si="62"/>
        <v>1350</v>
      </c>
      <c r="AP91" s="3">
        <f t="shared" si="62"/>
        <v>0</v>
      </c>
      <c r="AQ91" s="3">
        <f t="shared" si="62"/>
        <v>0</v>
      </c>
      <c r="AR91" s="3">
        <f t="shared" si="62"/>
        <v>916848</v>
      </c>
    </row>
    <row r="92" spans="1:44" x14ac:dyDescent="0.25">
      <c r="A92" s="2" t="s">
        <v>283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</row>
    <row r="93" spans="1:44" x14ac:dyDescent="0.25">
      <c r="C93" s="1" t="s">
        <v>105</v>
      </c>
      <c r="G93" s="1">
        <v>2153</v>
      </c>
      <c r="J93" s="1">
        <v>533</v>
      </c>
      <c r="K93" s="1">
        <v>1569</v>
      </c>
      <c r="L93" s="1">
        <v>933</v>
      </c>
      <c r="M93" s="1">
        <v>1029</v>
      </c>
      <c r="N93" s="1">
        <v>1125</v>
      </c>
      <c r="O93" s="1">
        <v>580</v>
      </c>
      <c r="P93" s="1">
        <v>1037</v>
      </c>
      <c r="Q93" s="1">
        <v>341</v>
      </c>
      <c r="R93" s="1">
        <v>871</v>
      </c>
      <c r="S93" s="1">
        <v>977</v>
      </c>
      <c r="T93" s="1">
        <v>1368</v>
      </c>
      <c r="U93" s="1">
        <v>1735</v>
      </c>
      <c r="V93" s="1">
        <v>1132</v>
      </c>
      <c r="W93" s="1">
        <v>990</v>
      </c>
      <c r="X93" s="1">
        <v>1561</v>
      </c>
      <c r="Y93" s="1">
        <v>1255</v>
      </c>
      <c r="Z93" s="1">
        <v>599</v>
      </c>
      <c r="AA93" s="1">
        <v>972</v>
      </c>
      <c r="AB93" s="1">
        <v>744</v>
      </c>
      <c r="AC93" s="1">
        <v>384</v>
      </c>
      <c r="AD93" s="1">
        <v>151</v>
      </c>
      <c r="AE93" s="1">
        <v>155</v>
      </c>
      <c r="AF93" s="1">
        <v>53</v>
      </c>
      <c r="AH93" s="1">
        <v>310</v>
      </c>
      <c r="AI93" s="1">
        <v>251</v>
      </c>
      <c r="AR93" s="3">
        <f>SUM(D93:AQ93)</f>
        <v>22808</v>
      </c>
    </row>
    <row r="94" spans="1:44" x14ac:dyDescent="0.25">
      <c r="C94" s="1" t="s">
        <v>106</v>
      </c>
      <c r="P94" s="1">
        <v>175</v>
      </c>
      <c r="S94" s="1">
        <v>225</v>
      </c>
      <c r="T94" s="1">
        <v>334</v>
      </c>
      <c r="U94" s="1">
        <v>407</v>
      </c>
      <c r="W94" s="1">
        <v>380</v>
      </c>
      <c r="X94" s="1">
        <v>341</v>
      </c>
      <c r="Z94" s="1">
        <v>288</v>
      </c>
      <c r="AA94" s="1">
        <v>389</v>
      </c>
      <c r="AB94" s="1">
        <v>251</v>
      </c>
      <c r="AC94" s="1">
        <v>129</v>
      </c>
      <c r="AD94" s="1">
        <v>625</v>
      </c>
      <c r="AE94" s="1">
        <v>263</v>
      </c>
      <c r="AF94" s="1">
        <v>147</v>
      </c>
      <c r="AG94" s="1">
        <v>324</v>
      </c>
      <c r="AH94" s="1">
        <v>47</v>
      </c>
      <c r="AI94" s="1">
        <v>72</v>
      </c>
      <c r="AJ94" s="1">
        <v>1464</v>
      </c>
      <c r="AK94" s="1">
        <v>319</v>
      </c>
      <c r="AL94" s="1">
        <v>351</v>
      </c>
      <c r="AM94" s="1">
        <v>233</v>
      </c>
      <c r="AN94" s="1">
        <v>231</v>
      </c>
      <c r="AO94" s="1">
        <v>51</v>
      </c>
      <c r="AR94" s="3">
        <f t="shared" ref="AR94:AR100" si="63">SUM(D94:AQ94)</f>
        <v>7046</v>
      </c>
    </row>
    <row r="95" spans="1:44" x14ac:dyDescent="0.25">
      <c r="C95" s="1" t="s">
        <v>107</v>
      </c>
      <c r="M95" s="1">
        <v>73</v>
      </c>
      <c r="N95" s="1">
        <v>213</v>
      </c>
      <c r="O95" s="1">
        <v>137</v>
      </c>
      <c r="P95" s="1">
        <v>566</v>
      </c>
      <c r="Q95" s="1">
        <v>374</v>
      </c>
      <c r="R95" s="1">
        <v>129</v>
      </c>
      <c r="S95" s="1">
        <v>481</v>
      </c>
      <c r="T95" s="1">
        <v>454</v>
      </c>
      <c r="U95" s="1">
        <v>274</v>
      </c>
      <c r="V95" s="1">
        <v>471</v>
      </c>
      <c r="W95" s="1">
        <v>189</v>
      </c>
      <c r="X95" s="1">
        <v>495</v>
      </c>
      <c r="Y95" s="1">
        <v>478</v>
      </c>
      <c r="Z95" s="1">
        <v>490</v>
      </c>
      <c r="AR95" s="3">
        <f t="shared" si="63"/>
        <v>4824</v>
      </c>
    </row>
    <row r="96" spans="1:44" x14ac:dyDescent="0.25">
      <c r="C96" s="1" t="s">
        <v>108</v>
      </c>
      <c r="G96" s="1">
        <v>533</v>
      </c>
      <c r="H96" s="1">
        <v>751</v>
      </c>
      <c r="I96" s="1">
        <v>134</v>
      </c>
      <c r="J96" s="1">
        <v>192</v>
      </c>
      <c r="K96" s="1">
        <v>372</v>
      </c>
      <c r="L96" s="1">
        <v>400</v>
      </c>
      <c r="M96" s="1">
        <v>247</v>
      </c>
      <c r="N96" s="1">
        <v>348</v>
      </c>
      <c r="O96" s="1">
        <v>414</v>
      </c>
      <c r="P96" s="1">
        <v>538</v>
      </c>
      <c r="Q96" s="1">
        <v>643</v>
      </c>
      <c r="R96" s="1">
        <v>428</v>
      </c>
      <c r="S96" s="1">
        <v>431</v>
      </c>
      <c r="T96" s="1">
        <v>276</v>
      </c>
      <c r="U96" s="1">
        <v>267</v>
      </c>
      <c r="V96" s="1">
        <v>328</v>
      </c>
      <c r="W96" s="1">
        <v>336</v>
      </c>
      <c r="X96" s="1">
        <v>58</v>
      </c>
      <c r="Y96" s="1">
        <v>238</v>
      </c>
      <c r="AA96" s="1">
        <v>342</v>
      </c>
      <c r="AB96" s="1">
        <v>286</v>
      </c>
      <c r="AC96" s="1">
        <v>463</v>
      </c>
      <c r="AD96" s="1">
        <v>234</v>
      </c>
      <c r="AE96" s="1">
        <v>196</v>
      </c>
      <c r="AF96" s="1">
        <v>164</v>
      </c>
      <c r="AG96" s="1">
        <v>151</v>
      </c>
      <c r="AH96" s="1">
        <v>367</v>
      </c>
      <c r="AI96" s="1">
        <v>260</v>
      </c>
      <c r="AR96" s="3">
        <f t="shared" si="63"/>
        <v>9397</v>
      </c>
    </row>
    <row r="97" spans="1:44" x14ac:dyDescent="0.25">
      <c r="C97" s="1" t="s">
        <v>109</v>
      </c>
      <c r="L97" s="1">
        <v>415</v>
      </c>
      <c r="M97" s="1">
        <v>537</v>
      </c>
      <c r="N97" s="1">
        <v>122</v>
      </c>
      <c r="O97" s="1">
        <v>290</v>
      </c>
      <c r="Q97" s="1">
        <v>927</v>
      </c>
      <c r="R97" s="1">
        <v>486</v>
      </c>
      <c r="S97" s="1">
        <v>648</v>
      </c>
      <c r="T97" s="1">
        <v>291</v>
      </c>
      <c r="U97" s="1">
        <v>338</v>
      </c>
      <c r="V97" s="1">
        <v>288</v>
      </c>
      <c r="W97" s="1">
        <v>364</v>
      </c>
      <c r="X97" s="1">
        <v>243</v>
      </c>
      <c r="Y97" s="1">
        <v>466</v>
      </c>
      <c r="Z97" s="1">
        <v>180</v>
      </c>
      <c r="AR97" s="3">
        <f t="shared" si="63"/>
        <v>5595</v>
      </c>
    </row>
    <row r="98" spans="1:44" x14ac:dyDescent="0.25">
      <c r="C98" s="1" t="s">
        <v>110</v>
      </c>
      <c r="AR98" s="3">
        <f t="shared" si="63"/>
        <v>0</v>
      </c>
    </row>
    <row r="99" spans="1:44" x14ac:dyDescent="0.25">
      <c r="C99" s="1" t="s">
        <v>193</v>
      </c>
      <c r="AR99" s="3">
        <f t="shared" si="63"/>
        <v>0</v>
      </c>
    </row>
    <row r="100" spans="1:44" x14ac:dyDescent="0.25">
      <c r="C100" s="1" t="s">
        <v>434</v>
      </c>
      <c r="AR100" s="3">
        <f t="shared" si="63"/>
        <v>0</v>
      </c>
    </row>
    <row r="101" spans="1:44" x14ac:dyDescent="0.25">
      <c r="D101" s="3">
        <f t="shared" ref="D101:J101" si="64">SUM(D93:D100)</f>
        <v>0</v>
      </c>
      <c r="E101" s="3">
        <f t="shared" si="64"/>
        <v>0</v>
      </c>
      <c r="F101" s="3">
        <f t="shared" si="64"/>
        <v>0</v>
      </c>
      <c r="G101" s="3">
        <f t="shared" si="64"/>
        <v>2686</v>
      </c>
      <c r="H101" s="3">
        <f t="shared" si="64"/>
        <v>751</v>
      </c>
      <c r="I101" s="3">
        <f t="shared" si="64"/>
        <v>134</v>
      </c>
      <c r="J101" s="3">
        <f t="shared" si="64"/>
        <v>725</v>
      </c>
      <c r="K101" s="3">
        <f t="shared" ref="K101:AR101" si="65">SUM(K93:K100)</f>
        <v>1941</v>
      </c>
      <c r="L101" s="3">
        <f t="shared" si="65"/>
        <v>1748</v>
      </c>
      <c r="M101" s="3">
        <f t="shared" si="65"/>
        <v>1886</v>
      </c>
      <c r="N101" s="3">
        <f t="shared" si="65"/>
        <v>1808</v>
      </c>
      <c r="O101" s="3">
        <f t="shared" si="65"/>
        <v>1421</v>
      </c>
      <c r="P101" s="3">
        <f t="shared" si="65"/>
        <v>2316</v>
      </c>
      <c r="Q101" s="3">
        <f t="shared" si="65"/>
        <v>2285</v>
      </c>
      <c r="R101" s="3">
        <f t="shared" si="65"/>
        <v>1914</v>
      </c>
      <c r="S101" s="3">
        <f t="shared" si="65"/>
        <v>2762</v>
      </c>
      <c r="T101" s="3">
        <f t="shared" si="65"/>
        <v>2723</v>
      </c>
      <c r="U101" s="3">
        <f t="shared" si="65"/>
        <v>3021</v>
      </c>
      <c r="V101" s="3">
        <f t="shared" si="65"/>
        <v>2219</v>
      </c>
      <c r="W101" s="3">
        <f t="shared" si="65"/>
        <v>2259</v>
      </c>
      <c r="X101" s="3">
        <f t="shared" si="65"/>
        <v>2698</v>
      </c>
      <c r="Y101" s="3">
        <f t="shared" si="65"/>
        <v>2437</v>
      </c>
      <c r="Z101" s="3">
        <f t="shared" si="65"/>
        <v>1557</v>
      </c>
      <c r="AA101" s="3">
        <f t="shared" si="65"/>
        <v>1703</v>
      </c>
      <c r="AB101" s="3">
        <f t="shared" si="65"/>
        <v>1281</v>
      </c>
      <c r="AC101" s="3">
        <f t="shared" si="65"/>
        <v>976</v>
      </c>
      <c r="AD101" s="3">
        <f t="shared" si="65"/>
        <v>1010</v>
      </c>
      <c r="AE101" s="3">
        <f t="shared" si="65"/>
        <v>614</v>
      </c>
      <c r="AF101" s="3">
        <f t="shared" si="65"/>
        <v>364</v>
      </c>
      <c r="AG101" s="3">
        <f t="shared" si="65"/>
        <v>475</v>
      </c>
      <c r="AH101" s="3">
        <f t="shared" si="65"/>
        <v>724</v>
      </c>
      <c r="AI101" s="3">
        <f t="shared" si="65"/>
        <v>583</v>
      </c>
      <c r="AJ101" s="3">
        <f t="shared" si="65"/>
        <v>1464</v>
      </c>
      <c r="AK101" s="3">
        <f t="shared" si="65"/>
        <v>319</v>
      </c>
      <c r="AL101" s="3">
        <f t="shared" si="65"/>
        <v>351</v>
      </c>
      <c r="AM101" s="3">
        <f t="shared" si="65"/>
        <v>233</v>
      </c>
      <c r="AN101" s="3">
        <f t="shared" si="65"/>
        <v>231</v>
      </c>
      <c r="AO101" s="3">
        <f t="shared" si="65"/>
        <v>51</v>
      </c>
      <c r="AP101" s="3">
        <f t="shared" si="65"/>
        <v>0</v>
      </c>
      <c r="AQ101" s="3">
        <f t="shared" si="65"/>
        <v>0</v>
      </c>
      <c r="AR101" s="3">
        <f t="shared" si="65"/>
        <v>49670</v>
      </c>
    </row>
    <row r="102" spans="1:44" x14ac:dyDescent="0.25">
      <c r="D102" s="3">
        <f t="shared" ref="D102:J102" si="66">+D101*8</f>
        <v>0</v>
      </c>
      <c r="E102" s="3">
        <f t="shared" si="66"/>
        <v>0</v>
      </c>
      <c r="F102" s="3">
        <f t="shared" si="66"/>
        <v>0</v>
      </c>
      <c r="G102" s="3">
        <f t="shared" si="66"/>
        <v>21488</v>
      </c>
      <c r="H102" s="3">
        <f t="shared" si="66"/>
        <v>6008</v>
      </c>
      <c r="I102" s="3">
        <f t="shared" si="66"/>
        <v>1072</v>
      </c>
      <c r="J102" s="3">
        <f t="shared" si="66"/>
        <v>5800</v>
      </c>
      <c r="K102" s="3">
        <f t="shared" ref="K102:AR102" si="67">+K101*8</f>
        <v>15528</v>
      </c>
      <c r="L102" s="3">
        <f t="shared" si="67"/>
        <v>13984</v>
      </c>
      <c r="M102" s="3">
        <f t="shared" si="67"/>
        <v>15088</v>
      </c>
      <c r="N102" s="3">
        <f t="shared" si="67"/>
        <v>14464</v>
      </c>
      <c r="O102" s="3">
        <f t="shared" si="67"/>
        <v>11368</v>
      </c>
      <c r="P102" s="3">
        <f t="shared" si="67"/>
        <v>18528</v>
      </c>
      <c r="Q102" s="3">
        <f t="shared" si="67"/>
        <v>18280</v>
      </c>
      <c r="R102" s="3">
        <f t="shared" si="67"/>
        <v>15312</v>
      </c>
      <c r="S102" s="3">
        <f t="shared" si="67"/>
        <v>22096</v>
      </c>
      <c r="T102" s="3">
        <f t="shared" si="67"/>
        <v>21784</v>
      </c>
      <c r="U102" s="3">
        <f t="shared" si="67"/>
        <v>24168</v>
      </c>
      <c r="V102" s="3">
        <f t="shared" si="67"/>
        <v>17752</v>
      </c>
      <c r="W102" s="3">
        <f t="shared" si="67"/>
        <v>18072</v>
      </c>
      <c r="X102" s="3">
        <f t="shared" si="67"/>
        <v>21584</v>
      </c>
      <c r="Y102" s="3">
        <f t="shared" si="67"/>
        <v>19496</v>
      </c>
      <c r="Z102" s="3">
        <f t="shared" si="67"/>
        <v>12456</v>
      </c>
      <c r="AA102" s="3">
        <f t="shared" si="67"/>
        <v>13624</v>
      </c>
      <c r="AB102" s="3">
        <f t="shared" si="67"/>
        <v>10248</v>
      </c>
      <c r="AC102" s="3">
        <f t="shared" si="67"/>
        <v>7808</v>
      </c>
      <c r="AD102" s="3">
        <f t="shared" si="67"/>
        <v>8080</v>
      </c>
      <c r="AE102" s="3">
        <f t="shared" si="67"/>
        <v>4912</v>
      </c>
      <c r="AF102" s="3">
        <f t="shared" si="67"/>
        <v>2912</v>
      </c>
      <c r="AG102" s="3">
        <f t="shared" si="67"/>
        <v>3800</v>
      </c>
      <c r="AH102" s="3">
        <f t="shared" si="67"/>
        <v>5792</v>
      </c>
      <c r="AI102" s="3">
        <f t="shared" si="67"/>
        <v>4664</v>
      </c>
      <c r="AJ102" s="3">
        <f t="shared" si="67"/>
        <v>11712</v>
      </c>
      <c r="AK102" s="3">
        <f t="shared" si="67"/>
        <v>2552</v>
      </c>
      <c r="AL102" s="3">
        <f t="shared" si="67"/>
        <v>2808</v>
      </c>
      <c r="AM102" s="3">
        <f t="shared" si="67"/>
        <v>1864</v>
      </c>
      <c r="AN102" s="3">
        <f t="shared" si="67"/>
        <v>1848</v>
      </c>
      <c r="AO102" s="3">
        <f t="shared" si="67"/>
        <v>408</v>
      </c>
      <c r="AP102" s="3">
        <f t="shared" si="67"/>
        <v>0</v>
      </c>
      <c r="AQ102" s="3">
        <f t="shared" si="67"/>
        <v>0</v>
      </c>
      <c r="AR102" s="3">
        <f t="shared" si="67"/>
        <v>397360</v>
      </c>
    </row>
    <row r="103" spans="1:44" x14ac:dyDescent="0.25">
      <c r="C103" s="37" t="s">
        <v>381</v>
      </c>
      <c r="D103" s="25">
        <f>+D102+D91-Analysis!C36</f>
        <v>0</v>
      </c>
      <c r="E103" s="25">
        <f>+E102+E91-Analysis!D36</f>
        <v>0</v>
      </c>
      <c r="F103" s="25">
        <f>+F102+F91-Analysis!E36</f>
        <v>0</v>
      </c>
      <c r="G103" s="25">
        <f>+G102+G91-Analysis!F36</f>
        <v>0</v>
      </c>
      <c r="H103" s="25">
        <f>+H102+H91-Analysis!G36</f>
        <v>0</v>
      </c>
      <c r="I103" s="25">
        <f>+I102+I91-Analysis!H36</f>
        <v>0</v>
      </c>
      <c r="J103" s="25">
        <f>+J102+J91-Analysis!I36</f>
        <v>0</v>
      </c>
      <c r="K103" s="25">
        <f>+K102+K91-Analysis!J36</f>
        <v>0</v>
      </c>
      <c r="L103" s="25">
        <f>+L102+L91-Analysis!K36</f>
        <v>0</v>
      </c>
      <c r="M103" s="25">
        <f>+M102+M91-Analysis!L36</f>
        <v>0</v>
      </c>
      <c r="N103" s="25">
        <f>+N102+N91-Analysis!M36</f>
        <v>0</v>
      </c>
      <c r="O103" s="25">
        <f>+O102+O91-Analysis!N36</f>
        <v>0</v>
      </c>
      <c r="P103" s="25">
        <f>+P102+P91-Analysis!O36</f>
        <v>-310</v>
      </c>
      <c r="Q103" s="25">
        <f>+Q102+Q91-Analysis!P36</f>
        <v>0</v>
      </c>
      <c r="R103" s="25">
        <f>+R102+R91-Analysis!Q36</f>
        <v>0</v>
      </c>
      <c r="S103" s="25">
        <f>+S102+S91-Analysis!R36</f>
        <v>0</v>
      </c>
      <c r="T103" s="25">
        <f>+T102+T91-Analysis!S36</f>
        <v>0</v>
      </c>
      <c r="U103" s="25">
        <f>+U102+U91-Analysis!T36</f>
        <v>902</v>
      </c>
      <c r="V103" s="25">
        <f>+V102+V91-Analysis!U36</f>
        <v>0</v>
      </c>
      <c r="W103" s="25">
        <f>+W102+W91-Analysis!V36</f>
        <v>0</v>
      </c>
      <c r="X103" s="25">
        <f>+X102+X91-Analysis!W36</f>
        <v>0</v>
      </c>
      <c r="Y103" s="25">
        <f>+Y102+Y91-Analysis!X36</f>
        <v>0</v>
      </c>
      <c r="Z103" s="25">
        <f>+Z102+Z91-Analysis!Y36</f>
        <v>54</v>
      </c>
      <c r="AA103" s="25">
        <f>+AA102+AA91-Analysis!Z36</f>
        <v>360</v>
      </c>
      <c r="AB103" s="25">
        <f>+AB102+AB91-Analysis!AA36</f>
        <v>252</v>
      </c>
      <c r="AC103" s="25">
        <f>+AC102+AC91-Analysis!AB36</f>
        <v>-66</v>
      </c>
      <c r="AD103" s="25">
        <f>+AD102+AD91-Analysis!AC36</f>
        <v>162</v>
      </c>
      <c r="AE103" s="25">
        <f>+AE102+AE91-Analysis!AD36</f>
        <v>0</v>
      </c>
      <c r="AF103" s="25">
        <f>+AF102+AF91-Analysis!AE36</f>
        <v>52</v>
      </c>
      <c r="AG103" s="25">
        <f>+AG102+AG91-Analysis!AF36</f>
        <v>0</v>
      </c>
      <c r="AH103" s="25">
        <f>+AH102+AH91-Analysis!AG36</f>
        <v>0</v>
      </c>
      <c r="AI103" s="25">
        <f>+AI102+AI91-Analysis!AH36</f>
        <v>0</v>
      </c>
      <c r="AJ103" s="25">
        <f>+AJ102+AJ91-Analysis!AI36</f>
        <v>0</v>
      </c>
      <c r="AK103" s="25">
        <f>+AK102+AK91-Analysis!AJ36</f>
        <v>0</v>
      </c>
      <c r="AL103" s="25">
        <f>+AL102+AL91-Analysis!AK36</f>
        <v>0</v>
      </c>
      <c r="AM103" s="25">
        <f>+AM102+AM91-Analysis!AL36</f>
        <v>0</v>
      </c>
      <c r="AN103" s="25">
        <f>+AN102+AN91-Analysis!AM36</f>
        <v>0</v>
      </c>
      <c r="AO103" s="25">
        <f>+AO102+AO91-Analysis!AN36</f>
        <v>0</v>
      </c>
      <c r="AP103" s="25">
        <f>+AP102+AP91-Analysis!AO36</f>
        <v>-720</v>
      </c>
      <c r="AQ103" s="25">
        <f>+AQ102+AQ91-Analysis!AP36</f>
        <v>0</v>
      </c>
    </row>
    <row r="104" spans="1:44" x14ac:dyDescent="0.25">
      <c r="A104" s="2" t="s">
        <v>701</v>
      </c>
    </row>
    <row r="105" spans="1:44" x14ac:dyDescent="0.25">
      <c r="C105" s="1" t="s">
        <v>105</v>
      </c>
      <c r="R105" s="1">
        <f>4001+1702</f>
        <v>5703</v>
      </c>
      <c r="S105" s="1">
        <v>188</v>
      </c>
      <c r="T105" s="1">
        <f>1790+2108+785</f>
        <v>4683</v>
      </c>
      <c r="U105" s="1">
        <f>1432+14</f>
        <v>1446</v>
      </c>
      <c r="V105" s="1">
        <v>62</v>
      </c>
      <c r="W105" s="1">
        <v>255</v>
      </c>
      <c r="AR105" s="3">
        <f t="shared" ref="AR105:AR112" si="68">SUM(D105:AQ105)</f>
        <v>12337</v>
      </c>
    </row>
    <row r="106" spans="1:44" x14ac:dyDescent="0.25">
      <c r="C106" s="1" t="s">
        <v>106</v>
      </c>
      <c r="S106" s="1">
        <v>16</v>
      </c>
      <c r="T106" s="1">
        <f>570+792+782</f>
        <v>2144</v>
      </c>
      <c r="U106" s="1">
        <f>895+79</f>
        <v>974</v>
      </c>
      <c r="W106" s="1">
        <v>172</v>
      </c>
      <c r="AR106" s="3">
        <f t="shared" si="68"/>
        <v>3306</v>
      </c>
    </row>
    <row r="107" spans="1:44" x14ac:dyDescent="0.25">
      <c r="C107" s="1" t="s">
        <v>107</v>
      </c>
      <c r="R107" s="1">
        <f>1402+30</f>
        <v>1432</v>
      </c>
      <c r="S107" s="1">
        <v>16</v>
      </c>
      <c r="T107" s="1">
        <f>128+144+176</f>
        <v>448</v>
      </c>
      <c r="U107" s="1">
        <f>336+55</f>
        <v>391</v>
      </c>
      <c r="V107" s="1">
        <f>8+64+252+98</f>
        <v>422</v>
      </c>
      <c r="W107" s="1">
        <v>60</v>
      </c>
      <c r="AR107" s="3">
        <f t="shared" si="68"/>
        <v>2769</v>
      </c>
    </row>
    <row r="108" spans="1:44" x14ac:dyDescent="0.25">
      <c r="C108" s="1" t="s">
        <v>108</v>
      </c>
      <c r="R108" s="1">
        <f>284+160</f>
        <v>444</v>
      </c>
      <c r="T108" s="1">
        <f>16+96+72</f>
        <v>184</v>
      </c>
      <c r="U108" s="1">
        <f>14+96</f>
        <v>110</v>
      </c>
      <c r="V108" s="1">
        <v>152</v>
      </c>
      <c r="W108" s="1">
        <v>41</v>
      </c>
      <c r="AR108" s="3">
        <f t="shared" si="68"/>
        <v>931</v>
      </c>
    </row>
    <row r="109" spans="1:44" x14ac:dyDescent="0.25">
      <c r="C109" s="1" t="s">
        <v>109</v>
      </c>
      <c r="R109" s="1">
        <f>190+144</f>
        <v>334</v>
      </c>
      <c r="T109" s="1">
        <f>48+320+208</f>
        <v>576</v>
      </c>
      <c r="U109" s="1">
        <f>12+27+579</f>
        <v>618</v>
      </c>
      <c r="V109" s="1">
        <v>160</v>
      </c>
      <c r="W109" s="1">
        <v>6</v>
      </c>
      <c r="AR109" s="3">
        <f t="shared" si="68"/>
        <v>1694</v>
      </c>
    </row>
    <row r="110" spans="1:44" x14ac:dyDescent="0.25">
      <c r="C110" s="1" t="s">
        <v>110</v>
      </c>
      <c r="AR110" s="3">
        <f t="shared" si="68"/>
        <v>0</v>
      </c>
    </row>
    <row r="111" spans="1:44" x14ac:dyDescent="0.25">
      <c r="C111" s="1" t="s">
        <v>193</v>
      </c>
      <c r="D111" s="1">
        <f>+PassVol!D284</f>
        <v>0</v>
      </c>
      <c r="E111" s="1">
        <f>+PassVol!E284</f>
        <v>0</v>
      </c>
      <c r="F111" s="1">
        <f>+PassVol!F284</f>
        <v>0</v>
      </c>
      <c r="G111" s="1">
        <f>+PassVol!G284</f>
        <v>0</v>
      </c>
      <c r="H111" s="1">
        <f>+PassVol!H284</f>
        <v>0</v>
      </c>
      <c r="I111" s="1">
        <f>+PassVol!I284</f>
        <v>0</v>
      </c>
      <c r="J111" s="1">
        <f>+PassVol!J284</f>
        <v>0</v>
      </c>
      <c r="K111" s="1">
        <f>+PassVol!K284</f>
        <v>0</v>
      </c>
      <c r="L111" s="1">
        <f>+PassVol!L284</f>
        <v>0</v>
      </c>
      <c r="M111" s="1">
        <f>+PassVol!M284</f>
        <v>0</v>
      </c>
      <c r="N111" s="1">
        <f>+PassVol!N284</f>
        <v>0</v>
      </c>
      <c r="O111" s="1">
        <f>+PassVol!O284</f>
        <v>0</v>
      </c>
      <c r="P111" s="1">
        <f>+PassVol!P284</f>
        <v>0</v>
      </c>
      <c r="Q111" s="1">
        <f>+PassVol!Q284</f>
        <v>0</v>
      </c>
      <c r="R111" s="1">
        <f>+PassVol!R284</f>
        <v>0</v>
      </c>
      <c r="S111" s="1">
        <f>+PassVol!S284</f>
        <v>0</v>
      </c>
      <c r="T111" s="1">
        <f>+PassVol!T284</f>
        <v>0</v>
      </c>
      <c r="U111" s="1">
        <f>+PassVol!U284</f>
        <v>0</v>
      </c>
      <c r="V111" s="1">
        <f>+PassVol!V284</f>
        <v>0</v>
      </c>
      <c r="W111" s="1">
        <f>+PassVol!W284</f>
        <v>0</v>
      </c>
      <c r="X111" s="1">
        <f>+PassVol!X284</f>
        <v>0</v>
      </c>
      <c r="Y111" s="1">
        <f>+PassVol!Y284</f>
        <v>0</v>
      </c>
      <c r="Z111" s="1">
        <f>+PassVol!Z284</f>
        <v>0</v>
      </c>
      <c r="AA111" s="1">
        <f>+PassVol!AA284</f>
        <v>0</v>
      </c>
      <c r="AB111" s="1">
        <f>+PassVol!AB284</f>
        <v>0</v>
      </c>
      <c r="AC111" s="1">
        <f>+PassVol!AC284</f>
        <v>0</v>
      </c>
      <c r="AD111" s="1">
        <f>+PassVol!AD284</f>
        <v>0</v>
      </c>
      <c r="AE111" s="1">
        <f>+PassVol!AE284</f>
        <v>0</v>
      </c>
      <c r="AF111" s="1">
        <f>+PassVol!AF284</f>
        <v>0</v>
      </c>
      <c r="AG111" s="1">
        <f>+PassVol!AG284</f>
        <v>0</v>
      </c>
      <c r="AH111" s="1">
        <f>+PassVol!AH284</f>
        <v>0</v>
      </c>
      <c r="AI111" s="1">
        <f>+PassVol!AI284</f>
        <v>0</v>
      </c>
      <c r="AJ111" s="1">
        <f>+PassVol!AJ284</f>
        <v>0</v>
      </c>
      <c r="AK111" s="1">
        <f>+PassVol!AK284</f>
        <v>0</v>
      </c>
      <c r="AL111" s="1">
        <f>+PassVol!AL284</f>
        <v>0</v>
      </c>
      <c r="AM111" s="1">
        <f>+PassVol!AM284</f>
        <v>0</v>
      </c>
      <c r="AN111" s="1">
        <f>+PassVol!AN284</f>
        <v>0</v>
      </c>
      <c r="AO111" s="1">
        <f>+PassVol!AO284</f>
        <v>0</v>
      </c>
      <c r="AP111" s="1">
        <f>+PassVol!AP284</f>
        <v>0</v>
      </c>
      <c r="AQ111" s="1">
        <f>+PassVol!AQ284</f>
        <v>0</v>
      </c>
      <c r="AR111" s="3">
        <f t="shared" si="68"/>
        <v>0</v>
      </c>
    </row>
    <row r="112" spans="1:44" x14ac:dyDescent="0.25">
      <c r="C112" s="1" t="s">
        <v>6</v>
      </c>
      <c r="Q112" s="1">
        <f>+PassVol!Q302+PassVol!Q278</f>
        <v>0</v>
      </c>
      <c r="R112" s="1">
        <f>+PassVol!R302+PassVol!R278</f>
        <v>420</v>
      </c>
      <c r="S112" s="1">
        <f>+PassVol!S302+PassVol!S278</f>
        <v>0</v>
      </c>
      <c r="T112" s="1">
        <f>+PassVol!T302+PassVol!T278</f>
        <v>345</v>
      </c>
      <c r="U112" s="1">
        <f>+PassVol!U302+PassVol!U278</f>
        <v>240</v>
      </c>
      <c r="V112" s="1">
        <f>+PassVol!V302+PassVol!V278</f>
        <v>292</v>
      </c>
      <c r="W112" s="1">
        <f>+PassVol!W302+PassVol!W278</f>
        <v>0</v>
      </c>
      <c r="X112" s="1">
        <f>+PassVol!X302+PassVol!X278</f>
        <v>0</v>
      </c>
      <c r="AR112" s="3">
        <f t="shared" si="68"/>
        <v>1297</v>
      </c>
    </row>
    <row r="113" spans="1:46" x14ac:dyDescent="0.25">
      <c r="D113" s="3">
        <f t="shared" ref="D113:J113" si="69">SUM(D105:D112)</f>
        <v>0</v>
      </c>
      <c r="E113" s="3">
        <f t="shared" si="69"/>
        <v>0</v>
      </c>
      <c r="F113" s="3">
        <f t="shared" si="69"/>
        <v>0</v>
      </c>
      <c r="G113" s="3">
        <f t="shared" si="69"/>
        <v>0</v>
      </c>
      <c r="H113" s="3">
        <f t="shared" si="69"/>
        <v>0</v>
      </c>
      <c r="I113" s="3">
        <f t="shared" si="69"/>
        <v>0</v>
      </c>
      <c r="J113" s="3">
        <f t="shared" si="69"/>
        <v>0</v>
      </c>
      <c r="K113" s="3">
        <f>SUM(K105:K112)</f>
        <v>0</v>
      </c>
      <c r="L113" s="3">
        <f>SUM(L105:L112)</f>
        <v>0</v>
      </c>
      <c r="M113" s="3">
        <f t="shared" ref="M113:AR113" si="70">SUM(M105:M112)</f>
        <v>0</v>
      </c>
      <c r="N113" s="3">
        <f t="shared" si="70"/>
        <v>0</v>
      </c>
      <c r="O113" s="3">
        <f t="shared" si="70"/>
        <v>0</v>
      </c>
      <c r="P113" s="3">
        <f t="shared" si="70"/>
        <v>0</v>
      </c>
      <c r="Q113" s="3">
        <f t="shared" si="70"/>
        <v>0</v>
      </c>
      <c r="R113" s="3">
        <f t="shared" si="70"/>
        <v>8333</v>
      </c>
      <c r="S113" s="3">
        <f t="shared" si="70"/>
        <v>220</v>
      </c>
      <c r="T113" s="3">
        <f t="shared" si="70"/>
        <v>8380</v>
      </c>
      <c r="U113" s="3">
        <f t="shared" si="70"/>
        <v>3779</v>
      </c>
      <c r="V113" s="3">
        <f t="shared" si="70"/>
        <v>1088</v>
      </c>
      <c r="W113" s="3">
        <f t="shared" si="70"/>
        <v>534</v>
      </c>
      <c r="X113" s="3">
        <f t="shared" si="70"/>
        <v>0</v>
      </c>
      <c r="Y113" s="3">
        <f t="shared" si="70"/>
        <v>0</v>
      </c>
      <c r="Z113" s="3">
        <f t="shared" si="70"/>
        <v>0</v>
      </c>
      <c r="AA113" s="3">
        <f t="shared" si="70"/>
        <v>0</v>
      </c>
      <c r="AB113" s="3">
        <f t="shared" si="70"/>
        <v>0</v>
      </c>
      <c r="AC113" s="3">
        <f t="shared" si="70"/>
        <v>0</v>
      </c>
      <c r="AD113" s="3">
        <f t="shared" si="70"/>
        <v>0</v>
      </c>
      <c r="AE113" s="3">
        <f t="shared" si="70"/>
        <v>0</v>
      </c>
      <c r="AF113" s="3">
        <f t="shared" si="70"/>
        <v>0</v>
      </c>
      <c r="AG113" s="3">
        <f t="shared" si="70"/>
        <v>0</v>
      </c>
      <c r="AH113" s="3">
        <f t="shared" si="70"/>
        <v>0</v>
      </c>
      <c r="AI113" s="3">
        <f t="shared" si="70"/>
        <v>0</v>
      </c>
      <c r="AJ113" s="3">
        <f t="shared" si="70"/>
        <v>0</v>
      </c>
      <c r="AK113" s="3">
        <f t="shared" si="70"/>
        <v>0</v>
      </c>
      <c r="AL113" s="3">
        <f t="shared" si="70"/>
        <v>0</v>
      </c>
      <c r="AM113" s="3">
        <f t="shared" si="70"/>
        <v>0</v>
      </c>
      <c r="AN113" s="3">
        <f t="shared" si="70"/>
        <v>0</v>
      </c>
      <c r="AO113" s="3">
        <f t="shared" si="70"/>
        <v>0</v>
      </c>
      <c r="AP113" s="3">
        <f t="shared" si="70"/>
        <v>0</v>
      </c>
      <c r="AQ113" s="3">
        <f t="shared" si="70"/>
        <v>0</v>
      </c>
      <c r="AR113" s="3">
        <f t="shared" si="70"/>
        <v>22334</v>
      </c>
    </row>
    <row r="114" spans="1:46" s="24" customFormat="1" x14ac:dyDescent="0.25">
      <c r="A114" s="23"/>
      <c r="B114" s="23"/>
      <c r="D114" s="48">
        <f t="shared" ref="D114:J114" si="71">SUM(D113*10)</f>
        <v>0</v>
      </c>
      <c r="E114" s="48">
        <f t="shared" si="71"/>
        <v>0</v>
      </c>
      <c r="F114" s="48">
        <f t="shared" si="71"/>
        <v>0</v>
      </c>
      <c r="G114" s="48">
        <f t="shared" si="71"/>
        <v>0</v>
      </c>
      <c r="H114" s="48">
        <f t="shared" si="71"/>
        <v>0</v>
      </c>
      <c r="I114" s="48">
        <f t="shared" si="71"/>
        <v>0</v>
      </c>
      <c r="J114" s="48">
        <f t="shared" si="71"/>
        <v>0</v>
      </c>
      <c r="K114" s="48">
        <f>SUM(K113*10)</f>
        <v>0</v>
      </c>
      <c r="L114" s="48">
        <f>SUM(L113*10)</f>
        <v>0</v>
      </c>
      <c r="M114" s="48">
        <f t="shared" ref="M114:AR114" si="72">SUM(M113*10)</f>
        <v>0</v>
      </c>
      <c r="N114" s="48">
        <f t="shared" si="72"/>
        <v>0</v>
      </c>
      <c r="O114" s="48">
        <f t="shared" si="72"/>
        <v>0</v>
      </c>
      <c r="P114" s="48">
        <f t="shared" si="72"/>
        <v>0</v>
      </c>
      <c r="Q114" s="48">
        <f t="shared" si="72"/>
        <v>0</v>
      </c>
      <c r="R114" s="48">
        <f t="shared" si="72"/>
        <v>83330</v>
      </c>
      <c r="S114" s="48">
        <f t="shared" si="72"/>
        <v>2200</v>
      </c>
      <c r="T114" s="48">
        <f t="shared" si="72"/>
        <v>83800</v>
      </c>
      <c r="U114" s="48">
        <f t="shared" si="72"/>
        <v>37790</v>
      </c>
      <c r="V114" s="48">
        <f t="shared" si="72"/>
        <v>10880</v>
      </c>
      <c r="W114" s="48">
        <f t="shared" si="72"/>
        <v>5340</v>
      </c>
      <c r="X114" s="48">
        <f t="shared" si="72"/>
        <v>0</v>
      </c>
      <c r="Y114" s="48">
        <f t="shared" si="72"/>
        <v>0</v>
      </c>
      <c r="Z114" s="48">
        <f t="shared" si="72"/>
        <v>0</v>
      </c>
      <c r="AA114" s="48">
        <f t="shared" si="72"/>
        <v>0</v>
      </c>
      <c r="AB114" s="48">
        <f t="shared" si="72"/>
        <v>0</v>
      </c>
      <c r="AC114" s="48">
        <f t="shared" si="72"/>
        <v>0</v>
      </c>
      <c r="AD114" s="48">
        <f t="shared" si="72"/>
        <v>0</v>
      </c>
      <c r="AE114" s="48">
        <f t="shared" si="72"/>
        <v>0</v>
      </c>
      <c r="AF114" s="48">
        <f t="shared" si="72"/>
        <v>0</v>
      </c>
      <c r="AG114" s="48">
        <f t="shared" si="72"/>
        <v>0</v>
      </c>
      <c r="AH114" s="48">
        <f t="shared" si="72"/>
        <v>0</v>
      </c>
      <c r="AI114" s="48">
        <f t="shared" si="72"/>
        <v>0</v>
      </c>
      <c r="AJ114" s="48">
        <f t="shared" si="72"/>
        <v>0</v>
      </c>
      <c r="AK114" s="48">
        <f t="shared" si="72"/>
        <v>0</v>
      </c>
      <c r="AL114" s="48">
        <f t="shared" si="72"/>
        <v>0</v>
      </c>
      <c r="AM114" s="48">
        <f t="shared" si="72"/>
        <v>0</v>
      </c>
      <c r="AN114" s="48">
        <f t="shared" si="72"/>
        <v>0</v>
      </c>
      <c r="AO114" s="48">
        <f t="shared" si="72"/>
        <v>0</v>
      </c>
      <c r="AP114" s="48">
        <f t="shared" si="72"/>
        <v>0</v>
      </c>
      <c r="AQ114" s="48">
        <f t="shared" si="72"/>
        <v>0</v>
      </c>
      <c r="AR114" s="48">
        <f t="shared" si="72"/>
        <v>223340</v>
      </c>
      <c r="AS114" s="25"/>
      <c r="AT114" s="26"/>
    </row>
    <row r="115" spans="1:46" x14ac:dyDescent="0.25">
      <c r="A115" s="2" t="s">
        <v>228</v>
      </c>
    </row>
    <row r="116" spans="1:46" x14ac:dyDescent="0.25">
      <c r="C116" s="1" t="s">
        <v>105</v>
      </c>
      <c r="Q116" s="1">
        <v>42</v>
      </c>
      <c r="R116" s="1">
        <v>7</v>
      </c>
      <c r="S116" s="1">
        <v>5212</v>
      </c>
      <c r="T116" s="1">
        <v>0</v>
      </c>
      <c r="U116" s="1">
        <v>2571</v>
      </c>
      <c r="AR116" s="3">
        <f t="shared" ref="AR116:AR123" si="73">SUM(D116:AQ116)</f>
        <v>7832</v>
      </c>
    </row>
    <row r="117" spans="1:46" x14ac:dyDescent="0.25">
      <c r="C117" s="1" t="s">
        <v>106</v>
      </c>
      <c r="S117" s="1">
        <v>89</v>
      </c>
      <c r="U117" s="1">
        <v>83</v>
      </c>
      <c r="AR117" s="3">
        <f t="shared" si="73"/>
        <v>172</v>
      </c>
    </row>
    <row r="118" spans="1:46" x14ac:dyDescent="0.25">
      <c r="C118" s="1" t="s">
        <v>107</v>
      </c>
      <c r="Q118" s="1">
        <v>45</v>
      </c>
      <c r="S118" s="1">
        <v>27</v>
      </c>
      <c r="U118" s="1">
        <v>8</v>
      </c>
      <c r="AR118" s="3">
        <f t="shared" si="73"/>
        <v>80</v>
      </c>
    </row>
    <row r="119" spans="1:46" x14ac:dyDescent="0.25">
      <c r="C119" s="1" t="s">
        <v>108</v>
      </c>
      <c r="Q119" s="1">
        <v>90</v>
      </c>
      <c r="S119" s="1">
        <v>9</v>
      </c>
      <c r="AR119" s="3">
        <f t="shared" si="73"/>
        <v>99</v>
      </c>
    </row>
    <row r="120" spans="1:46" x14ac:dyDescent="0.25">
      <c r="C120" s="1" t="s">
        <v>109</v>
      </c>
      <c r="Q120" s="1">
        <v>8939</v>
      </c>
      <c r="S120" s="1">
        <v>33</v>
      </c>
      <c r="U120" s="1">
        <v>47</v>
      </c>
      <c r="AR120" s="3">
        <f t="shared" si="73"/>
        <v>9019</v>
      </c>
    </row>
    <row r="121" spans="1:46" x14ac:dyDescent="0.25">
      <c r="C121" s="1" t="s">
        <v>110</v>
      </c>
      <c r="AR121" s="3">
        <f t="shared" si="73"/>
        <v>0</v>
      </c>
    </row>
    <row r="122" spans="1:46" x14ac:dyDescent="0.25">
      <c r="C122" s="1" t="s">
        <v>193</v>
      </c>
    </row>
    <row r="123" spans="1:46" x14ac:dyDescent="0.25">
      <c r="C123" s="1" t="s">
        <v>6</v>
      </c>
      <c r="R123" s="1">
        <f>+PassVol!R182</f>
        <v>660</v>
      </c>
      <c r="S123" s="1">
        <f>+PassVol!S182</f>
        <v>0</v>
      </c>
      <c r="T123" s="1">
        <f>+PassVol!T182</f>
        <v>210</v>
      </c>
      <c r="U123" s="1">
        <f>+PassVol!U182</f>
        <v>0</v>
      </c>
      <c r="V123" s="1">
        <f>+PassVol!V182</f>
        <v>165</v>
      </c>
      <c r="W123" s="1">
        <f>+PassVol!W182</f>
        <v>0</v>
      </c>
      <c r="AR123" s="3">
        <f t="shared" si="73"/>
        <v>1035</v>
      </c>
    </row>
    <row r="124" spans="1:46" x14ac:dyDescent="0.25">
      <c r="D124" s="3">
        <f t="shared" ref="D124:J124" si="74">SUM(D116:D123)</f>
        <v>0</v>
      </c>
      <c r="E124" s="3">
        <f t="shared" si="74"/>
        <v>0</v>
      </c>
      <c r="F124" s="3">
        <f t="shared" si="74"/>
        <v>0</v>
      </c>
      <c r="G124" s="3">
        <f t="shared" si="74"/>
        <v>0</v>
      </c>
      <c r="H124" s="3">
        <f t="shared" si="74"/>
        <v>0</v>
      </c>
      <c r="I124" s="3">
        <f t="shared" si="74"/>
        <v>0</v>
      </c>
      <c r="J124" s="3">
        <f t="shared" si="74"/>
        <v>0</v>
      </c>
      <c r="K124" s="3">
        <f>SUM(K116:K123)</f>
        <v>0</v>
      </c>
      <c r="L124" s="3">
        <f>SUM(L116:L123)</f>
        <v>0</v>
      </c>
      <c r="M124" s="3">
        <f t="shared" ref="M124:AR124" si="75">SUM(M116:M123)</f>
        <v>0</v>
      </c>
      <c r="N124" s="3">
        <f t="shared" si="75"/>
        <v>0</v>
      </c>
      <c r="O124" s="3">
        <f t="shared" si="75"/>
        <v>0</v>
      </c>
      <c r="P124" s="3">
        <f t="shared" si="75"/>
        <v>0</v>
      </c>
      <c r="Q124" s="3">
        <f t="shared" si="75"/>
        <v>9116</v>
      </c>
      <c r="R124" s="3">
        <f t="shared" si="75"/>
        <v>667</v>
      </c>
      <c r="S124" s="3">
        <f t="shared" si="75"/>
        <v>5370</v>
      </c>
      <c r="T124" s="3">
        <f t="shared" si="75"/>
        <v>210</v>
      </c>
      <c r="U124" s="3">
        <f t="shared" si="75"/>
        <v>2709</v>
      </c>
      <c r="V124" s="3">
        <f t="shared" si="75"/>
        <v>165</v>
      </c>
      <c r="W124" s="3">
        <f t="shared" si="75"/>
        <v>0</v>
      </c>
      <c r="X124" s="3">
        <f t="shared" si="75"/>
        <v>0</v>
      </c>
      <c r="Y124" s="3">
        <f t="shared" si="75"/>
        <v>0</v>
      </c>
      <c r="Z124" s="3">
        <f t="shared" si="75"/>
        <v>0</v>
      </c>
      <c r="AA124" s="3">
        <f t="shared" si="75"/>
        <v>0</v>
      </c>
      <c r="AB124" s="3">
        <f t="shared" si="75"/>
        <v>0</v>
      </c>
      <c r="AC124" s="3">
        <f t="shared" si="75"/>
        <v>0</v>
      </c>
      <c r="AD124" s="3">
        <f t="shared" si="75"/>
        <v>0</v>
      </c>
      <c r="AE124" s="3">
        <f t="shared" si="75"/>
        <v>0</v>
      </c>
      <c r="AF124" s="3">
        <f t="shared" si="75"/>
        <v>0</v>
      </c>
      <c r="AG124" s="3">
        <f t="shared" si="75"/>
        <v>0</v>
      </c>
      <c r="AH124" s="3">
        <f t="shared" si="75"/>
        <v>0</v>
      </c>
      <c r="AI124" s="3">
        <f t="shared" si="75"/>
        <v>0</v>
      </c>
      <c r="AJ124" s="3">
        <f t="shared" si="75"/>
        <v>0</v>
      </c>
      <c r="AK124" s="3">
        <f t="shared" si="75"/>
        <v>0</v>
      </c>
      <c r="AL124" s="3">
        <f t="shared" si="75"/>
        <v>0</v>
      </c>
      <c r="AM124" s="3">
        <f t="shared" si="75"/>
        <v>0</v>
      </c>
      <c r="AN124" s="3">
        <f t="shared" si="75"/>
        <v>0</v>
      </c>
      <c r="AO124" s="3">
        <f t="shared" si="75"/>
        <v>0</v>
      </c>
      <c r="AP124" s="3">
        <f t="shared" si="75"/>
        <v>0</v>
      </c>
      <c r="AQ124" s="3">
        <f t="shared" si="75"/>
        <v>0</v>
      </c>
      <c r="AR124" s="3">
        <f t="shared" si="75"/>
        <v>18237</v>
      </c>
    </row>
    <row r="125" spans="1:46" s="24" customFormat="1" x14ac:dyDescent="0.25">
      <c r="A125" s="23"/>
      <c r="B125" s="23"/>
      <c r="D125" s="48">
        <f t="shared" ref="D125:J125" si="76">SUM(D124*10)</f>
        <v>0</v>
      </c>
      <c r="E125" s="48">
        <f t="shared" si="76"/>
        <v>0</v>
      </c>
      <c r="F125" s="48">
        <f t="shared" si="76"/>
        <v>0</v>
      </c>
      <c r="G125" s="48">
        <f t="shared" si="76"/>
        <v>0</v>
      </c>
      <c r="H125" s="48">
        <f t="shared" si="76"/>
        <v>0</v>
      </c>
      <c r="I125" s="48">
        <f t="shared" si="76"/>
        <v>0</v>
      </c>
      <c r="J125" s="48">
        <f t="shared" si="76"/>
        <v>0</v>
      </c>
      <c r="K125" s="48">
        <f t="shared" ref="K125:AR125" si="77">SUM(K124*10)</f>
        <v>0</v>
      </c>
      <c r="L125" s="48">
        <f t="shared" si="77"/>
        <v>0</v>
      </c>
      <c r="M125" s="48">
        <f t="shared" si="77"/>
        <v>0</v>
      </c>
      <c r="N125" s="48">
        <f t="shared" si="77"/>
        <v>0</v>
      </c>
      <c r="O125" s="48">
        <f t="shared" si="77"/>
        <v>0</v>
      </c>
      <c r="P125" s="48">
        <f t="shared" si="77"/>
        <v>0</v>
      </c>
      <c r="Q125" s="48">
        <f t="shared" si="77"/>
        <v>91160</v>
      </c>
      <c r="R125" s="48">
        <f t="shared" si="77"/>
        <v>6670</v>
      </c>
      <c r="S125" s="48">
        <f t="shared" si="77"/>
        <v>53700</v>
      </c>
      <c r="T125" s="48">
        <f t="shared" si="77"/>
        <v>2100</v>
      </c>
      <c r="U125" s="48">
        <f t="shared" si="77"/>
        <v>27090</v>
      </c>
      <c r="V125" s="48">
        <f t="shared" si="77"/>
        <v>1650</v>
      </c>
      <c r="W125" s="48">
        <f t="shared" si="77"/>
        <v>0</v>
      </c>
      <c r="X125" s="48">
        <f t="shared" si="77"/>
        <v>0</v>
      </c>
      <c r="Y125" s="48">
        <f t="shared" si="77"/>
        <v>0</v>
      </c>
      <c r="Z125" s="48">
        <f t="shared" si="77"/>
        <v>0</v>
      </c>
      <c r="AA125" s="48">
        <f t="shared" si="77"/>
        <v>0</v>
      </c>
      <c r="AB125" s="48">
        <f t="shared" si="77"/>
        <v>0</v>
      </c>
      <c r="AC125" s="48">
        <f t="shared" si="77"/>
        <v>0</v>
      </c>
      <c r="AD125" s="48">
        <f t="shared" si="77"/>
        <v>0</v>
      </c>
      <c r="AE125" s="48">
        <f t="shared" si="77"/>
        <v>0</v>
      </c>
      <c r="AF125" s="48">
        <f t="shared" si="77"/>
        <v>0</v>
      </c>
      <c r="AG125" s="48">
        <f t="shared" si="77"/>
        <v>0</v>
      </c>
      <c r="AH125" s="48">
        <f t="shared" si="77"/>
        <v>0</v>
      </c>
      <c r="AI125" s="48">
        <f t="shared" si="77"/>
        <v>0</v>
      </c>
      <c r="AJ125" s="48">
        <f t="shared" si="77"/>
        <v>0</v>
      </c>
      <c r="AK125" s="48">
        <f t="shared" si="77"/>
        <v>0</v>
      </c>
      <c r="AL125" s="48">
        <f t="shared" si="77"/>
        <v>0</v>
      </c>
      <c r="AM125" s="48">
        <f t="shared" si="77"/>
        <v>0</v>
      </c>
      <c r="AN125" s="48">
        <f t="shared" si="77"/>
        <v>0</v>
      </c>
      <c r="AO125" s="48">
        <f t="shared" si="77"/>
        <v>0</v>
      </c>
      <c r="AP125" s="48">
        <f t="shared" si="77"/>
        <v>0</v>
      </c>
      <c r="AQ125" s="48">
        <f t="shared" si="77"/>
        <v>0</v>
      </c>
      <c r="AR125" s="48">
        <f t="shared" si="77"/>
        <v>182370</v>
      </c>
      <c r="AS125" s="25"/>
      <c r="AT125" s="26"/>
    </row>
    <row r="126" spans="1:46" s="24" customFormat="1" x14ac:dyDescent="0.25">
      <c r="A126" s="2" t="s">
        <v>674</v>
      </c>
      <c r="B126" s="2"/>
      <c r="C126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3"/>
      <c r="AS126" s="25"/>
      <c r="AT126" s="26"/>
    </row>
    <row r="127" spans="1:46" s="24" customFormat="1" x14ac:dyDescent="0.25">
      <c r="A127" s="2"/>
      <c r="B127" s="2"/>
      <c r="C127" s="1" t="s">
        <v>105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>
        <v>3747</v>
      </c>
      <c r="X127" s="1"/>
      <c r="Y127" s="1">
        <v>2812</v>
      </c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3">
        <f t="shared" ref="AR127:AR135" si="78">SUM(D127:AQ127)</f>
        <v>6559</v>
      </c>
      <c r="AS127" s="25"/>
      <c r="AT127" s="26"/>
    </row>
    <row r="128" spans="1:46" s="24" customFormat="1" x14ac:dyDescent="0.25">
      <c r="A128" s="2"/>
      <c r="B128" s="2"/>
      <c r="C128" s="1" t="s">
        <v>106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>
        <v>30</v>
      </c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3">
        <f t="shared" si="78"/>
        <v>30</v>
      </c>
      <c r="AS128" s="25"/>
      <c r="AT128" s="26"/>
    </row>
    <row r="129" spans="1:46" s="24" customFormat="1" x14ac:dyDescent="0.25">
      <c r="A129" s="2"/>
      <c r="B129" s="2"/>
      <c r="C129" s="1" t="s">
        <v>107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3">
        <f t="shared" si="78"/>
        <v>0</v>
      </c>
      <c r="AS129" s="25"/>
      <c r="AT129" s="26"/>
    </row>
    <row r="130" spans="1:46" s="24" customFormat="1" x14ac:dyDescent="0.25">
      <c r="A130" s="2"/>
      <c r="B130" s="2"/>
      <c r="C130" s="1" t="s">
        <v>108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3">
        <f t="shared" si="78"/>
        <v>0</v>
      </c>
      <c r="AS130" s="25"/>
      <c r="AT130" s="26"/>
    </row>
    <row r="131" spans="1:46" s="24" customFormat="1" x14ac:dyDescent="0.25">
      <c r="A131" s="2"/>
      <c r="B131" s="2"/>
      <c r="C131" s="1" t="s">
        <v>109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>
        <v>6</v>
      </c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3">
        <f t="shared" si="78"/>
        <v>6</v>
      </c>
      <c r="AS131" s="25"/>
      <c r="AT131" s="26"/>
    </row>
    <row r="132" spans="1:46" s="24" customFormat="1" x14ac:dyDescent="0.25">
      <c r="A132" s="2"/>
      <c r="B132" s="2"/>
      <c r="C132" s="1" t="s">
        <v>110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3">
        <f t="shared" si="78"/>
        <v>0</v>
      </c>
      <c r="AS132" s="25"/>
      <c r="AT132" s="26"/>
    </row>
    <row r="133" spans="1:46" s="24" customFormat="1" x14ac:dyDescent="0.25">
      <c r="A133" s="2"/>
      <c r="B133" s="2"/>
      <c r="C133" s="1" t="s">
        <v>697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3">
        <f t="shared" si="78"/>
        <v>0</v>
      </c>
      <c r="AS133" s="25"/>
      <c r="AT133" s="26"/>
    </row>
    <row r="134" spans="1:46" s="24" customFormat="1" x14ac:dyDescent="0.25">
      <c r="A134" s="2"/>
      <c r="B134" s="2"/>
      <c r="C134" s="1" t="s">
        <v>700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3"/>
      <c r="AS134" s="25"/>
      <c r="AT134" s="26"/>
    </row>
    <row r="135" spans="1:46" s="24" customFormat="1" x14ac:dyDescent="0.25">
      <c r="A135" s="2"/>
      <c r="B135" s="2"/>
      <c r="C135" s="1" t="s">
        <v>6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>
        <f>+PassVol!R326</f>
        <v>720</v>
      </c>
      <c r="S135" s="1">
        <f>+PassVol!S326</f>
        <v>0</v>
      </c>
      <c r="T135" s="1">
        <f>+PassVol!T326+PassVol!T374</f>
        <v>795</v>
      </c>
      <c r="U135" s="1">
        <f>+PassVol!U326+PassVol!U374</f>
        <v>0</v>
      </c>
      <c r="V135" s="1">
        <f>+PassVol!V326+PassVol!V374</f>
        <v>729</v>
      </c>
      <c r="W135" s="1">
        <f>+PassVol!W326+PassVol!W374</f>
        <v>0</v>
      </c>
      <c r="X135" s="1">
        <f>+PassVol!X326+PassVol!X374</f>
        <v>0</v>
      </c>
      <c r="Y135" s="1">
        <f>+PassVol!Y326+PassVol!Y374</f>
        <v>0</v>
      </c>
      <c r="Z135" s="1">
        <f>+PassVol!Z326+PassVol!Z374</f>
        <v>0</v>
      </c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3">
        <f t="shared" si="78"/>
        <v>2244</v>
      </c>
      <c r="AS135" s="25"/>
      <c r="AT135" s="26"/>
    </row>
    <row r="136" spans="1:46" s="24" customFormat="1" x14ac:dyDescent="0.25">
      <c r="A136" s="2"/>
      <c r="B136" s="2"/>
      <c r="C136"/>
      <c r="D136" s="3">
        <f t="shared" ref="D136:AR136" si="79">SUM(D127:D135)</f>
        <v>0</v>
      </c>
      <c r="E136" s="3">
        <f t="shared" si="79"/>
        <v>0</v>
      </c>
      <c r="F136" s="3">
        <f t="shared" si="79"/>
        <v>0</v>
      </c>
      <c r="G136" s="3">
        <f t="shared" si="79"/>
        <v>0</v>
      </c>
      <c r="H136" s="3">
        <f t="shared" si="79"/>
        <v>0</v>
      </c>
      <c r="I136" s="3">
        <f t="shared" si="79"/>
        <v>0</v>
      </c>
      <c r="J136" s="3">
        <f t="shared" si="79"/>
        <v>0</v>
      </c>
      <c r="K136" s="3">
        <f t="shared" si="79"/>
        <v>0</v>
      </c>
      <c r="L136" s="3">
        <f t="shared" si="79"/>
        <v>0</v>
      </c>
      <c r="M136" s="3">
        <f t="shared" si="79"/>
        <v>0</v>
      </c>
      <c r="N136" s="3">
        <f t="shared" si="79"/>
        <v>0</v>
      </c>
      <c r="O136" s="3">
        <f t="shared" si="79"/>
        <v>0</v>
      </c>
      <c r="P136" s="3">
        <f t="shared" si="79"/>
        <v>0</v>
      </c>
      <c r="Q136" s="3">
        <f t="shared" si="79"/>
        <v>0</v>
      </c>
      <c r="R136" s="3">
        <f t="shared" si="79"/>
        <v>720</v>
      </c>
      <c r="S136" s="3">
        <f t="shared" si="79"/>
        <v>0</v>
      </c>
      <c r="T136" s="3">
        <f t="shared" si="79"/>
        <v>795</v>
      </c>
      <c r="U136" s="3">
        <f t="shared" si="79"/>
        <v>0</v>
      </c>
      <c r="V136" s="3">
        <f t="shared" si="79"/>
        <v>729</v>
      </c>
      <c r="W136" s="3">
        <f t="shared" si="79"/>
        <v>3783</v>
      </c>
      <c r="X136" s="3">
        <f t="shared" si="79"/>
        <v>0</v>
      </c>
      <c r="Y136" s="3">
        <f t="shared" si="79"/>
        <v>2812</v>
      </c>
      <c r="Z136" s="3">
        <f t="shared" si="79"/>
        <v>0</v>
      </c>
      <c r="AA136" s="3">
        <f t="shared" si="79"/>
        <v>0</v>
      </c>
      <c r="AB136" s="3">
        <f t="shared" si="79"/>
        <v>0</v>
      </c>
      <c r="AC136" s="3">
        <f t="shared" si="79"/>
        <v>0</v>
      </c>
      <c r="AD136" s="3">
        <f t="shared" si="79"/>
        <v>0</v>
      </c>
      <c r="AE136" s="3">
        <f t="shared" si="79"/>
        <v>0</v>
      </c>
      <c r="AF136" s="3">
        <f t="shared" si="79"/>
        <v>0</v>
      </c>
      <c r="AG136" s="3">
        <f t="shared" si="79"/>
        <v>0</v>
      </c>
      <c r="AH136" s="3">
        <f t="shared" si="79"/>
        <v>0</v>
      </c>
      <c r="AI136" s="3">
        <f t="shared" si="79"/>
        <v>0</v>
      </c>
      <c r="AJ136" s="3">
        <f t="shared" si="79"/>
        <v>0</v>
      </c>
      <c r="AK136" s="3">
        <f t="shared" si="79"/>
        <v>0</v>
      </c>
      <c r="AL136" s="3">
        <f t="shared" si="79"/>
        <v>0</v>
      </c>
      <c r="AM136" s="3">
        <f t="shared" si="79"/>
        <v>0</v>
      </c>
      <c r="AN136" s="3">
        <f t="shared" si="79"/>
        <v>0</v>
      </c>
      <c r="AO136" s="3">
        <f t="shared" si="79"/>
        <v>0</v>
      </c>
      <c r="AP136" s="3">
        <f t="shared" si="79"/>
        <v>0</v>
      </c>
      <c r="AQ136" s="3">
        <f t="shared" si="79"/>
        <v>0</v>
      </c>
      <c r="AR136" s="3">
        <f t="shared" si="79"/>
        <v>8839</v>
      </c>
      <c r="AS136" s="25"/>
      <c r="AT136" s="26"/>
    </row>
    <row r="137" spans="1:46" s="24" customFormat="1" x14ac:dyDescent="0.25">
      <c r="A137" s="23"/>
      <c r="B137" s="23"/>
      <c r="D137" s="48">
        <f t="shared" ref="D137:U137" si="80">SUM((D136-D133)*10)+D133</f>
        <v>0</v>
      </c>
      <c r="E137" s="48">
        <f t="shared" si="80"/>
        <v>0</v>
      </c>
      <c r="F137" s="48">
        <f t="shared" si="80"/>
        <v>0</v>
      </c>
      <c r="G137" s="48">
        <f t="shared" si="80"/>
        <v>0</v>
      </c>
      <c r="H137" s="48">
        <f t="shared" si="80"/>
        <v>0</v>
      </c>
      <c r="I137" s="48">
        <f t="shared" si="80"/>
        <v>0</v>
      </c>
      <c r="J137" s="48">
        <f t="shared" si="80"/>
        <v>0</v>
      </c>
      <c r="K137" s="48">
        <f t="shared" si="80"/>
        <v>0</v>
      </c>
      <c r="L137" s="48">
        <f t="shared" si="80"/>
        <v>0</v>
      </c>
      <c r="M137" s="48">
        <f t="shared" si="80"/>
        <v>0</v>
      </c>
      <c r="N137" s="48">
        <f t="shared" si="80"/>
        <v>0</v>
      </c>
      <c r="O137" s="48">
        <f t="shared" si="80"/>
        <v>0</v>
      </c>
      <c r="P137" s="48">
        <f t="shared" si="80"/>
        <v>0</v>
      </c>
      <c r="Q137" s="48">
        <f t="shared" si="80"/>
        <v>0</v>
      </c>
      <c r="R137" s="48">
        <f t="shared" si="80"/>
        <v>7200</v>
      </c>
      <c r="S137" s="48">
        <f t="shared" si="80"/>
        <v>0</v>
      </c>
      <c r="T137" s="48">
        <f t="shared" si="80"/>
        <v>7950</v>
      </c>
      <c r="U137" s="48">
        <f t="shared" si="80"/>
        <v>0</v>
      </c>
      <c r="V137" s="48">
        <f>SUM((V136-V133-V134)*10)+(V134*8)+V133</f>
        <v>7290</v>
      </c>
      <c r="W137" s="48" cm="1">
        <f t="array" ref="W137">+SUM((W127:W128)*8)+W135*10</f>
        <v>30216</v>
      </c>
      <c r="X137" s="48">
        <f>+X136*8</f>
        <v>0</v>
      </c>
      <c r="Y137" s="146">
        <f>SUM((Y136-Y133)*8)+Y133</f>
        <v>22496</v>
      </c>
      <c r="Z137" s="48">
        <f t="shared" ref="Z137:AR137" si="81">SUM((Z136-Z133)*10)+Z133</f>
        <v>0</v>
      </c>
      <c r="AA137" s="48">
        <f t="shared" si="81"/>
        <v>0</v>
      </c>
      <c r="AB137" s="48">
        <f t="shared" si="81"/>
        <v>0</v>
      </c>
      <c r="AC137" s="48">
        <f t="shared" si="81"/>
        <v>0</v>
      </c>
      <c r="AD137" s="48">
        <f t="shared" si="81"/>
        <v>0</v>
      </c>
      <c r="AE137" s="48">
        <f t="shared" si="81"/>
        <v>0</v>
      </c>
      <c r="AF137" s="48">
        <f t="shared" si="81"/>
        <v>0</v>
      </c>
      <c r="AG137" s="48">
        <f t="shared" si="81"/>
        <v>0</v>
      </c>
      <c r="AH137" s="48">
        <f t="shared" si="81"/>
        <v>0</v>
      </c>
      <c r="AI137" s="48">
        <f t="shared" si="81"/>
        <v>0</v>
      </c>
      <c r="AJ137" s="48">
        <f t="shared" si="81"/>
        <v>0</v>
      </c>
      <c r="AK137" s="48">
        <f t="shared" si="81"/>
        <v>0</v>
      </c>
      <c r="AL137" s="48">
        <f t="shared" si="81"/>
        <v>0</v>
      </c>
      <c r="AM137" s="48">
        <f t="shared" si="81"/>
        <v>0</v>
      </c>
      <c r="AN137" s="48">
        <f t="shared" si="81"/>
        <v>0</v>
      </c>
      <c r="AO137" s="48">
        <f t="shared" si="81"/>
        <v>0</v>
      </c>
      <c r="AP137" s="48">
        <f t="shared" si="81"/>
        <v>0</v>
      </c>
      <c r="AQ137" s="48">
        <f t="shared" si="81"/>
        <v>0</v>
      </c>
      <c r="AR137" s="48">
        <f t="shared" si="81"/>
        <v>88390</v>
      </c>
      <c r="AS137" s="25"/>
      <c r="AT137" s="26"/>
    </row>
    <row r="138" spans="1:46" s="24" customFormat="1" x14ac:dyDescent="0.25">
      <c r="A138" s="23"/>
      <c r="B138" s="23"/>
      <c r="C138" s="24" t="s">
        <v>675</v>
      </c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>
        <v>3747</v>
      </c>
      <c r="X138" s="48"/>
      <c r="Y138" s="146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25"/>
      <c r="AT138" s="26"/>
    </row>
    <row r="139" spans="1:46" s="24" customFormat="1" x14ac:dyDescent="0.25">
      <c r="A139" s="23"/>
      <c r="B139" s="23"/>
      <c r="C139" s="27" t="s">
        <v>694</v>
      </c>
      <c r="D139" s="25">
        <f>+D137+D125+D114+D80+D69-Analysis!C21</f>
        <v>0</v>
      </c>
      <c r="E139" s="25">
        <f>+E137+E125+E114+E80+E69-Analysis!D21</f>
        <v>0</v>
      </c>
      <c r="F139" s="25">
        <f>+F137+F125+F114+F80+F69-Analysis!E21</f>
        <v>0</v>
      </c>
      <c r="G139" s="25">
        <f>+G137+G125+G114+G80+G69-Analysis!F21</f>
        <v>0</v>
      </c>
      <c r="H139" s="25">
        <f>+H137+H125+H114+H80+H69-Analysis!G21</f>
        <v>0</v>
      </c>
      <c r="I139" s="25">
        <f>+I137+I125+I114+I80+I69-Analysis!H21</f>
        <v>0</v>
      </c>
      <c r="J139" s="25">
        <f>+J137+J125+J114+J80+J69-Analysis!I21</f>
        <v>0</v>
      </c>
      <c r="K139" s="25">
        <f>+K137+K125+K114+K80+K69-Analysis!J21</f>
        <v>0</v>
      </c>
      <c r="L139" s="25">
        <f>+L137+L125+L114+L80+L69-Analysis!K21</f>
        <v>0</v>
      </c>
      <c r="M139" s="25">
        <f>+M137+M125+M114+M80+M69-Analysis!L21</f>
        <v>180</v>
      </c>
      <c r="N139" s="25">
        <f>+N137+N125+N114+N80+N69-Analysis!M21</f>
        <v>0</v>
      </c>
      <c r="O139" s="25">
        <f>+O137+O125+O114+O80+O69-Analysis!N21</f>
        <v>0</v>
      </c>
      <c r="P139" s="25">
        <f>+P137+P125+P114+P80+P69-Analysis!O21</f>
        <v>-18</v>
      </c>
      <c r="Q139" s="25">
        <f>+Q137+Q125+Q114+Q80+Q69-Analysis!P21</f>
        <v>230</v>
      </c>
      <c r="R139" s="25">
        <f>+R137+R125+R114+R80+R69-Analysis!Q21</f>
        <v>160</v>
      </c>
      <c r="S139" s="25">
        <f>+S137+S125+S114+S80+S69-Analysis!R21</f>
        <v>0</v>
      </c>
      <c r="T139" s="25">
        <f>+T137+T125+T114+T80+T69-Analysis!S21</f>
        <v>0</v>
      </c>
      <c r="U139" s="25">
        <f>+U137+U125+U114+U80+U69-Analysis!T21</f>
        <v>422</v>
      </c>
      <c r="V139" s="25">
        <f>+V137+V125+V114+V80+V69-Analysis!U21</f>
        <v>324</v>
      </c>
      <c r="W139" s="25">
        <f>+W137+W125+W114+W80+W69-Analysis!V21</f>
        <v>0</v>
      </c>
      <c r="X139" s="25">
        <f>+X137+X125+X114+X80+X69-Analysis!W21</f>
        <v>0</v>
      </c>
      <c r="Y139" s="115">
        <f>+Y137+Y125+Y114+Y80+Y69-Analysis!X21</f>
        <v>5200</v>
      </c>
      <c r="Z139" s="25">
        <f>+Z137+Z125+Z114+Z80+Z69-Analysis!Y21</f>
        <v>-54</v>
      </c>
      <c r="AA139" s="25">
        <f>+AA137+AA125+AA114+AA80+AA69-Analysis!Z21</f>
        <v>-360</v>
      </c>
      <c r="AB139" s="25">
        <f>+AB137+AB125+AB114+AB80+AB69-Analysis!AA21</f>
        <v>-252</v>
      </c>
      <c r="AC139" s="25">
        <f>+AC137+AC125+AC114+AC80+AC69-Analysis!AB21</f>
        <v>0</v>
      </c>
      <c r="AD139" s="25">
        <f>+AD137+AD125+AD114+AD80+AD69-Analysis!AC21</f>
        <v>0</v>
      </c>
      <c r="AE139" s="25">
        <f>+AE137+AE125+AE114+AE80+AE69-Analysis!AD21</f>
        <v>0</v>
      </c>
      <c r="AF139" s="25">
        <f>+AF137+AF125+AF114+AF80+AF69-Analysis!AE21</f>
        <v>0</v>
      </c>
      <c r="AG139" s="25">
        <f>+AG137+AG125+AG114+AG80+AG69-Analysis!AF21</f>
        <v>0</v>
      </c>
      <c r="AH139" s="25">
        <f>+AH137+AH125+AH114+AH80+AH69-Analysis!AG21</f>
        <v>0</v>
      </c>
      <c r="AI139" s="25">
        <f>+AI137+AI125+AI114+AI80+AI69-Analysis!AH21</f>
        <v>0</v>
      </c>
      <c r="AJ139" s="25">
        <f>+AJ137+AJ125+AJ114+AJ80+AJ69-Analysis!AI21</f>
        <v>0</v>
      </c>
      <c r="AK139" s="25">
        <f>+AK137+AK125+AK114+AK80+AK69-Analysis!AJ21</f>
        <v>0</v>
      </c>
      <c r="AL139" s="25">
        <f>+AL137+AL125+AL114+AL80+AL69-Analysis!AK21</f>
        <v>0</v>
      </c>
      <c r="AM139" s="25">
        <f>+AM137+AM125+AM114+AM80+AM69-Analysis!AL21</f>
        <v>0</v>
      </c>
      <c r="AN139" s="25">
        <f>+AN137+AN125+AN114+AN80+AN69-Analysis!AM21</f>
        <v>0</v>
      </c>
      <c r="AO139" s="25">
        <f>+AO137+AO125+AO114+AO80+AO69-Analysis!AN21</f>
        <v>0</v>
      </c>
      <c r="AP139" s="25">
        <f>+AP137+AP125+AP114+AP80+AP69-Analysis!AO21</f>
        <v>0</v>
      </c>
      <c r="AQ139" s="25">
        <f>+AQ137+AQ125+AQ114+AQ80+AQ69-Analysis!AP21</f>
        <v>0</v>
      </c>
      <c r="AR139" s="48"/>
      <c r="AS139" s="25"/>
      <c r="AT139" s="26"/>
    </row>
    <row r="140" spans="1:46" x14ac:dyDescent="0.25">
      <c r="A140" s="2" t="s">
        <v>229</v>
      </c>
    </row>
    <row r="141" spans="1:46" x14ac:dyDescent="0.25">
      <c r="C141" s="1" t="s">
        <v>105</v>
      </c>
      <c r="M141" s="1">
        <v>92</v>
      </c>
      <c r="N141" s="1">
        <v>76</v>
      </c>
      <c r="O141" s="1">
        <v>92</v>
      </c>
      <c r="P141" s="1">
        <v>76</v>
      </c>
      <c r="Q141" s="1">
        <v>117</v>
      </c>
      <c r="R141" s="1">
        <v>115</v>
      </c>
      <c r="S141" s="1">
        <v>96</v>
      </c>
      <c r="T141" s="1">
        <v>126</v>
      </c>
      <c r="U141" s="1">
        <v>121</v>
      </c>
      <c r="V141" s="1">
        <v>94</v>
      </c>
      <c r="W141" s="1">
        <v>120</v>
      </c>
      <c r="X141" s="1">
        <v>127</v>
      </c>
      <c r="Y141" s="1">
        <v>119</v>
      </c>
      <c r="Z141" s="1">
        <v>87</v>
      </c>
      <c r="AA141" s="1">
        <v>80</v>
      </c>
      <c r="AB141" s="1">
        <v>51</v>
      </c>
      <c r="AR141" s="3">
        <f t="shared" ref="AR141:AR147" si="82">SUM(D141:AQ141)</f>
        <v>1589</v>
      </c>
    </row>
    <row r="142" spans="1:46" x14ac:dyDescent="0.25">
      <c r="C142" s="1" t="s">
        <v>106</v>
      </c>
      <c r="P142" s="1">
        <v>94</v>
      </c>
      <c r="S142" s="1">
        <v>106</v>
      </c>
      <c r="T142" s="1">
        <v>89</v>
      </c>
      <c r="U142" s="1">
        <v>145</v>
      </c>
      <c r="W142" s="1">
        <v>140</v>
      </c>
      <c r="X142" s="1">
        <v>127</v>
      </c>
      <c r="Z142" s="1">
        <v>64</v>
      </c>
      <c r="AA142" s="1">
        <v>77</v>
      </c>
      <c r="AB142" s="1">
        <v>33</v>
      </c>
      <c r="AC142" s="1">
        <v>5</v>
      </c>
      <c r="AR142" s="3">
        <f t="shared" si="82"/>
        <v>880</v>
      </c>
    </row>
    <row r="143" spans="1:46" x14ac:dyDescent="0.25">
      <c r="C143" s="1" t="s">
        <v>107</v>
      </c>
      <c r="M143" s="1">
        <v>28</v>
      </c>
      <c r="N143" s="1">
        <v>64</v>
      </c>
      <c r="O143" s="1">
        <v>83</v>
      </c>
      <c r="P143" s="1">
        <v>152</v>
      </c>
      <c r="Q143" s="1">
        <v>143</v>
      </c>
      <c r="R143" s="1">
        <v>61</v>
      </c>
      <c r="S143" s="1">
        <v>83</v>
      </c>
      <c r="T143" s="1">
        <v>116</v>
      </c>
      <c r="U143" s="1">
        <v>95</v>
      </c>
      <c r="V143" s="1">
        <v>185</v>
      </c>
      <c r="W143" s="1">
        <v>61</v>
      </c>
      <c r="X143" s="1">
        <v>140</v>
      </c>
      <c r="Y143" s="1">
        <v>139</v>
      </c>
      <c r="Z143" s="1">
        <v>47</v>
      </c>
      <c r="AR143" s="3">
        <f t="shared" si="82"/>
        <v>1397</v>
      </c>
    </row>
    <row r="144" spans="1:46" x14ac:dyDescent="0.25">
      <c r="C144" s="1" t="s">
        <v>108</v>
      </c>
      <c r="L144" s="1">
        <v>62</v>
      </c>
      <c r="M144" s="1">
        <v>63</v>
      </c>
      <c r="N144" s="1">
        <v>88</v>
      </c>
      <c r="O144" s="1">
        <v>151</v>
      </c>
      <c r="P144" s="1">
        <v>148</v>
      </c>
      <c r="Q144" s="1">
        <v>101</v>
      </c>
      <c r="R144" s="1">
        <v>161</v>
      </c>
      <c r="S144" s="1">
        <v>117</v>
      </c>
      <c r="T144" s="1">
        <v>96</v>
      </c>
      <c r="U144" s="1">
        <v>65</v>
      </c>
      <c r="V144" s="1">
        <v>115</v>
      </c>
      <c r="W144" s="1">
        <v>108</v>
      </c>
      <c r="X144" s="1">
        <v>30</v>
      </c>
      <c r="Y144" s="1">
        <v>45</v>
      </c>
      <c r="AA144" s="1">
        <v>32</v>
      </c>
      <c r="AB144" s="1">
        <v>30</v>
      </c>
      <c r="AC144" s="1">
        <v>11</v>
      </c>
      <c r="AR144" s="3">
        <f t="shared" si="82"/>
        <v>1423</v>
      </c>
    </row>
    <row r="145" spans="1:44" x14ac:dyDescent="0.25">
      <c r="C145" s="1" t="s">
        <v>109</v>
      </c>
      <c r="L145" s="1">
        <v>45</v>
      </c>
      <c r="M145" s="1">
        <v>93</v>
      </c>
      <c r="N145" s="1">
        <v>48</v>
      </c>
      <c r="O145" s="1">
        <v>59</v>
      </c>
      <c r="Q145" s="1">
        <v>91</v>
      </c>
      <c r="R145" s="1">
        <v>192</v>
      </c>
      <c r="S145" s="1">
        <v>143</v>
      </c>
      <c r="T145" s="1">
        <v>80</v>
      </c>
      <c r="U145" s="1">
        <v>149</v>
      </c>
      <c r="V145" s="1">
        <v>100</v>
      </c>
      <c r="W145" s="1">
        <v>112</v>
      </c>
      <c r="X145" s="1">
        <v>99</v>
      </c>
      <c r="Y145" s="1">
        <v>38</v>
      </c>
      <c r="Z145" s="1">
        <v>17</v>
      </c>
      <c r="AR145" s="3">
        <f t="shared" si="82"/>
        <v>1266</v>
      </c>
    </row>
    <row r="146" spans="1:44" x14ac:dyDescent="0.25">
      <c r="C146" s="1" t="s">
        <v>193</v>
      </c>
      <c r="AR146" s="3">
        <f t="shared" si="82"/>
        <v>0</v>
      </c>
    </row>
    <row r="147" spans="1:44" x14ac:dyDescent="0.25">
      <c r="C147" s="1" t="s">
        <v>6</v>
      </c>
      <c r="AR147" s="3">
        <f t="shared" si="82"/>
        <v>0</v>
      </c>
    </row>
    <row r="148" spans="1:44" x14ac:dyDescent="0.25">
      <c r="D148" s="3">
        <f t="shared" ref="D148:J148" si="83">SUM(D141:D147)</f>
        <v>0</v>
      </c>
      <c r="E148" s="3">
        <f t="shared" si="83"/>
        <v>0</v>
      </c>
      <c r="F148" s="3">
        <f t="shared" si="83"/>
        <v>0</v>
      </c>
      <c r="G148" s="3">
        <f t="shared" si="83"/>
        <v>0</v>
      </c>
      <c r="H148" s="3">
        <f t="shared" si="83"/>
        <v>0</v>
      </c>
      <c r="I148" s="3">
        <f t="shared" si="83"/>
        <v>0</v>
      </c>
      <c r="J148" s="3">
        <f t="shared" si="83"/>
        <v>0</v>
      </c>
      <c r="K148" s="3">
        <f t="shared" ref="K148:AR148" si="84">SUM(K141:K147)</f>
        <v>0</v>
      </c>
      <c r="L148" s="3">
        <f t="shared" si="84"/>
        <v>107</v>
      </c>
      <c r="M148" s="3">
        <f t="shared" si="84"/>
        <v>276</v>
      </c>
      <c r="N148" s="3">
        <f t="shared" si="84"/>
        <v>276</v>
      </c>
      <c r="O148" s="3">
        <f t="shared" si="84"/>
        <v>385</v>
      </c>
      <c r="P148" s="3">
        <f t="shared" si="84"/>
        <v>470</v>
      </c>
      <c r="Q148" s="3">
        <f t="shared" si="84"/>
        <v>452</v>
      </c>
      <c r="R148" s="3">
        <f t="shared" si="84"/>
        <v>529</v>
      </c>
      <c r="S148" s="3">
        <f t="shared" si="84"/>
        <v>545</v>
      </c>
      <c r="T148" s="3">
        <f t="shared" si="84"/>
        <v>507</v>
      </c>
      <c r="U148" s="3">
        <f t="shared" si="84"/>
        <v>575</v>
      </c>
      <c r="V148" s="3">
        <f t="shared" si="84"/>
        <v>494</v>
      </c>
      <c r="W148" s="3">
        <f t="shared" si="84"/>
        <v>541</v>
      </c>
      <c r="X148" s="3">
        <f t="shared" si="84"/>
        <v>523</v>
      </c>
      <c r="Y148" s="3">
        <f t="shared" si="84"/>
        <v>341</v>
      </c>
      <c r="Z148" s="3">
        <f t="shared" si="84"/>
        <v>215</v>
      </c>
      <c r="AA148" s="3">
        <f t="shared" si="84"/>
        <v>189</v>
      </c>
      <c r="AB148" s="3">
        <f t="shared" si="84"/>
        <v>114</v>
      </c>
      <c r="AC148" s="3">
        <f t="shared" si="84"/>
        <v>16</v>
      </c>
      <c r="AD148" s="3">
        <f t="shared" si="84"/>
        <v>0</v>
      </c>
      <c r="AE148" s="3">
        <f t="shared" si="84"/>
        <v>0</v>
      </c>
      <c r="AF148" s="3">
        <f t="shared" si="84"/>
        <v>0</v>
      </c>
      <c r="AG148" s="3">
        <f t="shared" si="84"/>
        <v>0</v>
      </c>
      <c r="AH148" s="3">
        <f t="shared" si="84"/>
        <v>0</v>
      </c>
      <c r="AI148" s="3">
        <f t="shared" si="84"/>
        <v>0</v>
      </c>
      <c r="AJ148" s="3">
        <f t="shared" si="84"/>
        <v>0</v>
      </c>
      <c r="AK148" s="3">
        <f t="shared" si="84"/>
        <v>0</v>
      </c>
      <c r="AL148" s="3">
        <f t="shared" si="84"/>
        <v>0</v>
      </c>
      <c r="AM148" s="3">
        <f t="shared" si="84"/>
        <v>0</v>
      </c>
      <c r="AN148" s="3">
        <f t="shared" si="84"/>
        <v>0</v>
      </c>
      <c r="AO148" s="3">
        <f t="shared" si="84"/>
        <v>0</v>
      </c>
      <c r="AP148" s="3">
        <f t="shared" si="84"/>
        <v>0</v>
      </c>
      <c r="AQ148" s="3">
        <f t="shared" si="84"/>
        <v>0</v>
      </c>
      <c r="AR148" s="3">
        <f t="shared" si="84"/>
        <v>6555</v>
      </c>
    </row>
    <row r="149" spans="1:44" x14ac:dyDescent="0.25">
      <c r="C149" s="37" t="s">
        <v>257</v>
      </c>
      <c r="D149" s="51">
        <f t="shared" ref="D149:AR149" si="85">IF(D148=0,0,+D148/D45)</f>
        <v>0</v>
      </c>
      <c r="E149" s="51">
        <f t="shared" si="85"/>
        <v>0</v>
      </c>
      <c r="F149" s="51">
        <f t="shared" si="85"/>
        <v>0</v>
      </c>
      <c r="G149" s="51">
        <f t="shared" si="85"/>
        <v>0</v>
      </c>
      <c r="H149" s="51">
        <f t="shared" si="85"/>
        <v>0</v>
      </c>
      <c r="I149" s="51">
        <f t="shared" si="85"/>
        <v>0</v>
      </c>
      <c r="J149" s="51">
        <f t="shared" si="85"/>
        <v>0</v>
      </c>
      <c r="K149" s="51">
        <f t="shared" si="85"/>
        <v>0</v>
      </c>
      <c r="L149" s="51">
        <f t="shared" si="85"/>
        <v>0.34967320261437906</v>
      </c>
      <c r="M149" s="51">
        <f t="shared" si="85"/>
        <v>0.84923076923076923</v>
      </c>
      <c r="N149" s="51">
        <f t="shared" si="85"/>
        <v>0.75409836065573765</v>
      </c>
      <c r="O149" s="51">
        <f t="shared" si="85"/>
        <v>0.77464788732394363</v>
      </c>
      <c r="P149" s="51">
        <f t="shared" si="85"/>
        <v>0.78464106844741233</v>
      </c>
      <c r="Q149" s="51">
        <f t="shared" si="85"/>
        <v>0.84644194756554303</v>
      </c>
      <c r="R149" s="51">
        <f t="shared" si="85"/>
        <v>0.83835182250396201</v>
      </c>
      <c r="S149" s="51">
        <f t="shared" si="85"/>
        <v>0.8762057877813505</v>
      </c>
      <c r="T149" s="51">
        <f t="shared" si="85"/>
        <v>0.81906300484652661</v>
      </c>
      <c r="U149" s="51">
        <f t="shared" si="85"/>
        <v>0.88597842835130969</v>
      </c>
      <c r="V149" s="51">
        <f t="shared" si="85"/>
        <v>0.89818181818181819</v>
      </c>
      <c r="W149" s="51">
        <f t="shared" si="85"/>
        <v>0.90166666666666662</v>
      </c>
      <c r="X149" s="51">
        <f t="shared" si="85"/>
        <v>0.90956521739130436</v>
      </c>
      <c r="Y149" s="51">
        <f t="shared" si="85"/>
        <v>0.91666666666666663</v>
      </c>
      <c r="Z149" s="51">
        <f t="shared" si="85"/>
        <v>0.71666666666666667</v>
      </c>
      <c r="AA149" s="51">
        <f t="shared" si="85"/>
        <v>0.77777777777777779</v>
      </c>
      <c r="AB149" s="51">
        <f t="shared" si="85"/>
        <v>0.61956521739130432</v>
      </c>
      <c r="AC149" s="51">
        <f t="shared" si="85"/>
        <v>0.13223140495867769</v>
      </c>
      <c r="AD149" s="51">
        <f t="shared" si="85"/>
        <v>0</v>
      </c>
      <c r="AE149" s="51">
        <f t="shared" si="85"/>
        <v>0</v>
      </c>
      <c r="AF149" s="51">
        <f t="shared" si="85"/>
        <v>0</v>
      </c>
      <c r="AG149" s="51">
        <f t="shared" si="85"/>
        <v>0</v>
      </c>
      <c r="AH149" s="51">
        <f t="shared" si="85"/>
        <v>0</v>
      </c>
      <c r="AI149" s="51">
        <f t="shared" si="85"/>
        <v>0</v>
      </c>
      <c r="AJ149" s="51">
        <f t="shared" si="85"/>
        <v>0</v>
      </c>
      <c r="AK149" s="51">
        <f t="shared" si="85"/>
        <v>0</v>
      </c>
      <c r="AL149" s="51">
        <f t="shared" si="85"/>
        <v>0</v>
      </c>
      <c r="AM149" s="51">
        <f t="shared" si="85"/>
        <v>0</v>
      </c>
      <c r="AN149" s="51">
        <f t="shared" si="85"/>
        <v>0</v>
      </c>
      <c r="AO149" s="51">
        <f t="shared" si="85"/>
        <v>0</v>
      </c>
      <c r="AP149" s="51">
        <f t="shared" si="85"/>
        <v>0</v>
      </c>
      <c r="AQ149" s="51">
        <f t="shared" si="85"/>
        <v>0</v>
      </c>
      <c r="AR149" s="51">
        <f t="shared" si="85"/>
        <v>0.73076923076923073</v>
      </c>
    </row>
    <row r="150" spans="1:44" x14ac:dyDescent="0.25">
      <c r="A150" s="2" t="s">
        <v>230</v>
      </c>
    </row>
    <row r="151" spans="1:44" x14ac:dyDescent="0.25">
      <c r="C151" s="1" t="s">
        <v>105</v>
      </c>
      <c r="N151" s="1">
        <v>5</v>
      </c>
      <c r="P151" s="1">
        <v>0</v>
      </c>
      <c r="R151" s="1">
        <v>27</v>
      </c>
      <c r="S151" s="1">
        <v>1</v>
      </c>
      <c r="T151" s="1">
        <v>2</v>
      </c>
      <c r="U151" s="1">
        <v>3</v>
      </c>
      <c r="V151" s="1">
        <v>5</v>
      </c>
      <c r="W151" s="1">
        <v>4</v>
      </c>
      <c r="AR151" s="3">
        <f t="shared" ref="AR151:AR157" si="86">SUM(D151:AQ151)</f>
        <v>47</v>
      </c>
    </row>
    <row r="152" spans="1:44" x14ac:dyDescent="0.25">
      <c r="C152" s="1" t="s">
        <v>106</v>
      </c>
      <c r="P152" s="1">
        <v>20</v>
      </c>
      <c r="S152" s="1">
        <v>11</v>
      </c>
      <c r="T152" s="1">
        <v>19</v>
      </c>
      <c r="U152" s="1">
        <v>23</v>
      </c>
      <c r="W152" s="1">
        <v>14</v>
      </c>
      <c r="AR152" s="3">
        <f t="shared" si="86"/>
        <v>87</v>
      </c>
    </row>
    <row r="153" spans="1:44" x14ac:dyDescent="0.25">
      <c r="C153" s="1" t="s">
        <v>107</v>
      </c>
      <c r="M153" s="1">
        <v>49</v>
      </c>
      <c r="N153" s="1">
        <v>14</v>
      </c>
      <c r="O153" s="1">
        <v>32</v>
      </c>
      <c r="P153" s="1">
        <v>4</v>
      </c>
      <c r="Q153" s="1">
        <v>1</v>
      </c>
      <c r="R153" s="1">
        <v>36</v>
      </c>
      <c r="S153" s="1">
        <v>26</v>
      </c>
      <c r="T153" s="1">
        <v>22</v>
      </c>
      <c r="U153" s="1">
        <v>7</v>
      </c>
      <c r="V153" s="1">
        <v>28</v>
      </c>
      <c r="W153" s="1">
        <v>6</v>
      </c>
      <c r="AR153" s="3">
        <f t="shared" si="86"/>
        <v>225</v>
      </c>
    </row>
    <row r="154" spans="1:44" x14ac:dyDescent="0.25">
      <c r="C154" s="1" t="s">
        <v>108</v>
      </c>
      <c r="M154" s="1">
        <v>7</v>
      </c>
      <c r="N154" s="1">
        <v>9</v>
      </c>
      <c r="O154" s="1">
        <v>43</v>
      </c>
      <c r="P154" s="1">
        <v>2</v>
      </c>
      <c r="Q154" s="1">
        <v>16</v>
      </c>
      <c r="S154" s="1">
        <v>26</v>
      </c>
      <c r="T154" s="1">
        <v>24</v>
      </c>
      <c r="U154" s="1">
        <v>3</v>
      </c>
      <c r="V154" s="1">
        <v>24</v>
      </c>
      <c r="W154" s="1">
        <v>1</v>
      </c>
      <c r="AR154" s="3">
        <f t="shared" si="86"/>
        <v>155</v>
      </c>
    </row>
    <row r="155" spans="1:44" x14ac:dyDescent="0.25">
      <c r="C155" s="1" t="s">
        <v>109</v>
      </c>
      <c r="M155" s="1">
        <v>3</v>
      </c>
      <c r="N155" s="1">
        <v>11</v>
      </c>
      <c r="O155" s="1">
        <v>18</v>
      </c>
      <c r="R155" s="1">
        <v>1</v>
      </c>
      <c r="S155" s="1">
        <v>18</v>
      </c>
      <c r="T155" s="1">
        <v>6</v>
      </c>
      <c r="U155" s="1">
        <v>3</v>
      </c>
      <c r="V155" s="1">
        <v>24</v>
      </c>
      <c r="W155" s="1">
        <v>1</v>
      </c>
      <c r="AR155" s="3">
        <f t="shared" si="86"/>
        <v>85</v>
      </c>
    </row>
    <row r="156" spans="1:44" x14ac:dyDescent="0.25">
      <c r="C156" s="1" t="s">
        <v>110</v>
      </c>
      <c r="AR156" s="3">
        <f t="shared" si="86"/>
        <v>0</v>
      </c>
    </row>
    <row r="157" spans="1:44" x14ac:dyDescent="0.25">
      <c r="C157" s="1" t="s">
        <v>6</v>
      </c>
      <c r="AR157" s="3">
        <f t="shared" si="86"/>
        <v>0</v>
      </c>
    </row>
    <row r="158" spans="1:44" x14ac:dyDescent="0.25">
      <c r="D158" s="3">
        <f t="shared" ref="D158:AR158" si="87">SUM(D151:D157)</f>
        <v>0</v>
      </c>
      <c r="E158" s="3">
        <f t="shared" si="87"/>
        <v>0</v>
      </c>
      <c r="F158" s="3">
        <f t="shared" si="87"/>
        <v>0</v>
      </c>
      <c r="G158" s="3">
        <f t="shared" si="87"/>
        <v>0</v>
      </c>
      <c r="H158" s="3">
        <f t="shared" si="87"/>
        <v>0</v>
      </c>
      <c r="I158" s="3">
        <f t="shared" si="87"/>
        <v>0</v>
      </c>
      <c r="J158" s="3">
        <f t="shared" si="87"/>
        <v>0</v>
      </c>
      <c r="K158" s="3">
        <f t="shared" si="87"/>
        <v>0</v>
      </c>
      <c r="L158" s="3">
        <f t="shared" si="87"/>
        <v>0</v>
      </c>
      <c r="M158" s="3">
        <f t="shared" si="87"/>
        <v>59</v>
      </c>
      <c r="N158" s="3">
        <f t="shared" si="87"/>
        <v>39</v>
      </c>
      <c r="O158" s="3">
        <f t="shared" si="87"/>
        <v>93</v>
      </c>
      <c r="P158" s="3">
        <f t="shared" si="87"/>
        <v>26</v>
      </c>
      <c r="Q158" s="3">
        <f t="shared" si="87"/>
        <v>17</v>
      </c>
      <c r="R158" s="3">
        <f t="shared" si="87"/>
        <v>64</v>
      </c>
      <c r="S158" s="3">
        <f t="shared" si="87"/>
        <v>82</v>
      </c>
      <c r="T158" s="3">
        <f t="shared" si="87"/>
        <v>73</v>
      </c>
      <c r="U158" s="3">
        <f t="shared" si="87"/>
        <v>39</v>
      </c>
      <c r="V158" s="3">
        <f t="shared" si="87"/>
        <v>81</v>
      </c>
      <c r="W158" s="3">
        <f t="shared" si="87"/>
        <v>26</v>
      </c>
      <c r="X158" s="3">
        <f t="shared" si="87"/>
        <v>0</v>
      </c>
      <c r="Y158" s="3">
        <f t="shared" si="87"/>
        <v>0</v>
      </c>
      <c r="Z158" s="3">
        <f t="shared" si="87"/>
        <v>0</v>
      </c>
      <c r="AA158" s="3">
        <f t="shared" si="87"/>
        <v>0</v>
      </c>
      <c r="AB158" s="3">
        <f t="shared" si="87"/>
        <v>0</v>
      </c>
      <c r="AC158" s="3">
        <f t="shared" si="87"/>
        <v>0</v>
      </c>
      <c r="AD158" s="3">
        <f t="shared" si="87"/>
        <v>0</v>
      </c>
      <c r="AE158" s="3">
        <f t="shared" si="87"/>
        <v>0</v>
      </c>
      <c r="AF158" s="3">
        <f t="shared" si="87"/>
        <v>0</v>
      </c>
      <c r="AG158" s="3">
        <f t="shared" si="87"/>
        <v>0</v>
      </c>
      <c r="AH158" s="3">
        <f t="shared" si="87"/>
        <v>0</v>
      </c>
      <c r="AI158" s="3">
        <f t="shared" si="87"/>
        <v>0</v>
      </c>
      <c r="AJ158" s="3">
        <f t="shared" si="87"/>
        <v>0</v>
      </c>
      <c r="AK158" s="3">
        <f t="shared" si="87"/>
        <v>0</v>
      </c>
      <c r="AL158" s="3">
        <f t="shared" si="87"/>
        <v>0</v>
      </c>
      <c r="AM158" s="3">
        <f t="shared" si="87"/>
        <v>0</v>
      </c>
      <c r="AN158" s="3">
        <f t="shared" si="87"/>
        <v>0</v>
      </c>
      <c r="AO158" s="3">
        <f t="shared" si="87"/>
        <v>0</v>
      </c>
      <c r="AP158" s="3">
        <f t="shared" si="87"/>
        <v>0</v>
      </c>
      <c r="AQ158" s="3">
        <f t="shared" si="87"/>
        <v>0</v>
      </c>
      <c r="AR158" s="3">
        <f t="shared" si="87"/>
        <v>599</v>
      </c>
    </row>
    <row r="159" spans="1:44" x14ac:dyDescent="0.25">
      <c r="A159" s="2" t="s">
        <v>231</v>
      </c>
    </row>
    <row r="160" spans="1:44" x14ac:dyDescent="0.25">
      <c r="C160" s="1" t="s">
        <v>105</v>
      </c>
      <c r="G160" s="1">
        <v>71</v>
      </c>
      <c r="H160" s="1">
        <v>1</v>
      </c>
      <c r="J160" s="1">
        <v>40</v>
      </c>
      <c r="K160" s="1">
        <v>72</v>
      </c>
      <c r="L160" s="1">
        <v>72</v>
      </c>
      <c r="M160" s="1">
        <v>80</v>
      </c>
      <c r="N160" s="1">
        <v>92</v>
      </c>
      <c r="O160" s="1">
        <v>76</v>
      </c>
      <c r="P160" s="1">
        <v>92</v>
      </c>
      <c r="Q160" s="1">
        <v>55</v>
      </c>
      <c r="R160" s="1">
        <v>91</v>
      </c>
      <c r="S160" s="1">
        <v>53</v>
      </c>
      <c r="T160" s="1">
        <v>83</v>
      </c>
      <c r="U160" s="1">
        <v>84</v>
      </c>
      <c r="V160" s="1">
        <v>68</v>
      </c>
      <c r="W160" s="1">
        <v>76</v>
      </c>
      <c r="X160" s="1">
        <v>86</v>
      </c>
      <c r="Y160" s="1">
        <v>69</v>
      </c>
      <c r="Z160" s="1">
        <v>59</v>
      </c>
      <c r="AA160" s="1">
        <v>75</v>
      </c>
      <c r="AB160" s="1">
        <v>30</v>
      </c>
      <c r="AC160" s="1">
        <v>34</v>
      </c>
      <c r="AD160" s="1">
        <v>15</v>
      </c>
      <c r="AE160" s="1">
        <v>8</v>
      </c>
      <c r="AF160" s="1">
        <v>4</v>
      </c>
      <c r="AH160" s="1">
        <v>30</v>
      </c>
      <c r="AI160" s="1">
        <v>18</v>
      </c>
      <c r="AR160" s="3">
        <f t="shared" ref="AR160:AR166" si="88">SUM(D160:AQ160)</f>
        <v>1534</v>
      </c>
    </row>
    <row r="161" spans="1:44" x14ac:dyDescent="0.25">
      <c r="C161" s="1" t="s">
        <v>106</v>
      </c>
      <c r="P161" s="1">
        <v>26</v>
      </c>
      <c r="S161" s="1">
        <v>31</v>
      </c>
      <c r="T161" s="1">
        <v>47</v>
      </c>
      <c r="U161" s="1">
        <v>57</v>
      </c>
      <c r="W161" s="1">
        <v>62</v>
      </c>
      <c r="X161" s="1">
        <v>58</v>
      </c>
      <c r="Z161" s="1">
        <v>42</v>
      </c>
      <c r="AA161" s="1">
        <v>51</v>
      </c>
      <c r="AB161" s="1">
        <v>31</v>
      </c>
      <c r="AC161" s="1">
        <v>16</v>
      </c>
      <c r="AD161" s="1">
        <v>43</v>
      </c>
      <c r="AE161" s="1">
        <v>19</v>
      </c>
      <c r="AF161" s="1">
        <v>14</v>
      </c>
      <c r="AG161" s="1">
        <v>22</v>
      </c>
      <c r="AH161" s="1">
        <v>5</v>
      </c>
      <c r="AI161" s="1">
        <v>10</v>
      </c>
      <c r="AJ161" s="1">
        <v>81</v>
      </c>
      <c r="AK161" s="1">
        <v>42</v>
      </c>
      <c r="AL161" s="1">
        <v>38</v>
      </c>
      <c r="AM161" s="1">
        <v>19</v>
      </c>
      <c r="AN161" s="1">
        <v>20</v>
      </c>
      <c r="AO161" s="1">
        <v>4</v>
      </c>
      <c r="AR161" s="3">
        <f t="shared" si="88"/>
        <v>738</v>
      </c>
    </row>
    <row r="162" spans="1:44" x14ac:dyDescent="0.25">
      <c r="C162" s="1" t="s">
        <v>107</v>
      </c>
      <c r="M162" s="1">
        <v>8</v>
      </c>
      <c r="N162" s="1">
        <v>22</v>
      </c>
      <c r="O162" s="1">
        <v>27</v>
      </c>
      <c r="P162" s="1">
        <v>69</v>
      </c>
      <c r="Q162" s="1">
        <v>69</v>
      </c>
      <c r="R162" s="1">
        <v>27</v>
      </c>
      <c r="S162" s="1">
        <v>45</v>
      </c>
      <c r="T162" s="1">
        <v>52</v>
      </c>
      <c r="U162" s="1">
        <v>46</v>
      </c>
      <c r="V162" s="1">
        <v>88</v>
      </c>
      <c r="W162" s="1">
        <v>26</v>
      </c>
      <c r="X162" s="1">
        <v>65</v>
      </c>
      <c r="Y162" s="1">
        <v>71</v>
      </c>
      <c r="Z162" s="1">
        <v>45</v>
      </c>
      <c r="AR162" s="3">
        <f t="shared" si="88"/>
        <v>660</v>
      </c>
    </row>
    <row r="163" spans="1:44" x14ac:dyDescent="0.25">
      <c r="C163" s="1" t="s">
        <v>108</v>
      </c>
      <c r="G163" s="1">
        <v>28</v>
      </c>
      <c r="H163" s="1">
        <v>46</v>
      </c>
      <c r="I163" s="1">
        <v>12</v>
      </c>
      <c r="J163" s="1">
        <v>8</v>
      </c>
      <c r="K163" s="1">
        <v>34</v>
      </c>
      <c r="L163" s="1">
        <v>28</v>
      </c>
      <c r="M163" s="1">
        <v>27</v>
      </c>
      <c r="N163" s="1">
        <v>51</v>
      </c>
      <c r="O163" s="1">
        <v>71</v>
      </c>
      <c r="P163" s="1">
        <v>72</v>
      </c>
      <c r="Q163" s="1">
        <v>58</v>
      </c>
      <c r="R163" s="1">
        <v>56</v>
      </c>
      <c r="S163" s="1">
        <v>47</v>
      </c>
      <c r="T163" s="1">
        <v>45</v>
      </c>
      <c r="U163" s="1">
        <v>39</v>
      </c>
      <c r="V163" s="1">
        <v>46</v>
      </c>
      <c r="W163" s="1">
        <v>47</v>
      </c>
      <c r="X163" s="1">
        <v>11</v>
      </c>
      <c r="Y163" s="1">
        <v>27</v>
      </c>
      <c r="AA163" s="1">
        <v>35</v>
      </c>
      <c r="AB163" s="1">
        <v>31</v>
      </c>
      <c r="AC163" s="1">
        <v>40</v>
      </c>
      <c r="AD163" s="1">
        <v>16</v>
      </c>
      <c r="AE163" s="1">
        <v>21</v>
      </c>
      <c r="AF163" s="1">
        <v>12</v>
      </c>
      <c r="AG163" s="1">
        <v>14</v>
      </c>
      <c r="AH163" s="1">
        <v>27</v>
      </c>
      <c r="AI163" s="1">
        <v>29</v>
      </c>
      <c r="AR163" s="3">
        <f t="shared" si="88"/>
        <v>978</v>
      </c>
    </row>
    <row r="164" spans="1:44" x14ac:dyDescent="0.25">
      <c r="C164" s="1" t="s">
        <v>109</v>
      </c>
      <c r="L164" s="1">
        <v>33</v>
      </c>
      <c r="M164" s="1">
        <v>35</v>
      </c>
      <c r="N164" s="1">
        <v>20</v>
      </c>
      <c r="O164" s="1">
        <v>32</v>
      </c>
      <c r="Q164" s="1">
        <v>74</v>
      </c>
      <c r="R164" s="1">
        <v>80</v>
      </c>
      <c r="S164" s="1">
        <v>67</v>
      </c>
      <c r="T164" s="1">
        <v>37</v>
      </c>
      <c r="U164" s="1">
        <v>59</v>
      </c>
      <c r="V164" s="1">
        <v>41</v>
      </c>
      <c r="W164" s="1">
        <v>54</v>
      </c>
      <c r="X164" s="1">
        <v>42</v>
      </c>
      <c r="Y164" s="1">
        <v>35</v>
      </c>
      <c r="Z164" s="1">
        <v>16</v>
      </c>
      <c r="AR164" s="3">
        <f t="shared" si="88"/>
        <v>625</v>
      </c>
    </row>
    <row r="165" spans="1:44" x14ac:dyDescent="0.25">
      <c r="C165" s="1" t="s">
        <v>193</v>
      </c>
      <c r="AR165" s="3">
        <f t="shared" si="88"/>
        <v>0</v>
      </c>
    </row>
    <row r="166" spans="1:44" x14ac:dyDescent="0.25">
      <c r="C166" s="1" t="s">
        <v>6</v>
      </c>
      <c r="AR166" s="3">
        <f t="shared" si="88"/>
        <v>0</v>
      </c>
    </row>
    <row r="167" spans="1:44" x14ac:dyDescent="0.25">
      <c r="D167" s="3">
        <f t="shared" ref="D167:AR167" si="89">SUM(D160:D166)</f>
        <v>0</v>
      </c>
      <c r="E167" s="3">
        <f t="shared" si="89"/>
        <v>0</v>
      </c>
      <c r="F167" s="3">
        <f t="shared" si="89"/>
        <v>0</v>
      </c>
      <c r="G167" s="3">
        <f t="shared" si="89"/>
        <v>99</v>
      </c>
      <c r="H167" s="3">
        <f t="shared" si="89"/>
        <v>47</v>
      </c>
      <c r="I167" s="3">
        <f t="shared" si="89"/>
        <v>12</v>
      </c>
      <c r="J167" s="3">
        <f t="shared" si="89"/>
        <v>48</v>
      </c>
      <c r="K167" s="3">
        <f t="shared" si="89"/>
        <v>106</v>
      </c>
      <c r="L167" s="3">
        <f t="shared" si="89"/>
        <v>133</v>
      </c>
      <c r="M167" s="3">
        <f t="shared" si="89"/>
        <v>150</v>
      </c>
      <c r="N167" s="3">
        <f t="shared" si="89"/>
        <v>185</v>
      </c>
      <c r="O167" s="3">
        <f t="shared" si="89"/>
        <v>206</v>
      </c>
      <c r="P167" s="3">
        <f t="shared" si="89"/>
        <v>259</v>
      </c>
      <c r="Q167" s="3">
        <f t="shared" si="89"/>
        <v>256</v>
      </c>
      <c r="R167" s="3">
        <f t="shared" si="89"/>
        <v>254</v>
      </c>
      <c r="S167" s="3">
        <f t="shared" si="89"/>
        <v>243</v>
      </c>
      <c r="T167" s="3">
        <f t="shared" si="89"/>
        <v>264</v>
      </c>
      <c r="U167" s="3">
        <f t="shared" si="89"/>
        <v>285</v>
      </c>
      <c r="V167" s="3">
        <f t="shared" si="89"/>
        <v>243</v>
      </c>
      <c r="W167" s="3">
        <f t="shared" si="89"/>
        <v>265</v>
      </c>
      <c r="X167" s="3">
        <f t="shared" si="89"/>
        <v>262</v>
      </c>
      <c r="Y167" s="3">
        <f t="shared" si="89"/>
        <v>202</v>
      </c>
      <c r="Z167" s="3">
        <f t="shared" si="89"/>
        <v>162</v>
      </c>
      <c r="AA167" s="3">
        <f t="shared" si="89"/>
        <v>161</v>
      </c>
      <c r="AB167" s="3">
        <f t="shared" si="89"/>
        <v>92</v>
      </c>
      <c r="AC167" s="3">
        <f t="shared" si="89"/>
        <v>90</v>
      </c>
      <c r="AD167" s="3">
        <f t="shared" si="89"/>
        <v>74</v>
      </c>
      <c r="AE167" s="3">
        <f t="shared" si="89"/>
        <v>48</v>
      </c>
      <c r="AF167" s="3">
        <f t="shared" si="89"/>
        <v>30</v>
      </c>
      <c r="AG167" s="3">
        <f t="shared" si="89"/>
        <v>36</v>
      </c>
      <c r="AH167" s="3">
        <f t="shared" si="89"/>
        <v>62</v>
      </c>
      <c r="AI167" s="3">
        <f t="shared" si="89"/>
        <v>57</v>
      </c>
      <c r="AJ167" s="3">
        <f t="shared" si="89"/>
        <v>81</v>
      </c>
      <c r="AK167" s="3">
        <f t="shared" si="89"/>
        <v>42</v>
      </c>
      <c r="AL167" s="3">
        <f t="shared" si="89"/>
        <v>38</v>
      </c>
      <c r="AM167" s="3">
        <f t="shared" si="89"/>
        <v>19</v>
      </c>
      <c r="AN167" s="3">
        <f t="shared" si="89"/>
        <v>20</v>
      </c>
      <c r="AO167" s="3">
        <f t="shared" si="89"/>
        <v>4</v>
      </c>
      <c r="AP167" s="3">
        <f t="shared" si="89"/>
        <v>0</v>
      </c>
      <c r="AQ167" s="3">
        <f t="shared" si="89"/>
        <v>0</v>
      </c>
      <c r="AR167" s="3">
        <f t="shared" si="89"/>
        <v>4535</v>
      </c>
    </row>
    <row r="168" spans="1:44" x14ac:dyDescent="0.25">
      <c r="A168" s="2" t="s">
        <v>321</v>
      </c>
    </row>
    <row r="169" spans="1:44" x14ac:dyDescent="0.25">
      <c r="C169" s="1" t="s">
        <v>105</v>
      </c>
      <c r="R169" s="1">
        <f>231+115</f>
        <v>346</v>
      </c>
      <c r="S169" s="1">
        <v>23</v>
      </c>
      <c r="T169" s="1">
        <f>140+153+61</f>
        <v>354</v>
      </c>
      <c r="U169" s="1">
        <v>65</v>
      </c>
      <c r="V169" s="1">
        <v>2</v>
      </c>
      <c r="W169" s="1">
        <f>21+72</f>
        <v>93</v>
      </c>
      <c r="AR169" s="3">
        <f t="shared" ref="AR169:AR175" si="90">SUM(D169:AQ169)</f>
        <v>883</v>
      </c>
    </row>
    <row r="170" spans="1:44" x14ac:dyDescent="0.25">
      <c r="C170" s="1" t="s">
        <v>106</v>
      </c>
      <c r="S170" s="1">
        <v>1</v>
      </c>
      <c r="T170" s="1">
        <f>37+46+62</f>
        <v>145</v>
      </c>
      <c r="U170" s="1">
        <f>67+28</f>
        <v>95</v>
      </c>
      <c r="W170" s="1">
        <f>33+49</f>
        <v>82</v>
      </c>
      <c r="AR170" s="3">
        <f t="shared" si="90"/>
        <v>323</v>
      </c>
    </row>
    <row r="171" spans="1:44" x14ac:dyDescent="0.25">
      <c r="C171" s="1" t="s">
        <v>107</v>
      </c>
      <c r="R171" s="1">
        <f>64+1</f>
        <v>65</v>
      </c>
      <c r="S171" s="1">
        <v>1</v>
      </c>
      <c r="T171" s="1">
        <f>17+9+8</f>
        <v>34</v>
      </c>
      <c r="U171" s="1">
        <v>43</v>
      </c>
      <c r="V171" s="1">
        <v>49</v>
      </c>
      <c r="W171" s="1">
        <f>13</f>
        <v>13</v>
      </c>
      <c r="AR171" s="3">
        <f t="shared" si="90"/>
        <v>205</v>
      </c>
    </row>
    <row r="172" spans="1:44" x14ac:dyDescent="0.25">
      <c r="C172" s="1" t="s">
        <v>108</v>
      </c>
      <c r="R172" s="1">
        <f>10+18</f>
        <v>28</v>
      </c>
      <c r="T172" s="1">
        <v>16</v>
      </c>
      <c r="U172" s="1">
        <v>16</v>
      </c>
      <c r="V172" s="1">
        <v>19</v>
      </c>
      <c r="W172" s="1">
        <v>12</v>
      </c>
      <c r="AR172" s="3">
        <f t="shared" si="90"/>
        <v>91</v>
      </c>
    </row>
    <row r="173" spans="1:44" x14ac:dyDescent="0.25">
      <c r="C173" s="1" t="s">
        <v>109</v>
      </c>
      <c r="R173" s="1">
        <f>11+9</f>
        <v>20</v>
      </c>
      <c r="T173" s="1">
        <v>48</v>
      </c>
      <c r="U173" s="1">
        <f>36+10+7</f>
        <v>53</v>
      </c>
      <c r="V173" s="1">
        <v>10</v>
      </c>
      <c r="W173" s="1">
        <v>2</v>
      </c>
      <c r="AR173" s="3">
        <f t="shared" si="90"/>
        <v>133</v>
      </c>
    </row>
    <row r="174" spans="1:44" x14ac:dyDescent="0.25">
      <c r="C174" s="1" t="s">
        <v>110</v>
      </c>
      <c r="AR174" s="3">
        <f t="shared" si="90"/>
        <v>0</v>
      </c>
    </row>
    <row r="175" spans="1:44" x14ac:dyDescent="0.25">
      <c r="C175" s="1" t="s">
        <v>6</v>
      </c>
      <c r="AR175" s="3">
        <f t="shared" si="90"/>
        <v>0</v>
      </c>
    </row>
    <row r="176" spans="1:44" x14ac:dyDescent="0.25">
      <c r="D176" s="3">
        <f t="shared" ref="D176:J176" si="91">SUM(D169:D175)</f>
        <v>0</v>
      </c>
      <c r="E176" s="3">
        <f t="shared" si="91"/>
        <v>0</v>
      </c>
      <c r="F176" s="3">
        <f t="shared" si="91"/>
        <v>0</v>
      </c>
      <c r="G176" s="3">
        <f t="shared" si="91"/>
        <v>0</v>
      </c>
      <c r="H176" s="3">
        <f t="shared" si="91"/>
        <v>0</v>
      </c>
      <c r="I176" s="3">
        <f t="shared" si="91"/>
        <v>0</v>
      </c>
      <c r="J176" s="3">
        <f t="shared" si="91"/>
        <v>0</v>
      </c>
      <c r="K176" s="3">
        <f>SUM(K169:K175)</f>
        <v>0</v>
      </c>
      <c r="L176" s="3">
        <f>SUM(L169:L175)</f>
        <v>0</v>
      </c>
      <c r="M176" s="3">
        <f t="shared" ref="M176:AR176" si="92">SUM(M169:M175)</f>
        <v>0</v>
      </c>
      <c r="N176" s="3">
        <f t="shared" si="92"/>
        <v>0</v>
      </c>
      <c r="O176" s="3">
        <f t="shared" si="92"/>
        <v>0</v>
      </c>
      <c r="P176" s="3">
        <f t="shared" si="92"/>
        <v>0</v>
      </c>
      <c r="Q176" s="3">
        <f t="shared" si="92"/>
        <v>0</v>
      </c>
      <c r="R176" s="3">
        <f t="shared" si="92"/>
        <v>459</v>
      </c>
      <c r="S176" s="3">
        <f t="shared" si="92"/>
        <v>25</v>
      </c>
      <c r="T176" s="3">
        <f t="shared" si="92"/>
        <v>597</v>
      </c>
      <c r="U176" s="3">
        <f t="shared" si="92"/>
        <v>272</v>
      </c>
      <c r="V176" s="3">
        <f t="shared" si="92"/>
        <v>80</v>
      </c>
      <c r="W176" s="3">
        <f t="shared" si="92"/>
        <v>202</v>
      </c>
      <c r="X176" s="3">
        <f t="shared" si="92"/>
        <v>0</v>
      </c>
      <c r="Y176" s="3">
        <f t="shared" si="92"/>
        <v>0</v>
      </c>
      <c r="Z176" s="3">
        <f t="shared" si="92"/>
        <v>0</v>
      </c>
      <c r="AA176" s="3">
        <f t="shared" si="92"/>
        <v>0</v>
      </c>
      <c r="AB176" s="3">
        <f t="shared" si="92"/>
        <v>0</v>
      </c>
      <c r="AC176" s="3">
        <f t="shared" si="92"/>
        <v>0</v>
      </c>
      <c r="AD176" s="3">
        <f t="shared" si="92"/>
        <v>0</v>
      </c>
      <c r="AE176" s="3">
        <f t="shared" si="92"/>
        <v>0</v>
      </c>
      <c r="AF176" s="3">
        <f t="shared" si="92"/>
        <v>0</v>
      </c>
      <c r="AG176" s="3">
        <f t="shared" si="92"/>
        <v>0</v>
      </c>
      <c r="AH176" s="3">
        <f t="shared" si="92"/>
        <v>0</v>
      </c>
      <c r="AI176" s="3">
        <f t="shared" si="92"/>
        <v>0</v>
      </c>
      <c r="AJ176" s="3">
        <f t="shared" si="92"/>
        <v>0</v>
      </c>
      <c r="AK176" s="3">
        <f t="shared" si="92"/>
        <v>0</v>
      </c>
      <c r="AL176" s="3">
        <f t="shared" si="92"/>
        <v>0</v>
      </c>
      <c r="AM176" s="3">
        <f t="shared" si="92"/>
        <v>0</v>
      </c>
      <c r="AN176" s="3">
        <f t="shared" si="92"/>
        <v>0</v>
      </c>
      <c r="AO176" s="3">
        <f t="shared" si="92"/>
        <v>0</v>
      </c>
      <c r="AP176" s="3">
        <f t="shared" si="92"/>
        <v>0</v>
      </c>
      <c r="AQ176" s="3">
        <f t="shared" si="92"/>
        <v>0</v>
      </c>
      <c r="AR176" s="3">
        <f t="shared" si="92"/>
        <v>1635</v>
      </c>
    </row>
    <row r="177" spans="1:44" x14ac:dyDescent="0.25">
      <c r="A177" s="2" t="s">
        <v>232</v>
      </c>
    </row>
    <row r="178" spans="1:44" x14ac:dyDescent="0.25">
      <c r="C178" s="1" t="s">
        <v>105</v>
      </c>
      <c r="Q178" s="1">
        <v>8</v>
      </c>
      <c r="R178" s="1">
        <v>1</v>
      </c>
      <c r="S178" s="1">
        <v>252</v>
      </c>
      <c r="T178" s="1">
        <v>0</v>
      </c>
      <c r="U178" s="1">
        <v>148</v>
      </c>
      <c r="AR178" s="3">
        <f t="shared" ref="AR178:AR184" si="93">SUM(D178:AQ178)</f>
        <v>409</v>
      </c>
    </row>
    <row r="179" spans="1:44" x14ac:dyDescent="0.25">
      <c r="C179" s="1" t="s">
        <v>106</v>
      </c>
      <c r="S179" s="1">
        <v>10</v>
      </c>
      <c r="U179" s="1">
        <v>8</v>
      </c>
      <c r="AR179" s="3">
        <f t="shared" si="93"/>
        <v>18</v>
      </c>
    </row>
    <row r="180" spans="1:44" x14ac:dyDescent="0.25">
      <c r="C180" s="1" t="s">
        <v>107</v>
      </c>
      <c r="Q180" s="1">
        <v>10</v>
      </c>
      <c r="S180" s="1">
        <v>6</v>
      </c>
      <c r="U180" s="1">
        <v>2</v>
      </c>
      <c r="AR180" s="3">
        <f t="shared" si="93"/>
        <v>18</v>
      </c>
    </row>
    <row r="181" spans="1:44" x14ac:dyDescent="0.25">
      <c r="C181" s="1" t="s">
        <v>108</v>
      </c>
      <c r="Q181" s="1">
        <v>13</v>
      </c>
      <c r="S181" s="1">
        <v>2</v>
      </c>
      <c r="AR181" s="3">
        <f t="shared" si="93"/>
        <v>15</v>
      </c>
    </row>
    <row r="182" spans="1:44" x14ac:dyDescent="0.25">
      <c r="C182" s="1" t="s">
        <v>109</v>
      </c>
      <c r="Q182" s="1">
        <v>328</v>
      </c>
      <c r="S182" s="1">
        <v>2</v>
      </c>
      <c r="U182" s="1">
        <v>4</v>
      </c>
      <c r="AR182" s="3">
        <f t="shared" si="93"/>
        <v>334</v>
      </c>
    </row>
    <row r="183" spans="1:44" x14ac:dyDescent="0.25">
      <c r="C183" s="1" t="s">
        <v>110</v>
      </c>
      <c r="AR183" s="3">
        <f t="shared" si="93"/>
        <v>0</v>
      </c>
    </row>
    <row r="184" spans="1:44" x14ac:dyDescent="0.25">
      <c r="C184" s="1" t="s">
        <v>6</v>
      </c>
      <c r="AR184" s="3">
        <f t="shared" si="93"/>
        <v>0</v>
      </c>
    </row>
    <row r="185" spans="1:44" x14ac:dyDescent="0.25">
      <c r="D185" s="3">
        <f t="shared" ref="D185:J185" si="94">SUM(D178:D184)</f>
        <v>0</v>
      </c>
      <c r="E185" s="3">
        <f t="shared" si="94"/>
        <v>0</v>
      </c>
      <c r="F185" s="3">
        <f t="shared" si="94"/>
        <v>0</v>
      </c>
      <c r="G185" s="3">
        <f t="shared" si="94"/>
        <v>0</v>
      </c>
      <c r="H185" s="3">
        <f t="shared" si="94"/>
        <v>0</v>
      </c>
      <c r="I185" s="3">
        <f t="shared" si="94"/>
        <v>0</v>
      </c>
      <c r="J185" s="3">
        <f t="shared" si="94"/>
        <v>0</v>
      </c>
      <c r="K185" s="3">
        <f>SUM(K178:K184)</f>
        <v>0</v>
      </c>
      <c r="L185" s="3">
        <f>SUM(L178:L184)</f>
        <v>0</v>
      </c>
      <c r="M185" s="3">
        <f>SUM(M178:M184)</f>
        <v>0</v>
      </c>
      <c r="N185" s="3">
        <f t="shared" ref="N185:AR185" si="95">SUM(N178:N184)</f>
        <v>0</v>
      </c>
      <c r="O185" s="3">
        <f t="shared" si="95"/>
        <v>0</v>
      </c>
      <c r="P185" s="3">
        <f t="shared" si="95"/>
        <v>0</v>
      </c>
      <c r="Q185" s="3">
        <f t="shared" si="95"/>
        <v>359</v>
      </c>
      <c r="R185" s="3">
        <f t="shared" si="95"/>
        <v>1</v>
      </c>
      <c r="S185" s="3">
        <f t="shared" si="95"/>
        <v>272</v>
      </c>
      <c r="T185" s="3">
        <f t="shared" si="95"/>
        <v>0</v>
      </c>
      <c r="U185" s="3">
        <f t="shared" si="95"/>
        <v>162</v>
      </c>
      <c r="V185" s="3">
        <f t="shared" si="95"/>
        <v>0</v>
      </c>
      <c r="W185" s="3">
        <f t="shared" si="95"/>
        <v>0</v>
      </c>
      <c r="X185" s="3">
        <f t="shared" si="95"/>
        <v>0</v>
      </c>
      <c r="Y185" s="3">
        <f t="shared" si="95"/>
        <v>0</v>
      </c>
      <c r="Z185" s="3">
        <f t="shared" si="95"/>
        <v>0</v>
      </c>
      <c r="AA185" s="3">
        <f t="shared" si="95"/>
        <v>0</v>
      </c>
      <c r="AB185" s="3">
        <f t="shared" si="95"/>
        <v>0</v>
      </c>
      <c r="AC185" s="3">
        <f t="shared" si="95"/>
        <v>0</v>
      </c>
      <c r="AD185" s="3">
        <f t="shared" si="95"/>
        <v>0</v>
      </c>
      <c r="AE185" s="3">
        <f t="shared" si="95"/>
        <v>0</v>
      </c>
      <c r="AF185" s="3">
        <f t="shared" si="95"/>
        <v>0</v>
      </c>
      <c r="AG185" s="3">
        <f t="shared" si="95"/>
        <v>0</v>
      </c>
      <c r="AH185" s="3">
        <f t="shared" si="95"/>
        <v>0</v>
      </c>
      <c r="AI185" s="3">
        <f t="shared" si="95"/>
        <v>0</v>
      </c>
      <c r="AJ185" s="3">
        <f t="shared" si="95"/>
        <v>0</v>
      </c>
      <c r="AK185" s="3">
        <f t="shared" si="95"/>
        <v>0</v>
      </c>
      <c r="AL185" s="3">
        <f t="shared" si="95"/>
        <v>0</v>
      </c>
      <c r="AM185" s="3">
        <f t="shared" si="95"/>
        <v>0</v>
      </c>
      <c r="AN185" s="3">
        <f t="shared" si="95"/>
        <v>0</v>
      </c>
      <c r="AO185" s="3">
        <f t="shared" si="95"/>
        <v>0</v>
      </c>
      <c r="AP185" s="3">
        <f t="shared" si="95"/>
        <v>0</v>
      </c>
      <c r="AQ185" s="3">
        <f t="shared" si="95"/>
        <v>0</v>
      </c>
      <c r="AR185" s="3">
        <f t="shared" si="95"/>
        <v>794</v>
      </c>
    </row>
    <row r="187" spans="1:44" x14ac:dyDescent="0.25">
      <c r="A187" s="2" t="s">
        <v>324</v>
      </c>
    </row>
    <row r="190" spans="1:44" x14ac:dyDescent="0.25">
      <c r="A190" s="2" t="s">
        <v>524</v>
      </c>
    </row>
    <row r="191" spans="1:44" x14ac:dyDescent="0.25">
      <c r="C191" t="s">
        <v>288</v>
      </c>
      <c r="D191" s="1">
        <f t="shared" ref="D191:AQ191" si="96">SUM(D4:D9)/3</f>
        <v>0</v>
      </c>
      <c r="E191" s="1">
        <f t="shared" si="96"/>
        <v>0</v>
      </c>
      <c r="F191" s="1">
        <f t="shared" si="96"/>
        <v>0</v>
      </c>
      <c r="G191" s="1">
        <f t="shared" si="96"/>
        <v>0</v>
      </c>
      <c r="H191" s="1">
        <f t="shared" si="96"/>
        <v>0</v>
      </c>
      <c r="I191" s="1">
        <f t="shared" si="96"/>
        <v>0</v>
      </c>
      <c r="J191" s="1">
        <f t="shared" si="96"/>
        <v>0</v>
      </c>
      <c r="K191" s="1">
        <f t="shared" si="96"/>
        <v>0</v>
      </c>
      <c r="L191" s="1">
        <f t="shared" si="96"/>
        <v>5567.666666666667</v>
      </c>
      <c r="M191" s="1">
        <f t="shared" si="96"/>
        <v>3401.6666666666665</v>
      </c>
      <c r="N191" s="1">
        <f t="shared" si="96"/>
        <v>3655</v>
      </c>
      <c r="O191" s="1">
        <f t="shared" si="96"/>
        <v>6422</v>
      </c>
      <c r="P191" s="1">
        <f t="shared" si="96"/>
        <v>8122.666666666667</v>
      </c>
      <c r="Q191" s="1">
        <f t="shared" si="96"/>
        <v>6808</v>
      </c>
      <c r="R191" s="1">
        <f t="shared" si="96"/>
        <v>8526.3333333333339</v>
      </c>
      <c r="S191" s="1">
        <f t="shared" si="96"/>
        <v>7824.333333333333</v>
      </c>
      <c r="T191" s="1">
        <f t="shared" si="96"/>
        <v>8035.666666666667</v>
      </c>
      <c r="U191" s="1">
        <f t="shared" si="96"/>
        <v>9853.3333333333339</v>
      </c>
      <c r="V191" s="1">
        <f t="shared" si="96"/>
        <v>7619.666666666667</v>
      </c>
      <c r="W191" s="1">
        <f t="shared" si="96"/>
        <v>9600.3333333333339</v>
      </c>
      <c r="X191" s="1">
        <f t="shared" si="96"/>
        <v>9185.3333333333339</v>
      </c>
      <c r="Y191" s="1">
        <f t="shared" si="96"/>
        <v>4411.333333333333</v>
      </c>
      <c r="Z191" s="1">
        <f t="shared" si="96"/>
        <v>3341</v>
      </c>
      <c r="AA191" s="1">
        <f t="shared" si="96"/>
        <v>2355</v>
      </c>
      <c r="AB191" s="1">
        <f t="shared" si="96"/>
        <v>2152.6666666666665</v>
      </c>
      <c r="AC191" s="1">
        <f t="shared" si="96"/>
        <v>1340</v>
      </c>
      <c r="AD191" s="1">
        <f t="shared" si="96"/>
        <v>1366.3333333333333</v>
      </c>
      <c r="AE191" s="1">
        <f t="shared" si="96"/>
        <v>961.33333333333337</v>
      </c>
      <c r="AF191" s="1">
        <f t="shared" si="96"/>
        <v>587.33333333333337</v>
      </c>
      <c r="AG191" s="1">
        <f t="shared" si="96"/>
        <v>593</v>
      </c>
      <c r="AH191" s="1">
        <f t="shared" si="96"/>
        <v>2249</v>
      </c>
      <c r="AI191" s="1">
        <f t="shared" si="96"/>
        <v>751</v>
      </c>
      <c r="AJ191" s="1">
        <f t="shared" si="96"/>
        <v>774.66666666666663</v>
      </c>
      <c r="AK191" s="1">
        <f t="shared" si="96"/>
        <v>783</v>
      </c>
      <c r="AL191" s="1">
        <f t="shared" si="96"/>
        <v>587</v>
      </c>
      <c r="AM191" s="1">
        <f t="shared" si="96"/>
        <v>319.33333333333331</v>
      </c>
      <c r="AN191" s="1">
        <f t="shared" si="96"/>
        <v>159</v>
      </c>
      <c r="AO191" s="1">
        <f t="shared" si="96"/>
        <v>0</v>
      </c>
      <c r="AP191" s="1">
        <f t="shared" si="96"/>
        <v>0</v>
      </c>
      <c r="AQ191" s="1">
        <f t="shared" si="96"/>
        <v>0</v>
      </c>
      <c r="AR191" s="3">
        <f>SUM(D191:AQ191)</f>
        <v>117352.99999999999</v>
      </c>
    </row>
    <row r="192" spans="1:44" x14ac:dyDescent="0.25">
      <c r="C192" t="s">
        <v>223</v>
      </c>
      <c r="D192" s="1">
        <f>SUM(D60:D65)/2</f>
        <v>0</v>
      </c>
      <c r="E192" s="1">
        <f t="shared" ref="E192:AQ192" si="97">+E68/2</f>
        <v>0</v>
      </c>
      <c r="F192" s="1">
        <f t="shared" si="97"/>
        <v>0</v>
      </c>
      <c r="G192" s="1">
        <f t="shared" si="97"/>
        <v>0</v>
      </c>
      <c r="H192" s="1">
        <f t="shared" si="97"/>
        <v>0</v>
      </c>
      <c r="I192" s="1">
        <f t="shared" si="97"/>
        <v>0</v>
      </c>
      <c r="J192" s="1">
        <f t="shared" si="97"/>
        <v>0</v>
      </c>
      <c r="K192" s="1">
        <f t="shared" si="97"/>
        <v>0</v>
      </c>
      <c r="L192" s="1">
        <f t="shared" si="97"/>
        <v>746.5</v>
      </c>
      <c r="M192" s="1">
        <f t="shared" si="97"/>
        <v>3975.5</v>
      </c>
      <c r="N192" s="1">
        <f t="shared" si="97"/>
        <v>2583</v>
      </c>
      <c r="O192" s="1">
        <f t="shared" si="97"/>
        <v>3762</v>
      </c>
      <c r="P192" s="1">
        <f t="shared" si="97"/>
        <v>6367</v>
      </c>
      <c r="Q192" s="1">
        <f t="shared" si="97"/>
        <v>6285</v>
      </c>
      <c r="R192" s="1">
        <f t="shared" si="97"/>
        <v>6455.5</v>
      </c>
      <c r="S192" s="1">
        <f t="shared" si="97"/>
        <v>7608</v>
      </c>
      <c r="T192" s="1">
        <f t="shared" si="97"/>
        <v>6963.5</v>
      </c>
      <c r="U192" s="1">
        <f t="shared" si="97"/>
        <v>7567.5</v>
      </c>
      <c r="V192" s="1">
        <f t="shared" si="97"/>
        <v>5608</v>
      </c>
      <c r="W192" s="1">
        <f t="shared" si="97"/>
        <v>5533</v>
      </c>
      <c r="X192" s="1">
        <f t="shared" si="97"/>
        <v>5872.5</v>
      </c>
      <c r="Y192" s="1">
        <f t="shared" si="97"/>
        <v>3496.5</v>
      </c>
      <c r="Z192" s="1">
        <f t="shared" si="97"/>
        <v>1370</v>
      </c>
      <c r="AA192" s="1">
        <f t="shared" si="97"/>
        <v>793</v>
      </c>
      <c r="AB192" s="1">
        <f t="shared" si="97"/>
        <v>301.5</v>
      </c>
      <c r="AC192" s="1">
        <f t="shared" si="97"/>
        <v>29.5</v>
      </c>
      <c r="AD192" s="1">
        <f t="shared" si="97"/>
        <v>4.5</v>
      </c>
      <c r="AE192" s="1">
        <f t="shared" si="97"/>
        <v>0</v>
      </c>
      <c r="AF192" s="1">
        <f t="shared" si="97"/>
        <v>0</v>
      </c>
      <c r="AG192" s="1">
        <f t="shared" si="97"/>
        <v>0</v>
      </c>
      <c r="AH192" s="1">
        <f t="shared" si="97"/>
        <v>0</v>
      </c>
      <c r="AI192" s="1">
        <f t="shared" si="97"/>
        <v>0</v>
      </c>
      <c r="AJ192" s="1">
        <f t="shared" si="97"/>
        <v>0</v>
      </c>
      <c r="AK192" s="1">
        <f t="shared" si="97"/>
        <v>0</v>
      </c>
      <c r="AL192" s="1">
        <f t="shared" si="97"/>
        <v>0</v>
      </c>
      <c r="AM192" s="1">
        <f t="shared" si="97"/>
        <v>0</v>
      </c>
      <c r="AN192" s="1">
        <f t="shared" si="97"/>
        <v>0</v>
      </c>
      <c r="AO192" s="1">
        <f t="shared" si="97"/>
        <v>0</v>
      </c>
      <c r="AP192" s="1">
        <f t="shared" si="97"/>
        <v>0</v>
      </c>
      <c r="AQ192" s="1">
        <f t="shared" si="97"/>
        <v>0</v>
      </c>
      <c r="AR192" s="3">
        <f t="shared" ref="AR192:AR197" si="98">SUM(D192:AQ192)</f>
        <v>75322</v>
      </c>
    </row>
    <row r="193" spans="1:46" x14ac:dyDescent="0.25">
      <c r="C193" t="s">
        <v>289</v>
      </c>
      <c r="D193" s="1">
        <f t="shared" ref="D193:AQ193" si="99">SUM(D71:D76)/2</f>
        <v>0</v>
      </c>
      <c r="E193" s="1">
        <f t="shared" si="99"/>
        <v>0</v>
      </c>
      <c r="F193" s="1">
        <f t="shared" si="99"/>
        <v>0</v>
      </c>
      <c r="G193" s="1">
        <f t="shared" si="99"/>
        <v>0</v>
      </c>
      <c r="H193" s="1">
        <f t="shared" si="99"/>
        <v>0</v>
      </c>
      <c r="I193" s="1">
        <f t="shared" si="99"/>
        <v>0</v>
      </c>
      <c r="J193" s="1">
        <f t="shared" si="99"/>
        <v>0</v>
      </c>
      <c r="K193" s="1">
        <f t="shared" si="99"/>
        <v>0</v>
      </c>
      <c r="L193" s="1">
        <f t="shared" si="99"/>
        <v>0</v>
      </c>
      <c r="M193" s="1">
        <f t="shared" si="99"/>
        <v>464</v>
      </c>
      <c r="N193" s="1">
        <f t="shared" si="99"/>
        <v>278</v>
      </c>
      <c r="O193" s="1">
        <f t="shared" si="99"/>
        <v>413.5</v>
      </c>
      <c r="P193" s="1">
        <f t="shared" si="99"/>
        <v>205</v>
      </c>
      <c r="Q193" s="1">
        <f t="shared" si="99"/>
        <v>143</v>
      </c>
      <c r="R193" s="1">
        <f t="shared" si="99"/>
        <v>508.5</v>
      </c>
      <c r="S193" s="1">
        <f t="shared" si="99"/>
        <v>301.5</v>
      </c>
      <c r="T193" s="1">
        <f t="shared" si="99"/>
        <v>231</v>
      </c>
      <c r="U193" s="1">
        <f t="shared" si="99"/>
        <v>141.5</v>
      </c>
      <c r="V193" s="1">
        <f t="shared" si="99"/>
        <v>210.5</v>
      </c>
      <c r="W193" s="1">
        <f t="shared" si="99"/>
        <v>79</v>
      </c>
      <c r="X193" s="1">
        <f t="shared" si="99"/>
        <v>0</v>
      </c>
      <c r="Y193" s="1">
        <f t="shared" si="99"/>
        <v>0</v>
      </c>
      <c r="Z193" s="1">
        <f t="shared" si="99"/>
        <v>0</v>
      </c>
      <c r="AA193" s="1">
        <f t="shared" si="99"/>
        <v>0</v>
      </c>
      <c r="AB193" s="1">
        <f t="shared" si="99"/>
        <v>0</v>
      </c>
      <c r="AC193" s="1">
        <f t="shared" si="99"/>
        <v>0</v>
      </c>
      <c r="AD193" s="1">
        <f t="shared" si="99"/>
        <v>0</v>
      </c>
      <c r="AE193" s="1">
        <f t="shared" si="99"/>
        <v>0</v>
      </c>
      <c r="AF193" s="1">
        <f t="shared" si="99"/>
        <v>0</v>
      </c>
      <c r="AG193" s="1">
        <f t="shared" si="99"/>
        <v>0</v>
      </c>
      <c r="AH193" s="1">
        <f t="shared" si="99"/>
        <v>0</v>
      </c>
      <c r="AI193" s="1">
        <f t="shared" si="99"/>
        <v>0</v>
      </c>
      <c r="AJ193" s="1">
        <f t="shared" si="99"/>
        <v>0</v>
      </c>
      <c r="AK193" s="1">
        <f t="shared" si="99"/>
        <v>0</v>
      </c>
      <c r="AL193" s="1">
        <f t="shared" si="99"/>
        <v>0</v>
      </c>
      <c r="AM193" s="1">
        <f t="shared" si="99"/>
        <v>0</v>
      </c>
      <c r="AN193" s="1">
        <f t="shared" si="99"/>
        <v>0</v>
      </c>
      <c r="AO193" s="1">
        <f t="shared" si="99"/>
        <v>0</v>
      </c>
      <c r="AP193" s="1">
        <f t="shared" si="99"/>
        <v>0</v>
      </c>
      <c r="AQ193" s="1">
        <f t="shared" si="99"/>
        <v>0</v>
      </c>
      <c r="AR193" s="3">
        <f t="shared" si="98"/>
        <v>2975.5</v>
      </c>
    </row>
    <row r="194" spans="1:46" x14ac:dyDescent="0.25">
      <c r="C194" t="s">
        <v>226</v>
      </c>
      <c r="D194" s="1">
        <f t="shared" ref="D194:AQ194" si="100">+(SUM(D82:D87)+SUM(D93:D98))/2</f>
        <v>0</v>
      </c>
      <c r="E194" s="1">
        <f t="shared" si="100"/>
        <v>0</v>
      </c>
      <c r="F194" s="1">
        <f t="shared" si="100"/>
        <v>0</v>
      </c>
      <c r="G194" s="1">
        <f t="shared" si="100"/>
        <v>2795</v>
      </c>
      <c r="H194" s="1">
        <f t="shared" si="100"/>
        <v>1121</v>
      </c>
      <c r="I194" s="1">
        <f t="shared" si="100"/>
        <v>213</v>
      </c>
      <c r="J194" s="1">
        <f t="shared" si="100"/>
        <v>774</v>
      </c>
      <c r="K194" s="1">
        <f t="shared" si="100"/>
        <v>1818.5</v>
      </c>
      <c r="L194" s="1">
        <f t="shared" si="100"/>
        <v>1719.5</v>
      </c>
      <c r="M194" s="1">
        <f t="shared" si="100"/>
        <v>1628</v>
      </c>
      <c r="N194" s="1">
        <f t="shared" si="100"/>
        <v>1950</v>
      </c>
      <c r="O194" s="1">
        <f t="shared" si="100"/>
        <v>1451</v>
      </c>
      <c r="P194" s="1">
        <f t="shared" si="100"/>
        <v>2171.5</v>
      </c>
      <c r="Q194" s="1">
        <f t="shared" si="100"/>
        <v>2316.5</v>
      </c>
      <c r="R194" s="1">
        <f t="shared" si="100"/>
        <v>2429</v>
      </c>
      <c r="S194" s="1">
        <f t="shared" si="100"/>
        <v>2719</v>
      </c>
      <c r="T194" s="1">
        <f t="shared" si="100"/>
        <v>2784</v>
      </c>
      <c r="U194" s="1">
        <f t="shared" si="100"/>
        <v>3280</v>
      </c>
      <c r="V194" s="1">
        <f t="shared" si="100"/>
        <v>2483.5</v>
      </c>
      <c r="W194" s="1">
        <f t="shared" si="100"/>
        <v>2458</v>
      </c>
      <c r="X194" s="1">
        <f t="shared" si="100"/>
        <v>2842</v>
      </c>
      <c r="Y194" s="1">
        <f t="shared" si="100"/>
        <v>2368.5</v>
      </c>
      <c r="Z194" s="1">
        <f t="shared" si="100"/>
        <v>1416</v>
      </c>
      <c r="AA194" s="1">
        <f t="shared" si="100"/>
        <v>1551.5</v>
      </c>
      <c r="AB194" s="1">
        <f t="shared" si="100"/>
        <v>1230.5</v>
      </c>
      <c r="AC194" s="1">
        <f t="shared" si="100"/>
        <v>884.5</v>
      </c>
      <c r="AD194" s="1">
        <f t="shared" si="100"/>
        <v>987</v>
      </c>
      <c r="AE194" s="1">
        <f t="shared" si="100"/>
        <v>488.5</v>
      </c>
      <c r="AF194" s="1">
        <f t="shared" si="100"/>
        <v>401.5</v>
      </c>
      <c r="AG194" s="1">
        <f t="shared" si="100"/>
        <v>455.5</v>
      </c>
      <c r="AH194" s="1">
        <f t="shared" si="100"/>
        <v>540</v>
      </c>
      <c r="AI194" s="1">
        <f t="shared" si="100"/>
        <v>569</v>
      </c>
      <c r="AJ194" s="1">
        <f t="shared" si="100"/>
        <v>1095.5</v>
      </c>
      <c r="AK194" s="1">
        <f t="shared" si="100"/>
        <v>477.5</v>
      </c>
      <c r="AL194" s="1">
        <f t="shared" si="100"/>
        <v>374</v>
      </c>
      <c r="AM194" s="1">
        <f t="shared" si="100"/>
        <v>230</v>
      </c>
      <c r="AN194" s="1">
        <f t="shared" si="100"/>
        <v>217</v>
      </c>
      <c r="AO194" s="1">
        <f t="shared" si="100"/>
        <v>63</v>
      </c>
      <c r="AP194" s="1">
        <f t="shared" si="100"/>
        <v>0</v>
      </c>
      <c r="AQ194" s="1">
        <f t="shared" si="100"/>
        <v>0</v>
      </c>
      <c r="AR194" s="3">
        <f t="shared" si="98"/>
        <v>50303</v>
      </c>
    </row>
    <row r="195" spans="1:46" x14ac:dyDescent="0.25">
      <c r="C195" t="s">
        <v>224</v>
      </c>
      <c r="D195" s="1">
        <f t="shared" ref="D195:AQ195" si="101">SUM(D105:D110)/2</f>
        <v>0</v>
      </c>
      <c r="E195" s="1">
        <f t="shared" si="101"/>
        <v>0</v>
      </c>
      <c r="F195" s="1">
        <f t="shared" si="101"/>
        <v>0</v>
      </c>
      <c r="G195" s="1">
        <f t="shared" si="101"/>
        <v>0</v>
      </c>
      <c r="H195" s="1">
        <f t="shared" si="101"/>
        <v>0</v>
      </c>
      <c r="I195" s="1">
        <f t="shared" si="101"/>
        <v>0</v>
      </c>
      <c r="J195" s="1">
        <f t="shared" si="101"/>
        <v>0</v>
      </c>
      <c r="K195" s="1">
        <f t="shared" si="101"/>
        <v>0</v>
      </c>
      <c r="L195" s="1">
        <f t="shared" si="101"/>
        <v>0</v>
      </c>
      <c r="M195" s="1">
        <f t="shared" si="101"/>
        <v>0</v>
      </c>
      <c r="N195" s="1">
        <f t="shared" si="101"/>
        <v>0</v>
      </c>
      <c r="O195" s="1">
        <f t="shared" si="101"/>
        <v>0</v>
      </c>
      <c r="P195" s="1">
        <f t="shared" si="101"/>
        <v>0</v>
      </c>
      <c r="Q195" s="1">
        <f t="shared" si="101"/>
        <v>0</v>
      </c>
      <c r="R195" s="1">
        <f t="shared" si="101"/>
        <v>3956.5</v>
      </c>
      <c r="S195" s="1">
        <f t="shared" si="101"/>
        <v>110</v>
      </c>
      <c r="T195" s="1">
        <f t="shared" si="101"/>
        <v>4017.5</v>
      </c>
      <c r="U195" s="1">
        <f t="shared" si="101"/>
        <v>1769.5</v>
      </c>
      <c r="V195" s="1">
        <f t="shared" si="101"/>
        <v>398</v>
      </c>
      <c r="W195" s="1">
        <f t="shared" si="101"/>
        <v>267</v>
      </c>
      <c r="X195" s="1">
        <f t="shared" si="101"/>
        <v>0</v>
      </c>
      <c r="Y195" s="1">
        <f t="shared" si="101"/>
        <v>0</v>
      </c>
      <c r="Z195" s="1">
        <f t="shared" si="101"/>
        <v>0</v>
      </c>
      <c r="AA195" s="1">
        <f t="shared" si="101"/>
        <v>0</v>
      </c>
      <c r="AB195" s="1">
        <f t="shared" si="101"/>
        <v>0</v>
      </c>
      <c r="AC195" s="1">
        <f t="shared" si="101"/>
        <v>0</v>
      </c>
      <c r="AD195" s="1">
        <f t="shared" si="101"/>
        <v>0</v>
      </c>
      <c r="AE195" s="1">
        <f t="shared" si="101"/>
        <v>0</v>
      </c>
      <c r="AF195" s="1">
        <f t="shared" si="101"/>
        <v>0</v>
      </c>
      <c r="AG195" s="1">
        <f t="shared" si="101"/>
        <v>0</v>
      </c>
      <c r="AH195" s="1">
        <f t="shared" si="101"/>
        <v>0</v>
      </c>
      <c r="AI195" s="1">
        <f t="shared" si="101"/>
        <v>0</v>
      </c>
      <c r="AJ195" s="1">
        <f t="shared" si="101"/>
        <v>0</v>
      </c>
      <c r="AK195" s="1">
        <f t="shared" si="101"/>
        <v>0</v>
      </c>
      <c r="AL195" s="1">
        <f t="shared" si="101"/>
        <v>0</v>
      </c>
      <c r="AM195" s="1">
        <f t="shared" si="101"/>
        <v>0</v>
      </c>
      <c r="AN195" s="1">
        <f t="shared" si="101"/>
        <v>0</v>
      </c>
      <c r="AO195" s="1">
        <f t="shared" si="101"/>
        <v>0</v>
      </c>
      <c r="AP195" s="1">
        <f t="shared" si="101"/>
        <v>0</v>
      </c>
      <c r="AQ195" s="1">
        <f t="shared" si="101"/>
        <v>0</v>
      </c>
      <c r="AR195" s="3">
        <f t="shared" si="98"/>
        <v>10518.5</v>
      </c>
    </row>
    <row r="196" spans="1:46" x14ac:dyDescent="0.25">
      <c r="C196" t="s">
        <v>225</v>
      </c>
      <c r="D196" s="1">
        <f t="shared" ref="D196:AQ196" si="102">SUM(D116:D121)/2</f>
        <v>0</v>
      </c>
      <c r="E196" s="1">
        <f t="shared" si="102"/>
        <v>0</v>
      </c>
      <c r="F196" s="1">
        <f t="shared" si="102"/>
        <v>0</v>
      </c>
      <c r="G196" s="1">
        <f t="shared" si="102"/>
        <v>0</v>
      </c>
      <c r="H196" s="1">
        <f t="shared" si="102"/>
        <v>0</v>
      </c>
      <c r="I196" s="1">
        <f t="shared" si="102"/>
        <v>0</v>
      </c>
      <c r="J196" s="1">
        <f t="shared" si="102"/>
        <v>0</v>
      </c>
      <c r="K196" s="1">
        <f t="shared" si="102"/>
        <v>0</v>
      </c>
      <c r="L196" s="1">
        <f t="shared" si="102"/>
        <v>0</v>
      </c>
      <c r="M196" s="1">
        <f t="shared" si="102"/>
        <v>0</v>
      </c>
      <c r="N196" s="1">
        <f t="shared" si="102"/>
        <v>0</v>
      </c>
      <c r="O196" s="1">
        <f t="shared" si="102"/>
        <v>0</v>
      </c>
      <c r="P196" s="1">
        <f t="shared" si="102"/>
        <v>0</v>
      </c>
      <c r="Q196" s="1">
        <f t="shared" si="102"/>
        <v>4558</v>
      </c>
      <c r="R196" s="1">
        <f t="shared" si="102"/>
        <v>3.5</v>
      </c>
      <c r="S196" s="1">
        <f t="shared" si="102"/>
        <v>2685</v>
      </c>
      <c r="T196" s="1">
        <f t="shared" si="102"/>
        <v>0</v>
      </c>
      <c r="U196" s="1">
        <f t="shared" si="102"/>
        <v>1354.5</v>
      </c>
      <c r="V196" s="1">
        <f t="shared" si="102"/>
        <v>0</v>
      </c>
      <c r="W196" s="1">
        <f t="shared" si="102"/>
        <v>0</v>
      </c>
      <c r="X196" s="1">
        <f t="shared" si="102"/>
        <v>0</v>
      </c>
      <c r="Y196" s="1">
        <f t="shared" si="102"/>
        <v>0</v>
      </c>
      <c r="Z196" s="1">
        <f t="shared" si="102"/>
        <v>0</v>
      </c>
      <c r="AA196" s="1">
        <f t="shared" si="102"/>
        <v>0</v>
      </c>
      <c r="AB196" s="1">
        <f t="shared" si="102"/>
        <v>0</v>
      </c>
      <c r="AC196" s="1">
        <f t="shared" si="102"/>
        <v>0</v>
      </c>
      <c r="AD196" s="1">
        <f t="shared" si="102"/>
        <v>0</v>
      </c>
      <c r="AE196" s="1">
        <f t="shared" si="102"/>
        <v>0</v>
      </c>
      <c r="AF196" s="1">
        <f t="shared" si="102"/>
        <v>0</v>
      </c>
      <c r="AG196" s="1">
        <f t="shared" si="102"/>
        <v>0</v>
      </c>
      <c r="AH196" s="1">
        <f t="shared" si="102"/>
        <v>0</v>
      </c>
      <c r="AI196" s="1">
        <f t="shared" si="102"/>
        <v>0</v>
      </c>
      <c r="AJ196" s="1">
        <f t="shared" si="102"/>
        <v>0</v>
      </c>
      <c r="AK196" s="1">
        <f t="shared" si="102"/>
        <v>0</v>
      </c>
      <c r="AL196" s="1">
        <f t="shared" si="102"/>
        <v>0</v>
      </c>
      <c r="AM196" s="1">
        <f t="shared" si="102"/>
        <v>0</v>
      </c>
      <c r="AN196" s="1">
        <f t="shared" si="102"/>
        <v>0</v>
      </c>
      <c r="AO196" s="1">
        <f t="shared" si="102"/>
        <v>0</v>
      </c>
      <c r="AP196" s="1">
        <f t="shared" si="102"/>
        <v>0</v>
      </c>
      <c r="AQ196" s="1">
        <f t="shared" si="102"/>
        <v>0</v>
      </c>
      <c r="AR196" s="3">
        <f t="shared" si="98"/>
        <v>8601</v>
      </c>
    </row>
    <row r="197" spans="1:46" x14ac:dyDescent="0.25">
      <c r="C197" t="s">
        <v>194</v>
      </c>
      <c r="D197" s="1">
        <f t="shared" ref="D197:AQ197" si="103">SUM(D127:D132)/2</f>
        <v>0</v>
      </c>
      <c r="E197" s="1">
        <f t="shared" si="103"/>
        <v>0</v>
      </c>
      <c r="F197" s="1">
        <f t="shared" si="103"/>
        <v>0</v>
      </c>
      <c r="G197" s="1">
        <f t="shared" si="103"/>
        <v>0</v>
      </c>
      <c r="H197" s="1">
        <f t="shared" si="103"/>
        <v>0</v>
      </c>
      <c r="I197" s="1">
        <f t="shared" si="103"/>
        <v>0</v>
      </c>
      <c r="J197" s="1">
        <f t="shared" si="103"/>
        <v>0</v>
      </c>
      <c r="K197" s="1">
        <f t="shared" si="103"/>
        <v>0</v>
      </c>
      <c r="L197" s="1">
        <f t="shared" si="103"/>
        <v>0</v>
      </c>
      <c r="M197" s="1">
        <f t="shared" si="103"/>
        <v>0</v>
      </c>
      <c r="N197" s="1">
        <f t="shared" si="103"/>
        <v>0</v>
      </c>
      <c r="O197" s="1">
        <f t="shared" si="103"/>
        <v>0</v>
      </c>
      <c r="P197" s="1">
        <f t="shared" si="103"/>
        <v>0</v>
      </c>
      <c r="Q197" s="1">
        <f t="shared" si="103"/>
        <v>0</v>
      </c>
      <c r="R197" s="1">
        <f t="shared" si="103"/>
        <v>0</v>
      </c>
      <c r="S197" s="1">
        <f t="shared" si="103"/>
        <v>0</v>
      </c>
      <c r="T197" s="1">
        <f t="shared" si="103"/>
        <v>0</v>
      </c>
      <c r="U197" s="1">
        <f t="shared" si="103"/>
        <v>0</v>
      </c>
      <c r="V197" s="1">
        <f t="shared" si="103"/>
        <v>0</v>
      </c>
      <c r="W197" s="1">
        <f t="shared" si="103"/>
        <v>1891.5</v>
      </c>
      <c r="X197" s="1">
        <f t="shared" si="103"/>
        <v>0</v>
      </c>
      <c r="Y197" s="1">
        <f t="shared" si="103"/>
        <v>1406</v>
      </c>
      <c r="Z197" s="1">
        <f t="shared" si="103"/>
        <v>0</v>
      </c>
      <c r="AA197" s="1">
        <f t="shared" si="103"/>
        <v>0</v>
      </c>
      <c r="AB197" s="1">
        <f t="shared" si="103"/>
        <v>0</v>
      </c>
      <c r="AC197" s="1">
        <f t="shared" si="103"/>
        <v>0</v>
      </c>
      <c r="AD197" s="1">
        <f t="shared" si="103"/>
        <v>0</v>
      </c>
      <c r="AE197" s="1">
        <f t="shared" si="103"/>
        <v>0</v>
      </c>
      <c r="AF197" s="1">
        <f t="shared" si="103"/>
        <v>0</v>
      </c>
      <c r="AG197" s="1">
        <f t="shared" si="103"/>
        <v>0</v>
      </c>
      <c r="AH197" s="1">
        <f t="shared" si="103"/>
        <v>0</v>
      </c>
      <c r="AI197" s="1">
        <f t="shared" si="103"/>
        <v>0</v>
      </c>
      <c r="AJ197" s="1">
        <f t="shared" si="103"/>
        <v>0</v>
      </c>
      <c r="AK197" s="1">
        <f t="shared" si="103"/>
        <v>0</v>
      </c>
      <c r="AL197" s="1">
        <f t="shared" si="103"/>
        <v>0</v>
      </c>
      <c r="AM197" s="1">
        <f t="shared" si="103"/>
        <v>0</v>
      </c>
      <c r="AN197" s="1">
        <f t="shared" si="103"/>
        <v>0</v>
      </c>
      <c r="AO197" s="1">
        <f t="shared" si="103"/>
        <v>0</v>
      </c>
      <c r="AP197" s="1">
        <f t="shared" si="103"/>
        <v>0</v>
      </c>
      <c r="AQ197" s="1">
        <f t="shared" si="103"/>
        <v>0</v>
      </c>
      <c r="AR197" s="3">
        <f t="shared" si="98"/>
        <v>3297.5</v>
      </c>
    </row>
    <row r="199" spans="1:46" x14ac:dyDescent="0.25">
      <c r="A199" s="2" t="s">
        <v>290</v>
      </c>
      <c r="D199" s="1">
        <f t="shared" ref="D199:J199" si="104">SUM(D191:D196)</f>
        <v>0</v>
      </c>
      <c r="E199" s="1">
        <f t="shared" si="104"/>
        <v>0</v>
      </c>
      <c r="F199" s="1">
        <f t="shared" si="104"/>
        <v>0</v>
      </c>
      <c r="G199" s="1">
        <f t="shared" si="104"/>
        <v>2795</v>
      </c>
      <c r="H199" s="1">
        <f t="shared" si="104"/>
        <v>1121</v>
      </c>
      <c r="I199" s="1">
        <f t="shared" si="104"/>
        <v>213</v>
      </c>
      <c r="J199" s="1">
        <f t="shared" si="104"/>
        <v>774</v>
      </c>
      <c r="K199" s="1">
        <f>SUM(K191:K196)</f>
        <v>1818.5</v>
      </c>
      <c r="L199" s="1">
        <f>SUM(L191:L198)</f>
        <v>8033.666666666667</v>
      </c>
      <c r="M199" s="1">
        <f t="shared" ref="M199:AR199" si="105">SUM(M191:M198)</f>
        <v>9469.1666666666661</v>
      </c>
      <c r="N199" s="1">
        <f t="shared" si="105"/>
        <v>8466</v>
      </c>
      <c r="O199" s="1">
        <f t="shared" si="105"/>
        <v>12048.5</v>
      </c>
      <c r="P199" s="1">
        <f t="shared" si="105"/>
        <v>16866.166666666668</v>
      </c>
      <c r="Q199" s="1">
        <f t="shared" si="105"/>
        <v>20110.5</v>
      </c>
      <c r="R199" s="1">
        <f t="shared" si="105"/>
        <v>21879.333333333336</v>
      </c>
      <c r="S199" s="1">
        <f t="shared" si="105"/>
        <v>21247.833333333332</v>
      </c>
      <c r="T199" s="1">
        <f t="shared" si="105"/>
        <v>22031.666666666668</v>
      </c>
      <c r="U199" s="1">
        <f t="shared" si="105"/>
        <v>23966.333333333336</v>
      </c>
      <c r="V199" s="1">
        <f t="shared" si="105"/>
        <v>16319.666666666668</v>
      </c>
      <c r="W199" s="1">
        <f t="shared" si="105"/>
        <v>19828.833333333336</v>
      </c>
      <c r="X199" s="1">
        <f t="shared" si="105"/>
        <v>17899.833333333336</v>
      </c>
      <c r="Y199" s="1">
        <f t="shared" ref="Y199" si="106">SUM(Y191:Y198)</f>
        <v>11682.333333333332</v>
      </c>
      <c r="Z199" s="1">
        <f t="shared" si="105"/>
        <v>6127</v>
      </c>
      <c r="AA199" s="1">
        <f t="shared" si="105"/>
        <v>4699.5</v>
      </c>
      <c r="AB199" s="1">
        <f t="shared" si="105"/>
        <v>3684.6666666666665</v>
      </c>
      <c r="AC199" s="1">
        <f t="shared" si="105"/>
        <v>2254</v>
      </c>
      <c r="AD199" s="1">
        <f t="shared" si="105"/>
        <v>2357.833333333333</v>
      </c>
      <c r="AE199" s="1">
        <f t="shared" si="105"/>
        <v>1449.8333333333335</v>
      </c>
      <c r="AF199" s="1">
        <f t="shared" si="105"/>
        <v>988.83333333333337</v>
      </c>
      <c r="AG199" s="1">
        <f t="shared" si="105"/>
        <v>1048.5</v>
      </c>
      <c r="AH199" s="1">
        <f t="shared" si="105"/>
        <v>2789</v>
      </c>
      <c r="AI199" s="1">
        <f t="shared" si="105"/>
        <v>1320</v>
      </c>
      <c r="AJ199" s="1">
        <f t="shared" si="105"/>
        <v>1870.1666666666665</v>
      </c>
      <c r="AK199" s="1">
        <f t="shared" si="105"/>
        <v>1260.5</v>
      </c>
      <c r="AL199" s="1">
        <f t="shared" si="105"/>
        <v>961</v>
      </c>
      <c r="AM199" s="1">
        <f t="shared" si="105"/>
        <v>549.33333333333326</v>
      </c>
      <c r="AN199" s="1">
        <f t="shared" si="105"/>
        <v>376</v>
      </c>
      <c r="AO199" s="1">
        <f t="shared" si="105"/>
        <v>63</v>
      </c>
      <c r="AP199" s="1">
        <f t="shared" si="105"/>
        <v>0</v>
      </c>
      <c r="AQ199" s="1">
        <f t="shared" si="105"/>
        <v>0</v>
      </c>
      <c r="AR199" s="1">
        <f t="shared" si="105"/>
        <v>268370.5</v>
      </c>
    </row>
    <row r="200" spans="1:46" x14ac:dyDescent="0.25">
      <c r="A200" s="2" t="s">
        <v>525</v>
      </c>
      <c r="D200" s="1">
        <f>SUM(Transport!E4:E6)</f>
        <v>0</v>
      </c>
      <c r="E200" s="1">
        <f>SUM(Transport!F4:F6)</f>
        <v>0</v>
      </c>
      <c r="F200" s="1">
        <f>SUM(Transport!G4:G6)</f>
        <v>0</v>
      </c>
      <c r="G200" s="1">
        <f>SUM(Transport!H4:H6)</f>
        <v>2795</v>
      </c>
      <c r="H200" s="1">
        <f>SUM(Transport!I4:I6)</f>
        <v>1121</v>
      </c>
      <c r="I200" s="1">
        <f>SUM(Transport!J4:J6)</f>
        <v>213</v>
      </c>
      <c r="J200" s="1">
        <f>SUM(Transport!K4:K6)</f>
        <v>774</v>
      </c>
      <c r="K200" s="1">
        <f>SUM(Transport!L4:L6)</f>
        <v>1818.5</v>
      </c>
      <c r="L200" s="1">
        <f>SUM(Transport!M4:M6)</f>
        <v>8033.666666666667</v>
      </c>
      <c r="M200" s="1">
        <f>SUM(Transport!N4:N6)</f>
        <v>9459.1666666666661</v>
      </c>
      <c r="N200" s="1">
        <f>SUM(Transport!O4:O6)</f>
        <v>8466</v>
      </c>
      <c r="O200" s="1">
        <f>SUM(Transport!P4:P6)</f>
        <v>12048.5</v>
      </c>
      <c r="P200" s="1">
        <f>SUM(Transport!Q4:Q6)</f>
        <v>16693</v>
      </c>
      <c r="Q200" s="1">
        <f>SUM(Transport!R4:R6)</f>
        <v>20099</v>
      </c>
      <c r="R200" s="1">
        <f>SUM(Transport!S4:S6)</f>
        <v>21871.333333333336</v>
      </c>
      <c r="S200" s="1">
        <f>SUM(Transport!T4:T6)</f>
        <v>21247.833333333332</v>
      </c>
      <c r="T200" s="1">
        <f>SUM(Transport!U4:U6)</f>
        <v>22031.666666666668</v>
      </c>
      <c r="U200" s="1">
        <f>SUM(Transport!V4:V6)</f>
        <v>23911.833333333336</v>
      </c>
      <c r="V200" s="1">
        <f>SUM(Transport!W4:W6)</f>
        <v>16310.666666666668</v>
      </c>
      <c r="W200" s="1">
        <f>SUM(Transport!X4:X6)</f>
        <v>19825.833333333336</v>
      </c>
      <c r="X200" s="1">
        <f>SUM(Transport!Y4:Y6)</f>
        <v>17899.833333333336</v>
      </c>
      <c r="Y200" s="1">
        <f>SUM(Transport!Z4:Z6)</f>
        <v>11357.333333333332</v>
      </c>
      <c r="Z200" s="1">
        <f>SUM(Transport!AA4:AA6)</f>
        <v>6127</v>
      </c>
      <c r="AA200" s="1">
        <f>SUM(Transport!AB4:AB6)</f>
        <v>4699.5</v>
      </c>
      <c r="AB200" s="1">
        <f>SUM(Transport!AC4:AC6)</f>
        <v>3684.6666666666665</v>
      </c>
      <c r="AR200" s="1"/>
    </row>
    <row r="201" spans="1:46" s="2" customFormat="1" x14ac:dyDescent="0.25">
      <c r="A201" s="2" t="s">
        <v>526</v>
      </c>
      <c r="D201" s="3">
        <f>+D200-D199</f>
        <v>0</v>
      </c>
      <c r="E201" s="3">
        <f t="shared" ref="E201:P201" si="107">+E200-E199</f>
        <v>0</v>
      </c>
      <c r="F201" s="3">
        <f t="shared" si="107"/>
        <v>0</v>
      </c>
      <c r="G201" s="3">
        <f t="shared" si="107"/>
        <v>0</v>
      </c>
      <c r="H201" s="3">
        <f t="shared" si="107"/>
        <v>0</v>
      </c>
      <c r="I201" s="3">
        <f t="shared" si="107"/>
        <v>0</v>
      </c>
      <c r="J201" s="3">
        <f t="shared" si="107"/>
        <v>0</v>
      </c>
      <c r="K201" s="3">
        <f t="shared" si="107"/>
        <v>0</v>
      </c>
      <c r="L201" s="3">
        <f t="shared" si="107"/>
        <v>0</v>
      </c>
      <c r="M201" s="3">
        <f t="shared" si="107"/>
        <v>-10</v>
      </c>
      <c r="N201" s="3">
        <f t="shared" si="107"/>
        <v>0</v>
      </c>
      <c r="O201" s="3">
        <f t="shared" si="107"/>
        <v>0</v>
      </c>
      <c r="P201" s="3">
        <f t="shared" si="107"/>
        <v>-173.16666666666788</v>
      </c>
      <c r="Q201" s="3">
        <f t="shared" ref="Q201:R201" si="108">+Q200-Q199</f>
        <v>-11.5</v>
      </c>
      <c r="R201" s="3">
        <f t="shared" si="108"/>
        <v>-8</v>
      </c>
      <c r="S201" s="3">
        <f t="shared" ref="S201:T201" si="109">+S200-S199</f>
        <v>0</v>
      </c>
      <c r="T201" s="3">
        <f t="shared" si="109"/>
        <v>0</v>
      </c>
      <c r="U201" s="3">
        <f t="shared" ref="U201:V201" si="110">+U200-U199</f>
        <v>-54.5</v>
      </c>
      <c r="V201" s="3">
        <f t="shared" si="110"/>
        <v>-9</v>
      </c>
      <c r="W201" s="3">
        <f t="shared" ref="W201:X201" si="111">+W200-W199</f>
        <v>-3</v>
      </c>
      <c r="X201" s="3">
        <f t="shared" si="111"/>
        <v>0</v>
      </c>
      <c r="Y201" s="3">
        <f t="shared" ref="Y201:Z201" si="112">+Y200-Y199</f>
        <v>-325</v>
      </c>
      <c r="Z201" s="3">
        <f t="shared" si="112"/>
        <v>0</v>
      </c>
      <c r="AA201" s="3">
        <f t="shared" ref="AA201:AB201" si="113">+AA200-AA199</f>
        <v>0</v>
      </c>
      <c r="AB201" s="3">
        <f t="shared" si="113"/>
        <v>0</v>
      </c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9"/>
    </row>
    <row r="202" spans="1:46" s="2" customFormat="1" x14ac:dyDescent="0.25">
      <c r="A202" s="2" t="s">
        <v>527</v>
      </c>
      <c r="D202" s="3">
        <f>SUM(Trolley!C55:C57)</f>
        <v>0</v>
      </c>
      <c r="E202" s="3">
        <f>SUM(Trolley!D55:D57)</f>
        <v>0</v>
      </c>
      <c r="F202" s="3">
        <f>SUM(Trolley!E55:E57)</f>
        <v>0</v>
      </c>
      <c r="G202" s="3">
        <f>SUM(Trolley!F55:F57)</f>
        <v>88.5</v>
      </c>
      <c r="H202" s="3">
        <f>SUM(Trolley!G55:G57)</f>
        <v>0</v>
      </c>
      <c r="I202" s="3">
        <f>SUM(Trolley!H55:H57)</f>
        <v>0</v>
      </c>
      <c r="J202" s="3">
        <f>SUM(Trolley!I55:I57)</f>
        <v>8</v>
      </c>
      <c r="K202" s="3">
        <f>SUM(Trolley!J55:J57)</f>
        <v>103</v>
      </c>
      <c r="L202" s="3">
        <f>SUM(Trolley!K55:K57)</f>
        <v>120</v>
      </c>
      <c r="M202" s="3">
        <f>SUM(Trolley!L55:L57)</f>
        <v>13.5</v>
      </c>
      <c r="N202" s="3">
        <f>SUM(Trolley!M55:M57)</f>
        <v>34.5</v>
      </c>
      <c r="O202" s="3">
        <f>SUM(Trolley!N55:N57)</f>
        <v>64.5</v>
      </c>
      <c r="P202" s="3">
        <f>SUM(Trolley!O55:O57)</f>
        <v>135</v>
      </c>
      <c r="Q202" s="3">
        <f>SUM(Trolley!P55:P57)</f>
        <v>97.5</v>
      </c>
      <c r="R202" s="3">
        <f>SUM(Trolley!Q55:Q57)</f>
        <v>90</v>
      </c>
      <c r="S202" s="3">
        <f>SUM(Trolley!R55:R57)</f>
        <v>100.5</v>
      </c>
      <c r="T202" s="3">
        <f>SUM(Trolley!S55:S57)</f>
        <v>150</v>
      </c>
      <c r="U202" s="3">
        <f>SUM(Trolley!T55:T57)</f>
        <v>0</v>
      </c>
      <c r="V202" s="3">
        <f>SUM(Trolley!U55:U57)</f>
        <v>0</v>
      </c>
      <c r="W202" s="3">
        <f>SUM(Trolley!V55:V57)</f>
        <v>0</v>
      </c>
      <c r="X202" s="3">
        <f>SUM(Trolley!W55:W57)</f>
        <v>0</v>
      </c>
      <c r="Y202" s="3">
        <f>SUM(Trolley!X55:X57)</f>
        <v>0</v>
      </c>
      <c r="Z202" s="3">
        <f>SUM(Trolley!Y55:Y57)</f>
        <v>0</v>
      </c>
      <c r="AA202" s="3">
        <f>SUM(Trolley!Z55:Z57)</f>
        <v>0</v>
      </c>
      <c r="AB202" s="3">
        <f>SUM(Trolley!AA55:AA57)</f>
        <v>0</v>
      </c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9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T119"/>
  <sheetViews>
    <sheetView tabSelected="1" workbookViewId="0">
      <pane xSplit="2" ySplit="3" topLeftCell="O58" activePane="bottomRight" state="frozen"/>
      <selection pane="topRight" activeCell="C1" sqref="C1"/>
      <selection pane="bottomLeft" activeCell="A4" sqref="A4"/>
      <selection pane="bottomRight" activeCell="O61" sqref="O61"/>
    </sheetView>
  </sheetViews>
  <sheetFormatPr defaultRowHeight="15" x14ac:dyDescent="0.25"/>
  <cols>
    <col min="1" max="1" width="1.28515625" customWidth="1"/>
    <col min="2" max="2" width="29.7109375" customWidth="1"/>
    <col min="3" max="13" width="9.28515625" customWidth="1"/>
    <col min="14" max="43" width="10.28515625" customWidth="1"/>
    <col min="44" max="44" width="5.5703125" customWidth="1"/>
  </cols>
  <sheetData>
    <row r="1" spans="1:44" ht="15.75" x14ac:dyDescent="0.25">
      <c r="A1" s="33" t="s">
        <v>119</v>
      </c>
    </row>
    <row r="2" spans="1:44" x14ac:dyDescent="0.25">
      <c r="C2" s="142">
        <v>45292</v>
      </c>
      <c r="D2" s="142">
        <v>45292</v>
      </c>
      <c r="E2" s="142">
        <v>45292</v>
      </c>
      <c r="F2" s="142">
        <v>45292</v>
      </c>
      <c r="G2" s="142">
        <v>45292</v>
      </c>
      <c r="H2" s="142">
        <v>45323</v>
      </c>
      <c r="I2" s="142">
        <v>45323</v>
      </c>
      <c r="J2" s="142">
        <v>45323</v>
      </c>
      <c r="K2" s="142">
        <v>45323</v>
      </c>
      <c r="L2" s="142">
        <v>45352</v>
      </c>
      <c r="M2" s="142">
        <v>45352</v>
      </c>
      <c r="N2" s="142">
        <v>45352</v>
      </c>
      <c r="O2" s="142">
        <v>45352</v>
      </c>
      <c r="P2" s="142">
        <v>45383</v>
      </c>
      <c r="Q2" s="142">
        <v>45383</v>
      </c>
      <c r="R2" s="142">
        <v>45383</v>
      </c>
      <c r="S2" s="142">
        <v>45383</v>
      </c>
      <c r="T2" s="142">
        <v>45413</v>
      </c>
      <c r="U2" s="142">
        <v>45413</v>
      </c>
      <c r="V2" s="142">
        <v>45413</v>
      </c>
      <c r="W2" s="142">
        <v>45413</v>
      </c>
      <c r="X2" s="142">
        <v>45413</v>
      </c>
      <c r="Y2" s="142">
        <v>45444</v>
      </c>
      <c r="Z2" s="142">
        <v>45444</v>
      </c>
      <c r="AA2" s="142">
        <v>45444</v>
      </c>
      <c r="AB2" s="142">
        <v>45444</v>
      </c>
      <c r="AC2" s="142">
        <v>45474</v>
      </c>
      <c r="AD2" s="142">
        <v>45474</v>
      </c>
      <c r="AE2" s="142">
        <v>45474</v>
      </c>
      <c r="AF2" s="142">
        <v>45474</v>
      </c>
      <c r="AG2" s="142">
        <v>45474</v>
      </c>
      <c r="AH2" s="142">
        <v>45505</v>
      </c>
      <c r="AI2" s="142">
        <v>45505</v>
      </c>
      <c r="AJ2" s="142">
        <v>45505</v>
      </c>
      <c r="AK2" s="142">
        <v>45505</v>
      </c>
      <c r="AL2" s="142">
        <v>45536</v>
      </c>
      <c r="AM2" s="142">
        <v>45536</v>
      </c>
      <c r="AN2" s="142">
        <v>45536</v>
      </c>
      <c r="AO2" s="142">
        <v>45536</v>
      </c>
      <c r="AP2" s="13" t="s">
        <v>282</v>
      </c>
    </row>
    <row r="3" spans="1:44" x14ac:dyDescent="0.25">
      <c r="A3" s="31"/>
      <c r="C3" s="13" t="s">
        <v>491</v>
      </c>
      <c r="D3" s="13" t="s">
        <v>492</v>
      </c>
      <c r="E3" s="13" t="s">
        <v>493</v>
      </c>
      <c r="F3" s="13" t="s">
        <v>494</v>
      </c>
      <c r="G3" s="13" t="s">
        <v>495</v>
      </c>
      <c r="H3" s="13" t="s">
        <v>496</v>
      </c>
      <c r="I3" s="13" t="s">
        <v>263</v>
      </c>
      <c r="J3" s="13" t="s">
        <v>264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54</v>
      </c>
      <c r="U3" s="13" t="s">
        <v>20</v>
      </c>
      <c r="V3" s="13" t="s">
        <v>21</v>
      </c>
      <c r="W3" s="13" t="s">
        <v>22</v>
      </c>
      <c r="X3" s="13" t="s">
        <v>23</v>
      </c>
      <c r="Y3" s="13" t="s">
        <v>24</v>
      </c>
      <c r="Z3" s="13" t="s">
        <v>25</v>
      </c>
      <c r="AA3" s="13" t="s">
        <v>26</v>
      </c>
      <c r="AB3" s="13" t="s">
        <v>27</v>
      </c>
      <c r="AC3" s="13" t="s">
        <v>28</v>
      </c>
      <c r="AD3" s="13" t="s">
        <v>29</v>
      </c>
      <c r="AE3" s="13" t="s">
        <v>30</v>
      </c>
      <c r="AF3" s="13" t="s">
        <v>31</v>
      </c>
      <c r="AG3" s="13" t="s">
        <v>32</v>
      </c>
      <c r="AH3" s="13" t="s">
        <v>33</v>
      </c>
      <c r="AI3" s="13" t="s">
        <v>34</v>
      </c>
      <c r="AJ3" s="13" t="s">
        <v>55</v>
      </c>
      <c r="AK3" s="13" t="s">
        <v>56</v>
      </c>
      <c r="AL3" s="13" t="s">
        <v>57</v>
      </c>
      <c r="AM3" s="13" t="s">
        <v>58</v>
      </c>
      <c r="AN3" s="13" t="s">
        <v>59</v>
      </c>
      <c r="AO3" s="13" t="s">
        <v>60</v>
      </c>
      <c r="AP3" s="13" t="s">
        <v>61</v>
      </c>
      <c r="AQ3" s="5" t="s">
        <v>2</v>
      </c>
    </row>
    <row r="4" spans="1:44" ht="15" customHeight="1" x14ac:dyDescent="0.25">
      <c r="A4" s="31" t="s">
        <v>120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spans="1:44" ht="15" customHeight="1" x14ac:dyDescent="0.25">
      <c r="B5" t="s">
        <v>121</v>
      </c>
      <c r="C5" s="1">
        <f>+Budget!C5</f>
        <v>0</v>
      </c>
      <c r="D5" s="1">
        <f>+Budget!D5</f>
        <v>0</v>
      </c>
      <c r="E5" s="1">
        <f>+Budget!E5</f>
        <v>0</v>
      </c>
      <c r="F5" s="1">
        <f>+Budget!F5</f>
        <v>0</v>
      </c>
      <c r="G5" s="1">
        <f>+Budget!G5</f>
        <v>0</v>
      </c>
      <c r="H5" s="1">
        <f>+Budget!H5</f>
        <v>0</v>
      </c>
      <c r="I5" s="1">
        <f>+Budget!I5</f>
        <v>0</v>
      </c>
      <c r="J5" s="1">
        <f>+Budget!J5</f>
        <v>21150.878671998868</v>
      </c>
      <c r="K5" s="1">
        <f>+Budget!K5</f>
        <v>15843.14476521828</v>
      </c>
      <c r="L5" s="1">
        <f>+Budget!L5</f>
        <v>16337.844630277856</v>
      </c>
      <c r="M5" s="1">
        <f>+Budget!M5</f>
        <v>22872.479507871412</v>
      </c>
      <c r="N5" s="1">
        <f>+Budget!N5</f>
        <v>28496.750614274399</v>
      </c>
      <c r="O5" s="1">
        <f>+Budget!O5</f>
        <v>28130.423067553507</v>
      </c>
      <c r="P5" s="1">
        <f>+Budget!P5</f>
        <v>26504.724537938069</v>
      </c>
      <c r="Q5" s="1">
        <f>+Budget!Q5</f>
        <v>28040.556969369245</v>
      </c>
      <c r="R5" s="1">
        <f>+Budget!R5</f>
        <v>36008.142718062096</v>
      </c>
      <c r="S5" s="1">
        <f>+Budget!S5</f>
        <v>28371.721217797382</v>
      </c>
      <c r="T5" s="1">
        <f>+Budget!T5</f>
        <v>28598.290661832849</v>
      </c>
      <c r="U5" s="1">
        <f>+Budget!U5</f>
        <v>25614.739398676007</v>
      </c>
      <c r="V5" s="1">
        <f>+Budget!V5</f>
        <v>17868.184744933056</v>
      </c>
      <c r="W5" s="1">
        <f>+Budget!W5</f>
        <v>14412.12072432342</v>
      </c>
      <c r="X5" s="1">
        <f>+Budget!X5</f>
        <v>9788.5457948314306</v>
      </c>
      <c r="Y5" s="1">
        <f>+Budget!Y5</f>
        <v>7457.8570977862255</v>
      </c>
      <c r="Z5" s="1">
        <f>+Budget!Z5</f>
        <v>3996.0384126032104</v>
      </c>
      <c r="AA5" s="1">
        <f>+Budget!AA5</f>
        <v>4110.3967053800252</v>
      </c>
      <c r="AB5" s="1">
        <f>+Budget!AB5</f>
        <v>4152.9184180494804</v>
      </c>
      <c r="AC5" s="1">
        <f>+Budget!AC5</f>
        <v>3098.2831296937925</v>
      </c>
      <c r="AD5" s="1">
        <f>+Budget!AD5</f>
        <v>2615.0471094367472</v>
      </c>
      <c r="AE5" s="1">
        <f>+Budget!AE5</f>
        <v>2710.6424468202326</v>
      </c>
      <c r="AF5" s="1">
        <f>+Budget!AF5</f>
        <v>13058.470101498413</v>
      </c>
      <c r="AG5" s="1">
        <f>+Budget!AG5</f>
        <v>3273.0952041177247</v>
      </c>
      <c r="AH5" s="1">
        <f>+Budget!AH5</f>
        <v>1835.6805521965291</v>
      </c>
      <c r="AI5" s="1">
        <f>+Budget!AI5</f>
        <v>2879.163267485199</v>
      </c>
      <c r="AJ5" s="1">
        <f>+Budget!AJ5</f>
        <v>1860.5089798436936</v>
      </c>
      <c r="AK5" s="1">
        <f>+Budget!AK5</f>
        <v>1671.7865873467435</v>
      </c>
      <c r="AL5" s="1">
        <f>+Budget!AL5</f>
        <v>0</v>
      </c>
      <c r="AM5" s="1">
        <f>+Budget!AM5</f>
        <v>0</v>
      </c>
      <c r="AN5" s="1">
        <f>+Budget!AN5</f>
        <v>0</v>
      </c>
      <c r="AO5" s="1">
        <f>+Budget!AO5</f>
        <v>0</v>
      </c>
      <c r="AP5" s="1">
        <f>+Budget!AP5</f>
        <v>0</v>
      </c>
      <c r="AQ5" s="1">
        <f>SUM(C5:AP5)</f>
        <v>400758.43603721581</v>
      </c>
    </row>
    <row r="6" spans="1:44" ht="15" customHeight="1" x14ac:dyDescent="0.25">
      <c r="B6" t="s">
        <v>89</v>
      </c>
      <c r="C6" s="1">
        <f>+PassVol!D92</f>
        <v>0</v>
      </c>
      <c r="D6" s="1">
        <f>+PassVol!E92</f>
        <v>0</v>
      </c>
      <c r="E6" s="1">
        <f>+PassVol!F92</f>
        <v>0</v>
      </c>
      <c r="F6" s="1">
        <f>+PassVol!G92</f>
        <v>0</v>
      </c>
      <c r="G6" s="1">
        <f>+PassVol!H92</f>
        <v>0</v>
      </c>
      <c r="H6" s="1">
        <f>+PassVol!I92</f>
        <v>0</v>
      </c>
      <c r="I6" s="1">
        <f>+PassVol!J92</f>
        <v>0</v>
      </c>
      <c r="J6" s="1">
        <f>+PassVol!K92</f>
        <v>0</v>
      </c>
      <c r="K6" s="1">
        <f>+PassVol!L92</f>
        <v>23183</v>
      </c>
      <c r="L6" s="1">
        <f>+PassVol!M92</f>
        <v>12890</v>
      </c>
      <c r="M6" s="1">
        <f>+PassVol!N92</f>
        <v>13658</v>
      </c>
      <c r="N6" s="1">
        <f>+PassVol!O92</f>
        <v>21966</v>
      </c>
      <c r="O6" s="1">
        <f>+PassVol!P92</f>
        <v>26529</v>
      </c>
      <c r="P6" s="1">
        <f>+PassVol!Q92</f>
        <v>26904</v>
      </c>
      <c r="Q6" s="1">
        <f>+PassVol!R92</f>
        <v>27739</v>
      </c>
      <c r="R6" s="1">
        <f>+PassVol!S92</f>
        <v>25903</v>
      </c>
      <c r="S6" s="1">
        <f>+PassVol!T92</f>
        <v>26759</v>
      </c>
      <c r="T6" s="1">
        <f>+PassVol!U92</f>
        <v>31438</v>
      </c>
      <c r="U6" s="1">
        <f>+PassVol!V92</f>
        <v>24515</v>
      </c>
      <c r="V6" s="1">
        <f>+PassVol!W92</f>
        <v>30205</v>
      </c>
      <c r="W6" s="1">
        <f>+PassVol!X92</f>
        <v>27556</v>
      </c>
      <c r="X6" s="1">
        <f>+PassVol!Y92</f>
        <v>14779</v>
      </c>
      <c r="Y6" s="1">
        <f>+PassVol!Z92</f>
        <v>10023</v>
      </c>
      <c r="Z6" s="1">
        <f>+PassVol!AA92</f>
        <v>8365</v>
      </c>
      <c r="AA6" s="1">
        <f>+PassVol!AB92</f>
        <v>6458</v>
      </c>
      <c r="AB6" s="1">
        <f>+PassVol!AC92</f>
        <v>5371</v>
      </c>
      <c r="AC6" s="1">
        <f>+PassVol!AD92</f>
        <v>4099</v>
      </c>
      <c r="AD6" s="1">
        <f>+PassVol!AE92</f>
        <v>3964</v>
      </c>
      <c r="AE6" s="1">
        <f>+PassVol!AF92</f>
        <v>1756</v>
      </c>
      <c r="AF6" s="1">
        <f>+PassVol!AG92</f>
        <v>1779</v>
      </c>
      <c r="AG6" s="1">
        <f>+PassVol!AH92</f>
        <v>12147</v>
      </c>
      <c r="AH6" s="1">
        <f>+PassVol!AI92</f>
        <v>2253</v>
      </c>
      <c r="AI6" s="1">
        <f>+PassVol!AJ92</f>
        <v>2324</v>
      </c>
      <c r="AJ6" s="1">
        <f>+PassVol!AK92</f>
        <v>2349</v>
      </c>
      <c r="AK6" s="1">
        <f>+PassVol!AL92</f>
        <v>1761</v>
      </c>
      <c r="AL6" s="1">
        <f>+PassVol!AM92</f>
        <v>958</v>
      </c>
      <c r="AM6" s="1">
        <f>+PassVol!AN92</f>
        <v>477</v>
      </c>
      <c r="AN6" s="1">
        <f>+PassVol!AO92</f>
        <v>0</v>
      </c>
      <c r="AO6" s="1">
        <f>+PassVol!AP92</f>
        <v>0</v>
      </c>
      <c r="AP6" s="1">
        <f>+PassVol!AQ92</f>
        <v>0</v>
      </c>
      <c r="AQ6" s="1">
        <f>SUM(C6:AP6)</f>
        <v>398108</v>
      </c>
      <c r="AR6" s="57">
        <f>+AQ6/AQ5</f>
        <v>0.99338644979398594</v>
      </c>
    </row>
    <row r="7" spans="1:44" s="24" customFormat="1" ht="15" customHeight="1" x14ac:dyDescent="0.25">
      <c r="B7" s="24" t="s">
        <v>189</v>
      </c>
      <c r="C7" s="25">
        <f t="shared" ref="C7:AO7" si="0">+C6-C5</f>
        <v>0</v>
      </c>
      <c r="D7" s="25">
        <f t="shared" ref="D7" si="1">+D6-D5</f>
        <v>0</v>
      </c>
      <c r="E7" s="25">
        <f t="shared" ref="E7:F7" si="2">+E6-E5</f>
        <v>0</v>
      </c>
      <c r="F7" s="25">
        <f t="shared" si="2"/>
        <v>0</v>
      </c>
      <c r="G7" s="25">
        <f t="shared" si="0"/>
        <v>0</v>
      </c>
      <c r="H7" s="25">
        <f t="shared" si="0"/>
        <v>0</v>
      </c>
      <c r="I7" s="25">
        <f t="shared" si="0"/>
        <v>0</v>
      </c>
      <c r="J7" s="25">
        <f t="shared" si="0"/>
        <v>-21150.878671998868</v>
      </c>
      <c r="K7" s="25">
        <f t="shared" si="0"/>
        <v>7339.8552347817204</v>
      </c>
      <c r="L7" s="25">
        <f t="shared" si="0"/>
        <v>-3447.8446302778557</v>
      </c>
      <c r="M7" s="25">
        <f t="shared" si="0"/>
        <v>-9214.4795078714124</v>
      </c>
      <c r="N7" s="25">
        <f t="shared" si="0"/>
        <v>-6530.7506142743987</v>
      </c>
      <c r="O7" s="25">
        <f t="shared" si="0"/>
        <v>-1601.4230675535073</v>
      </c>
      <c r="P7" s="25">
        <f t="shared" si="0"/>
        <v>399.27546206193074</v>
      </c>
      <c r="Q7" s="25">
        <f t="shared" si="0"/>
        <v>-301.55696936924505</v>
      </c>
      <c r="R7" s="25">
        <f t="shared" si="0"/>
        <v>-10105.142718062096</v>
      </c>
      <c r="S7" s="25">
        <f t="shared" si="0"/>
        <v>-1612.7212177973815</v>
      </c>
      <c r="T7" s="25">
        <f t="shared" si="0"/>
        <v>2839.7093381671511</v>
      </c>
      <c r="U7" s="25">
        <f t="shared" si="0"/>
        <v>-1099.7393986760071</v>
      </c>
      <c r="V7" s="25">
        <f t="shared" si="0"/>
        <v>12336.815255066944</v>
      </c>
      <c r="W7" s="25">
        <f t="shared" si="0"/>
        <v>13143.87927567658</v>
      </c>
      <c r="X7" s="25">
        <f t="shared" si="0"/>
        <v>4990.4542051685694</v>
      </c>
      <c r="Y7" s="25">
        <f t="shared" si="0"/>
        <v>2565.1429022137745</v>
      </c>
      <c r="Z7" s="25">
        <f t="shared" si="0"/>
        <v>4368.9615873967896</v>
      </c>
      <c r="AA7" s="25">
        <f t="shared" si="0"/>
        <v>2347.6032946199748</v>
      </c>
      <c r="AB7" s="25">
        <f t="shared" si="0"/>
        <v>1218.0815819505196</v>
      </c>
      <c r="AC7" s="25">
        <f t="shared" si="0"/>
        <v>1000.7168703062075</v>
      </c>
      <c r="AD7" s="25">
        <f t="shared" si="0"/>
        <v>1348.9528905632528</v>
      </c>
      <c r="AE7" s="25">
        <f t="shared" si="0"/>
        <v>-954.64244682023264</v>
      </c>
      <c r="AF7" s="25">
        <f t="shared" si="0"/>
        <v>-11279.470101498413</v>
      </c>
      <c r="AG7" s="25">
        <f t="shared" si="0"/>
        <v>8873.9047958822757</v>
      </c>
      <c r="AH7" s="25">
        <f t="shared" si="0"/>
        <v>417.31944780347089</v>
      </c>
      <c r="AI7" s="25">
        <f t="shared" si="0"/>
        <v>-555.16326748519896</v>
      </c>
      <c r="AJ7" s="25">
        <f t="shared" si="0"/>
        <v>488.49102015630638</v>
      </c>
      <c r="AK7" s="25">
        <f t="shared" si="0"/>
        <v>89.213412653256455</v>
      </c>
      <c r="AL7" s="25">
        <f t="shared" si="0"/>
        <v>958</v>
      </c>
      <c r="AM7" s="25">
        <f t="shared" si="0"/>
        <v>477</v>
      </c>
      <c r="AN7" s="25">
        <f t="shared" si="0"/>
        <v>0</v>
      </c>
      <c r="AO7" s="25">
        <f t="shared" si="0"/>
        <v>0</v>
      </c>
      <c r="AP7" s="25"/>
      <c r="AQ7" s="25">
        <f>SUM(C7:AP7)</f>
        <v>-2650.4360372158872</v>
      </c>
    </row>
    <row r="8" spans="1:44" s="27" customFormat="1" ht="15" customHeight="1" x14ac:dyDescent="0.25">
      <c r="B8" s="24" t="s">
        <v>158</v>
      </c>
      <c r="C8" s="37">
        <f>+C7</f>
        <v>0</v>
      </c>
      <c r="D8" s="37">
        <f>+C8+D7</f>
        <v>0</v>
      </c>
      <c r="E8" s="37">
        <f t="shared" ref="E8:AP8" si="3">+D8+E7</f>
        <v>0</v>
      </c>
      <c r="F8" s="37">
        <f t="shared" si="3"/>
        <v>0</v>
      </c>
      <c r="G8" s="37">
        <f t="shared" si="3"/>
        <v>0</v>
      </c>
      <c r="H8" s="37">
        <f t="shared" si="3"/>
        <v>0</v>
      </c>
      <c r="I8" s="37">
        <f t="shared" si="3"/>
        <v>0</v>
      </c>
      <c r="J8" s="37">
        <f t="shared" si="3"/>
        <v>-21150.878671998868</v>
      </c>
      <c r="K8" s="37">
        <f t="shared" si="3"/>
        <v>-13811.023437217147</v>
      </c>
      <c r="L8" s="37">
        <f t="shared" si="3"/>
        <v>-17258.868067495001</v>
      </c>
      <c r="M8" s="37">
        <f t="shared" si="3"/>
        <v>-26473.347575366413</v>
      </c>
      <c r="N8" s="37">
        <f t="shared" si="3"/>
        <v>-33004.098189640812</v>
      </c>
      <c r="O8" s="37">
        <f t="shared" si="3"/>
        <v>-34605.521257194319</v>
      </c>
      <c r="P8" s="37">
        <f t="shared" si="3"/>
        <v>-34206.245795132389</v>
      </c>
      <c r="Q8" s="37">
        <f t="shared" si="3"/>
        <v>-34507.802764501634</v>
      </c>
      <c r="R8" s="37">
        <f t="shared" si="3"/>
        <v>-44612.945482563729</v>
      </c>
      <c r="S8" s="37">
        <f t="shared" si="3"/>
        <v>-46225.666700361107</v>
      </c>
      <c r="T8" s="37">
        <f t="shared" si="3"/>
        <v>-43385.957362193956</v>
      </c>
      <c r="U8" s="37">
        <f t="shared" si="3"/>
        <v>-44485.696760869963</v>
      </c>
      <c r="V8" s="37">
        <f t="shared" si="3"/>
        <v>-32148.88150580302</v>
      </c>
      <c r="W8" s="37">
        <f t="shared" si="3"/>
        <v>-19005.00223012644</v>
      </c>
      <c r="X8" s="37">
        <f t="shared" si="3"/>
        <v>-14014.54802495787</v>
      </c>
      <c r="Y8" s="37">
        <f t="shared" si="3"/>
        <v>-11449.405122744096</v>
      </c>
      <c r="Z8" s="37">
        <f t="shared" si="3"/>
        <v>-7080.4435353473064</v>
      </c>
      <c r="AA8" s="37">
        <f t="shared" si="3"/>
        <v>-4732.8402407273315</v>
      </c>
      <c r="AB8" s="37">
        <f t="shared" si="3"/>
        <v>-3514.7586587768119</v>
      </c>
      <c r="AC8" s="37">
        <f t="shared" si="3"/>
        <v>-2514.0417884706044</v>
      </c>
      <c r="AD8" s="37">
        <f t="shared" si="3"/>
        <v>-1165.0888979073516</v>
      </c>
      <c r="AE8" s="37">
        <f t="shared" si="3"/>
        <v>-2119.7313447275842</v>
      </c>
      <c r="AF8" s="37">
        <f t="shared" si="3"/>
        <v>-13399.201446225998</v>
      </c>
      <c r="AG8" s="37">
        <f t="shared" si="3"/>
        <v>-4525.2966503437219</v>
      </c>
      <c r="AH8" s="37">
        <f t="shared" si="3"/>
        <v>-4107.9772025402508</v>
      </c>
      <c r="AI8" s="37">
        <f t="shared" si="3"/>
        <v>-4663.1404700254498</v>
      </c>
      <c r="AJ8" s="37">
        <f t="shared" si="3"/>
        <v>-4174.6494498691436</v>
      </c>
      <c r="AK8" s="37">
        <f t="shared" si="3"/>
        <v>-4085.4360372158872</v>
      </c>
      <c r="AL8" s="37">
        <f t="shared" si="3"/>
        <v>-3127.4360372158872</v>
      </c>
      <c r="AM8" s="37">
        <f t="shared" si="3"/>
        <v>-2650.4360372158872</v>
      </c>
      <c r="AN8" s="37">
        <f t="shared" si="3"/>
        <v>-2650.4360372158872</v>
      </c>
      <c r="AO8" s="37">
        <f t="shared" si="3"/>
        <v>-2650.4360372158872</v>
      </c>
      <c r="AP8" s="37">
        <f t="shared" si="3"/>
        <v>-2650.4360372158872</v>
      </c>
    </row>
    <row r="9" spans="1:44" ht="15" customHeight="1" x14ac:dyDescent="0.25">
      <c r="AQ9" s="1"/>
    </row>
    <row r="10" spans="1:44" ht="15" customHeight="1" x14ac:dyDescent="0.25">
      <c r="A10" s="31" t="s">
        <v>159</v>
      </c>
    </row>
    <row r="11" spans="1:44" ht="15" customHeight="1" x14ac:dyDescent="0.25">
      <c r="B11" t="s">
        <v>121</v>
      </c>
      <c r="C11" s="1">
        <f>+Budget!C24</f>
        <v>0</v>
      </c>
      <c r="D11" s="1">
        <f>+Budget!D24</f>
        <v>0</v>
      </c>
      <c r="E11" s="1">
        <f>+Budget!E24</f>
        <v>0</v>
      </c>
      <c r="F11" s="1">
        <f>+Budget!F24</f>
        <v>0</v>
      </c>
      <c r="G11" s="1">
        <f>+Budget!G24</f>
        <v>0</v>
      </c>
      <c r="H11" s="1">
        <f>+Budget!H24</f>
        <v>0</v>
      </c>
      <c r="I11" s="1">
        <f>+Budget!I24</f>
        <v>0</v>
      </c>
      <c r="J11" s="1">
        <f>+Budget!J24</f>
        <v>189796.41412518779</v>
      </c>
      <c r="K11" s="1">
        <f>+Budget!K24</f>
        <v>139865.45744432064</v>
      </c>
      <c r="L11" s="1">
        <f>+Budget!L24</f>
        <v>143251.96860042622</v>
      </c>
      <c r="M11" s="1">
        <f>+Budget!M24</f>
        <v>193399.92361406583</v>
      </c>
      <c r="N11" s="1">
        <f>+Budget!N24</f>
        <v>245150.32375622113</v>
      </c>
      <c r="O11" s="1">
        <f>+Budget!O24</f>
        <v>243672.13516636478</v>
      </c>
      <c r="P11" s="1">
        <f>+Budget!P24</f>
        <v>226912.65920943118</v>
      </c>
      <c r="Q11" s="1">
        <f>+Budget!Q24</f>
        <v>233843.64802968147</v>
      </c>
      <c r="R11" s="1">
        <f>+Budget!R24</f>
        <v>307694.95668888895</v>
      </c>
      <c r="S11" s="1">
        <f>+Budget!S24</f>
        <v>235851.11859339935</v>
      </c>
      <c r="T11" s="1">
        <f>+Budget!T24</f>
        <v>237990.21399937203</v>
      </c>
      <c r="U11" s="1">
        <f>+Budget!U24</f>
        <v>213793.73951828069</v>
      </c>
      <c r="V11" s="1">
        <f>+Budget!V24</f>
        <v>147782.31771582231</v>
      </c>
      <c r="W11" s="1">
        <f>+Budget!W24</f>
        <v>118844.95442524258</v>
      </c>
      <c r="X11" s="1">
        <f>+Budget!X24</f>
        <v>80727.860915380908</v>
      </c>
      <c r="Y11" s="1">
        <f>+Budget!Y24</f>
        <v>61199.537970612684</v>
      </c>
      <c r="Z11" s="1">
        <f>+Budget!Z24</f>
        <v>32737.746570618852</v>
      </c>
      <c r="AA11" s="1">
        <f>+Budget!AA24</f>
        <v>33674.632661445263</v>
      </c>
      <c r="AB11" s="1">
        <f>+Budget!AB24</f>
        <v>34022.99394063888</v>
      </c>
      <c r="AC11" s="1">
        <f>+Budget!AC24</f>
        <v>25382.84106179608</v>
      </c>
      <c r="AD11" s="1">
        <f>+Budget!AD24</f>
        <v>21423.905553299894</v>
      </c>
      <c r="AE11" s="1">
        <f>+Budget!AE24</f>
        <v>22207.075184183046</v>
      </c>
      <c r="AF11" s="1">
        <f>+Budget!AF24</f>
        <v>106982.176005751</v>
      </c>
      <c r="AG11" s="1">
        <f>+Budget!AG24</f>
        <v>26814.997812823571</v>
      </c>
      <c r="AH11" s="1">
        <f>+Budget!AH24</f>
        <v>15038.905660387334</v>
      </c>
      <c r="AI11" s="1">
        <f>+Budget!AI24</f>
        <v>23587.69052096314</v>
      </c>
      <c r="AJ11" s="1">
        <f>+Budget!AJ24</f>
        <v>15242.313808190975</v>
      </c>
      <c r="AK11" s="1">
        <f>+Budget!AK24</f>
        <v>13696.196073616662</v>
      </c>
      <c r="AL11" s="1">
        <f>+Budget!AL24</f>
        <v>0</v>
      </c>
      <c r="AM11" s="1">
        <f>+Budget!AM24</f>
        <v>0</v>
      </c>
      <c r="AN11" s="1">
        <f>+Budget!AN24</f>
        <v>0</v>
      </c>
      <c r="AO11" s="1">
        <f>+Budget!AO24</f>
        <v>0</v>
      </c>
      <c r="AP11" s="1">
        <f>+Budget!AP24</f>
        <v>0</v>
      </c>
      <c r="AQ11" s="1">
        <f>SUM(C11:AP11)</f>
        <v>3390588.7046264131</v>
      </c>
      <c r="AR11" s="119">
        <f>+AQ11/AQ$49</f>
        <v>0.42939418236951488</v>
      </c>
    </row>
    <row r="12" spans="1:44" ht="15" customHeight="1" x14ac:dyDescent="0.25">
      <c r="B12" t="s">
        <v>89</v>
      </c>
      <c r="C12" s="1">
        <f>+Accrualstrip!D72</f>
        <v>0</v>
      </c>
      <c r="D12" s="1">
        <f>+Accrualstrip!E72</f>
        <v>0</v>
      </c>
      <c r="E12" s="1">
        <f>+Accrualstrip!F72</f>
        <v>0</v>
      </c>
      <c r="F12" s="1">
        <f>+Accrualstrip!G72</f>
        <v>0</v>
      </c>
      <c r="G12" s="1">
        <f>+Accrualstrip!H72</f>
        <v>0</v>
      </c>
      <c r="H12" s="1">
        <f>+Accrualstrip!I72</f>
        <v>0</v>
      </c>
      <c r="I12" s="1">
        <f>+Accrualstrip!J72</f>
        <v>-600</v>
      </c>
      <c r="J12" s="1">
        <f>+Accrualstrip!K72</f>
        <v>0</v>
      </c>
      <c r="K12" s="1">
        <f>+Accrualstrip!L72</f>
        <v>187056.38975000003</v>
      </c>
      <c r="L12" s="1">
        <f>+Accrualstrip!M72</f>
        <v>110379.05</v>
      </c>
      <c r="M12" s="1">
        <f>+Accrualstrip!N72</f>
        <v>115065.14400000001</v>
      </c>
      <c r="N12" s="1">
        <f>+Accrualstrip!O72</f>
        <v>189479.97005</v>
      </c>
      <c r="O12" s="1">
        <f>+Accrualstrip!P72</f>
        <v>238418.26310000004</v>
      </c>
      <c r="P12" s="1">
        <f>+Accrualstrip!Q72</f>
        <v>215552.87495</v>
      </c>
      <c r="Q12" s="1">
        <f>+Accrualstrip!R72</f>
        <v>243550.37330000001</v>
      </c>
      <c r="R12" s="1">
        <f>+Accrualstrip!S72</f>
        <v>224286.45215000003</v>
      </c>
      <c r="S12" s="1">
        <f>+Accrualstrip!T72</f>
        <v>232564.36599999998</v>
      </c>
      <c r="T12" s="1">
        <f>+Accrualstrip!U72</f>
        <v>272743.41235</v>
      </c>
      <c r="U12" s="1">
        <f>+Accrualstrip!V72</f>
        <v>214067.86620000005</v>
      </c>
      <c r="V12" s="1">
        <f>+Accrualstrip!W72</f>
        <v>264799.90229999996</v>
      </c>
      <c r="W12" s="1">
        <f>+Accrualstrip!X72</f>
        <v>239739.19870000004</v>
      </c>
      <c r="X12" s="1">
        <f>+Accrualstrip!Y72</f>
        <v>120715.9198</v>
      </c>
      <c r="Y12" s="1">
        <f>+Accrualstrip!Z72</f>
        <v>84380.088800000012</v>
      </c>
      <c r="Z12" s="1">
        <f>+Accrualstrip!AA72</f>
        <v>67315.373999999996</v>
      </c>
      <c r="AA12" s="1">
        <f>+Accrualstrip!AB72</f>
        <v>52179.860800000009</v>
      </c>
      <c r="AB12" s="1">
        <f>+Accrualstrip!AC72</f>
        <v>41434.040800000002</v>
      </c>
      <c r="AC12" s="1">
        <f>+Accrualstrip!AD72</f>
        <v>32402.357199999999</v>
      </c>
      <c r="AD12" s="1">
        <f>+Accrualstrip!AE72</f>
        <v>29417.166499999999</v>
      </c>
      <c r="AE12" s="1">
        <f>+Accrualstrip!AF72</f>
        <v>14916.918999999998</v>
      </c>
      <c r="AF12" s="1">
        <f>+Accrualstrip!AG72</f>
        <v>14554.029449999998</v>
      </c>
      <c r="AG12" s="1">
        <f>+Accrualstrip!AH72</f>
        <v>86107.193150000006</v>
      </c>
      <c r="AH12" s="1">
        <f>+Accrualstrip!AI72</f>
        <v>19464.68665</v>
      </c>
      <c r="AI12" s="1">
        <f>+Accrualstrip!AJ72</f>
        <v>20242.978450000002</v>
      </c>
      <c r="AJ12" s="1">
        <f>+Accrualstrip!AK72</f>
        <v>19351.817300000002</v>
      </c>
      <c r="AK12" s="1">
        <f>+Accrualstrip!AL72</f>
        <v>15003.6268</v>
      </c>
      <c r="AL12" s="1">
        <f>+Accrualstrip!AM72</f>
        <v>7738.1</v>
      </c>
      <c r="AM12" s="1">
        <f>+Accrualstrip!AN72</f>
        <v>3836.9425000000001</v>
      </c>
      <c r="AN12" s="1">
        <f>+Accrualstrip!AO72</f>
        <v>-329.73400000000004</v>
      </c>
      <c r="AO12" s="1">
        <f>+Accrualstrip!AP72</f>
        <v>0</v>
      </c>
      <c r="AP12" s="1">
        <f>+Accrualstrip!AQ72</f>
        <v>0</v>
      </c>
      <c r="AQ12" s="1">
        <f>SUM(C12:AP12)</f>
        <v>3375834.6300499998</v>
      </c>
      <c r="AR12" s="57">
        <f>+AQ12/AQ11</f>
        <v>0.99564852128591075</v>
      </c>
    </row>
    <row r="13" spans="1:44" ht="15" customHeight="1" x14ac:dyDescent="0.25">
      <c r="B13" s="24" t="s">
        <v>189</v>
      </c>
      <c r="C13" s="25">
        <f>+C12-C11</f>
        <v>0</v>
      </c>
      <c r="D13" s="25">
        <f t="shared" ref="D13:AP13" si="4">+D12-D11</f>
        <v>0</v>
      </c>
      <c r="E13" s="25">
        <f t="shared" si="4"/>
        <v>0</v>
      </c>
      <c r="F13" s="25">
        <f t="shared" si="4"/>
        <v>0</v>
      </c>
      <c r="G13" s="25">
        <f t="shared" si="4"/>
        <v>0</v>
      </c>
      <c r="H13" s="25">
        <f t="shared" si="4"/>
        <v>0</v>
      </c>
      <c r="I13" s="25">
        <f t="shared" si="4"/>
        <v>-600</v>
      </c>
      <c r="J13" s="25">
        <f t="shared" si="4"/>
        <v>-189796.41412518779</v>
      </c>
      <c r="K13" s="25">
        <f t="shared" si="4"/>
        <v>47190.932305679395</v>
      </c>
      <c r="L13" s="25">
        <f t="shared" si="4"/>
        <v>-32872.918600426216</v>
      </c>
      <c r="M13" s="25">
        <f t="shared" si="4"/>
        <v>-78334.779614065817</v>
      </c>
      <c r="N13" s="25">
        <f t="shared" si="4"/>
        <v>-55670.353706221125</v>
      </c>
      <c r="O13" s="25">
        <f t="shared" si="4"/>
        <v>-5253.87206636474</v>
      </c>
      <c r="P13" s="25">
        <f t="shared" si="4"/>
        <v>-11359.784259431181</v>
      </c>
      <c r="Q13" s="25">
        <f t="shared" si="4"/>
        <v>9706.7252703185368</v>
      </c>
      <c r="R13" s="25">
        <f t="shared" si="4"/>
        <v>-83408.504538888927</v>
      </c>
      <c r="S13" s="25">
        <f t="shared" si="4"/>
        <v>-3286.7525933993747</v>
      </c>
      <c r="T13" s="25">
        <f t="shared" si="4"/>
        <v>34753.198350627965</v>
      </c>
      <c r="U13" s="25">
        <f t="shared" si="4"/>
        <v>274.12668171935366</v>
      </c>
      <c r="V13" s="25">
        <f t="shared" si="4"/>
        <v>117017.58458417765</v>
      </c>
      <c r="W13" s="25">
        <f t="shared" si="4"/>
        <v>120894.24427475745</v>
      </c>
      <c r="X13" s="25">
        <f t="shared" si="4"/>
        <v>39988.058884619095</v>
      </c>
      <c r="Y13" s="25">
        <f t="shared" si="4"/>
        <v>23180.550829387328</v>
      </c>
      <c r="Z13" s="25">
        <f t="shared" si="4"/>
        <v>34577.627429381144</v>
      </c>
      <c r="AA13" s="25">
        <f t="shared" si="4"/>
        <v>18505.228138554747</v>
      </c>
      <c r="AB13" s="25">
        <f t="shared" si="4"/>
        <v>7411.0468593611222</v>
      </c>
      <c r="AC13" s="25">
        <f t="shared" si="4"/>
        <v>7019.5161382039187</v>
      </c>
      <c r="AD13" s="25">
        <f t="shared" si="4"/>
        <v>7993.2609467001057</v>
      </c>
      <c r="AE13" s="25">
        <f t="shared" si="4"/>
        <v>-7290.156184183048</v>
      </c>
      <c r="AF13" s="25">
        <f t="shared" si="4"/>
        <v>-92428.146555750995</v>
      </c>
      <c r="AG13" s="25">
        <f t="shared" si="4"/>
        <v>59292.195337176439</v>
      </c>
      <c r="AH13" s="25">
        <f t="shared" si="4"/>
        <v>4425.7809896126655</v>
      </c>
      <c r="AI13" s="25">
        <f t="shared" si="4"/>
        <v>-3344.7120709631381</v>
      </c>
      <c r="AJ13" s="25">
        <f t="shared" si="4"/>
        <v>4109.5034918090278</v>
      </c>
      <c r="AK13" s="25">
        <f t="shared" si="4"/>
        <v>1307.430726383338</v>
      </c>
      <c r="AL13" s="25">
        <f t="shared" si="4"/>
        <v>7738.1</v>
      </c>
      <c r="AM13" s="25">
        <f t="shared" si="4"/>
        <v>3836.9425000000001</v>
      </c>
      <c r="AN13" s="25">
        <f t="shared" si="4"/>
        <v>-329.73400000000004</v>
      </c>
      <c r="AO13" s="25">
        <f t="shared" si="4"/>
        <v>0</v>
      </c>
      <c r="AP13" s="25">
        <f t="shared" si="4"/>
        <v>0</v>
      </c>
      <c r="AQ13" s="25">
        <f>SUM(C13:AP13)</f>
        <v>-14754.07457641299</v>
      </c>
      <c r="AR13" s="6"/>
    </row>
    <row r="14" spans="1:44" s="24" customFormat="1" ht="15" customHeight="1" x14ac:dyDescent="0.25">
      <c r="B14" s="24" t="s">
        <v>158</v>
      </c>
      <c r="C14" s="25">
        <f>+C13</f>
        <v>0</v>
      </c>
      <c r="D14" s="25">
        <f>+C14+D13</f>
        <v>0</v>
      </c>
      <c r="E14" s="25">
        <f t="shared" ref="E14:AP14" si="5">+D14+E13</f>
        <v>0</v>
      </c>
      <c r="F14" s="25">
        <f t="shared" si="5"/>
        <v>0</v>
      </c>
      <c r="G14" s="25">
        <f t="shared" si="5"/>
        <v>0</v>
      </c>
      <c r="H14" s="25">
        <f t="shared" si="5"/>
        <v>0</v>
      </c>
      <c r="I14" s="25">
        <f t="shared" si="5"/>
        <v>-600</v>
      </c>
      <c r="J14" s="25">
        <f t="shared" si="5"/>
        <v>-190396.41412518779</v>
      </c>
      <c r="K14" s="25">
        <f t="shared" si="5"/>
        <v>-143205.48181950839</v>
      </c>
      <c r="L14" s="25">
        <f t="shared" si="5"/>
        <v>-176078.40041993459</v>
      </c>
      <c r="M14" s="25">
        <f t="shared" si="5"/>
        <v>-254413.18003400043</v>
      </c>
      <c r="N14" s="25">
        <f t="shared" si="5"/>
        <v>-310083.53374022152</v>
      </c>
      <c r="O14" s="25">
        <f t="shared" si="5"/>
        <v>-315337.40580658626</v>
      </c>
      <c r="P14" s="25">
        <f t="shared" si="5"/>
        <v>-326697.19006601744</v>
      </c>
      <c r="Q14" s="25">
        <f t="shared" si="5"/>
        <v>-316990.46479569888</v>
      </c>
      <c r="R14" s="25">
        <f t="shared" si="5"/>
        <v>-400398.9693345878</v>
      </c>
      <c r="S14" s="25">
        <f t="shared" si="5"/>
        <v>-403685.72192798718</v>
      </c>
      <c r="T14" s="25">
        <f t="shared" si="5"/>
        <v>-368932.52357735921</v>
      </c>
      <c r="U14" s="25">
        <f t="shared" si="5"/>
        <v>-368658.39689563983</v>
      </c>
      <c r="V14" s="25">
        <f t="shared" si="5"/>
        <v>-251640.81231146218</v>
      </c>
      <c r="W14" s="25">
        <f t="shared" si="5"/>
        <v>-130746.56803670473</v>
      </c>
      <c r="X14" s="25">
        <f t="shared" si="5"/>
        <v>-90758.509152085637</v>
      </c>
      <c r="Y14" s="25">
        <f t="shared" si="5"/>
        <v>-67577.958322698309</v>
      </c>
      <c r="Z14" s="25">
        <f t="shared" si="5"/>
        <v>-33000.330893317165</v>
      </c>
      <c r="AA14" s="25">
        <f t="shared" si="5"/>
        <v>-14495.102754762418</v>
      </c>
      <c r="AB14" s="25">
        <f t="shared" si="5"/>
        <v>-7084.0558954012959</v>
      </c>
      <c r="AC14" s="25">
        <f t="shared" si="5"/>
        <v>-64.539757197377185</v>
      </c>
      <c r="AD14" s="25">
        <f t="shared" si="5"/>
        <v>7928.7211895027285</v>
      </c>
      <c r="AE14" s="25">
        <f t="shared" si="5"/>
        <v>638.56500531968049</v>
      </c>
      <c r="AF14" s="25">
        <f t="shared" si="5"/>
        <v>-91789.581550431321</v>
      </c>
      <c r="AG14" s="25">
        <f t="shared" si="5"/>
        <v>-32497.386213254882</v>
      </c>
      <c r="AH14" s="25">
        <f t="shared" si="5"/>
        <v>-28071.605223642218</v>
      </c>
      <c r="AI14" s="25">
        <f t="shared" si="5"/>
        <v>-31416.317294605356</v>
      </c>
      <c r="AJ14" s="25">
        <f t="shared" si="5"/>
        <v>-27306.813802796329</v>
      </c>
      <c r="AK14" s="25">
        <f t="shared" si="5"/>
        <v>-25999.383076412989</v>
      </c>
      <c r="AL14" s="25">
        <f t="shared" si="5"/>
        <v>-18261.28307641299</v>
      </c>
      <c r="AM14" s="25">
        <f t="shared" si="5"/>
        <v>-14424.340576412989</v>
      </c>
      <c r="AN14" s="25">
        <f t="shared" si="5"/>
        <v>-14754.07457641299</v>
      </c>
      <c r="AO14" s="25">
        <f t="shared" si="5"/>
        <v>-14754.07457641299</v>
      </c>
      <c r="AP14" s="25">
        <f t="shared" si="5"/>
        <v>-14754.07457641299</v>
      </c>
      <c r="AR14" s="41"/>
    </row>
    <row r="15" spans="1:44" s="12" customFormat="1" ht="15" customHeight="1" x14ac:dyDescent="0.25">
      <c r="B15" s="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3"/>
    </row>
    <row r="16" spans="1:44" s="12" customFormat="1" ht="15" customHeight="1" x14ac:dyDescent="0.25">
      <c r="B16" t="s">
        <v>470</v>
      </c>
      <c r="C16" s="6">
        <f>IF(C11=0,0,+C11/C5)</f>
        <v>0</v>
      </c>
      <c r="D16" s="6">
        <f t="shared" ref="D16:K16" si="6">IF(D11=0,0,+D11/D5)</f>
        <v>0</v>
      </c>
      <c r="E16" s="6">
        <f t="shared" si="6"/>
        <v>0</v>
      </c>
      <c r="F16" s="6">
        <f t="shared" si="6"/>
        <v>0</v>
      </c>
      <c r="G16" s="6">
        <f t="shared" si="6"/>
        <v>0</v>
      </c>
      <c r="H16" s="6">
        <f t="shared" si="6"/>
        <v>0</v>
      </c>
      <c r="I16" s="6">
        <f t="shared" si="6"/>
        <v>0</v>
      </c>
      <c r="J16" s="6">
        <f t="shared" si="6"/>
        <v>8.9734529268731809</v>
      </c>
      <c r="K16" s="6">
        <f t="shared" si="6"/>
        <v>8.828137312194384</v>
      </c>
      <c r="L16" s="6">
        <f t="shared" ref="L16:AQ16" si="7">IF(L11=0,0,+L11/L5)</f>
        <v>8.7681069224361909</v>
      </c>
      <c r="M16" s="6">
        <f t="shared" si="7"/>
        <v>8.4555731505851188</v>
      </c>
      <c r="N16" s="6">
        <f t="shared" si="7"/>
        <v>8.6027465753734784</v>
      </c>
      <c r="O16" s="6">
        <f t="shared" si="7"/>
        <v>8.6622278869109408</v>
      </c>
      <c r="P16" s="6">
        <f t="shared" si="7"/>
        <v>8.5612155253541751</v>
      </c>
      <c r="Q16" s="6">
        <f t="shared" si="7"/>
        <v>8.3394794292112682</v>
      </c>
      <c r="R16" s="6">
        <f t="shared" si="7"/>
        <v>8.5451493318633638</v>
      </c>
      <c r="S16" s="6">
        <f t="shared" si="7"/>
        <v>8.3128942647812156</v>
      </c>
      <c r="T16" s="6">
        <f t="shared" si="7"/>
        <v>8.3218335254208995</v>
      </c>
      <c r="U16" s="6">
        <f t="shared" si="7"/>
        <v>8.3465123806542181</v>
      </c>
      <c r="V16" s="6">
        <f t="shared" si="7"/>
        <v>8.270695642864867</v>
      </c>
      <c r="W16" s="6">
        <f t="shared" si="7"/>
        <v>8.2461808847234579</v>
      </c>
      <c r="X16" s="6">
        <f t="shared" si="7"/>
        <v>8.2471760982113409</v>
      </c>
      <c r="Y16" s="6">
        <f t="shared" si="7"/>
        <v>8.2060486233745387</v>
      </c>
      <c r="Z16" s="6">
        <f t="shared" si="7"/>
        <v>8.1925505188754979</v>
      </c>
      <c r="AA16" s="6">
        <f t="shared" si="7"/>
        <v>8.1925505188754979</v>
      </c>
      <c r="AB16" s="6">
        <f t="shared" si="7"/>
        <v>8.1925505188754979</v>
      </c>
      <c r="AC16" s="6">
        <f t="shared" si="7"/>
        <v>8.1925505188754979</v>
      </c>
      <c r="AD16" s="6">
        <f t="shared" si="7"/>
        <v>8.1925505188754979</v>
      </c>
      <c r="AE16" s="6">
        <f t="shared" si="7"/>
        <v>8.1925505188754979</v>
      </c>
      <c r="AF16" s="6">
        <f t="shared" si="7"/>
        <v>8.1925505188754979</v>
      </c>
      <c r="AG16" s="6">
        <f t="shared" si="7"/>
        <v>8.1925505188754979</v>
      </c>
      <c r="AH16" s="6">
        <f t="shared" si="7"/>
        <v>8.1925505188754979</v>
      </c>
      <c r="AI16" s="6">
        <f t="shared" si="7"/>
        <v>8.1925505188754979</v>
      </c>
      <c r="AJ16" s="6">
        <f t="shared" si="7"/>
        <v>8.1925505188754979</v>
      </c>
      <c r="AK16" s="6">
        <f t="shared" si="7"/>
        <v>8.1925505188754979</v>
      </c>
      <c r="AL16" s="6">
        <f t="shared" si="7"/>
        <v>0</v>
      </c>
      <c r="AM16" s="6">
        <f t="shared" si="7"/>
        <v>0</v>
      </c>
      <c r="AN16" s="6">
        <f t="shared" si="7"/>
        <v>0</v>
      </c>
      <c r="AO16" s="6">
        <f t="shared" si="7"/>
        <v>0</v>
      </c>
      <c r="AP16" s="6">
        <f t="shared" si="7"/>
        <v>0</v>
      </c>
      <c r="AQ16" s="6">
        <f t="shared" si="7"/>
        <v>8.4604300240146451</v>
      </c>
    </row>
    <row r="17" spans="1:44" s="12" customFormat="1" ht="15" customHeight="1" x14ac:dyDescent="0.25">
      <c r="B17" t="s">
        <v>471</v>
      </c>
      <c r="C17" s="6">
        <f>IF(C6=0,0,+C12/C6)</f>
        <v>0</v>
      </c>
      <c r="D17" s="6">
        <f t="shared" ref="D17:AQ17" si="8">IF(D6=0,0,+D12/D6)</f>
        <v>0</v>
      </c>
      <c r="E17" s="6">
        <f t="shared" si="8"/>
        <v>0</v>
      </c>
      <c r="F17" s="6">
        <f t="shared" si="8"/>
        <v>0</v>
      </c>
      <c r="G17" s="6">
        <f t="shared" si="8"/>
        <v>0</v>
      </c>
      <c r="H17" s="6">
        <f t="shared" si="8"/>
        <v>0</v>
      </c>
      <c r="I17" s="6">
        <f t="shared" si="8"/>
        <v>0</v>
      </c>
      <c r="J17" s="6">
        <f t="shared" si="8"/>
        <v>0</v>
      </c>
      <c r="K17" s="6">
        <f t="shared" si="8"/>
        <v>8.0686878208169794</v>
      </c>
      <c r="L17" s="6">
        <f t="shared" si="8"/>
        <v>8.5631536074476333</v>
      </c>
      <c r="M17" s="6">
        <f t="shared" si="8"/>
        <v>8.4247433006296681</v>
      </c>
      <c r="N17" s="6">
        <f t="shared" si="8"/>
        <v>8.6260570905035063</v>
      </c>
      <c r="O17" s="6">
        <f t="shared" si="8"/>
        <v>8.987080670209961</v>
      </c>
      <c r="P17" s="6">
        <f t="shared" si="8"/>
        <v>8.0119266633214394</v>
      </c>
      <c r="Q17" s="6">
        <f t="shared" si="8"/>
        <v>8.7800704171022748</v>
      </c>
      <c r="R17" s="6">
        <f t="shared" si="8"/>
        <v>8.6587056383430507</v>
      </c>
      <c r="S17" s="6">
        <f t="shared" si="8"/>
        <v>8.6910708920363238</v>
      </c>
      <c r="T17" s="6">
        <f t="shared" si="8"/>
        <v>8.6755968048221899</v>
      </c>
      <c r="U17" s="6">
        <f t="shared" si="8"/>
        <v>8.7321177320008179</v>
      </c>
      <c r="V17" s="6">
        <f t="shared" si="8"/>
        <v>8.7667572355570265</v>
      </c>
      <c r="W17" s="6">
        <f t="shared" si="8"/>
        <v>8.7000725322978667</v>
      </c>
      <c r="X17" s="6">
        <f t="shared" si="8"/>
        <v>8.1680708978956638</v>
      </c>
      <c r="Y17" s="6">
        <f t="shared" si="8"/>
        <v>8.4186459942133105</v>
      </c>
      <c r="Z17" s="6">
        <f t="shared" si="8"/>
        <v>8.047265271966527</v>
      </c>
      <c r="AA17" s="6">
        <f t="shared" si="8"/>
        <v>8.0798793434499867</v>
      </c>
      <c r="AB17" s="6">
        <f t="shared" si="8"/>
        <v>7.7143997021038917</v>
      </c>
      <c r="AC17" s="6">
        <f t="shared" si="8"/>
        <v>7.9049419858502068</v>
      </c>
      <c r="AD17" s="6">
        <f t="shared" si="8"/>
        <v>7.4210813572149341</v>
      </c>
      <c r="AE17" s="6">
        <f t="shared" si="8"/>
        <v>8.494828587699315</v>
      </c>
      <c r="AF17" s="6">
        <f t="shared" si="8"/>
        <v>8.1810171163575038</v>
      </c>
      <c r="AG17" s="6">
        <f t="shared" si="8"/>
        <v>7.0887620935210345</v>
      </c>
      <c r="AH17" s="6">
        <f t="shared" si="8"/>
        <v>8.6394525743453165</v>
      </c>
      <c r="AI17" s="6">
        <f t="shared" si="8"/>
        <v>8.7104038080895023</v>
      </c>
      <c r="AJ17" s="6">
        <f t="shared" si="8"/>
        <v>8.2383215410813122</v>
      </c>
      <c r="AK17" s="6">
        <f t="shared" si="8"/>
        <v>8.5199470755252698</v>
      </c>
      <c r="AL17" s="6">
        <f t="shared" si="8"/>
        <v>8.077348643006264</v>
      </c>
      <c r="AM17" s="6">
        <f t="shared" si="8"/>
        <v>8.0439046121593289</v>
      </c>
      <c r="AN17" s="6">
        <f t="shared" si="8"/>
        <v>0</v>
      </c>
      <c r="AO17" s="6">
        <f t="shared" si="8"/>
        <v>0</v>
      </c>
      <c r="AP17" s="6">
        <f t="shared" si="8"/>
        <v>0</v>
      </c>
      <c r="AQ17" s="6">
        <f t="shared" si="8"/>
        <v>8.4796955350055754</v>
      </c>
    </row>
    <row r="18" spans="1:44" ht="15" customHeight="1" x14ac:dyDescent="0.25"/>
    <row r="19" spans="1:44" ht="15" customHeight="1" x14ac:dyDescent="0.25">
      <c r="A19" s="31" t="s">
        <v>306</v>
      </c>
    </row>
    <row r="20" spans="1:44" ht="15" customHeight="1" x14ac:dyDescent="0.25">
      <c r="B20" t="s">
        <v>182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f>+Budget!K47</f>
        <v>92938.70930435574</v>
      </c>
      <c r="L20" s="1">
        <f>+Budget!L47</f>
        <v>92615.300284774945</v>
      </c>
      <c r="M20" s="1">
        <f>+Budget!M47</f>
        <v>154845.1933400064</v>
      </c>
      <c r="N20" s="1">
        <f>+Budget!N47</f>
        <v>232083.33357593481</v>
      </c>
      <c r="O20" s="1">
        <f>+Budget!O47</f>
        <v>213425.81703461986</v>
      </c>
      <c r="P20" s="1">
        <f>+Budget!P47</f>
        <v>294370.644672675</v>
      </c>
      <c r="Q20" s="1">
        <f>+Budget!Q47</f>
        <v>349696.42173147958</v>
      </c>
      <c r="R20" s="1">
        <f>+Budget!R47</f>
        <v>267745.48785585334</v>
      </c>
      <c r="S20" s="1">
        <f>+Budget!S47</f>
        <v>394447.12019476079</v>
      </c>
      <c r="T20" s="1">
        <f>+Budget!T47</f>
        <v>248385.5929993391</v>
      </c>
      <c r="U20" s="1">
        <f>+Budget!U47</f>
        <v>239822.38513793889</v>
      </c>
      <c r="V20" s="1">
        <f>+Budget!V47</f>
        <v>195524.19354642049</v>
      </c>
      <c r="W20" s="1">
        <f>+Budget!W47</f>
        <v>110268.39582476078</v>
      </c>
      <c r="X20" s="1">
        <f>+Budget!X47</f>
        <v>72618.257548436683</v>
      </c>
      <c r="Y20" s="1">
        <f>+Budget!Y47</f>
        <v>42994.201587426505</v>
      </c>
      <c r="Z20" s="1">
        <f>+Budget!Z47</f>
        <v>18562.706234035224</v>
      </c>
      <c r="AA20" s="1">
        <f>+Budget!AA47</f>
        <v>3283.9460216182147</v>
      </c>
      <c r="AB20" s="1">
        <f>+Budget!AB47</f>
        <v>1013.393105563717</v>
      </c>
      <c r="AC20" s="1">
        <f>+Budget!AC47</f>
        <v>0</v>
      </c>
      <c r="AD20" s="1">
        <f>+Budget!AD47</f>
        <v>0</v>
      </c>
      <c r="AE20" s="1">
        <f>+Budget!AE47</f>
        <v>0</v>
      </c>
      <c r="AF20" s="1">
        <f>+Budget!AF47</f>
        <v>0</v>
      </c>
      <c r="AG20" s="1">
        <f>+Budget!AG47</f>
        <v>0</v>
      </c>
      <c r="AH20" s="1">
        <f>+Budget!AH47</f>
        <v>0</v>
      </c>
      <c r="AI20" s="1">
        <f>+Budget!AI47</f>
        <v>0</v>
      </c>
      <c r="AJ20" s="1">
        <f>+Budget!AJ47</f>
        <v>0</v>
      </c>
      <c r="AK20" s="1">
        <f>+Budget!AK47</f>
        <v>0</v>
      </c>
      <c r="AL20" s="1">
        <f>+Budget!AL47</f>
        <v>0</v>
      </c>
      <c r="AM20" s="1">
        <f>+Budget!AM47</f>
        <v>0</v>
      </c>
      <c r="AN20" s="1">
        <f>+Budget!AN47</f>
        <v>0</v>
      </c>
      <c r="AO20" s="1">
        <f>+Budget!AO47</f>
        <v>0</v>
      </c>
      <c r="AP20" s="1">
        <f>+Budget!AP47</f>
        <v>0</v>
      </c>
      <c r="AQ20" s="1">
        <f>SUM(C20:AP20)</f>
        <v>3024641.0999999996</v>
      </c>
    </row>
    <row r="21" spans="1:44" ht="15" customHeight="1" x14ac:dyDescent="0.25">
      <c r="B21" t="s">
        <v>89</v>
      </c>
      <c r="C21" s="1">
        <f>+PassVol!D554-C36</f>
        <v>0</v>
      </c>
      <c r="D21" s="1">
        <f>+PassVol!E554-D36</f>
        <v>0</v>
      </c>
      <c r="E21" s="1">
        <f>+PassVol!F554-E36</f>
        <v>0</v>
      </c>
      <c r="F21" s="1">
        <f>+PassVol!G554-F36</f>
        <v>0</v>
      </c>
      <c r="G21" s="1">
        <f>+PassVol!H554-G36</f>
        <v>0</v>
      </c>
      <c r="H21" s="1">
        <f>+PassVol!I554-H36</f>
        <v>0</v>
      </c>
      <c r="I21" s="1">
        <f>+PassVol!J554-I36</f>
        <v>0</v>
      </c>
      <c r="J21" s="1">
        <f>+PassVol!K554-J36</f>
        <v>0</v>
      </c>
      <c r="K21" s="1">
        <f>+PassVol!L554-K36</f>
        <v>26874</v>
      </c>
      <c r="L21" s="1">
        <f>+PassVol!M554-L36</f>
        <v>159642</v>
      </c>
      <c r="M21" s="1">
        <f>+PassVol!N554-M36</f>
        <v>102996</v>
      </c>
      <c r="N21" s="1">
        <f>+PassVol!O554-N36</f>
        <v>150318</v>
      </c>
      <c r="O21" s="1">
        <f>+PassVol!P554-O36</f>
        <v>236610</v>
      </c>
      <c r="P21" s="1">
        <f>+PassVol!Q554-P36</f>
        <v>322338</v>
      </c>
      <c r="Q21" s="1">
        <f>+PassVol!R554-Q36</f>
        <v>347744</v>
      </c>
      <c r="R21" s="1">
        <f>+PassVol!S554-R36</f>
        <v>340642</v>
      </c>
      <c r="S21" s="1">
        <f>+PassVol!T554-S36</f>
        <v>352852</v>
      </c>
      <c r="T21" s="1">
        <f>+PassVol!U554-T36</f>
        <v>341982</v>
      </c>
      <c r="U21" s="1">
        <f>+PassVol!V554-U36</f>
        <v>228962</v>
      </c>
      <c r="V21" s="1">
        <f>+PassVol!W554-V36</f>
        <v>237588</v>
      </c>
      <c r="W21" s="1">
        <f>+PassVol!X554-W36</f>
        <v>211410</v>
      </c>
      <c r="X21" s="1">
        <f>+PassVol!Y554-X36</f>
        <v>143170</v>
      </c>
      <c r="Y21" s="1">
        <f>+PassVol!Z554-Y36</f>
        <v>49374</v>
      </c>
      <c r="Z21" s="1">
        <f>+PassVol!AA554-Z36</f>
        <v>28908</v>
      </c>
      <c r="AA21" s="1">
        <f>+PassVol!AB554-AA36</f>
        <v>11106</v>
      </c>
      <c r="AB21" s="1">
        <f>+PassVol!AC554-AB36</f>
        <v>1062</v>
      </c>
      <c r="AC21" s="1">
        <f>+PassVol!AD554-AC36</f>
        <v>162</v>
      </c>
      <c r="AD21" s="1">
        <f>+PassVol!AE554-AD36</f>
        <v>0</v>
      </c>
      <c r="AE21" s="1">
        <f>+PassVol!AF554-AE36</f>
        <v>0</v>
      </c>
      <c r="AF21" s="1">
        <f>+PassVol!AG554-AF36</f>
        <v>0</v>
      </c>
      <c r="AG21" s="1">
        <f>+PassVol!AH554-AG36</f>
        <v>0</v>
      </c>
      <c r="AH21" s="1">
        <f>+PassVol!AI554-AH36</f>
        <v>0</v>
      </c>
      <c r="AI21" s="1">
        <f>+PassVol!AJ554-AI36</f>
        <v>0</v>
      </c>
      <c r="AJ21" s="1">
        <f>+PassVol!AK554-AJ36</f>
        <v>0</v>
      </c>
      <c r="AK21" s="1">
        <f>+PassVol!AL554-AK36</f>
        <v>0</v>
      </c>
      <c r="AL21" s="1">
        <f>+PassVol!AM554-AL36</f>
        <v>0</v>
      </c>
      <c r="AM21" s="1">
        <f>+PassVol!AN554-AM36</f>
        <v>0</v>
      </c>
      <c r="AN21" s="1">
        <f>+PassVol!AO554-AN36</f>
        <v>0</v>
      </c>
      <c r="AO21" s="1">
        <f>+PassVol!AP554-AO36</f>
        <v>0</v>
      </c>
      <c r="AP21" s="1">
        <f>+PassVol!AQ554-AP36</f>
        <v>0</v>
      </c>
      <c r="AQ21" s="1">
        <f>SUM(C21:AP21)</f>
        <v>3293740</v>
      </c>
      <c r="AR21" s="57">
        <f>+AQ21/AQ20</f>
        <v>1.0889688697280482</v>
      </c>
    </row>
    <row r="22" spans="1:44" s="24" customFormat="1" ht="15" customHeight="1" x14ac:dyDescent="0.25">
      <c r="B22" s="24" t="s">
        <v>189</v>
      </c>
      <c r="C22" s="25">
        <f>+C21-C20</f>
        <v>0</v>
      </c>
      <c r="D22" s="25">
        <f t="shared" ref="D22:J22" si="9">+D21-D20</f>
        <v>0</v>
      </c>
      <c r="E22" s="25">
        <f t="shared" si="9"/>
        <v>0</v>
      </c>
      <c r="F22" s="25">
        <f t="shared" si="9"/>
        <v>0</v>
      </c>
      <c r="G22" s="25">
        <f t="shared" si="9"/>
        <v>0</v>
      </c>
      <c r="H22" s="25">
        <f t="shared" si="9"/>
        <v>0</v>
      </c>
      <c r="I22" s="25">
        <f t="shared" si="9"/>
        <v>0</v>
      </c>
      <c r="J22" s="25">
        <f t="shared" si="9"/>
        <v>0</v>
      </c>
      <c r="K22" s="25">
        <f>+K21-K20</f>
        <v>-66064.70930435574</v>
      </c>
      <c r="L22" s="25">
        <f>+L21-L20</f>
        <v>67026.699715225055</v>
      </c>
      <c r="M22" s="25">
        <f t="shared" ref="M22:AP22" si="10">+M21-M20</f>
        <v>-51849.193340006401</v>
      </c>
      <c r="N22" s="25">
        <f t="shared" si="10"/>
        <v>-81765.333575934812</v>
      </c>
      <c r="O22" s="25">
        <f t="shared" si="10"/>
        <v>23184.18296538014</v>
      </c>
      <c r="P22" s="25">
        <f t="shared" si="10"/>
        <v>27967.355327325</v>
      </c>
      <c r="Q22" s="25">
        <f t="shared" si="10"/>
        <v>-1952.4217314795824</v>
      </c>
      <c r="R22" s="25">
        <f t="shared" si="10"/>
        <v>72896.512144146662</v>
      </c>
      <c r="S22" s="25">
        <f t="shared" si="10"/>
        <v>-41595.120194760791</v>
      </c>
      <c r="T22" s="25">
        <f t="shared" si="10"/>
        <v>93596.407000660896</v>
      </c>
      <c r="U22" s="25">
        <f t="shared" si="10"/>
        <v>-10860.385137938894</v>
      </c>
      <c r="V22" s="25">
        <f t="shared" si="10"/>
        <v>42063.806453579513</v>
      </c>
      <c r="W22" s="25">
        <f t="shared" si="10"/>
        <v>101141.60417523922</v>
      </c>
      <c r="X22" s="25">
        <f t="shared" si="10"/>
        <v>70551.742451563317</v>
      </c>
      <c r="Y22" s="25">
        <f t="shared" si="10"/>
        <v>6379.7984125734947</v>
      </c>
      <c r="Z22" s="25">
        <f t="shared" si="10"/>
        <v>10345.293765964776</v>
      </c>
      <c r="AA22" s="25">
        <f t="shared" si="10"/>
        <v>7822.0539783817858</v>
      </c>
      <c r="AB22" s="25">
        <f t="shared" si="10"/>
        <v>48.606894436283028</v>
      </c>
      <c r="AC22" s="25">
        <f t="shared" si="10"/>
        <v>162</v>
      </c>
      <c r="AD22" s="25">
        <f t="shared" si="10"/>
        <v>0</v>
      </c>
      <c r="AE22" s="25">
        <f t="shared" si="10"/>
        <v>0</v>
      </c>
      <c r="AF22" s="25">
        <f t="shared" si="10"/>
        <v>0</v>
      </c>
      <c r="AG22" s="25">
        <f t="shared" si="10"/>
        <v>0</v>
      </c>
      <c r="AH22" s="25">
        <f t="shared" si="10"/>
        <v>0</v>
      </c>
      <c r="AI22" s="25">
        <f t="shared" si="10"/>
        <v>0</v>
      </c>
      <c r="AJ22" s="25">
        <f t="shared" si="10"/>
        <v>0</v>
      </c>
      <c r="AK22" s="25">
        <f t="shared" si="10"/>
        <v>0</v>
      </c>
      <c r="AL22" s="25">
        <f t="shared" si="10"/>
        <v>0</v>
      </c>
      <c r="AM22" s="25">
        <f t="shared" si="10"/>
        <v>0</v>
      </c>
      <c r="AN22" s="25">
        <f t="shared" si="10"/>
        <v>0</v>
      </c>
      <c r="AO22" s="25">
        <f t="shared" si="10"/>
        <v>0</v>
      </c>
      <c r="AP22" s="25">
        <f t="shared" si="10"/>
        <v>0</v>
      </c>
      <c r="AQ22" s="25">
        <f>SUM(C22:AP22)</f>
        <v>269098.89999999991</v>
      </c>
    </row>
    <row r="23" spans="1:44" s="24" customFormat="1" ht="15" customHeight="1" x14ac:dyDescent="0.25">
      <c r="B23" s="24" t="s">
        <v>158</v>
      </c>
      <c r="C23" s="25">
        <f>+C22</f>
        <v>0</v>
      </c>
      <c r="D23" s="25">
        <f>+C23+D22</f>
        <v>0</v>
      </c>
      <c r="E23" s="25">
        <f t="shared" ref="E23:K23" si="11">+D23+E22</f>
        <v>0</v>
      </c>
      <c r="F23" s="25">
        <f t="shared" si="11"/>
        <v>0</v>
      </c>
      <c r="G23" s="25">
        <f t="shared" si="11"/>
        <v>0</v>
      </c>
      <c r="H23" s="25">
        <f t="shared" si="11"/>
        <v>0</v>
      </c>
      <c r="I23" s="25">
        <f t="shared" si="11"/>
        <v>0</v>
      </c>
      <c r="J23" s="25">
        <f t="shared" si="11"/>
        <v>0</v>
      </c>
      <c r="K23" s="25">
        <f t="shared" si="11"/>
        <v>-66064.70930435574</v>
      </c>
      <c r="L23" s="25">
        <f>+K23+L22</f>
        <v>961.99041086931538</v>
      </c>
      <c r="M23" s="25">
        <f t="shared" ref="M23" si="12">+L23+M22</f>
        <v>-50887.202929137085</v>
      </c>
      <c r="N23" s="25">
        <f t="shared" ref="N23" si="13">+M23+N22</f>
        <v>-132652.53650507191</v>
      </c>
      <c r="O23" s="25">
        <f t="shared" ref="O23" si="14">+N23+O22</f>
        <v>-109468.35353969177</v>
      </c>
      <c r="P23" s="25">
        <f t="shared" ref="P23" si="15">+O23+P22</f>
        <v>-81500.998212366772</v>
      </c>
      <c r="Q23" s="25">
        <f t="shared" ref="Q23" si="16">+P23+Q22</f>
        <v>-83453.419943846355</v>
      </c>
      <c r="R23" s="25">
        <f t="shared" ref="R23" si="17">+Q23+R22</f>
        <v>-10556.907799699693</v>
      </c>
      <c r="S23" s="25">
        <f t="shared" ref="S23" si="18">+R23+S22</f>
        <v>-52152.027994460484</v>
      </c>
      <c r="T23" s="25">
        <f t="shared" ref="T23:V23" si="19">+S23+T22</f>
        <v>41444.379006200412</v>
      </c>
      <c r="U23" s="25">
        <f t="shared" si="19"/>
        <v>30583.993868261517</v>
      </c>
      <c r="V23" s="25">
        <f t="shared" si="19"/>
        <v>72647.80032184103</v>
      </c>
      <c r="W23" s="25">
        <f t="shared" ref="W23" si="20">+V23+W22</f>
        <v>173789.40449708025</v>
      </c>
      <c r="X23" s="25">
        <f t="shared" ref="X23" si="21">+W23+X22</f>
        <v>244341.14694864355</v>
      </c>
      <c r="Y23" s="25">
        <f t="shared" ref="Y23" si="22">+X23+Y22</f>
        <v>250720.94536121705</v>
      </c>
      <c r="Z23" s="25">
        <f t="shared" ref="Z23" si="23">+Y23+Z22</f>
        <v>261066.23912718182</v>
      </c>
      <c r="AA23" s="25">
        <f t="shared" ref="AA23" si="24">+Z23+AA22</f>
        <v>268888.29310556361</v>
      </c>
      <c r="AB23" s="25">
        <f t="shared" ref="AB23" si="25">+AA23+AB22</f>
        <v>268936.89999999991</v>
      </c>
      <c r="AC23" s="25">
        <f t="shared" ref="AC23:AE23" si="26">+AB23+AC22</f>
        <v>269098.89999999991</v>
      </c>
      <c r="AD23" s="25">
        <f t="shared" si="26"/>
        <v>269098.89999999991</v>
      </c>
      <c r="AE23" s="25">
        <f t="shared" si="26"/>
        <v>269098.89999999991</v>
      </c>
      <c r="AF23" s="25">
        <f t="shared" ref="AF23" si="27">+AE23+AF22</f>
        <v>269098.89999999991</v>
      </c>
      <c r="AG23" s="25">
        <f t="shared" ref="AG23" si="28">+AF23+AG22</f>
        <v>269098.89999999991</v>
      </c>
      <c r="AH23" s="25">
        <f t="shared" ref="AH23" si="29">+AG23+AH22</f>
        <v>269098.89999999991</v>
      </c>
      <c r="AI23" s="25">
        <f t="shared" ref="AI23" si="30">+AH23+AI22</f>
        <v>269098.89999999991</v>
      </c>
      <c r="AJ23" s="25">
        <f t="shared" ref="AJ23" si="31">+AI23+AJ22</f>
        <v>269098.89999999991</v>
      </c>
      <c r="AK23" s="25">
        <f t="shared" ref="AK23" si="32">+AJ23+AK22</f>
        <v>269098.89999999991</v>
      </c>
      <c r="AL23" s="25">
        <f t="shared" ref="AL23:AN23" si="33">+AK23+AL22</f>
        <v>269098.89999999991</v>
      </c>
      <c r="AM23" s="25">
        <f t="shared" si="33"/>
        <v>269098.89999999991</v>
      </c>
      <c r="AN23" s="25">
        <f t="shared" si="33"/>
        <v>269098.89999999991</v>
      </c>
      <c r="AO23" s="25">
        <f t="shared" ref="AO23" si="34">+AN23+AO22</f>
        <v>269098.89999999991</v>
      </c>
      <c r="AP23" s="25">
        <f t="shared" ref="AP23" si="35">+AO23+AP22</f>
        <v>269098.89999999991</v>
      </c>
      <c r="AQ23" s="25"/>
    </row>
    <row r="24" spans="1:44" ht="15" customHeight="1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4" ht="15" customHeight="1" x14ac:dyDescent="0.25">
      <c r="A25" s="31" t="s">
        <v>68</v>
      </c>
    </row>
    <row r="26" spans="1:44" ht="15" customHeight="1" x14ac:dyDescent="0.25">
      <c r="A26" s="31"/>
      <c r="B26" t="s">
        <v>121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f>+Budget!K70</f>
        <v>77580.804110443918</v>
      </c>
      <c r="L26" s="1">
        <f>+Budget!L70</f>
        <v>71090.450906299709</v>
      </c>
      <c r="M26" s="1">
        <f>+Budget!M70</f>
        <v>120863.89698579008</v>
      </c>
      <c r="N26" s="1">
        <f>+Budget!N70</f>
        <v>169947.14567776152</v>
      </c>
      <c r="O26" s="1">
        <f>+Budget!O70</f>
        <v>159584.50888536568</v>
      </c>
      <c r="P26" s="1">
        <f>+Budget!P70</f>
        <v>425845.03607202525</v>
      </c>
      <c r="Q26" s="1">
        <f>+Budget!Q70</f>
        <v>335319.50584017119</v>
      </c>
      <c r="R26" s="1">
        <f>+Budget!R70</f>
        <v>400898.96424075717</v>
      </c>
      <c r="S26" s="1">
        <f>+Budget!S70</f>
        <v>392868.88577591913</v>
      </c>
      <c r="T26" s="1">
        <f>+Budget!T70</f>
        <v>201045.13103545306</v>
      </c>
      <c r="U26" s="1">
        <f>+Budget!U70</f>
        <v>191402.47134850625</v>
      </c>
      <c r="V26" s="1">
        <f>+Budget!V70</f>
        <v>180321.08594492608</v>
      </c>
      <c r="W26" s="1">
        <f>+Budget!W70</f>
        <v>82525.675843945137</v>
      </c>
      <c r="X26" s="1">
        <f>+Budget!X70</f>
        <v>52166.965522542385</v>
      </c>
      <c r="Y26" s="1">
        <f>+Budget!Y70</f>
        <v>30901.630009007255</v>
      </c>
      <c r="Z26" s="1">
        <f>+Budget!Z70</f>
        <v>13289.910996102673</v>
      </c>
      <c r="AA26" s="1">
        <f>+Budget!AA70</f>
        <v>2418.9624901881089</v>
      </c>
      <c r="AB26" s="1">
        <f>+Budget!AB70</f>
        <v>792.71269705018108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f>SUM(C26:AP26)</f>
        <v>2908863.7443822548</v>
      </c>
      <c r="AR26" s="119">
        <f>+AQ26/AQ$49</f>
        <v>0.36838710853930257</v>
      </c>
    </row>
    <row r="27" spans="1:44" ht="15" customHeight="1" x14ac:dyDescent="0.25">
      <c r="B27" t="s">
        <v>89</v>
      </c>
      <c r="C27" s="1">
        <f>+Accrualpot!D70</f>
        <v>0</v>
      </c>
      <c r="D27" s="1">
        <f>+Accrualpot!E70</f>
        <v>0</v>
      </c>
      <c r="E27" s="1">
        <f>+Accrualpot!F70</f>
        <v>0</v>
      </c>
      <c r="F27" s="1">
        <f>+Accrualpot!G70</f>
        <v>0</v>
      </c>
      <c r="G27" s="1">
        <f>+Accrualpot!H70</f>
        <v>0</v>
      </c>
      <c r="H27" s="1">
        <f>+Accrualpot!I70</f>
        <v>0</v>
      </c>
      <c r="I27" s="1">
        <f>+Accrualpot!J70</f>
        <v>0</v>
      </c>
      <c r="J27" s="1">
        <f>+Accrualpot!K70</f>
        <v>0</v>
      </c>
      <c r="K27" s="1">
        <f>+Accrualpot!L70</f>
        <v>28766.512800000004</v>
      </c>
      <c r="L27" s="1">
        <f>+Accrualpot!M70</f>
        <v>128541.15330000001</v>
      </c>
      <c r="M27" s="1">
        <f>+Accrualpot!N70</f>
        <v>77149.156700000007</v>
      </c>
      <c r="N27" s="1">
        <f>+Accrualpot!O70</f>
        <v>120009.66344999999</v>
      </c>
      <c r="O27" s="1">
        <f>+Accrualpot!P70</f>
        <v>189731.80790000001</v>
      </c>
      <c r="P27" s="1">
        <f>+Accrualpot!Q70</f>
        <v>430842.23804999999</v>
      </c>
      <c r="Q27" s="1">
        <f>+Accrualpot!R70</f>
        <v>346250.85239999997</v>
      </c>
      <c r="R27" s="1">
        <f>+Accrualpot!S70</f>
        <v>373575.96189999999</v>
      </c>
      <c r="S27" s="1">
        <f>+Accrualpot!T70</f>
        <v>353023.72204999998</v>
      </c>
      <c r="T27" s="1">
        <f>+Accrualpot!U70</f>
        <v>334192.64840000006</v>
      </c>
      <c r="U27" s="1">
        <f>+Accrualpot!V70</f>
        <v>179380.2267</v>
      </c>
      <c r="V27" s="1">
        <f>+Accrualpot!W70</f>
        <v>203487.68949999998</v>
      </c>
      <c r="W27" s="1">
        <f>+Accrualpot!X70</f>
        <v>147322.4154</v>
      </c>
      <c r="X27" s="1">
        <f>+Accrualpot!Y70</f>
        <v>112830.10209999999</v>
      </c>
      <c r="Y27" s="1">
        <f>+Accrualpot!Z70</f>
        <v>29688.575800000002</v>
      </c>
      <c r="Z27" s="1">
        <f>+Accrualpot!AA70</f>
        <v>17327.264600000002</v>
      </c>
      <c r="AA27" s="1">
        <f>+Accrualpot!AB70</f>
        <v>5735.7881499999994</v>
      </c>
      <c r="AB27" s="1">
        <f>+Accrualpot!AC70</f>
        <v>75.68040000000002</v>
      </c>
      <c r="AC27" s="1">
        <f>+Accrualpot!AD70</f>
        <v>-306.21009999999995</v>
      </c>
      <c r="AD27" s="1">
        <f>+Accrualpot!AE70</f>
        <v>-580.63400000000001</v>
      </c>
      <c r="AE27" s="1">
        <f>+Accrualpot!AF70</f>
        <v>-128.41800000000001</v>
      </c>
      <c r="AF27" s="1">
        <f>+Accrualpot!AG70</f>
        <v>-795.56155000000001</v>
      </c>
      <c r="AG27" s="1">
        <f>+Accrualpot!AH70</f>
        <v>0</v>
      </c>
      <c r="AH27" s="1">
        <f>+Accrualpot!AI70</f>
        <v>-863.7829999999999</v>
      </c>
      <c r="AI27" s="1">
        <f>+Accrualpot!AJ70</f>
        <v>-13.337999999999999</v>
      </c>
      <c r="AJ27" s="1">
        <f>+Accrualpot!AK70</f>
        <v>-252.423</v>
      </c>
      <c r="AK27" s="1">
        <f>+Accrualpot!AL70</f>
        <v>0</v>
      </c>
      <c r="AL27" s="1">
        <f>+Accrualpot!AM70</f>
        <v>-13.312199999999999</v>
      </c>
      <c r="AM27" s="1">
        <f>+Accrualpot!AN70</f>
        <v>-438.10199999999998</v>
      </c>
      <c r="AN27" s="1">
        <f>+Accrualpot!AO70</f>
        <v>0</v>
      </c>
      <c r="AO27" s="1">
        <f>+Accrualpot!AP70</f>
        <v>-10.49025</v>
      </c>
      <c r="AP27" s="1">
        <f>+Accrualpot!AQ70</f>
        <v>-84.483000000000004</v>
      </c>
      <c r="AQ27" s="1">
        <f>SUM(C27:AP27)</f>
        <v>3074444.7045</v>
      </c>
      <c r="AR27" s="57">
        <f>+AQ27/AQ26</f>
        <v>1.0569229000284126</v>
      </c>
    </row>
    <row r="28" spans="1:44" s="24" customFormat="1" ht="15" customHeight="1" x14ac:dyDescent="0.25">
      <c r="B28" s="24" t="s">
        <v>189</v>
      </c>
      <c r="C28" s="25">
        <f t="shared" ref="C28:P28" si="36">+C27-C26</f>
        <v>0</v>
      </c>
      <c r="D28" s="25">
        <f t="shared" si="36"/>
        <v>0</v>
      </c>
      <c r="E28" s="25">
        <f t="shared" si="36"/>
        <v>0</v>
      </c>
      <c r="F28" s="25">
        <f t="shared" si="36"/>
        <v>0</v>
      </c>
      <c r="G28" s="25">
        <f t="shared" si="36"/>
        <v>0</v>
      </c>
      <c r="H28" s="25">
        <f t="shared" si="36"/>
        <v>0</v>
      </c>
      <c r="I28" s="25">
        <f t="shared" si="36"/>
        <v>0</v>
      </c>
      <c r="J28" s="25">
        <f>+J27-J26</f>
        <v>0</v>
      </c>
      <c r="K28" s="25">
        <f>+K27-K26</f>
        <v>-48814.291310443914</v>
      </c>
      <c r="L28" s="25">
        <f>+L27-L26</f>
        <v>57450.702393700296</v>
      </c>
      <c r="M28" s="25">
        <f t="shared" si="36"/>
        <v>-43714.740285790074</v>
      </c>
      <c r="N28" s="25">
        <f t="shared" si="36"/>
        <v>-49937.482227761531</v>
      </c>
      <c r="O28" s="25">
        <f t="shared" si="36"/>
        <v>30147.299014634336</v>
      </c>
      <c r="P28" s="25">
        <f t="shared" si="36"/>
        <v>4997.2019779747352</v>
      </c>
      <c r="Q28" s="25">
        <f t="shared" ref="Q28:AC28" si="37">+Q27-Q26</f>
        <v>10931.346559828788</v>
      </c>
      <c r="R28" s="25">
        <f t="shared" si="37"/>
        <v>-27323.002340757172</v>
      </c>
      <c r="S28" s="25">
        <f t="shared" si="37"/>
        <v>-39845.163725919148</v>
      </c>
      <c r="T28" s="25">
        <f t="shared" si="37"/>
        <v>133147.51736454701</v>
      </c>
      <c r="U28" s="25">
        <f t="shared" si="37"/>
        <v>-12022.244648506254</v>
      </c>
      <c r="V28" s="25">
        <f t="shared" si="37"/>
        <v>23166.603555073903</v>
      </c>
      <c r="W28" s="25">
        <f t="shared" si="37"/>
        <v>64796.739556054861</v>
      </c>
      <c r="X28" s="25">
        <f t="shared" si="37"/>
        <v>60663.136577457604</v>
      </c>
      <c r="Y28" s="25">
        <f t="shared" si="37"/>
        <v>-1213.0542090072522</v>
      </c>
      <c r="Z28" s="25">
        <f t="shared" si="37"/>
        <v>4037.3536038973289</v>
      </c>
      <c r="AA28" s="25">
        <f t="shared" si="37"/>
        <v>3316.8256598118905</v>
      </c>
      <c r="AB28" s="25">
        <f t="shared" si="37"/>
        <v>-717.03229705018111</v>
      </c>
      <c r="AC28" s="25">
        <f t="shared" si="37"/>
        <v>-306.21009999999995</v>
      </c>
      <c r="AD28" s="25">
        <f t="shared" ref="AD28:AP28" si="38">+AD27-AD26</f>
        <v>-580.63400000000001</v>
      </c>
      <c r="AE28" s="25">
        <f t="shared" si="38"/>
        <v>-128.41800000000001</v>
      </c>
      <c r="AF28" s="25">
        <f t="shared" si="38"/>
        <v>-795.56155000000001</v>
      </c>
      <c r="AG28" s="25">
        <f t="shared" si="38"/>
        <v>0</v>
      </c>
      <c r="AH28" s="25">
        <f t="shared" si="38"/>
        <v>-863.7829999999999</v>
      </c>
      <c r="AI28" s="25">
        <f t="shared" si="38"/>
        <v>-13.337999999999999</v>
      </c>
      <c r="AJ28" s="25">
        <f t="shared" si="38"/>
        <v>-252.423</v>
      </c>
      <c r="AK28" s="25">
        <f t="shared" si="38"/>
        <v>0</v>
      </c>
      <c r="AL28" s="25">
        <f t="shared" si="38"/>
        <v>-13.312199999999999</v>
      </c>
      <c r="AM28" s="25">
        <f t="shared" si="38"/>
        <v>-438.10199999999998</v>
      </c>
      <c r="AN28" s="25">
        <f t="shared" si="38"/>
        <v>0</v>
      </c>
      <c r="AO28" s="25">
        <f t="shared" si="38"/>
        <v>-10.49025</v>
      </c>
      <c r="AP28" s="25">
        <f t="shared" si="38"/>
        <v>-84.483000000000004</v>
      </c>
      <c r="AQ28" s="25">
        <f>SUM(C28:AP28)</f>
        <v>165580.96011774524</v>
      </c>
    </row>
    <row r="29" spans="1:44" s="24" customFormat="1" ht="15" customHeight="1" x14ac:dyDescent="0.25">
      <c r="B29" s="24" t="s">
        <v>158</v>
      </c>
      <c r="C29" s="25">
        <f>+C28</f>
        <v>0</v>
      </c>
      <c r="D29" s="25">
        <f>+C29+D28</f>
        <v>0</v>
      </c>
      <c r="E29" s="25">
        <f t="shared" ref="E29:AP29" si="39">+D29+E28</f>
        <v>0</v>
      </c>
      <c r="F29" s="25">
        <f t="shared" si="39"/>
        <v>0</v>
      </c>
      <c r="G29" s="25">
        <f t="shared" si="39"/>
        <v>0</v>
      </c>
      <c r="H29" s="25">
        <f t="shared" si="39"/>
        <v>0</v>
      </c>
      <c r="I29" s="25">
        <f t="shared" si="39"/>
        <v>0</v>
      </c>
      <c r="J29" s="25">
        <f t="shared" si="39"/>
        <v>0</v>
      </c>
      <c r="K29" s="25">
        <f t="shared" si="39"/>
        <v>-48814.291310443914</v>
      </c>
      <c r="L29" s="25">
        <f t="shared" si="39"/>
        <v>8636.411083256382</v>
      </c>
      <c r="M29" s="25">
        <f t="shared" si="39"/>
        <v>-35078.329202533692</v>
      </c>
      <c r="N29" s="25">
        <f t="shared" si="39"/>
        <v>-85015.811430295231</v>
      </c>
      <c r="O29" s="25">
        <f t="shared" si="39"/>
        <v>-54868.512415660894</v>
      </c>
      <c r="P29" s="25">
        <f t="shared" si="39"/>
        <v>-49871.310437686159</v>
      </c>
      <c r="Q29" s="25">
        <f t="shared" si="39"/>
        <v>-38939.963877857372</v>
      </c>
      <c r="R29" s="25">
        <f t="shared" si="39"/>
        <v>-66262.966218614543</v>
      </c>
      <c r="S29" s="25">
        <f t="shared" si="39"/>
        <v>-106108.12994453369</v>
      </c>
      <c r="T29" s="25">
        <f t="shared" si="39"/>
        <v>27039.387420013314</v>
      </c>
      <c r="U29" s="25">
        <f t="shared" si="39"/>
        <v>15017.14277150706</v>
      </c>
      <c r="V29" s="25">
        <f t="shared" si="39"/>
        <v>38183.746326580964</v>
      </c>
      <c r="W29" s="25">
        <f t="shared" si="39"/>
        <v>102980.48588263582</v>
      </c>
      <c r="X29" s="25">
        <f t="shared" si="39"/>
        <v>163643.62246009344</v>
      </c>
      <c r="Y29" s="25">
        <f t="shared" si="39"/>
        <v>162430.5682510862</v>
      </c>
      <c r="Z29" s="25">
        <f t="shared" si="39"/>
        <v>166467.92185498352</v>
      </c>
      <c r="AA29" s="25">
        <f t="shared" si="39"/>
        <v>169784.74751479542</v>
      </c>
      <c r="AB29" s="25">
        <f t="shared" si="39"/>
        <v>169067.71521774525</v>
      </c>
      <c r="AC29" s="25">
        <f t="shared" si="39"/>
        <v>168761.50511774526</v>
      </c>
      <c r="AD29" s="25">
        <f t="shared" si="39"/>
        <v>168180.87111774526</v>
      </c>
      <c r="AE29" s="25">
        <f t="shared" si="39"/>
        <v>168052.45311774526</v>
      </c>
      <c r="AF29" s="25">
        <f t="shared" si="39"/>
        <v>167256.89156774525</v>
      </c>
      <c r="AG29" s="25">
        <f t="shared" si="39"/>
        <v>167256.89156774525</v>
      </c>
      <c r="AH29" s="25">
        <f t="shared" si="39"/>
        <v>166393.10856774525</v>
      </c>
      <c r="AI29" s="25">
        <f t="shared" si="39"/>
        <v>166379.77056774526</v>
      </c>
      <c r="AJ29" s="25">
        <f t="shared" si="39"/>
        <v>166127.34756774525</v>
      </c>
      <c r="AK29" s="25">
        <f t="shared" si="39"/>
        <v>166127.34756774525</v>
      </c>
      <c r="AL29" s="25">
        <f t="shared" si="39"/>
        <v>166114.03536774527</v>
      </c>
      <c r="AM29" s="25">
        <f t="shared" si="39"/>
        <v>165675.93336774525</v>
      </c>
      <c r="AN29" s="25">
        <f t="shared" si="39"/>
        <v>165675.93336774525</v>
      </c>
      <c r="AO29" s="25">
        <f t="shared" si="39"/>
        <v>165665.44311774525</v>
      </c>
      <c r="AP29" s="25">
        <f t="shared" si="39"/>
        <v>165580.96011774524</v>
      </c>
    </row>
    <row r="30" spans="1:44" s="24" customFormat="1" ht="15" customHeight="1" x14ac:dyDescent="0.25"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1:44" s="24" customFormat="1" ht="15" customHeight="1" x14ac:dyDescent="0.25">
      <c r="B31" t="s">
        <v>320</v>
      </c>
      <c r="C31" s="6">
        <f>IF(C26=0,0,+C26/C20)</f>
        <v>0</v>
      </c>
      <c r="D31" s="6">
        <f t="shared" ref="D31:J31" si="40">IF(D26=0,0,+D26/D20)</f>
        <v>0</v>
      </c>
      <c r="E31" s="6">
        <f t="shared" si="40"/>
        <v>0</v>
      </c>
      <c r="F31" s="6">
        <f t="shared" si="40"/>
        <v>0</v>
      </c>
      <c r="G31" s="6">
        <f t="shared" si="40"/>
        <v>0</v>
      </c>
      <c r="H31" s="6">
        <f t="shared" si="40"/>
        <v>0</v>
      </c>
      <c r="I31" s="6">
        <f t="shared" si="40"/>
        <v>0</v>
      </c>
      <c r="J31" s="6">
        <f t="shared" si="40"/>
        <v>0</v>
      </c>
      <c r="K31" s="6">
        <f t="shared" ref="K31:AP31" si="41">IF(K26=0,0,+K26/K20)</f>
        <v>0.83475232969270374</v>
      </c>
      <c r="L31" s="6">
        <f t="shared" si="41"/>
        <v>0.76758862399311667</v>
      </c>
      <c r="M31" s="6">
        <f t="shared" si="41"/>
        <v>0.78054665035936388</v>
      </c>
      <c r="N31" s="6">
        <f t="shared" si="41"/>
        <v>0.73226777235236884</v>
      </c>
      <c r="O31" s="6">
        <f t="shared" si="41"/>
        <v>0.74772823223855545</v>
      </c>
      <c r="P31" s="6">
        <f t="shared" si="41"/>
        <v>1.44662874433537</v>
      </c>
      <c r="Q31" s="6">
        <f t="shared" si="41"/>
        <v>0.95888743779497987</v>
      </c>
      <c r="R31" s="6">
        <f t="shared" si="41"/>
        <v>1.4973136146988588</v>
      </c>
      <c r="S31" s="6">
        <f t="shared" si="41"/>
        <v>0.99599886946046812</v>
      </c>
      <c r="T31" s="6">
        <f t="shared" si="41"/>
        <v>0.80940737587782718</v>
      </c>
      <c r="U31" s="6">
        <f t="shared" si="41"/>
        <v>0.79810094140468624</v>
      </c>
      <c r="V31" s="6">
        <f t="shared" si="41"/>
        <v>0.92224436615367011</v>
      </c>
      <c r="W31" s="6">
        <f t="shared" si="41"/>
        <v>0.7484073312818974</v>
      </c>
      <c r="X31" s="6">
        <f t="shared" si="41"/>
        <v>0.71837258678021565</v>
      </c>
      <c r="Y31" s="6">
        <f t="shared" si="41"/>
        <v>0.71873947807055738</v>
      </c>
      <c r="Z31" s="6">
        <f t="shared" si="41"/>
        <v>0.71594684678763387</v>
      </c>
      <c r="AA31" s="6">
        <f t="shared" si="41"/>
        <v>0.73660239061911503</v>
      </c>
      <c r="AB31" s="6">
        <f t="shared" si="41"/>
        <v>0.78223612603839587</v>
      </c>
      <c r="AC31" s="6">
        <f t="shared" si="41"/>
        <v>0</v>
      </c>
      <c r="AD31" s="6">
        <f t="shared" si="41"/>
        <v>0</v>
      </c>
      <c r="AE31" s="6">
        <f t="shared" si="41"/>
        <v>0</v>
      </c>
      <c r="AF31" s="6">
        <f t="shared" si="41"/>
        <v>0</v>
      </c>
      <c r="AG31" s="6">
        <f t="shared" si="41"/>
        <v>0</v>
      </c>
      <c r="AH31" s="6">
        <f t="shared" si="41"/>
        <v>0</v>
      </c>
      <c r="AI31" s="6">
        <f t="shared" si="41"/>
        <v>0</v>
      </c>
      <c r="AJ31" s="6">
        <f t="shared" si="41"/>
        <v>0</v>
      </c>
      <c r="AK31" s="6">
        <f t="shared" si="41"/>
        <v>0</v>
      </c>
      <c r="AL31" s="6">
        <f t="shared" si="41"/>
        <v>0</v>
      </c>
      <c r="AM31" s="6">
        <f t="shared" si="41"/>
        <v>0</v>
      </c>
      <c r="AN31" s="6">
        <f t="shared" si="41"/>
        <v>0</v>
      </c>
      <c r="AO31" s="6">
        <f t="shared" si="41"/>
        <v>0</v>
      </c>
      <c r="AP31" s="6">
        <f t="shared" si="41"/>
        <v>0</v>
      </c>
      <c r="AQ31" s="6">
        <f>IF(AQ26=0,0,+AQ26/AQ20)</f>
        <v>0.96172195252595594</v>
      </c>
    </row>
    <row r="32" spans="1:44" ht="15" customHeight="1" x14ac:dyDescent="0.25">
      <c r="B32" t="s">
        <v>319</v>
      </c>
      <c r="C32" s="6">
        <f>IF(C21=0,0,+C27/C21)</f>
        <v>0</v>
      </c>
      <c r="D32" s="6">
        <f t="shared" ref="D32:J32" si="42">IF(D21=0,0,+D27/D21)</f>
        <v>0</v>
      </c>
      <c r="E32" s="6">
        <f t="shared" si="42"/>
        <v>0</v>
      </c>
      <c r="F32" s="6">
        <f t="shared" si="42"/>
        <v>0</v>
      </c>
      <c r="G32" s="6">
        <f t="shared" si="42"/>
        <v>0</v>
      </c>
      <c r="H32" s="6">
        <f t="shared" si="42"/>
        <v>0</v>
      </c>
      <c r="I32" s="6">
        <f t="shared" si="42"/>
        <v>0</v>
      </c>
      <c r="J32" s="6">
        <f t="shared" si="42"/>
        <v>0</v>
      </c>
      <c r="K32" s="6">
        <f t="shared" ref="K32:AA32" si="43">IF(K27=0,0,+K27/K21)</f>
        <v>1.0704217012726056</v>
      </c>
      <c r="L32" s="6">
        <f t="shared" si="43"/>
        <v>0.8051838068929229</v>
      </c>
      <c r="M32" s="6">
        <f t="shared" si="43"/>
        <v>0.74905002815643329</v>
      </c>
      <c r="N32" s="6">
        <f t="shared" si="43"/>
        <v>0.79837187462579329</v>
      </c>
      <c r="O32" s="6">
        <f t="shared" si="43"/>
        <v>0.80187569375766032</v>
      </c>
      <c r="P32" s="6">
        <f t="shared" si="43"/>
        <v>1.3366163407665246</v>
      </c>
      <c r="Q32" s="6">
        <f t="shared" si="43"/>
        <v>0.9957061873102051</v>
      </c>
      <c r="R32" s="6">
        <f t="shared" si="43"/>
        <v>1.096682035391995</v>
      </c>
      <c r="S32" s="6">
        <f t="shared" si="43"/>
        <v>1.0004866687733101</v>
      </c>
      <c r="T32" s="6">
        <f t="shared" si="43"/>
        <v>0.97722291933493599</v>
      </c>
      <c r="U32" s="6">
        <f t="shared" si="43"/>
        <v>0.78344977201457011</v>
      </c>
      <c r="V32" s="6">
        <f t="shared" si="43"/>
        <v>0.8564729258211693</v>
      </c>
      <c r="W32" s="6">
        <f t="shared" si="43"/>
        <v>0.69685641833404288</v>
      </c>
      <c r="X32" s="6">
        <f t="shared" si="43"/>
        <v>0.7880848089683592</v>
      </c>
      <c r="Y32" s="6">
        <f t="shared" si="43"/>
        <v>0.60129978936282258</v>
      </c>
      <c r="Z32" s="6">
        <f t="shared" si="43"/>
        <v>0.59939340666943419</v>
      </c>
      <c r="AA32" s="6">
        <f t="shared" si="43"/>
        <v>0.51645850441202945</v>
      </c>
      <c r="AB32" s="6">
        <f>IF(AB21=0,0,+AB27/AB21)</f>
        <v>7.1262146892655392E-2</v>
      </c>
      <c r="AC32" s="6">
        <f t="shared" ref="AC32:AP32" si="44">IF(AC21=0,0,+AC27/AC21)</f>
        <v>-1.8901858024691356</v>
      </c>
      <c r="AD32" s="6">
        <f t="shared" si="44"/>
        <v>0</v>
      </c>
      <c r="AE32" s="6">
        <f t="shared" si="44"/>
        <v>0</v>
      </c>
      <c r="AF32" s="6">
        <f t="shared" si="44"/>
        <v>0</v>
      </c>
      <c r="AG32" s="6">
        <f t="shared" si="44"/>
        <v>0</v>
      </c>
      <c r="AH32" s="6">
        <f t="shared" si="44"/>
        <v>0</v>
      </c>
      <c r="AI32" s="6">
        <f t="shared" si="44"/>
        <v>0</v>
      </c>
      <c r="AJ32" s="6">
        <f t="shared" si="44"/>
        <v>0</v>
      </c>
      <c r="AK32" s="6">
        <f t="shared" si="44"/>
        <v>0</v>
      </c>
      <c r="AL32" s="6">
        <f t="shared" si="44"/>
        <v>0</v>
      </c>
      <c r="AM32" s="6">
        <f t="shared" si="44"/>
        <v>0</v>
      </c>
      <c r="AN32" s="6">
        <f t="shared" si="44"/>
        <v>0</v>
      </c>
      <c r="AO32" s="6">
        <f t="shared" si="44"/>
        <v>0</v>
      </c>
      <c r="AP32" s="6">
        <f t="shared" si="44"/>
        <v>0</v>
      </c>
      <c r="AQ32" s="6">
        <f>IF(AQ27=0,0,+AQ27/AQ21)</f>
        <v>0.93342058101125169</v>
      </c>
    </row>
    <row r="33" spans="1:44" ht="15" customHeight="1" x14ac:dyDescent="0.25"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spans="1:44" ht="15" customHeight="1" x14ac:dyDescent="0.25">
      <c r="A34" s="31" t="s">
        <v>307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</row>
    <row r="35" spans="1:44" ht="15" customHeight="1" x14ac:dyDescent="0.25">
      <c r="B35" t="s">
        <v>182</v>
      </c>
      <c r="C35" s="1">
        <f>+Budget!C96</f>
        <v>0</v>
      </c>
      <c r="D35" s="1">
        <f>+Budget!D96</f>
        <v>0</v>
      </c>
      <c r="E35" s="1">
        <f>+Budget!E96</f>
        <v>0</v>
      </c>
      <c r="F35" s="1">
        <f>+Budget!F96</f>
        <v>51328.800000000003</v>
      </c>
      <c r="G35" s="1">
        <f>+Budget!G96</f>
        <v>8253</v>
      </c>
      <c r="H35" s="1">
        <f>+Budget!H96</f>
        <v>0</v>
      </c>
      <c r="I35" s="1">
        <f>+Budget!I96</f>
        <v>3234.6000000000004</v>
      </c>
      <c r="J35" s="1">
        <f>+Budget!J96</f>
        <v>29656.800000000003</v>
      </c>
      <c r="K35" s="1">
        <f>+Budget!K96</f>
        <v>90774</v>
      </c>
      <c r="L35" s="1">
        <f>+Budget!L96</f>
        <v>45448.200000000004</v>
      </c>
      <c r="M35" s="1">
        <f>+Budget!M96</f>
        <v>59312.646000000008</v>
      </c>
      <c r="N35" s="1">
        <f>+Budget!N96</f>
        <v>50150.122560000003</v>
      </c>
      <c r="O35" s="1">
        <f>+Budget!O96</f>
        <v>67195.043999999994</v>
      </c>
      <c r="P35" s="1">
        <f>+Budget!P96</f>
        <v>83589.119999999981</v>
      </c>
      <c r="Q35" s="1">
        <f>+Budget!Q96</f>
        <v>85119.146999999983</v>
      </c>
      <c r="R35" s="1">
        <f>+Budget!R96</f>
        <v>70575.330960000007</v>
      </c>
      <c r="S35" s="1">
        <f>+Budget!S96</f>
        <v>101787.48</v>
      </c>
      <c r="T35" s="1">
        <f>+Budget!T96</f>
        <v>86850.162000000011</v>
      </c>
      <c r="U35" s="1">
        <f>+Budget!U96</f>
        <v>89047.508219999989</v>
      </c>
      <c r="V35" s="1">
        <f>+Budget!V96</f>
        <v>51939.161999999997</v>
      </c>
      <c r="W35" s="1">
        <f>+Budget!W96</f>
        <v>67921.2</v>
      </c>
      <c r="X35" s="1">
        <f>+Budget!X96</f>
        <v>56361.240000000005</v>
      </c>
      <c r="Y35" s="1">
        <f>+Budget!Y96</f>
        <v>42426.360000000015</v>
      </c>
      <c r="Z35" s="1">
        <f>+Budget!Z96</f>
        <v>28579.078079999999</v>
      </c>
      <c r="AA35" s="1">
        <f>+Budget!AA96</f>
        <v>27072.022500000003</v>
      </c>
      <c r="AB35" s="1">
        <f>+Budget!AB96</f>
        <v>27803.753999999997</v>
      </c>
      <c r="AC35" s="1">
        <f>+Budget!AC96</f>
        <v>22975.231679999997</v>
      </c>
      <c r="AD35" s="1">
        <f>+Budget!AD96</f>
        <v>17464.221000000001</v>
      </c>
      <c r="AE35" s="1">
        <f>+Budget!AE96</f>
        <v>20107.800000000003</v>
      </c>
      <c r="AF35" s="1">
        <f>+Budget!AF96</f>
        <v>11088</v>
      </c>
      <c r="AG35" s="1">
        <f>+Budget!AG96</f>
        <v>29074.32</v>
      </c>
      <c r="AH35" s="1">
        <f>+Budget!AH96</f>
        <v>12200.831999999999</v>
      </c>
      <c r="AI35" s="1">
        <f>+Budget!AI96</f>
        <v>16021.8</v>
      </c>
      <c r="AJ35" s="1">
        <f>+Budget!AJ96</f>
        <v>13807.8</v>
      </c>
      <c r="AK35" s="1">
        <f>+Budget!AK96</f>
        <v>5259.6</v>
      </c>
      <c r="AL35" s="1">
        <f>+Budget!AL96</f>
        <v>8427.5999999999985</v>
      </c>
      <c r="AM35" s="1">
        <f>+Budget!AM96</f>
        <v>7570.8</v>
      </c>
      <c r="AN35" s="1">
        <f>+Budget!AN96</f>
        <v>8290.8000000000011</v>
      </c>
      <c r="AO35" s="1">
        <f>+Budget!AO96</f>
        <v>0</v>
      </c>
      <c r="AP35" s="1">
        <f>+Budget!AP96</f>
        <v>0</v>
      </c>
      <c r="AQ35" s="1">
        <f>SUM(C35:AP35)</f>
        <v>1396713.5820000002</v>
      </c>
      <c r="AR35" s="1"/>
    </row>
    <row r="36" spans="1:44" ht="15" customHeight="1" x14ac:dyDescent="0.25">
      <c r="B36" t="s">
        <v>89</v>
      </c>
      <c r="C36" s="1">
        <f>+PassVol!D218+PassVol!D242</f>
        <v>0</v>
      </c>
      <c r="D36" s="1">
        <f>+PassVol!E218+PassVol!E242</f>
        <v>0</v>
      </c>
      <c r="E36" s="1">
        <f>+PassVol!F218+PassVol!F242</f>
        <v>0</v>
      </c>
      <c r="F36" s="1">
        <f>+PassVol!G218+PassVol!G242</f>
        <v>73760</v>
      </c>
      <c r="G36" s="1">
        <f>+PassVol!H218+PassVol!H242</f>
        <v>32846</v>
      </c>
      <c r="H36" s="1">
        <f>+PassVol!I218+PassVol!I242</f>
        <v>6328</v>
      </c>
      <c r="I36" s="1">
        <f>+PassVol!J218+PassVol!J242</f>
        <v>20614</v>
      </c>
      <c r="J36" s="1">
        <f>+PassVol!K218+PassVol!K242</f>
        <v>46056</v>
      </c>
      <c r="K36" s="1">
        <f>+PassVol!L218+PassVol!L242</f>
        <v>44422</v>
      </c>
      <c r="L36" s="1">
        <f>+PassVol!M218+PassVol!M242</f>
        <v>39748</v>
      </c>
      <c r="M36" s="1">
        <f>+PassVol!N218+PassVol!N242</f>
        <v>52120</v>
      </c>
      <c r="N36" s="1">
        <f>+PassVol!O218+PassVol!O242</f>
        <v>38026</v>
      </c>
      <c r="O36" s="1">
        <f>+PassVol!P218+PassVol!P242</f>
        <v>55324</v>
      </c>
      <c r="P36" s="1">
        <f>+PassVol!Q218+PassVol!Q242</f>
        <v>60544</v>
      </c>
      <c r="Q36" s="1">
        <f>+PassVol!R218+PassVol!R242</f>
        <v>68304</v>
      </c>
      <c r="R36" s="1">
        <f>+PassVol!S218+PassVol!S242</f>
        <v>70264</v>
      </c>
      <c r="S36" s="1">
        <f>+PassVol!T218+PassVol!T242</f>
        <v>72994</v>
      </c>
      <c r="T36" s="1">
        <f>+PassVol!U218+PassVol!U242</f>
        <v>86968</v>
      </c>
      <c r="U36" s="1">
        <f>+PassVol!V218+PassVol!V242</f>
        <v>67216</v>
      </c>
      <c r="V36" s="1">
        <f>+PassVol!W218+PassVol!W242</f>
        <v>65898</v>
      </c>
      <c r="W36" s="1">
        <f>+PassVol!X218+PassVol!X242</f>
        <v>75332</v>
      </c>
      <c r="X36" s="1">
        <f>+PassVol!Y218+PassVol!Y242</f>
        <v>60896</v>
      </c>
      <c r="Y36" s="1">
        <f>+PassVol!Z218+PassVol!Z242</f>
        <v>35352</v>
      </c>
      <c r="Z36" s="1">
        <f>+PassVol!AA218+PassVol!AA242</f>
        <v>38464</v>
      </c>
      <c r="AA36" s="1">
        <f>+PassVol!AB218+PassVol!AB242</f>
        <v>31236</v>
      </c>
      <c r="AB36" s="1">
        <f>+PassVol!AC218+PassVol!AC242</f>
        <v>22148</v>
      </c>
      <c r="AC36" s="1">
        <f>+PassVol!AD218+PassVol!AD242</f>
        <v>25270</v>
      </c>
      <c r="AD36" s="1">
        <f>+PassVol!AE218+PassVol!AE242</f>
        <v>11446</v>
      </c>
      <c r="AE36" s="1">
        <f>+PassVol!AF218+PassVol!AF242</f>
        <v>10762</v>
      </c>
      <c r="AF36" s="1">
        <f>+PassVol!AG218+PassVol!AG242</f>
        <v>11648</v>
      </c>
      <c r="AG36" s="1">
        <f>+PassVol!AH218+PassVol!AH242</f>
        <v>12200</v>
      </c>
      <c r="AH36" s="1">
        <f>+PassVol!AI218+PassVol!AI242</f>
        <v>14654</v>
      </c>
      <c r="AI36" s="1">
        <f>+PassVol!AJ218+PassVol!AJ242</f>
        <v>24798</v>
      </c>
      <c r="AJ36" s="1">
        <f>+PassVol!AK218+PassVol!AK242</f>
        <v>14000</v>
      </c>
      <c r="AK36" s="1">
        <f>+PassVol!AL218+PassVol!AL242</f>
        <v>9954</v>
      </c>
      <c r="AL36" s="1">
        <f>+PassVol!AM218+PassVol!AM242</f>
        <v>5950</v>
      </c>
      <c r="AM36" s="1">
        <f>+PassVol!AN218+PassVol!AN242</f>
        <v>5502</v>
      </c>
      <c r="AN36" s="1">
        <f>+PassVol!AO218+PassVol!AO242</f>
        <v>1758</v>
      </c>
      <c r="AO36" s="1">
        <f>+PassVol!AP218+PassVol!AP242</f>
        <v>720</v>
      </c>
      <c r="AP36" s="1">
        <f>+PassVol!AQ218+PassVol!AQ242</f>
        <v>0</v>
      </c>
      <c r="AQ36" s="1">
        <f>SUM(C36:AP36)</f>
        <v>1313522</v>
      </c>
      <c r="AR36" s="57">
        <f>+AQ36/AQ35</f>
        <v>0.94043762223542249</v>
      </c>
    </row>
    <row r="37" spans="1:44" s="24" customFormat="1" ht="15" customHeight="1" x14ac:dyDescent="0.25">
      <c r="B37" s="24" t="s">
        <v>189</v>
      </c>
      <c r="C37" s="25">
        <f>+C36-C35</f>
        <v>0</v>
      </c>
      <c r="D37" s="25">
        <f t="shared" ref="D37:J37" si="45">+D36-D35</f>
        <v>0</v>
      </c>
      <c r="E37" s="25">
        <f t="shared" si="45"/>
        <v>0</v>
      </c>
      <c r="F37" s="25">
        <f t="shared" si="45"/>
        <v>22431.199999999997</v>
      </c>
      <c r="G37" s="25">
        <f t="shared" si="45"/>
        <v>24593</v>
      </c>
      <c r="H37" s="25">
        <f t="shared" si="45"/>
        <v>6328</v>
      </c>
      <c r="I37" s="25">
        <f>+I36-I35</f>
        <v>17379.400000000001</v>
      </c>
      <c r="J37" s="25">
        <f t="shared" si="45"/>
        <v>16399.199999999997</v>
      </c>
      <c r="K37" s="25">
        <f t="shared" ref="K37:AP37" si="46">+K36-K35</f>
        <v>-46352</v>
      </c>
      <c r="L37" s="25">
        <f t="shared" si="46"/>
        <v>-5700.2000000000044</v>
      </c>
      <c r="M37" s="25">
        <f t="shared" si="46"/>
        <v>-7192.6460000000079</v>
      </c>
      <c r="N37" s="25">
        <f t="shared" si="46"/>
        <v>-12124.122560000003</v>
      </c>
      <c r="O37" s="25">
        <f t="shared" si="46"/>
        <v>-11871.043999999994</v>
      </c>
      <c r="P37" s="25">
        <f t="shared" si="46"/>
        <v>-23045.119999999981</v>
      </c>
      <c r="Q37" s="25">
        <f t="shared" si="46"/>
        <v>-16815.146999999983</v>
      </c>
      <c r="R37" s="25">
        <f t="shared" si="46"/>
        <v>-311.3309600000066</v>
      </c>
      <c r="S37" s="25">
        <f t="shared" si="46"/>
        <v>-28793.479999999996</v>
      </c>
      <c r="T37" s="25">
        <f t="shared" si="46"/>
        <v>117.83799999998882</v>
      </c>
      <c r="U37" s="25">
        <f t="shared" si="46"/>
        <v>-21831.508219999989</v>
      </c>
      <c r="V37" s="25">
        <f t="shared" si="46"/>
        <v>13958.838000000003</v>
      </c>
      <c r="W37" s="25">
        <f t="shared" si="46"/>
        <v>7410.8000000000029</v>
      </c>
      <c r="X37" s="25">
        <f t="shared" si="46"/>
        <v>4534.7599999999948</v>
      </c>
      <c r="Y37" s="25">
        <f t="shared" si="46"/>
        <v>-7074.3600000000151</v>
      </c>
      <c r="Z37" s="25">
        <f t="shared" si="46"/>
        <v>9884.9219200000007</v>
      </c>
      <c r="AA37" s="25">
        <f t="shared" si="46"/>
        <v>4163.9774999999972</v>
      </c>
      <c r="AB37" s="25">
        <f t="shared" si="46"/>
        <v>-5655.7539999999972</v>
      </c>
      <c r="AC37" s="25">
        <f t="shared" si="46"/>
        <v>2294.7683200000029</v>
      </c>
      <c r="AD37" s="25">
        <f t="shared" si="46"/>
        <v>-6018.2210000000014</v>
      </c>
      <c r="AE37" s="25">
        <f t="shared" si="46"/>
        <v>-9345.8000000000029</v>
      </c>
      <c r="AF37" s="25">
        <f t="shared" si="46"/>
        <v>560</v>
      </c>
      <c r="AG37" s="25">
        <f t="shared" si="46"/>
        <v>-16874.32</v>
      </c>
      <c r="AH37" s="25">
        <f t="shared" si="46"/>
        <v>2453.1680000000015</v>
      </c>
      <c r="AI37" s="25">
        <f t="shared" si="46"/>
        <v>8776.2000000000007</v>
      </c>
      <c r="AJ37" s="25">
        <f t="shared" si="46"/>
        <v>192.20000000000073</v>
      </c>
      <c r="AK37" s="25">
        <f t="shared" si="46"/>
        <v>4694.3999999999996</v>
      </c>
      <c r="AL37" s="25">
        <f t="shared" si="46"/>
        <v>-2477.5999999999985</v>
      </c>
      <c r="AM37" s="25">
        <f t="shared" si="46"/>
        <v>-2068.8000000000002</v>
      </c>
      <c r="AN37" s="25">
        <f t="shared" si="46"/>
        <v>-6532.8000000000011</v>
      </c>
      <c r="AO37" s="25">
        <f t="shared" si="46"/>
        <v>720</v>
      </c>
      <c r="AP37" s="25">
        <f t="shared" si="46"/>
        <v>0</v>
      </c>
      <c r="AQ37" s="25">
        <f>SUM(C37:AP37)</f>
        <v>-83191.582000000024</v>
      </c>
    </row>
    <row r="38" spans="1:44" s="24" customFormat="1" ht="15" customHeight="1" x14ac:dyDescent="0.25">
      <c r="B38" s="24" t="s">
        <v>158</v>
      </c>
      <c r="C38" s="25">
        <f>+C37</f>
        <v>0</v>
      </c>
      <c r="D38" s="25">
        <f>+C38+D37</f>
        <v>0</v>
      </c>
      <c r="E38" s="25">
        <f t="shared" ref="E38:AP38" si="47">+D38+E37</f>
        <v>0</v>
      </c>
      <c r="F38" s="25">
        <f t="shared" si="47"/>
        <v>22431.199999999997</v>
      </c>
      <c r="G38" s="25">
        <f t="shared" si="47"/>
        <v>47024.2</v>
      </c>
      <c r="H38" s="25">
        <f t="shared" si="47"/>
        <v>53352.2</v>
      </c>
      <c r="I38" s="25">
        <f t="shared" si="47"/>
        <v>70731.600000000006</v>
      </c>
      <c r="J38" s="25">
        <f t="shared" si="47"/>
        <v>87130.8</v>
      </c>
      <c r="K38" s="25">
        <f t="shared" si="47"/>
        <v>40778.800000000003</v>
      </c>
      <c r="L38" s="25">
        <f t="shared" si="47"/>
        <v>35078.6</v>
      </c>
      <c r="M38" s="25">
        <f t="shared" si="47"/>
        <v>27885.953999999991</v>
      </c>
      <c r="N38" s="25">
        <f t="shared" si="47"/>
        <v>15761.831439999987</v>
      </c>
      <c r="O38" s="25">
        <f t="shared" si="47"/>
        <v>3890.7874399999928</v>
      </c>
      <c r="P38" s="25">
        <f t="shared" si="47"/>
        <v>-19154.332559999988</v>
      </c>
      <c r="Q38" s="25">
        <f t="shared" si="47"/>
        <v>-35969.479559999971</v>
      </c>
      <c r="R38" s="25">
        <f t="shared" si="47"/>
        <v>-36280.810519999977</v>
      </c>
      <c r="S38" s="25">
        <f>+R38+S37</f>
        <v>-65074.290519999973</v>
      </c>
      <c r="T38" s="25">
        <f t="shared" si="47"/>
        <v>-64956.452519999984</v>
      </c>
      <c r="U38" s="25">
        <f t="shared" si="47"/>
        <v>-86787.96073999998</v>
      </c>
      <c r="V38" s="25">
        <f t="shared" si="47"/>
        <v>-72829.122739999977</v>
      </c>
      <c r="W38" s="25">
        <f t="shared" si="47"/>
        <v>-65418.322739999974</v>
      </c>
      <c r="X38" s="25">
        <f t="shared" si="47"/>
        <v>-60883.562739999979</v>
      </c>
      <c r="Y38" s="25">
        <f t="shared" si="47"/>
        <v>-67957.922739999995</v>
      </c>
      <c r="Z38" s="25">
        <f t="shared" si="47"/>
        <v>-58073.000819999994</v>
      </c>
      <c r="AA38" s="25">
        <f t="shared" si="47"/>
        <v>-53909.023319999993</v>
      </c>
      <c r="AB38" s="25">
        <f t="shared" si="47"/>
        <v>-59564.777319999994</v>
      </c>
      <c r="AC38" s="25">
        <f t="shared" si="47"/>
        <v>-57270.008999999991</v>
      </c>
      <c r="AD38" s="25">
        <f t="shared" si="47"/>
        <v>-63288.229999999996</v>
      </c>
      <c r="AE38" s="25">
        <f t="shared" si="47"/>
        <v>-72634.03</v>
      </c>
      <c r="AF38" s="25">
        <f t="shared" si="47"/>
        <v>-72074.03</v>
      </c>
      <c r="AG38" s="25">
        <f t="shared" si="47"/>
        <v>-88948.35</v>
      </c>
      <c r="AH38" s="25">
        <f t="shared" si="47"/>
        <v>-86495.182000000001</v>
      </c>
      <c r="AI38" s="25">
        <f t="shared" si="47"/>
        <v>-77718.982000000004</v>
      </c>
      <c r="AJ38" s="25">
        <f t="shared" si="47"/>
        <v>-77526.782000000007</v>
      </c>
      <c r="AK38" s="25">
        <f t="shared" si="47"/>
        <v>-72832.382000000012</v>
      </c>
      <c r="AL38" s="25">
        <f t="shared" si="47"/>
        <v>-75309.982000000018</v>
      </c>
      <c r="AM38" s="25">
        <f t="shared" si="47"/>
        <v>-77378.782000000021</v>
      </c>
      <c r="AN38" s="25">
        <f t="shared" si="47"/>
        <v>-83911.582000000024</v>
      </c>
      <c r="AO38" s="25">
        <f t="shared" si="47"/>
        <v>-83191.582000000024</v>
      </c>
      <c r="AP38" s="25">
        <f t="shared" si="47"/>
        <v>-83191.582000000024</v>
      </c>
      <c r="AQ38" s="25"/>
    </row>
    <row r="39" spans="1:44" ht="15" customHeight="1" x14ac:dyDescent="0.25">
      <c r="A39" s="24"/>
      <c r="B39" s="2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56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ht="15" customHeight="1" x14ac:dyDescent="0.25">
      <c r="A40" s="31" t="s">
        <v>305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56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ht="15" customHeight="1" x14ac:dyDescent="0.25">
      <c r="A41" s="31"/>
      <c r="B41" t="s">
        <v>121</v>
      </c>
      <c r="C41" s="1">
        <f>+Budget!C109</f>
        <v>0</v>
      </c>
      <c r="D41" s="1">
        <f>+Budget!D109</f>
        <v>0</v>
      </c>
      <c r="E41" s="1">
        <f>+Budget!E109</f>
        <v>0</v>
      </c>
      <c r="F41" s="1">
        <f>+Budget!F109</f>
        <v>59174.947625740613</v>
      </c>
      <c r="G41" s="1">
        <f>+Budget!G109</f>
        <v>10256.341115932304</v>
      </c>
      <c r="H41" s="1">
        <f>+Budget!H109</f>
        <v>0</v>
      </c>
      <c r="I41" s="1">
        <f>+Budget!I109</f>
        <v>4968.3169102672573</v>
      </c>
      <c r="J41" s="1">
        <f>+Budget!J109</f>
        <v>34919.384256490186</v>
      </c>
      <c r="K41" s="1">
        <f>+Budget!K109</f>
        <v>99370.358793369465</v>
      </c>
      <c r="L41" s="1">
        <f>+Budget!L109</f>
        <v>50278.099765691899</v>
      </c>
      <c r="M41" s="1">
        <f>+Budget!M109</f>
        <v>59990.938188088359</v>
      </c>
      <c r="N41" s="1">
        <f>+Budget!N109</f>
        <v>57640.438826675287</v>
      </c>
      <c r="O41" s="1">
        <f>+Budget!O109</f>
        <v>70014.161829104545</v>
      </c>
      <c r="P41" s="1">
        <f>+Budget!P109</f>
        <v>96138.63233541364</v>
      </c>
      <c r="Q41" s="1">
        <f>+Budget!Q109</f>
        <v>93016.313850210121</v>
      </c>
      <c r="R41" s="1">
        <f>+Budget!R109</f>
        <v>80991.497482308507</v>
      </c>
      <c r="S41" s="1">
        <f>+Budget!S109</f>
        <v>116268.67761973807</v>
      </c>
      <c r="T41" s="1">
        <f>+Budget!T109</f>
        <v>97592.300550322747</v>
      </c>
      <c r="U41" s="1">
        <f>+Budget!U109</f>
        <v>104978.52789060064</v>
      </c>
      <c r="V41" s="1">
        <f>+Budget!V109</f>
        <v>63652.542438275472</v>
      </c>
      <c r="W41" s="1">
        <f>+Budget!W109</f>
        <v>81021.291948716476</v>
      </c>
      <c r="X41" s="1">
        <f>+Budget!X109</f>
        <v>67125.734577743831</v>
      </c>
      <c r="Y41" s="1">
        <f>+Budget!Y109</f>
        <v>50564.275339630578</v>
      </c>
      <c r="Z41" s="1">
        <f>+Budget!Z109</f>
        <v>36581.082234819725</v>
      </c>
      <c r="AA41" s="1">
        <f>+Budget!AA109</f>
        <v>30219.430056047386</v>
      </c>
      <c r="AB41" s="1">
        <f>+Budget!AB109</f>
        <v>30371.050449978866</v>
      </c>
      <c r="AC41" s="1">
        <f>+Budget!AC109</f>
        <v>29198.783111856817</v>
      </c>
      <c r="AD41" s="1">
        <f>+Budget!AD109</f>
        <v>19507.675332859078</v>
      </c>
      <c r="AE41" s="1">
        <f>+Budget!AE109</f>
        <v>22623.548767443419</v>
      </c>
      <c r="AF41" s="1">
        <f>+Budget!AF109</f>
        <v>12942.706851170196</v>
      </c>
      <c r="AG41" s="1">
        <f>+Budget!AG109</f>
        <v>35385.234822837541</v>
      </c>
      <c r="AH41" s="1">
        <f>+Budget!AH109</f>
        <v>13578.446071456352</v>
      </c>
      <c r="AI41" s="1">
        <f>+Budget!AI109</f>
        <v>19199.668780802986</v>
      </c>
      <c r="AJ41" s="1">
        <f>+Budget!AJ109</f>
        <v>14944.56071303701</v>
      </c>
      <c r="AK41" s="1">
        <f>+Budget!AK109</f>
        <v>6433.7873958222499</v>
      </c>
      <c r="AL41" s="1">
        <f>+Budget!AL109</f>
        <v>9309.5044267338726</v>
      </c>
      <c r="AM41" s="1">
        <f>+Budget!AM109</f>
        <v>9271.226522973644</v>
      </c>
      <c r="AN41" s="1">
        <f>+Budget!AN109</f>
        <v>9232.8798670736087</v>
      </c>
      <c r="AO41" s="1">
        <f>+Budget!AO109</f>
        <v>0</v>
      </c>
      <c r="AP41" s="1">
        <f>+Budget!AP109</f>
        <v>0</v>
      </c>
      <c r="AQ41" s="1">
        <f>SUM(C41:AP41)</f>
        <v>1596762.3667492329</v>
      </c>
      <c r="AR41" s="119">
        <f>+AQ41/AQ$49</f>
        <v>0.20221870909118259</v>
      </c>
    </row>
    <row r="42" spans="1:44" ht="15" customHeight="1" x14ac:dyDescent="0.25">
      <c r="B42" t="s">
        <v>89</v>
      </c>
      <c r="C42" s="1">
        <f>+Accrualherb!D70</f>
        <v>0</v>
      </c>
      <c r="D42" s="1">
        <f>+Accrualherb!E70</f>
        <v>0</v>
      </c>
      <c r="E42" s="1">
        <f>+Accrualherb!F70</f>
        <v>0</v>
      </c>
      <c r="F42" s="1">
        <f>+Accrualherb!G70</f>
        <v>77149.614600000001</v>
      </c>
      <c r="G42" s="1">
        <f>+Accrualherb!H70</f>
        <v>36871.269500000002</v>
      </c>
      <c r="H42" s="1">
        <f>+Accrualherb!I70</f>
        <v>7274.3114999999998</v>
      </c>
      <c r="I42" s="1">
        <f>+Accrualherb!J70</f>
        <v>21651.983200000002</v>
      </c>
      <c r="J42" s="1">
        <f>+Accrualherb!K70</f>
        <v>53729.841500000002</v>
      </c>
      <c r="K42" s="1">
        <f>+Accrualherb!L70</f>
        <v>55435.668000000005</v>
      </c>
      <c r="L42" s="1">
        <f>+Accrualherb!M70</f>
        <v>47307.445899999999</v>
      </c>
      <c r="M42" s="1">
        <f>+Accrualherb!N70</f>
        <v>59222.295100000003</v>
      </c>
      <c r="N42" s="1">
        <f>+Accrualherb!O70</f>
        <v>44507.834100000007</v>
      </c>
      <c r="O42" s="1">
        <f>+Accrualherb!P70</f>
        <v>68881.259099999996</v>
      </c>
      <c r="P42" s="1">
        <f>+Accrualherb!Q70</f>
        <v>71948.024699999994</v>
      </c>
      <c r="Q42" s="1">
        <f>+Accrualherb!R70</f>
        <v>77805.256799999988</v>
      </c>
      <c r="R42" s="1">
        <f>+Accrualherb!S70</f>
        <v>83897.499000000011</v>
      </c>
      <c r="S42" s="1">
        <f>+Accrualherb!T70</f>
        <v>85780.62019999999</v>
      </c>
      <c r="T42" s="1">
        <f>+Accrualherb!U70</f>
        <v>97365.816300000006</v>
      </c>
      <c r="U42" s="1">
        <f>+Accrualherb!V70</f>
        <v>78325.570350000009</v>
      </c>
      <c r="V42" s="1">
        <f>+Accrualherb!W70</f>
        <v>76696.111399999994</v>
      </c>
      <c r="W42" s="1">
        <f>+Accrualherb!X70</f>
        <v>84835.185299999983</v>
      </c>
      <c r="X42" s="1">
        <f>+Accrualherb!Y70</f>
        <v>72661.187624999991</v>
      </c>
      <c r="Y42" s="1">
        <f>+Accrualherb!Z70</f>
        <v>41577.276300000005</v>
      </c>
      <c r="Z42" s="1">
        <f>+Accrualherb!AA70</f>
        <v>44602.387000000002</v>
      </c>
      <c r="AA42" s="1">
        <f>+Accrualherb!AB70</f>
        <v>34574.625099999997</v>
      </c>
      <c r="AB42" s="1">
        <f>+Accrualherb!AC70</f>
        <v>26697.214100000001</v>
      </c>
      <c r="AC42" s="1">
        <f>+Accrualherb!AD70</f>
        <v>27993.183299999997</v>
      </c>
      <c r="AD42" s="1">
        <f>+Accrualherb!AE70</f>
        <v>14757.611199999999</v>
      </c>
      <c r="AE42" s="1">
        <f>+Accrualherb!AF70</f>
        <v>12726.974050000001</v>
      </c>
      <c r="AF42" s="1">
        <f>+Accrualherb!AG70</f>
        <v>13687.437900000001</v>
      </c>
      <c r="AG42" s="1">
        <f>+Accrualherb!AH70</f>
        <v>15393.253499999999</v>
      </c>
      <c r="AH42" s="1">
        <f>+Accrualherb!AI70</f>
        <v>16489.275100000003</v>
      </c>
      <c r="AI42" s="1">
        <f>+Accrualherb!AJ70</f>
        <v>32728.80684999999</v>
      </c>
      <c r="AJ42" s="1">
        <f>+Accrualherb!AK70</f>
        <v>14366.511900000003</v>
      </c>
      <c r="AK42" s="1">
        <f>+Accrualherb!AL70</f>
        <v>11446.338</v>
      </c>
      <c r="AL42" s="1">
        <f>+Accrualherb!AM70</f>
        <v>7038.5526000000009</v>
      </c>
      <c r="AM42" s="1">
        <f>+Accrualherb!AN70</f>
        <v>6309.0424999999996</v>
      </c>
      <c r="AN42" s="1">
        <f>+Accrualherb!AO70</f>
        <v>2079.2272000000003</v>
      </c>
      <c r="AO42" s="1">
        <f>+Accrualherb!AP70</f>
        <v>966.06899999999996</v>
      </c>
      <c r="AP42" s="1">
        <f>+Accrualherb!AQ70</f>
        <v>-148.22400000000002</v>
      </c>
      <c r="AQ42" s="1">
        <f>SUM(C42:AP42)</f>
        <v>1524632.3557750005</v>
      </c>
      <c r="AR42" s="57">
        <f>+AQ42/AQ41</f>
        <v>0.95482733531534925</v>
      </c>
    </row>
    <row r="43" spans="1:44" s="24" customFormat="1" ht="15" customHeight="1" x14ac:dyDescent="0.25">
      <c r="B43" s="24" t="s">
        <v>189</v>
      </c>
      <c r="C43" s="25">
        <f t="shared" ref="C43:AP43" si="48">+C42-C41</f>
        <v>0</v>
      </c>
      <c r="D43" s="25">
        <f t="shared" si="48"/>
        <v>0</v>
      </c>
      <c r="E43" s="25">
        <f t="shared" si="48"/>
        <v>0</v>
      </c>
      <c r="F43" s="25">
        <f t="shared" si="48"/>
        <v>17974.666974259388</v>
      </c>
      <c r="G43" s="25">
        <f t="shared" si="48"/>
        <v>26614.928384067698</v>
      </c>
      <c r="H43" s="25">
        <f t="shared" si="48"/>
        <v>7274.3114999999998</v>
      </c>
      <c r="I43" s="25">
        <f t="shared" si="48"/>
        <v>16683.666289732744</v>
      </c>
      <c r="J43" s="25">
        <f t="shared" si="48"/>
        <v>18810.457243509816</v>
      </c>
      <c r="K43" s="25">
        <f t="shared" si="48"/>
        <v>-43934.69079336946</v>
      </c>
      <c r="L43" s="25">
        <f t="shared" si="48"/>
        <v>-2970.6538656919001</v>
      </c>
      <c r="M43" s="25">
        <f t="shared" si="48"/>
        <v>-768.64308808835631</v>
      </c>
      <c r="N43" s="25">
        <f t="shared" si="48"/>
        <v>-13132.604726675279</v>
      </c>
      <c r="O43" s="25">
        <f t="shared" si="48"/>
        <v>-1132.9027291045495</v>
      </c>
      <c r="P43" s="25">
        <f t="shared" si="48"/>
        <v>-24190.607635413646</v>
      </c>
      <c r="Q43" s="25">
        <f t="shared" si="48"/>
        <v>-15211.057050210133</v>
      </c>
      <c r="R43" s="25">
        <f t="shared" si="48"/>
        <v>2906.001517691504</v>
      </c>
      <c r="S43" s="25">
        <f t="shared" si="48"/>
        <v>-30488.057419738077</v>
      </c>
      <c r="T43" s="25">
        <f t="shared" si="48"/>
        <v>-226.48425032274099</v>
      </c>
      <c r="U43" s="25">
        <f t="shared" si="48"/>
        <v>-26652.957540600633</v>
      </c>
      <c r="V43" s="25">
        <f t="shared" si="48"/>
        <v>13043.568961724523</v>
      </c>
      <c r="W43" s="25">
        <f t="shared" si="48"/>
        <v>3813.8933512835065</v>
      </c>
      <c r="X43" s="25">
        <f t="shared" si="48"/>
        <v>5535.4530472561601</v>
      </c>
      <c r="Y43" s="25">
        <f t="shared" si="48"/>
        <v>-8986.999039630573</v>
      </c>
      <c r="Z43" s="25">
        <f t="shared" si="48"/>
        <v>8021.3047651802772</v>
      </c>
      <c r="AA43" s="25">
        <f t="shared" si="48"/>
        <v>4355.1950439526117</v>
      </c>
      <c r="AB43" s="25">
        <f t="shared" si="48"/>
        <v>-3673.8363499788647</v>
      </c>
      <c r="AC43" s="25">
        <f t="shared" si="48"/>
        <v>-1205.5998118568205</v>
      </c>
      <c r="AD43" s="25">
        <f t="shared" si="48"/>
        <v>-4750.0641328590791</v>
      </c>
      <c r="AE43" s="25">
        <f t="shared" si="48"/>
        <v>-9896.5747174434182</v>
      </c>
      <c r="AF43" s="25">
        <f t="shared" si="48"/>
        <v>744.73104882980442</v>
      </c>
      <c r="AG43" s="25">
        <f t="shared" si="48"/>
        <v>-19991.981322837542</v>
      </c>
      <c r="AH43" s="25">
        <f t="shared" si="48"/>
        <v>2910.8290285436506</v>
      </c>
      <c r="AI43" s="25">
        <f t="shared" si="48"/>
        <v>13529.138069197004</v>
      </c>
      <c r="AJ43" s="25">
        <f t="shared" si="48"/>
        <v>-578.04881303700677</v>
      </c>
      <c r="AK43" s="25">
        <f t="shared" si="48"/>
        <v>5012.5506041777498</v>
      </c>
      <c r="AL43" s="25">
        <f t="shared" si="48"/>
        <v>-2270.9518267338717</v>
      </c>
      <c r="AM43" s="25">
        <f t="shared" si="48"/>
        <v>-2962.1840229736445</v>
      </c>
      <c r="AN43" s="25">
        <f t="shared" si="48"/>
        <v>-7153.6526670736084</v>
      </c>
      <c r="AO43" s="25">
        <f t="shared" si="48"/>
        <v>966.06899999999996</v>
      </c>
      <c r="AP43" s="25">
        <f t="shared" si="48"/>
        <v>-148.22400000000002</v>
      </c>
      <c r="AQ43" s="25">
        <f>SUM(C43:AP43)</f>
        <v>-72130.010974232733</v>
      </c>
    </row>
    <row r="44" spans="1:44" s="24" customFormat="1" ht="15" customHeight="1" x14ac:dyDescent="0.25">
      <c r="B44" s="24" t="s">
        <v>158</v>
      </c>
      <c r="C44" s="25">
        <f>+C43</f>
        <v>0</v>
      </c>
      <c r="D44" s="25">
        <f>+C44+D43</f>
        <v>0</v>
      </c>
      <c r="E44" s="25">
        <f t="shared" ref="E44:AP44" si="49">+D44+E43</f>
        <v>0</v>
      </c>
      <c r="F44" s="25">
        <f t="shared" si="49"/>
        <v>17974.666974259388</v>
      </c>
      <c r="G44" s="25">
        <f t="shared" si="49"/>
        <v>44589.595358327089</v>
      </c>
      <c r="H44" s="25">
        <f t="shared" si="49"/>
        <v>51863.906858327086</v>
      </c>
      <c r="I44" s="25">
        <f t="shared" si="49"/>
        <v>68547.573148059833</v>
      </c>
      <c r="J44" s="25">
        <f t="shared" si="49"/>
        <v>87358.030391569657</v>
      </c>
      <c r="K44" s="25">
        <f t="shared" si="49"/>
        <v>43423.339598200197</v>
      </c>
      <c r="L44" s="25">
        <f t="shared" si="49"/>
        <v>40452.685732508296</v>
      </c>
      <c r="M44" s="25">
        <f t="shared" si="49"/>
        <v>39684.04264441994</v>
      </c>
      <c r="N44" s="25">
        <f t="shared" si="49"/>
        <v>26551.437917744661</v>
      </c>
      <c r="O44" s="25">
        <f t="shared" si="49"/>
        <v>25418.535188640111</v>
      </c>
      <c r="P44" s="25">
        <f t="shared" si="49"/>
        <v>1227.9275532264655</v>
      </c>
      <c r="Q44" s="25">
        <f t="shared" si="49"/>
        <v>-13983.129496983667</v>
      </c>
      <c r="R44" s="25">
        <f t="shared" si="49"/>
        <v>-11077.127979292163</v>
      </c>
      <c r="S44" s="25">
        <f t="shared" si="49"/>
        <v>-41565.185399030241</v>
      </c>
      <c r="T44" s="25">
        <f t="shared" si="49"/>
        <v>-41791.669649352982</v>
      </c>
      <c r="U44" s="25">
        <f t="shared" si="49"/>
        <v>-68444.627189953608</v>
      </c>
      <c r="V44" s="25">
        <f t="shared" si="49"/>
        <v>-55401.058228229085</v>
      </c>
      <c r="W44" s="25">
        <f t="shared" si="49"/>
        <v>-51587.164876945579</v>
      </c>
      <c r="X44" s="25">
        <f t="shared" si="49"/>
        <v>-46051.711829689419</v>
      </c>
      <c r="Y44" s="25">
        <f t="shared" si="49"/>
        <v>-55038.710869319992</v>
      </c>
      <c r="Z44" s="25">
        <f t="shared" si="49"/>
        <v>-47017.406104139714</v>
      </c>
      <c r="AA44" s="25">
        <f t="shared" si="49"/>
        <v>-42662.211060187103</v>
      </c>
      <c r="AB44" s="25">
        <f t="shared" si="49"/>
        <v>-46336.047410165964</v>
      </c>
      <c r="AC44" s="25">
        <f t="shared" si="49"/>
        <v>-47541.647222022788</v>
      </c>
      <c r="AD44" s="25">
        <f t="shared" si="49"/>
        <v>-52291.711354881867</v>
      </c>
      <c r="AE44" s="25">
        <f t="shared" si="49"/>
        <v>-62188.286072325282</v>
      </c>
      <c r="AF44" s="25">
        <f t="shared" si="49"/>
        <v>-61443.555023495479</v>
      </c>
      <c r="AG44" s="25">
        <f t="shared" si="49"/>
        <v>-81435.536346333014</v>
      </c>
      <c r="AH44" s="25">
        <f t="shared" si="49"/>
        <v>-78524.707317789362</v>
      </c>
      <c r="AI44" s="25">
        <f t="shared" si="49"/>
        <v>-64995.569248592357</v>
      </c>
      <c r="AJ44" s="25">
        <f t="shared" si="49"/>
        <v>-65573.618061629357</v>
      </c>
      <c r="AK44" s="25">
        <f t="shared" si="49"/>
        <v>-60561.067457451609</v>
      </c>
      <c r="AL44" s="25">
        <f t="shared" si="49"/>
        <v>-62832.019284185481</v>
      </c>
      <c r="AM44" s="25">
        <f t="shared" si="49"/>
        <v>-65794.203307159129</v>
      </c>
      <c r="AN44" s="25">
        <f t="shared" si="49"/>
        <v>-72947.855974232734</v>
      </c>
      <c r="AO44" s="25">
        <f t="shared" si="49"/>
        <v>-71981.786974232731</v>
      </c>
      <c r="AP44" s="25">
        <f t="shared" si="49"/>
        <v>-72130.010974232733</v>
      </c>
    </row>
    <row r="45" spans="1:44" s="24" customFormat="1" ht="15" customHeight="1" x14ac:dyDescent="0.2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</row>
    <row r="46" spans="1:44" s="24" customFormat="1" ht="15" customHeight="1" x14ac:dyDescent="0.25">
      <c r="B46" t="s">
        <v>370</v>
      </c>
      <c r="C46" s="6">
        <f>IF(C41=0,0,+C41/C35)</f>
        <v>0</v>
      </c>
      <c r="D46" s="6">
        <f t="shared" ref="D46:J46" si="50">IF(D41=0,0,+D41/D35)</f>
        <v>0</v>
      </c>
      <c r="E46" s="6">
        <f t="shared" si="50"/>
        <v>0</v>
      </c>
      <c r="F46" s="6">
        <f t="shared" si="50"/>
        <v>1.152860531041844</v>
      </c>
      <c r="G46" s="6">
        <f t="shared" si="50"/>
        <v>1.2427409567348</v>
      </c>
      <c r="H46" s="6">
        <f t="shared" si="50"/>
        <v>0</v>
      </c>
      <c r="I46" s="6">
        <f t="shared" si="50"/>
        <v>1.5359911303614842</v>
      </c>
      <c r="J46" s="6">
        <f t="shared" si="50"/>
        <v>1.1774494974673662</v>
      </c>
      <c r="K46" s="6">
        <f t="shared" ref="K46:AQ46" si="51">IF(K41=0,0,+K41/K35)</f>
        <v>1.0947006719255454</v>
      </c>
      <c r="L46" s="6">
        <f t="shared" si="51"/>
        <v>1.1062726305044401</v>
      </c>
      <c r="M46" s="6">
        <f t="shared" si="51"/>
        <v>1.0114358780771364</v>
      </c>
      <c r="N46" s="6">
        <f t="shared" si="51"/>
        <v>1.1493578855707443</v>
      </c>
      <c r="O46" s="6">
        <f t="shared" si="51"/>
        <v>1.0419542522973055</v>
      </c>
      <c r="P46" s="6">
        <f t="shared" si="51"/>
        <v>1.150133322798633</v>
      </c>
      <c r="Q46" s="6">
        <f t="shared" si="51"/>
        <v>1.0927777959312743</v>
      </c>
      <c r="R46" s="6">
        <f t="shared" si="51"/>
        <v>1.1475893400799222</v>
      </c>
      <c r="S46" s="6">
        <f t="shared" si="51"/>
        <v>1.1422689472196195</v>
      </c>
      <c r="T46" s="6">
        <f t="shared" si="51"/>
        <v>1.1236858781025962</v>
      </c>
      <c r="U46" s="6">
        <f t="shared" si="51"/>
        <v>1.1789047216373716</v>
      </c>
      <c r="V46" s="6">
        <f t="shared" si="51"/>
        <v>1.2255211672124298</v>
      </c>
      <c r="W46" s="6">
        <f t="shared" si="51"/>
        <v>1.192871915524409</v>
      </c>
      <c r="X46" s="6">
        <f t="shared" si="51"/>
        <v>1.1909910885165731</v>
      </c>
      <c r="Y46" s="6">
        <f t="shared" si="51"/>
        <v>1.1918127159537268</v>
      </c>
      <c r="Z46" s="6">
        <f t="shared" si="51"/>
        <v>1.2799951815247543</v>
      </c>
      <c r="AA46" s="6">
        <f t="shared" si="51"/>
        <v>1.1162605252728119</v>
      </c>
      <c r="AB46" s="6">
        <f t="shared" si="51"/>
        <v>1.0923363244394577</v>
      </c>
      <c r="AC46" s="6">
        <f t="shared" si="51"/>
        <v>1.2708808998550574</v>
      </c>
      <c r="AD46" s="6">
        <f t="shared" si="51"/>
        <v>1.1170080436372787</v>
      </c>
      <c r="AE46" s="6">
        <f t="shared" si="51"/>
        <v>1.1251130788770236</v>
      </c>
      <c r="AF46" s="6">
        <f t="shared" si="51"/>
        <v>1.1672715414114534</v>
      </c>
      <c r="AG46" s="6">
        <f t="shared" si="51"/>
        <v>1.2170614763419245</v>
      </c>
      <c r="AH46" s="6">
        <f t="shared" si="51"/>
        <v>1.1129114859918039</v>
      </c>
      <c r="AI46" s="6">
        <f t="shared" si="51"/>
        <v>1.1983465516235996</v>
      </c>
      <c r="AJ46" s="6">
        <f t="shared" si="51"/>
        <v>1.0823274318165828</v>
      </c>
      <c r="AK46" s="6">
        <f t="shared" si="51"/>
        <v>1.2232465198536484</v>
      </c>
      <c r="AL46" s="6">
        <f t="shared" si="51"/>
        <v>1.1046447893509272</v>
      </c>
      <c r="AM46" s="6">
        <f t="shared" si="51"/>
        <v>1.2246032814198822</v>
      </c>
      <c r="AN46" s="6">
        <f t="shared" si="51"/>
        <v>1.1136295492682984</v>
      </c>
      <c r="AO46" s="6">
        <f t="shared" si="51"/>
        <v>0</v>
      </c>
      <c r="AP46" s="6">
        <f t="shared" si="51"/>
        <v>0</v>
      </c>
      <c r="AQ46" s="6">
        <f t="shared" si="51"/>
        <v>1.1432282089379959</v>
      </c>
    </row>
    <row r="47" spans="1:44" s="24" customFormat="1" ht="15" customHeight="1" x14ac:dyDescent="0.25">
      <c r="B47" t="s">
        <v>371</v>
      </c>
      <c r="C47" s="6">
        <f t="shared" ref="C47:G47" si="52">IF(C36=0,0,+C42/C36)</f>
        <v>0</v>
      </c>
      <c r="D47" s="6">
        <f t="shared" si="52"/>
        <v>0</v>
      </c>
      <c r="E47" s="6">
        <f t="shared" si="52"/>
        <v>0</v>
      </c>
      <c r="F47" s="6">
        <f t="shared" si="52"/>
        <v>1.0459546447939263</v>
      </c>
      <c r="G47" s="6">
        <f t="shared" si="52"/>
        <v>1.1225497625281617</v>
      </c>
      <c r="H47" s="6">
        <f>IF(H36=0,0,+H42/H36)</f>
        <v>1.1495435366624525</v>
      </c>
      <c r="I47" s="6">
        <f t="shared" ref="I47:AQ47" si="53">IF(I36=0,0,+I42/I36)</f>
        <v>1.0503533132822356</v>
      </c>
      <c r="J47" s="6">
        <f t="shared" si="53"/>
        <v>1.1666197998089283</v>
      </c>
      <c r="K47" s="6">
        <f t="shared" si="53"/>
        <v>1.2479327360316961</v>
      </c>
      <c r="L47" s="6">
        <f t="shared" si="53"/>
        <v>1.1901843086444601</v>
      </c>
      <c r="M47" s="6">
        <f t="shared" si="53"/>
        <v>1.1362681331542595</v>
      </c>
      <c r="N47" s="6">
        <f t="shared" si="53"/>
        <v>1.1704579524535845</v>
      </c>
      <c r="O47" s="6">
        <f t="shared" si="53"/>
        <v>1.2450520407056611</v>
      </c>
      <c r="P47" s="6">
        <f t="shared" si="53"/>
        <v>1.1883592874603592</v>
      </c>
      <c r="Q47" s="6">
        <f t="shared" si="53"/>
        <v>1.1391024947294446</v>
      </c>
      <c r="R47" s="6">
        <f t="shared" si="53"/>
        <v>1.1940324917454175</v>
      </c>
      <c r="S47" s="6">
        <f t="shared" si="53"/>
        <v>1.1751735786502999</v>
      </c>
      <c r="T47" s="6">
        <f t="shared" si="53"/>
        <v>1.1195591056480545</v>
      </c>
      <c r="U47" s="6">
        <f t="shared" si="53"/>
        <v>1.1652816345810522</v>
      </c>
      <c r="V47" s="6">
        <f t="shared" si="53"/>
        <v>1.1638609881938753</v>
      </c>
      <c r="W47" s="6">
        <f t="shared" si="53"/>
        <v>1.1261507101895607</v>
      </c>
      <c r="X47" s="6">
        <f t="shared" si="53"/>
        <v>1.1932013206942984</v>
      </c>
      <c r="Y47" s="6">
        <f t="shared" si="53"/>
        <v>1.1760940342837747</v>
      </c>
      <c r="Z47" s="6">
        <f t="shared" si="53"/>
        <v>1.1595878483777038</v>
      </c>
      <c r="AA47" s="6">
        <f t="shared" si="53"/>
        <v>1.1068838871814572</v>
      </c>
      <c r="AB47" s="6">
        <f t="shared" si="53"/>
        <v>1.205400672746975</v>
      </c>
      <c r="AC47" s="6">
        <f t="shared" si="53"/>
        <v>1.1077634863474475</v>
      </c>
      <c r="AD47" s="6">
        <f t="shared" si="53"/>
        <v>1.2893247597413944</v>
      </c>
      <c r="AE47" s="6">
        <f t="shared" si="53"/>
        <v>1.1825844685002789</v>
      </c>
      <c r="AF47" s="6">
        <f t="shared" si="53"/>
        <v>1.1750891054258243</v>
      </c>
      <c r="AG47" s="6">
        <f t="shared" si="53"/>
        <v>1.2617420901639342</v>
      </c>
      <c r="AH47" s="6">
        <f t="shared" si="53"/>
        <v>1.1252405554797327</v>
      </c>
      <c r="AI47" s="6">
        <f t="shared" si="53"/>
        <v>1.319816390434712</v>
      </c>
      <c r="AJ47" s="6">
        <f t="shared" si="53"/>
        <v>1.0261794214285715</v>
      </c>
      <c r="AK47" s="6">
        <f t="shared" si="53"/>
        <v>1.1499234478601568</v>
      </c>
      <c r="AL47" s="6">
        <f t="shared" si="53"/>
        <v>1.1829500168067228</v>
      </c>
      <c r="AM47" s="6">
        <f t="shared" si="53"/>
        <v>1.146681661214104</v>
      </c>
      <c r="AN47" s="6">
        <f t="shared" si="53"/>
        <v>1.1827230944254836</v>
      </c>
      <c r="AO47" s="6">
        <f t="shared" si="53"/>
        <v>1.3417625</v>
      </c>
      <c r="AP47" s="6">
        <f t="shared" si="53"/>
        <v>0</v>
      </c>
      <c r="AQ47" s="6">
        <f t="shared" si="53"/>
        <v>1.1607208373936642</v>
      </c>
    </row>
    <row r="48" spans="1:44" x14ac:dyDescent="0.25">
      <c r="A48" s="24"/>
      <c r="B48" s="24"/>
      <c r="J48" s="6"/>
      <c r="K48" s="6"/>
      <c r="L48" s="6"/>
      <c r="M48" s="6"/>
      <c r="N48" s="6"/>
      <c r="O48" s="6"/>
      <c r="P48" s="6"/>
      <c r="Q48" s="6"/>
      <c r="R48" s="6"/>
      <c r="AH48" s="55" t="s">
        <v>714</v>
      </c>
    </row>
    <row r="49" spans="1:46" s="2" customFormat="1" x14ac:dyDescent="0.25">
      <c r="A49" s="2" t="s">
        <v>472</v>
      </c>
      <c r="C49" s="3">
        <f>+C11+C26+C41</f>
        <v>0</v>
      </c>
      <c r="D49" s="3">
        <f t="shared" ref="D49:AP49" si="54">+D11+D26+D41</f>
        <v>0</v>
      </c>
      <c r="E49" s="3">
        <f t="shared" si="54"/>
        <v>0</v>
      </c>
      <c r="F49" s="3">
        <f t="shared" si="54"/>
        <v>59174.947625740613</v>
      </c>
      <c r="G49" s="3">
        <f t="shared" si="54"/>
        <v>10256.341115932304</v>
      </c>
      <c r="H49" s="3">
        <f t="shared" si="54"/>
        <v>0</v>
      </c>
      <c r="I49" s="3">
        <f t="shared" si="54"/>
        <v>4968.3169102672573</v>
      </c>
      <c r="J49" s="3">
        <f t="shared" si="54"/>
        <v>224715.79838167797</v>
      </c>
      <c r="K49" s="3">
        <f t="shared" si="54"/>
        <v>316816.62034813402</v>
      </c>
      <c r="L49" s="3">
        <f t="shared" si="54"/>
        <v>264620.51927241782</v>
      </c>
      <c r="M49" s="3">
        <f t="shared" si="54"/>
        <v>374254.75878794427</v>
      </c>
      <c r="N49" s="3">
        <f t="shared" si="54"/>
        <v>472737.90826065792</v>
      </c>
      <c r="O49" s="3">
        <f t="shared" si="54"/>
        <v>473270.80588083499</v>
      </c>
      <c r="P49" s="3">
        <f t="shared" si="54"/>
        <v>748896.32761687005</v>
      </c>
      <c r="Q49" s="3">
        <f t="shared" si="54"/>
        <v>662179.46772006282</v>
      </c>
      <c r="R49" s="3">
        <f t="shared" si="54"/>
        <v>789585.41841195466</v>
      </c>
      <c r="S49" s="3">
        <f t="shared" si="54"/>
        <v>744988.68198905652</v>
      </c>
      <c r="T49" s="3">
        <f t="shared" si="54"/>
        <v>536627.6455851479</v>
      </c>
      <c r="U49" s="3">
        <f t="shared" si="54"/>
        <v>510174.73875738762</v>
      </c>
      <c r="V49" s="3">
        <f t="shared" si="54"/>
        <v>391755.94609902386</v>
      </c>
      <c r="W49" s="3">
        <f t="shared" si="54"/>
        <v>282391.92221790424</v>
      </c>
      <c r="X49" s="3">
        <f t="shared" si="54"/>
        <v>200020.56101566713</v>
      </c>
      <c r="Y49" s="3">
        <f t="shared" si="54"/>
        <v>142665.44331925051</v>
      </c>
      <c r="Z49" s="3">
        <f t="shared" si="54"/>
        <v>82608.739801541247</v>
      </c>
      <c r="AA49" s="3">
        <f t="shared" si="54"/>
        <v>66313.025207680766</v>
      </c>
      <c r="AB49" s="3">
        <f t="shared" si="54"/>
        <v>65186.757087667924</v>
      </c>
      <c r="AC49" s="3">
        <f t="shared" si="54"/>
        <v>54581.624173652897</v>
      </c>
      <c r="AD49" s="3">
        <f t="shared" si="54"/>
        <v>40931.580886158976</v>
      </c>
      <c r="AE49" s="3">
        <f t="shared" si="54"/>
        <v>44830.623951626461</v>
      </c>
      <c r="AF49" s="3">
        <f t="shared" si="54"/>
        <v>119924.88285692119</v>
      </c>
      <c r="AG49" s="3">
        <f t="shared" si="54"/>
        <v>62200.232635661116</v>
      </c>
      <c r="AH49" s="3">
        <f t="shared" si="54"/>
        <v>28617.351731843686</v>
      </c>
      <c r="AI49" s="3">
        <f t="shared" si="54"/>
        <v>42787.359301766126</v>
      </c>
      <c r="AJ49" s="3">
        <f t="shared" si="54"/>
        <v>30186.874521227983</v>
      </c>
      <c r="AK49" s="3">
        <f t="shared" si="54"/>
        <v>20129.983469438914</v>
      </c>
      <c r="AL49" s="3">
        <f t="shared" si="54"/>
        <v>9309.5044267338726</v>
      </c>
      <c r="AM49" s="3">
        <f t="shared" si="54"/>
        <v>9271.226522973644</v>
      </c>
      <c r="AN49" s="3">
        <f t="shared" si="54"/>
        <v>9232.8798670736087</v>
      </c>
      <c r="AO49" s="3">
        <f t="shared" si="54"/>
        <v>0</v>
      </c>
      <c r="AP49" s="3">
        <f t="shared" si="54"/>
        <v>0</v>
      </c>
      <c r="AQ49" s="3">
        <f>+AQ11+AQ26+AQ41</f>
        <v>7896214.8157579005</v>
      </c>
      <c r="AS49"/>
      <c r="AT49"/>
    </row>
    <row r="50" spans="1:46" s="2" customFormat="1" x14ac:dyDescent="0.25">
      <c r="A50" s="2" t="s">
        <v>473</v>
      </c>
      <c r="C50" s="3">
        <f>+C12+C27+C42</f>
        <v>0</v>
      </c>
      <c r="D50" s="3">
        <f t="shared" ref="D50:AP50" si="55">+D12+D27+D42</f>
        <v>0</v>
      </c>
      <c r="E50" s="3">
        <f t="shared" si="55"/>
        <v>0</v>
      </c>
      <c r="F50" s="3">
        <f t="shared" si="55"/>
        <v>77149.614600000001</v>
      </c>
      <c r="G50" s="3">
        <f t="shared" si="55"/>
        <v>36871.269500000002</v>
      </c>
      <c r="H50" s="3">
        <f t="shared" si="55"/>
        <v>7274.3114999999998</v>
      </c>
      <c r="I50" s="3">
        <f t="shared" si="55"/>
        <v>21051.983200000002</v>
      </c>
      <c r="J50" s="3">
        <f t="shared" si="55"/>
        <v>53729.841500000002</v>
      </c>
      <c r="K50" s="3">
        <f t="shared" si="55"/>
        <v>271258.57055000006</v>
      </c>
      <c r="L50" s="3">
        <f t="shared" si="55"/>
        <v>286227.64919999999</v>
      </c>
      <c r="M50" s="3">
        <f t="shared" si="55"/>
        <v>251436.59580000001</v>
      </c>
      <c r="N50" s="3">
        <f t="shared" si="55"/>
        <v>353997.46759999997</v>
      </c>
      <c r="O50" s="3">
        <f t="shared" si="55"/>
        <v>497031.33010000002</v>
      </c>
      <c r="P50" s="3">
        <f t="shared" si="55"/>
        <v>718343.13769999996</v>
      </c>
      <c r="Q50" s="3">
        <f t="shared" si="55"/>
        <v>667606.48249999993</v>
      </c>
      <c r="R50" s="3">
        <f t="shared" si="55"/>
        <v>681759.91305000009</v>
      </c>
      <c r="S50" s="3">
        <f t="shared" si="55"/>
        <v>671368.70824999991</v>
      </c>
      <c r="T50" s="3">
        <f t="shared" si="55"/>
        <v>704301.87705000001</v>
      </c>
      <c r="U50" s="3">
        <f t="shared" si="55"/>
        <v>471773.66325000004</v>
      </c>
      <c r="V50" s="3">
        <f t="shared" si="55"/>
        <v>544983.70319999987</v>
      </c>
      <c r="W50" s="3">
        <f t="shared" si="55"/>
        <v>471896.79940000002</v>
      </c>
      <c r="X50" s="3">
        <f t="shared" si="55"/>
        <v>306207.20952499995</v>
      </c>
      <c r="Y50" s="3">
        <f t="shared" si="55"/>
        <v>155645.94090000002</v>
      </c>
      <c r="Z50" s="3">
        <f t="shared" si="55"/>
        <v>129245.02560000001</v>
      </c>
      <c r="AA50" s="3">
        <f t="shared" si="55"/>
        <v>92490.274050000007</v>
      </c>
      <c r="AB50" s="3">
        <f t="shared" si="55"/>
        <v>68206.935299999997</v>
      </c>
      <c r="AC50" s="3">
        <f t="shared" si="55"/>
        <v>60089.330399999992</v>
      </c>
      <c r="AD50" s="3">
        <f t="shared" si="55"/>
        <v>43594.143700000001</v>
      </c>
      <c r="AE50" s="3">
        <f t="shared" si="55"/>
        <v>27515.475050000001</v>
      </c>
      <c r="AF50" s="3">
        <f t="shared" si="55"/>
        <v>27445.9058</v>
      </c>
      <c r="AG50" s="3">
        <f t="shared" si="55"/>
        <v>101500.44665</v>
      </c>
      <c r="AH50" s="3">
        <f t="shared" si="55"/>
        <v>35090.178750000006</v>
      </c>
      <c r="AI50" s="3">
        <f t="shared" si="55"/>
        <v>52958.447299999993</v>
      </c>
      <c r="AJ50" s="3">
        <f t="shared" si="55"/>
        <v>33465.906200000005</v>
      </c>
      <c r="AK50" s="3">
        <f t="shared" si="55"/>
        <v>26449.964800000002</v>
      </c>
      <c r="AL50" s="3">
        <f t="shared" si="55"/>
        <v>14763.340400000001</v>
      </c>
      <c r="AM50" s="3">
        <f t="shared" si="55"/>
        <v>9707.8829999999998</v>
      </c>
      <c r="AN50" s="3">
        <f t="shared" si="55"/>
        <v>1749.4932000000003</v>
      </c>
      <c r="AO50" s="3">
        <f t="shared" si="55"/>
        <v>955.57875000000001</v>
      </c>
      <c r="AP50" s="3">
        <f t="shared" si="55"/>
        <v>-232.70700000000002</v>
      </c>
      <c r="AQ50" s="3">
        <f>+AQ12+AQ27+AQ42</f>
        <v>7974911.6903250003</v>
      </c>
      <c r="AS50"/>
      <c r="AT50"/>
    </row>
    <row r="51" spans="1:46" s="115" customFormat="1" x14ac:dyDescent="0.25">
      <c r="B51" s="115" t="s">
        <v>507</v>
      </c>
      <c r="C51" s="115">
        <f>+C50-C49</f>
        <v>0</v>
      </c>
      <c r="D51" s="115">
        <f t="shared" ref="D51:AP51" si="56">+D50-D49+C51</f>
        <v>0</v>
      </c>
      <c r="E51" s="115">
        <f t="shared" si="56"/>
        <v>0</v>
      </c>
      <c r="F51" s="115">
        <f t="shared" si="56"/>
        <v>17974.666974259388</v>
      </c>
      <c r="G51" s="115">
        <f t="shared" si="56"/>
        <v>44589.595358327089</v>
      </c>
      <c r="H51" s="115">
        <f t="shared" si="56"/>
        <v>51863.906858327086</v>
      </c>
      <c r="I51" s="115">
        <f t="shared" si="56"/>
        <v>67947.573148059833</v>
      </c>
      <c r="J51" s="115">
        <f t="shared" si="56"/>
        <v>-103038.38373361813</v>
      </c>
      <c r="K51" s="115">
        <f t="shared" si="56"/>
        <v>-148596.43353175209</v>
      </c>
      <c r="L51" s="115">
        <f t="shared" si="56"/>
        <v>-126989.30360416992</v>
      </c>
      <c r="M51" s="115">
        <f t="shared" si="56"/>
        <v>-249807.46659211419</v>
      </c>
      <c r="N51" s="115">
        <f t="shared" si="56"/>
        <v>-368547.90725277213</v>
      </c>
      <c r="O51" s="115">
        <f t="shared" si="56"/>
        <v>-344787.3830336071</v>
      </c>
      <c r="P51" s="115">
        <f t="shared" si="56"/>
        <v>-375340.57295047719</v>
      </c>
      <c r="Q51" s="115">
        <f t="shared" si="56"/>
        <v>-369913.55817054008</v>
      </c>
      <c r="R51" s="115">
        <f t="shared" si="56"/>
        <v>-477739.06353249465</v>
      </c>
      <c r="S51" s="115">
        <f t="shared" si="56"/>
        <v>-551359.03727155132</v>
      </c>
      <c r="T51" s="115">
        <f t="shared" si="56"/>
        <v>-383684.80580669921</v>
      </c>
      <c r="U51" s="115">
        <f t="shared" si="56"/>
        <v>-422085.88131408679</v>
      </c>
      <c r="V51" s="115">
        <f t="shared" si="56"/>
        <v>-268858.12421311077</v>
      </c>
      <c r="W51" s="115">
        <f t="shared" si="56"/>
        <v>-79353.247031014995</v>
      </c>
      <c r="X51" s="115">
        <f t="shared" si="56"/>
        <v>26833.401478317828</v>
      </c>
      <c r="Y51" s="115">
        <f t="shared" si="56"/>
        <v>39813.899059067335</v>
      </c>
      <c r="Z51" s="115">
        <f t="shared" si="56"/>
        <v>86450.184857526096</v>
      </c>
      <c r="AA51" s="115">
        <f t="shared" si="56"/>
        <v>112627.43369984534</v>
      </c>
      <c r="AB51" s="115">
        <f t="shared" si="56"/>
        <v>115647.61191217741</v>
      </c>
      <c r="AC51" s="115">
        <f t="shared" si="56"/>
        <v>121155.31813852451</v>
      </c>
      <c r="AD51" s="115">
        <f t="shared" si="56"/>
        <v>123817.88095236554</v>
      </c>
      <c r="AE51" s="115">
        <f t="shared" si="56"/>
        <v>106502.73205073908</v>
      </c>
      <c r="AF51" s="115">
        <f t="shared" si="56"/>
        <v>14023.754993817885</v>
      </c>
      <c r="AG51" s="115">
        <f t="shared" si="56"/>
        <v>53323.969008156768</v>
      </c>
      <c r="AH51" s="115">
        <f t="shared" si="56"/>
        <v>59796.796026313088</v>
      </c>
      <c r="AI51" s="115">
        <f t="shared" si="56"/>
        <v>69967.884024546947</v>
      </c>
      <c r="AJ51" s="115">
        <f t="shared" si="56"/>
        <v>73246.915703318969</v>
      </c>
      <c r="AK51" s="115">
        <f t="shared" si="56"/>
        <v>79566.897033880057</v>
      </c>
      <c r="AL51" s="115">
        <f t="shared" si="56"/>
        <v>85020.733007146191</v>
      </c>
      <c r="AM51" s="115">
        <f t="shared" si="56"/>
        <v>85457.389484172541</v>
      </c>
      <c r="AN51" s="115">
        <f t="shared" si="56"/>
        <v>77974.002817098939</v>
      </c>
      <c r="AO51" s="115">
        <f t="shared" si="56"/>
        <v>78929.58156709894</v>
      </c>
      <c r="AP51" s="115">
        <f t="shared" si="56"/>
        <v>78696.874567098945</v>
      </c>
      <c r="AQ51" s="115">
        <f>+AQ50-AQ49</f>
        <v>78696.874567099847</v>
      </c>
    </row>
    <row r="52" spans="1:46" s="115" customFormat="1" x14ac:dyDescent="0.25"/>
    <row r="53" spans="1:46" x14ac:dyDescent="0.25">
      <c r="A53" t="s">
        <v>752</v>
      </c>
      <c r="C53" s="1">
        <f>+Daily!D45</f>
        <v>0</v>
      </c>
      <c r="D53" s="1">
        <f>+Daily!E45</f>
        <v>0</v>
      </c>
      <c r="E53" s="1">
        <f>+Daily!F45</f>
        <v>0</v>
      </c>
      <c r="F53" s="1">
        <f>+Daily!G45</f>
        <v>0</v>
      </c>
      <c r="G53" s="1">
        <f>+Daily!H45</f>
        <v>0</v>
      </c>
      <c r="H53" s="1">
        <f>+Daily!I45</f>
        <v>0</v>
      </c>
      <c r="I53" s="1">
        <f>+Daily!J45</f>
        <v>0</v>
      </c>
      <c r="J53" s="1">
        <f>+Daily!K45</f>
        <v>0</v>
      </c>
      <c r="K53" s="1">
        <f>+Daily!L45</f>
        <v>306</v>
      </c>
      <c r="L53" s="1">
        <f>+Daily!M45</f>
        <v>325</v>
      </c>
      <c r="M53" s="1">
        <f>+Daily!N45</f>
        <v>366</v>
      </c>
      <c r="N53" s="1">
        <f>+Daily!O45</f>
        <v>497</v>
      </c>
      <c r="O53" s="1">
        <f>+Daily!P45</f>
        <v>599</v>
      </c>
      <c r="P53" s="1">
        <f>+Daily!Q45</f>
        <v>534</v>
      </c>
      <c r="Q53" s="1">
        <f>+Daily!R45</f>
        <v>631</v>
      </c>
      <c r="R53" s="1">
        <f>+Daily!S45</f>
        <v>622</v>
      </c>
      <c r="S53" s="1">
        <f>+Daily!T45</f>
        <v>619</v>
      </c>
      <c r="T53" s="1">
        <f>+Daily!U45</f>
        <v>649</v>
      </c>
      <c r="U53" s="1">
        <f>+Daily!V45</f>
        <v>550</v>
      </c>
      <c r="V53" s="1">
        <f>+Daily!W45</f>
        <v>600</v>
      </c>
      <c r="W53" s="1">
        <f>+Daily!X45</f>
        <v>575</v>
      </c>
      <c r="X53" s="1">
        <f>+Daily!Y45</f>
        <v>372</v>
      </c>
      <c r="Y53" s="1">
        <f>+Daily!Z45</f>
        <v>300</v>
      </c>
      <c r="Z53" s="1">
        <f>+Daily!AA45</f>
        <v>243</v>
      </c>
      <c r="AA53" s="1">
        <f>+Daily!AB45</f>
        <v>184</v>
      </c>
      <c r="AB53" s="1">
        <f>+Daily!AC45</f>
        <v>121</v>
      </c>
      <c r="AC53" s="1">
        <f>+Daily!AD45</f>
        <v>104</v>
      </c>
      <c r="AD53" s="1">
        <f>+Daily!AE45</f>
        <v>85</v>
      </c>
      <c r="AE53" s="1">
        <f>+Daily!AF45</f>
        <v>55</v>
      </c>
      <c r="AF53" s="1">
        <f>+Daily!AG45</f>
        <v>55</v>
      </c>
      <c r="AG53" s="1">
        <f>+Daily!AH45</f>
        <v>209</v>
      </c>
      <c r="AH53" s="1">
        <f>+Daily!AI45</f>
        <v>82</v>
      </c>
      <c r="AI53" s="1">
        <f>+Daily!AJ45</f>
        <v>88</v>
      </c>
      <c r="AJ53" s="1">
        <f>+Daily!AK45</f>
        <v>71</v>
      </c>
      <c r="AK53" s="1">
        <f>+Daily!AL45</f>
        <v>71</v>
      </c>
      <c r="AL53" s="1">
        <f>+Daily!AM45</f>
        <v>35</v>
      </c>
      <c r="AM53" s="1">
        <f>+Daily!AN45</f>
        <v>22</v>
      </c>
      <c r="AN53" s="1">
        <f>+Daily!AO45</f>
        <v>0</v>
      </c>
      <c r="AO53" s="1">
        <f>+Daily!AP45</f>
        <v>0</v>
      </c>
      <c r="AP53" s="1">
        <f>+Daily!AQ45</f>
        <v>0</v>
      </c>
      <c r="AQ53" s="1">
        <f>SUM(C53:AP53)</f>
        <v>8970</v>
      </c>
    </row>
    <row r="54" spans="1:46" x14ac:dyDescent="0.25">
      <c r="A54" t="s">
        <v>682</v>
      </c>
      <c r="C54" s="1">
        <f>+[3]Analysis!C53</f>
        <v>0</v>
      </c>
      <c r="D54" s="1">
        <f>+[3]Analysis!D53</f>
        <v>0</v>
      </c>
      <c r="E54" s="1">
        <f>+[3]Analysis!E53</f>
        <v>0</v>
      </c>
      <c r="F54" s="1">
        <f>+[3]Analysis!F53</f>
        <v>0</v>
      </c>
      <c r="G54" s="1">
        <f>+[3]Analysis!G53</f>
        <v>0</v>
      </c>
      <c r="H54" s="1">
        <f>+[3]Analysis!H53</f>
        <v>0</v>
      </c>
      <c r="I54" s="1">
        <f>+[3]Analysis!I53</f>
        <v>0</v>
      </c>
      <c r="J54" s="1">
        <f>+[3]Analysis!J53</f>
        <v>0</v>
      </c>
      <c r="K54" s="1">
        <f>+[3]Analysis!K53</f>
        <v>369</v>
      </c>
      <c r="L54" s="1">
        <f>+[3]Analysis!L53</f>
        <v>289</v>
      </c>
      <c r="M54" s="1">
        <f>+[3]Analysis!M53</f>
        <v>289</v>
      </c>
      <c r="N54" s="1">
        <f>+[3]Analysis!N53</f>
        <v>476</v>
      </c>
      <c r="O54" s="1">
        <f>+[3]Analysis!O53</f>
        <v>545</v>
      </c>
      <c r="P54" s="1">
        <f>+[3]Analysis!P53</f>
        <v>626</v>
      </c>
      <c r="Q54" s="1">
        <f>+[3]Analysis!Q53</f>
        <v>618</v>
      </c>
      <c r="R54" s="1">
        <f>+[3]Analysis!R53</f>
        <v>577</v>
      </c>
      <c r="S54" s="1">
        <f>+[3]Analysis!S53</f>
        <v>629</v>
      </c>
      <c r="T54" s="1">
        <f>+[3]Analysis!T53</f>
        <v>604</v>
      </c>
      <c r="U54" s="1">
        <f>+[3]Analysis!U53</f>
        <v>580</v>
      </c>
      <c r="V54" s="1">
        <f>+[3]Analysis!V53</f>
        <v>515</v>
      </c>
      <c r="W54" s="1">
        <f>+[3]Analysis!W53</f>
        <v>552</v>
      </c>
      <c r="X54" s="1">
        <f>+[3]Analysis!X53</f>
        <v>368</v>
      </c>
      <c r="Y54" s="1">
        <f>+[3]Analysis!Y53</f>
        <v>249</v>
      </c>
      <c r="Z54" s="1">
        <f>+[3]Analysis!Z53</f>
        <v>180</v>
      </c>
      <c r="AA54" s="1">
        <f>+[3]Analysis!AA53</f>
        <v>158</v>
      </c>
      <c r="AB54" s="1">
        <f>+[3]Analysis!AB53</f>
        <v>129</v>
      </c>
      <c r="AC54" s="1">
        <f>+[3]Analysis!AC53</f>
        <v>89</v>
      </c>
      <c r="AD54" s="1">
        <f>+[3]Analysis!AD53</f>
        <v>58</v>
      </c>
      <c r="AE54" s="1">
        <f>+[3]Analysis!AE53</f>
        <v>66</v>
      </c>
      <c r="AF54" s="1">
        <f>+[3]Analysis!AF53</f>
        <v>57</v>
      </c>
      <c r="AG54" s="1">
        <f>+[3]Analysis!AG53</f>
        <v>256</v>
      </c>
      <c r="AH54" s="1">
        <f>+[3]Analysis!AH53</f>
        <v>60</v>
      </c>
      <c r="AI54" s="1">
        <f>+[3]Analysis!AI53</f>
        <v>85</v>
      </c>
      <c r="AJ54" s="1">
        <f>+[3]Analysis!AJ53</f>
        <v>91</v>
      </c>
      <c r="AK54" s="1">
        <f>+[3]Analysis!AK53</f>
        <v>0</v>
      </c>
      <c r="AL54" s="1">
        <f>+[3]Analysis!AL53</f>
        <v>0</v>
      </c>
      <c r="AM54" s="1">
        <f>+[3]Analysis!AM53</f>
        <v>0</v>
      </c>
      <c r="AN54" s="1">
        <f>+[3]Analysis!AN53</f>
        <v>0</v>
      </c>
      <c r="AO54" s="1">
        <f>+[3]Analysis!AO53</f>
        <v>0</v>
      </c>
      <c r="AP54" s="1">
        <f>+[3]Analysis!AP53</f>
        <v>0</v>
      </c>
      <c r="AQ54" s="1">
        <f>SUM(C54:AP54)</f>
        <v>8515</v>
      </c>
    </row>
    <row r="55" spans="1:4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6" x14ac:dyDescent="0.25">
      <c r="A56" s="31" t="s">
        <v>122</v>
      </c>
    </row>
    <row r="57" spans="1:46" x14ac:dyDescent="0.25">
      <c r="B57" s="143">
        <v>2024</v>
      </c>
      <c r="C57" s="1">
        <f>+Daily!D56</f>
        <v>0</v>
      </c>
      <c r="D57" s="1">
        <f>+Daily!E56</f>
        <v>0</v>
      </c>
      <c r="E57" s="1">
        <f>+Daily!F56</f>
        <v>0</v>
      </c>
      <c r="F57" s="1">
        <f>+Daily!G56</f>
        <v>0</v>
      </c>
      <c r="G57" s="1">
        <f>+Daily!H56</f>
        <v>0</v>
      </c>
      <c r="H57" s="1">
        <f>+Daily!I56</f>
        <v>0</v>
      </c>
      <c r="I57" s="1">
        <f>+Daily!J56</f>
        <v>0</v>
      </c>
      <c r="J57" s="1">
        <f>+Daily!K56</f>
        <v>0</v>
      </c>
      <c r="K57" s="1">
        <f>+Daily!L56</f>
        <v>54.584967320261441</v>
      </c>
      <c r="L57" s="1">
        <f>+Daily!M56</f>
        <v>31.4</v>
      </c>
      <c r="M57" s="1">
        <f>+Daily!N56</f>
        <v>29.959016393442624</v>
      </c>
      <c r="N57" s="1">
        <f>+Daily!O56</f>
        <v>38.764587525150908</v>
      </c>
      <c r="O57" s="1">
        <f>+Daily!P56</f>
        <v>40.681135225375627</v>
      </c>
      <c r="P57" s="1">
        <f>+Daily!Q56</f>
        <v>38.247191011235955</v>
      </c>
      <c r="Q57" s="1">
        <f>+Daily!R56</f>
        <v>40.537242472266243</v>
      </c>
      <c r="R57" s="1">
        <f>+Daily!S56</f>
        <v>37.737942122186496</v>
      </c>
      <c r="S57" s="1">
        <f>+Daily!T56</f>
        <v>38.945072697899839</v>
      </c>
      <c r="T57" s="1">
        <f>+Daily!U56</f>
        <v>45.546995377503855</v>
      </c>
      <c r="U57" s="1">
        <f>+Daily!V56</f>
        <v>41.561818181818182</v>
      </c>
      <c r="V57" s="1">
        <f>+Daily!W56</f>
        <v>48.001666666666665</v>
      </c>
      <c r="W57" s="1">
        <f>+Daily!X56</f>
        <v>47.923478260869565</v>
      </c>
      <c r="X57" s="1">
        <f>+Daily!Y56</f>
        <v>35.575268817204304</v>
      </c>
      <c r="Y57" s="1">
        <f>+Daily!Z56</f>
        <v>33.409999999999997</v>
      </c>
      <c r="Z57" s="1">
        <f>+Daily!AA56</f>
        <v>29.074074074074073</v>
      </c>
      <c r="AA57" s="1">
        <f>+Daily!AB56</f>
        <v>35.097826086956523</v>
      </c>
      <c r="AB57" s="1">
        <f>+Daily!AC56</f>
        <v>33.223140495867767</v>
      </c>
      <c r="AC57" s="1">
        <f>+Daily!AD56</f>
        <v>39.41346153846154</v>
      </c>
      <c r="AD57" s="1">
        <f>+Daily!AE56</f>
        <v>33.929411764705883</v>
      </c>
      <c r="AE57" s="1">
        <f>+Daily!AF56</f>
        <v>32.036363636363639</v>
      </c>
      <c r="AF57" s="1">
        <f>+Daily!AG56</f>
        <v>32.345454545454544</v>
      </c>
      <c r="AG57" s="1">
        <f>+Daily!AH56</f>
        <v>32.282296650717704</v>
      </c>
      <c r="AH57" s="1">
        <f>+Daily!AI56</f>
        <v>27.475609756097562</v>
      </c>
      <c r="AI57" s="1">
        <f>+Daily!AJ56</f>
        <v>26.40909090909091</v>
      </c>
      <c r="AJ57" s="1">
        <f>+Daily!AK56</f>
        <v>33.08450704225352</v>
      </c>
      <c r="AK57" s="1">
        <f>+Daily!AL56</f>
        <v>24.802816901408452</v>
      </c>
      <c r="AL57" s="1">
        <f>+Daily!AM56</f>
        <v>27.37142857142857</v>
      </c>
      <c r="AM57" s="1">
        <f>+Daily!AN56</f>
        <v>21.681818181818183</v>
      </c>
      <c r="AN57" s="1">
        <f>+Daily!AO56</f>
        <v>0</v>
      </c>
      <c r="AO57" s="1">
        <f>+Daily!AP56</f>
        <v>0</v>
      </c>
      <c r="AP57" s="1">
        <f>+Daily!AQ56</f>
        <v>0</v>
      </c>
      <c r="AQ57" s="1">
        <f>+Daily!AR56</f>
        <v>39.248494983277595</v>
      </c>
    </row>
    <row r="58" spans="1:46" x14ac:dyDescent="0.25">
      <c r="B58" s="143">
        <v>2023</v>
      </c>
      <c r="C58" s="1">
        <f>+[3]Analysis!C57</f>
        <v>0</v>
      </c>
      <c r="D58" s="1">
        <f>+[3]Analysis!D57</f>
        <v>0</v>
      </c>
      <c r="E58" s="1">
        <f>+[3]Analysis!E57</f>
        <v>0</v>
      </c>
      <c r="F58" s="1">
        <f>+[3]Analysis!F57</f>
        <v>0</v>
      </c>
      <c r="G58" s="1">
        <f>+[3]Analysis!G57</f>
        <v>0</v>
      </c>
      <c r="H58" s="1">
        <f>+[3]Analysis!H57</f>
        <v>0</v>
      </c>
      <c r="I58" s="1">
        <f>+[3]Analysis!I57</f>
        <v>0</v>
      </c>
      <c r="J58" s="1">
        <f>+[3]Analysis!J57</f>
        <v>0</v>
      </c>
      <c r="K58" s="1">
        <f>+[3]Analysis!K57</f>
        <v>55.918699186991873</v>
      </c>
      <c r="L58" s="1">
        <f>+[3]Analysis!L57</f>
        <v>31.695501730103807</v>
      </c>
      <c r="M58" s="1">
        <f>+[3]Analysis!M57</f>
        <v>31.394463667820069</v>
      </c>
      <c r="N58" s="1">
        <f>+[3]Analysis!N57</f>
        <v>34.502100840336134</v>
      </c>
      <c r="O58" s="1">
        <f>+[3]Analysis!O57</f>
        <v>37.455045871559633</v>
      </c>
      <c r="P58" s="1">
        <f>+[3]Analysis!P57</f>
        <v>40.621405750798722</v>
      </c>
      <c r="Q58" s="1">
        <f>+[3]Analysis!Q57</f>
        <v>40.954692556634306</v>
      </c>
      <c r="R58" s="1">
        <f>+[3]Analysis!R57</f>
        <v>42.558058925476601</v>
      </c>
      <c r="S58" s="1">
        <f>+[3]Analysis!S57</f>
        <v>38.678855325914149</v>
      </c>
      <c r="T58" s="1">
        <f>+[3]Analysis!T57</f>
        <v>43.736754966887418</v>
      </c>
      <c r="U58" s="1">
        <f>+[3]Analysis!U57</f>
        <v>48.594827586206897</v>
      </c>
      <c r="V58" s="1">
        <f>+[3]Analysis!V57</f>
        <v>43.592233009708735</v>
      </c>
      <c r="W58" s="1">
        <f>+[3]Analysis!W57</f>
        <v>42.543478260869563</v>
      </c>
      <c r="X58" s="1">
        <f>+[3]Analysis!X57</f>
        <v>35.301630434782609</v>
      </c>
      <c r="Y58" s="1">
        <f>+[3]Analysis!Y57</f>
        <v>35.365461847389561</v>
      </c>
      <c r="Z58" s="1">
        <f>+[3]Analysis!Z57</f>
        <v>29.872222222222224</v>
      </c>
      <c r="AA58" s="1">
        <f>+[3]Analysis!AA57</f>
        <v>30.151898734177216</v>
      </c>
      <c r="AB58" s="1">
        <f>+[3]Analysis!AB57</f>
        <v>30.395348837209301</v>
      </c>
      <c r="AC58" s="1">
        <f>+[3]Analysis!AC57</f>
        <v>34.629213483146067</v>
      </c>
      <c r="AD58" s="1">
        <f>+[3]Analysis!AD57</f>
        <v>24.362068965517242</v>
      </c>
      <c r="AE58" s="1">
        <f>+[3]Analysis!AE57</f>
        <v>33.560606060606062</v>
      </c>
      <c r="AF58" s="1">
        <f>+[3]Analysis!AF57</f>
        <v>22.192982456140349</v>
      </c>
      <c r="AG58" s="1">
        <f>+[3]Analysis!AG57</f>
        <v>29.953125</v>
      </c>
      <c r="AH58" s="1">
        <f>+[3]Analysis!AH57</f>
        <v>29.5</v>
      </c>
      <c r="AI58" s="1">
        <f>+[3]Analysis!AI57</f>
        <v>28.011764705882353</v>
      </c>
      <c r="AJ58" s="1">
        <f>+[3]Analysis!AJ57</f>
        <v>30.241758241758241</v>
      </c>
      <c r="AK58" s="1">
        <f>+[3]Analysis!AK57</f>
        <v>0</v>
      </c>
      <c r="AL58" s="1">
        <f>+[3]Analysis!AL57</f>
        <v>0</v>
      </c>
      <c r="AM58" s="1">
        <f>+[3]Analysis!AM57</f>
        <v>0</v>
      </c>
      <c r="AN58" s="1">
        <f>+[3]Analysis!AN57</f>
        <v>0</v>
      </c>
      <c r="AO58" s="1">
        <f>+[3]Analysis!AO57</f>
        <v>0</v>
      </c>
      <c r="AP58" s="1">
        <f>+[3]Analysis!AP57</f>
        <v>0</v>
      </c>
      <c r="AQ58" s="1">
        <f>+[4]Analysis!AQ$57</f>
        <v>40.720451201569396</v>
      </c>
    </row>
    <row r="59" spans="1:46" x14ac:dyDescent="0.25">
      <c r="B59" s="32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</row>
    <row r="61" spans="1:46" x14ac:dyDescent="0.25">
      <c r="A61" s="31" t="s">
        <v>467</v>
      </c>
    </row>
    <row r="62" spans="1:46" x14ac:dyDescent="0.25">
      <c r="A62" s="31"/>
      <c r="B62" t="s">
        <v>739</v>
      </c>
      <c r="C62" s="1">
        <f>+C6-PassVol!D82</f>
        <v>0</v>
      </c>
      <c r="D62" s="1">
        <f>+D6-PassVol!E82</f>
        <v>0</v>
      </c>
      <c r="E62" s="1">
        <f>+E6-PassVol!F82</f>
        <v>0</v>
      </c>
      <c r="F62" s="1">
        <f>+F6-PassVol!G82</f>
        <v>0</v>
      </c>
      <c r="G62" s="1">
        <f>+G6-PassVol!H82</f>
        <v>0</v>
      </c>
      <c r="H62" s="1">
        <f>+H6-PassVol!I82</f>
        <v>0</v>
      </c>
      <c r="I62" s="1">
        <f>+I6-PassVol!J82</f>
        <v>0</v>
      </c>
      <c r="J62" s="1">
        <f>+J6-PassVol!K82</f>
        <v>0</v>
      </c>
      <c r="K62" s="1">
        <f>+K6-PassVol!L82</f>
        <v>16703</v>
      </c>
      <c r="L62" s="1">
        <f>+L6-PassVol!M82</f>
        <v>10190</v>
      </c>
      <c r="M62" s="1">
        <f>+M6-PassVol!N82</f>
        <v>10965</v>
      </c>
      <c r="N62" s="1">
        <f>+N6-PassVol!O82</f>
        <v>19266</v>
      </c>
      <c r="O62" s="1">
        <f>+O6-PassVol!P82</f>
        <v>24369</v>
      </c>
      <c r="P62" s="1">
        <f>+P6-PassVol!Q82</f>
        <v>20424</v>
      </c>
      <c r="Q62" s="1">
        <f>+Q6-PassVol!R82</f>
        <v>25579</v>
      </c>
      <c r="R62" s="1">
        <f>+R6-PassVol!S82</f>
        <v>23473</v>
      </c>
      <c r="S62" s="1">
        <f>+S6-PassVol!T82</f>
        <v>24107</v>
      </c>
      <c r="T62" s="1">
        <f>+T6-PassVol!U82</f>
        <v>29518</v>
      </c>
      <c r="U62" s="1">
        <f>+U6-PassVol!V82</f>
        <v>22859</v>
      </c>
      <c r="V62" s="1">
        <f>+V6-PassVol!W82</f>
        <v>28801</v>
      </c>
      <c r="W62" s="1">
        <f>+W6-PassVol!X82</f>
        <v>27556</v>
      </c>
      <c r="X62" s="1">
        <f>+X6-PassVol!Y82</f>
        <v>13234</v>
      </c>
      <c r="Y62" s="1">
        <f>+Y6-PassVol!Z82</f>
        <v>10023</v>
      </c>
      <c r="Z62" s="1">
        <f>+Z6-PassVol!AA82</f>
        <v>7065</v>
      </c>
      <c r="AA62" s="1">
        <f>+AA6-PassVol!AB82</f>
        <v>6458</v>
      </c>
      <c r="AB62" s="1">
        <f>+AB6-PassVol!AC82</f>
        <v>4021</v>
      </c>
      <c r="AC62" s="1">
        <f>+AC6-PassVol!AD82</f>
        <v>4099</v>
      </c>
      <c r="AD62" s="1">
        <f>+AD6-PassVol!AE82</f>
        <v>2884</v>
      </c>
      <c r="AE62" s="1">
        <f>+AE6-PassVol!AF82</f>
        <v>1756</v>
      </c>
      <c r="AF62" s="1">
        <f>+AF6-PassVol!AG82</f>
        <v>1779</v>
      </c>
      <c r="AG62" s="1">
        <f>+AG6-PassVol!AH82</f>
        <v>6747</v>
      </c>
      <c r="AH62" s="1">
        <f>+AH6-PassVol!AI82</f>
        <v>2253</v>
      </c>
      <c r="AI62" s="1">
        <f>+AI6-PassVol!AJ82</f>
        <v>2324</v>
      </c>
      <c r="AJ62" s="1">
        <f>+AJ6-PassVol!AK82</f>
        <v>2349</v>
      </c>
      <c r="AK62" s="1">
        <f>+AK6-PassVol!AL82</f>
        <v>1761</v>
      </c>
      <c r="AL62" s="1">
        <f>+AL6-PassVol!AM82</f>
        <v>958</v>
      </c>
      <c r="AM62" s="1">
        <f>+AM6-PassVol!AN82</f>
        <v>477</v>
      </c>
      <c r="AN62" s="1">
        <f>+AN6-PassVol!AO82</f>
        <v>0</v>
      </c>
      <c r="AO62" s="1">
        <f>+AO6-PassVol!AP82</f>
        <v>0</v>
      </c>
      <c r="AP62" s="1">
        <f>+AP6-PassVol!AQ82</f>
        <v>0</v>
      </c>
      <c r="AQ62" s="1">
        <f t="shared" ref="AQ62:AQ73" si="57">SUM(C62:AP62)</f>
        <v>351998</v>
      </c>
    </row>
    <row r="63" spans="1:46" x14ac:dyDescent="0.25">
      <c r="A63" s="31"/>
      <c r="B63" t="s">
        <v>683</v>
      </c>
      <c r="C63" s="1">
        <f>+[3]Analysis!C62</f>
        <v>0</v>
      </c>
      <c r="D63" s="1">
        <f>+[3]Analysis!D62</f>
        <v>0</v>
      </c>
      <c r="E63" s="1">
        <f>+[3]Analysis!E62</f>
        <v>0</v>
      </c>
      <c r="F63" s="1">
        <f>+[3]Analysis!F62</f>
        <v>0</v>
      </c>
      <c r="G63" s="1">
        <f>+[3]Analysis!G62</f>
        <v>0</v>
      </c>
      <c r="H63" s="1">
        <f>+[3]Analysis!H62</f>
        <v>0</v>
      </c>
      <c r="I63" s="1">
        <f>+[3]Analysis!I62</f>
        <v>0</v>
      </c>
      <c r="J63" s="1">
        <f>+[3]Analysis!J62</f>
        <v>6</v>
      </c>
      <c r="K63" s="1">
        <f>+[3]Analysis!K62</f>
        <v>20580</v>
      </c>
      <c r="L63" s="1">
        <f>+[3]Analysis!L62</f>
        <v>9160</v>
      </c>
      <c r="M63" s="1">
        <f>+[3]Analysis!M62</f>
        <v>9073</v>
      </c>
      <c r="N63" s="1">
        <f>+[3]Analysis!N62</f>
        <v>16414</v>
      </c>
      <c r="O63" s="1">
        <f>+[3]Analysis!O62</f>
        <v>20413</v>
      </c>
      <c r="P63" s="1">
        <f>+[3]Analysis!P62</f>
        <v>25429</v>
      </c>
      <c r="Q63" s="1">
        <f>+[3]Analysis!Q62</f>
        <v>25308</v>
      </c>
      <c r="R63" s="1">
        <f>+[3]Analysis!R62</f>
        <v>24525</v>
      </c>
      <c r="S63" s="1">
        <f>+[3]Analysis!S62</f>
        <v>24307</v>
      </c>
      <c r="T63" s="1">
        <f>+[3]Analysis!T62</f>
        <v>26402</v>
      </c>
      <c r="U63" s="1">
        <f>+[3]Analysis!U62</f>
        <v>28220</v>
      </c>
      <c r="V63" s="1">
        <f>+[3]Analysis!V62</f>
        <v>22441</v>
      </c>
      <c r="W63" s="1">
        <f>+[3]Analysis!W62</f>
        <v>23484</v>
      </c>
      <c r="X63" s="1">
        <f>+[3]Analysis!X62</f>
        <v>12991</v>
      </c>
      <c r="Y63" s="1">
        <f>+[3]Analysis!Y62</f>
        <v>8806</v>
      </c>
      <c r="Z63" s="1">
        <f>+[3]Analysis!Z62</f>
        <v>5342</v>
      </c>
      <c r="AA63" s="1">
        <f>+[3]Analysis!AA62</f>
        <v>4764</v>
      </c>
      <c r="AB63" s="1">
        <f>+[3]Analysis!AB62</f>
        <v>3921</v>
      </c>
      <c r="AC63" s="1">
        <f>+[3]Analysis!AC62</f>
        <v>3082</v>
      </c>
      <c r="AD63" s="1">
        <f>+[3]Analysis!AD62</f>
        <v>1413</v>
      </c>
      <c r="AE63" s="1">
        <f>+[3]Analysis!AE62</f>
        <v>2199</v>
      </c>
      <c r="AF63" s="1">
        <f>+[3]Analysis!AF62</f>
        <v>1265</v>
      </c>
      <c r="AG63" s="1">
        <f>+[3]Analysis!AG62</f>
        <v>7668</v>
      </c>
      <c r="AH63" s="1">
        <f>+[3]Analysis!AH62</f>
        <v>1770</v>
      </c>
      <c r="AI63" s="1">
        <f>+[3]Analysis!AI62</f>
        <v>2381</v>
      </c>
      <c r="AJ63" s="1">
        <f>+[3]Analysis!AJ62</f>
        <v>2752</v>
      </c>
      <c r="AK63" s="1">
        <f>+[3]Analysis!AK62</f>
        <v>1212</v>
      </c>
      <c r="AL63" s="1">
        <f>+[3]Analysis!AL62</f>
        <v>658</v>
      </c>
      <c r="AM63" s="1">
        <f>+[3]Analysis!AM62</f>
        <v>0</v>
      </c>
      <c r="AN63" s="1">
        <f>+[3]Analysis!AN62</f>
        <v>0</v>
      </c>
      <c r="AO63" s="1">
        <f>+[3]Analysis!AO62</f>
        <v>0</v>
      </c>
      <c r="AP63" s="1">
        <f>+[3]Analysis!AP62</f>
        <v>0</v>
      </c>
      <c r="AQ63" s="1">
        <f t="shared" si="57"/>
        <v>335986</v>
      </c>
    </row>
    <row r="64" spans="1:46" x14ac:dyDescent="0.25">
      <c r="A64" s="31"/>
      <c r="B64" t="s">
        <v>678</v>
      </c>
      <c r="C64" s="1">
        <f>+[4]Analysis!C62</f>
        <v>0</v>
      </c>
      <c r="D64" s="1">
        <f>+[4]Analysis!D62</f>
        <v>0</v>
      </c>
      <c r="E64" s="1">
        <f>+[4]Analysis!E62</f>
        <v>0</v>
      </c>
      <c r="F64" s="1">
        <f>+[4]Analysis!F62</f>
        <v>0</v>
      </c>
      <c r="G64" s="1">
        <f>+[4]Analysis!G62</f>
        <v>0</v>
      </c>
      <c r="H64" s="1">
        <f>+[4]Analysis!H62</f>
        <v>0</v>
      </c>
      <c r="I64" s="1">
        <f>+[4]Analysis!I62</f>
        <v>0</v>
      </c>
      <c r="J64" s="1">
        <f>+[4]Analysis!J62</f>
        <v>0</v>
      </c>
      <c r="K64" s="1">
        <f>+[4]Analysis!K62</f>
        <v>14943</v>
      </c>
      <c r="L64" s="1">
        <f>+[4]Analysis!L62</f>
        <v>13080</v>
      </c>
      <c r="M64" s="1">
        <f>+[4]Analysis!M62</f>
        <v>13373</v>
      </c>
      <c r="N64" s="1">
        <f>+[4]Analysis!N62</f>
        <v>19418</v>
      </c>
      <c r="O64" s="1">
        <f>+[4]Analysis!O62</f>
        <v>25570</v>
      </c>
      <c r="P64" s="1">
        <f>+[4]Analysis!P62</f>
        <v>21197</v>
      </c>
      <c r="Q64" s="1">
        <f>+[4]Analysis!Q62</f>
        <v>23582</v>
      </c>
      <c r="R64" s="1">
        <f>+[4]Analysis!R62</f>
        <v>24412</v>
      </c>
      <c r="S64" s="1">
        <f>+[4]Analysis!S62</f>
        <v>32340</v>
      </c>
      <c r="T64" s="1">
        <f>+[4]Analysis!T62</f>
        <v>24915</v>
      </c>
      <c r="U64" s="1">
        <f>+[4]Analysis!U62</f>
        <v>25384</v>
      </c>
      <c r="V64" s="1">
        <f>+[4]Analysis!V62</f>
        <v>22876</v>
      </c>
      <c r="W64" s="1">
        <f>+[4]Analysis!W62</f>
        <v>16948</v>
      </c>
      <c r="X64" s="1">
        <f>+[4]Analysis!X62</f>
        <v>11992</v>
      </c>
      <c r="Y64" s="1">
        <f>+[4]Analysis!Y62</f>
        <v>9188</v>
      </c>
      <c r="Z64" s="1">
        <f>+[4]Analysis!Z62</f>
        <v>5663</v>
      </c>
      <c r="AA64" s="1">
        <f>+[4]Analysis!AA62</f>
        <v>3794</v>
      </c>
      <c r="AB64" s="1">
        <f>+[4]Analysis!AB62</f>
        <v>2628</v>
      </c>
      <c r="AC64" s="1">
        <f>+[4]Analysis!AC62</f>
        <v>3929</v>
      </c>
      <c r="AD64" s="1">
        <f>+[4]Analysis!AD62</f>
        <v>1644</v>
      </c>
      <c r="AE64" s="1">
        <f>+[4]Analysis!AE62</f>
        <v>2528</v>
      </c>
      <c r="AF64" s="1">
        <f>+[4]Analysis!AF62</f>
        <v>2598</v>
      </c>
      <c r="AG64" s="1">
        <f>+[4]Analysis!AG62</f>
        <v>7282</v>
      </c>
      <c r="AH64" s="1">
        <f>+[4]Analysis!AH62</f>
        <v>3117</v>
      </c>
      <c r="AI64" s="1">
        <f>+[4]Analysis!AI62</f>
        <v>1752</v>
      </c>
      <c r="AJ64" s="1">
        <f>+[4]Analysis!AJ62</f>
        <v>2754</v>
      </c>
      <c r="AK64" s="1">
        <f>+[4]Analysis!AK62</f>
        <v>1767</v>
      </c>
      <c r="AL64" s="1">
        <f>+[4]Analysis!AL62</f>
        <v>1536</v>
      </c>
      <c r="AM64" s="1">
        <f>+[4]Analysis!AM62</f>
        <v>0</v>
      </c>
      <c r="AN64" s="1">
        <f>+[4]Analysis!AN62</f>
        <v>0</v>
      </c>
      <c r="AO64" s="1">
        <f>+[4]Analysis!AO62</f>
        <v>0</v>
      </c>
      <c r="AP64" s="1">
        <f>+[4]Analysis!AP62</f>
        <v>0</v>
      </c>
      <c r="AQ64" s="1">
        <f t="shared" si="57"/>
        <v>340210</v>
      </c>
    </row>
    <row r="65" spans="1:44" x14ac:dyDescent="0.25">
      <c r="A65" s="31"/>
      <c r="B65" t="s">
        <v>508</v>
      </c>
      <c r="C65" s="1">
        <f>+[1]Analysis!C$62</f>
        <v>0</v>
      </c>
      <c r="D65" s="1">
        <f>+[1]Analysis!D$62</f>
        <v>0</v>
      </c>
      <c r="E65" s="1">
        <f>+[1]Analysis!E$62</f>
        <v>0</v>
      </c>
      <c r="F65" s="1">
        <f>+[1]Analysis!F$62</f>
        <v>0</v>
      </c>
      <c r="G65" s="1">
        <f>+[1]Analysis!G$62</f>
        <v>0</v>
      </c>
      <c r="H65" s="1">
        <f>+[1]Analysis!H$62</f>
        <v>0</v>
      </c>
      <c r="I65" s="1">
        <f>+[1]Analysis!I$62</f>
        <v>0</v>
      </c>
      <c r="J65" s="1">
        <f>+[1]Analysis!J$62</f>
        <v>495</v>
      </c>
      <c r="K65" s="1">
        <f>+[1]Analysis!K$62</f>
        <v>19611</v>
      </c>
      <c r="L65" s="1">
        <f>+[1]Analysis!L$62</f>
        <v>20930</v>
      </c>
      <c r="M65" s="1">
        <f>+[1]Analysis!M$62</f>
        <v>15626</v>
      </c>
      <c r="N65" s="1">
        <f>+[1]Analysis!N$62</f>
        <v>24545</v>
      </c>
      <c r="O65" s="1">
        <f>+[1]Analysis!O$62</f>
        <v>27649</v>
      </c>
      <c r="P65" s="1">
        <f>+[1]Analysis!P$62</f>
        <v>26845</v>
      </c>
      <c r="Q65" s="1">
        <f>+[1]Analysis!Q$62</f>
        <v>35950</v>
      </c>
      <c r="R65" s="1">
        <f>+[1]Analysis!R$62</f>
        <v>29929</v>
      </c>
      <c r="S65" s="1">
        <f>+[1]Analysis!S$62</f>
        <v>29620</v>
      </c>
      <c r="T65" s="1">
        <f>+[1]Analysis!T$62</f>
        <v>24551</v>
      </c>
      <c r="U65" s="1">
        <f>+[1]Analysis!U$62</f>
        <v>18075</v>
      </c>
      <c r="V65" s="1">
        <f>+[1]Analysis!V$62</f>
        <v>14559</v>
      </c>
      <c r="W65" s="1">
        <f>+[1]Analysis!W$62</f>
        <v>14934</v>
      </c>
      <c r="X65" s="1">
        <f>+[1]Analysis!X$62</f>
        <v>11958</v>
      </c>
      <c r="Y65" s="1">
        <f>+[1]Analysis!Y$62</f>
        <v>9484</v>
      </c>
      <c r="Z65" s="1">
        <f>+[1]Analysis!Z$62</f>
        <v>3420</v>
      </c>
      <c r="AA65" s="1">
        <f>+[1]Analysis!AA$62</f>
        <v>2871</v>
      </c>
      <c r="AB65" s="1">
        <f>+[1]Analysis!AB$62</f>
        <v>2955</v>
      </c>
      <c r="AC65" s="1">
        <f>+[1]Analysis!AC$62</f>
        <v>1842</v>
      </c>
      <c r="AD65" s="1">
        <f>+[1]Analysis!AD$62</f>
        <v>1197</v>
      </c>
      <c r="AE65" s="1">
        <f>+[1]Analysis!AE$62</f>
        <v>1280</v>
      </c>
      <c r="AF65" s="1">
        <f>+[1]Analysis!AF$62</f>
        <v>872</v>
      </c>
      <c r="AG65" s="1">
        <f>+[1]Analysis!AG$62</f>
        <v>7911</v>
      </c>
      <c r="AH65" s="1">
        <f>+[1]Analysis!AH$62</f>
        <v>2565</v>
      </c>
      <c r="AI65" s="1">
        <f>+[1]Analysis!AI$62</f>
        <v>3213</v>
      </c>
      <c r="AJ65" s="1">
        <f>+[1]Analysis!AJ$62</f>
        <v>2930</v>
      </c>
      <c r="AK65" s="1">
        <f>+[1]Analysis!AK$62</f>
        <v>2388</v>
      </c>
      <c r="AL65" s="1">
        <f>+[1]Analysis!AL$62</f>
        <v>1824</v>
      </c>
      <c r="AM65" s="1">
        <f>+[1]Analysis!AM$62</f>
        <v>0</v>
      </c>
      <c r="AN65" s="1">
        <f>+[1]Analysis!AN$62</f>
        <v>0</v>
      </c>
      <c r="AO65" s="1">
        <f>+[1]Analysis!AO$62</f>
        <v>0</v>
      </c>
      <c r="AP65" s="1">
        <f>+[1]Analysis!AP$62</f>
        <v>0</v>
      </c>
      <c r="AQ65" s="1">
        <f t="shared" si="57"/>
        <v>360029</v>
      </c>
    </row>
    <row r="66" spans="1:44" x14ac:dyDescent="0.25">
      <c r="A66" s="31"/>
      <c r="B66" t="s">
        <v>463</v>
      </c>
      <c r="C66" s="1"/>
      <c r="D66" s="1"/>
      <c r="E66" s="1"/>
      <c r="F66" s="1"/>
      <c r="G66" s="1"/>
      <c r="H66" s="1"/>
      <c r="I66" s="1"/>
      <c r="J66" s="1">
        <f>+[5]Analysis!D$63</f>
        <v>0</v>
      </c>
      <c r="K66" s="1">
        <f>+[5]Analysis!E$63</f>
        <v>13743</v>
      </c>
      <c r="L66" s="1">
        <f>+[5]Analysis!F$63</f>
        <v>4437</v>
      </c>
      <c r="M66" s="1">
        <f>+[5]Analysis!G$63</f>
        <v>8837</v>
      </c>
      <c r="N66" s="1">
        <f>+[5]Analysis!H$63</f>
        <v>19965</v>
      </c>
      <c r="O66" s="1">
        <f>+[5]Analysis!I$63</f>
        <v>6669</v>
      </c>
      <c r="P66" s="1">
        <f>+[5]Analysis!J$63</f>
        <v>75</v>
      </c>
      <c r="Q66" s="1">
        <f>+[5]Analysis!K$63</f>
        <v>3333</v>
      </c>
      <c r="R66" s="1">
        <f>+[5]Analysis!L$63</f>
        <v>4677</v>
      </c>
      <c r="S66" s="1">
        <f>+[5]Analysis!M$63</f>
        <v>7887</v>
      </c>
      <c r="T66" s="1">
        <f>+[5]Analysis!N$63</f>
        <v>7164</v>
      </c>
      <c r="U66" s="1">
        <f>+[5]Analysis!O$63</f>
        <v>12858</v>
      </c>
      <c r="V66" s="1">
        <f>+[5]Analysis!P$63</f>
        <v>17630</v>
      </c>
      <c r="W66" s="1">
        <f>+[5]Analysis!Q$63</f>
        <v>29237</v>
      </c>
      <c r="X66" s="1">
        <f>+[5]Analysis!R$63</f>
        <v>23979</v>
      </c>
      <c r="Y66" s="1">
        <f>+[5]Analysis!S$63</f>
        <v>22569</v>
      </c>
      <c r="Z66" s="1">
        <f>+[5]Analysis!T$63</f>
        <v>13065</v>
      </c>
      <c r="AA66" s="1">
        <f>+[5]Analysis!U$63</f>
        <v>11493</v>
      </c>
      <c r="AB66" s="1">
        <f>+[5]Analysis!V$63</f>
        <v>8046</v>
      </c>
      <c r="AC66" s="1">
        <f>+[5]Analysis!W$63</f>
        <v>5445</v>
      </c>
      <c r="AD66" s="1">
        <f>+[5]Analysis!X$63</f>
        <v>3942</v>
      </c>
      <c r="AE66" s="1">
        <f>+[5]Analysis!Y$63</f>
        <v>2322</v>
      </c>
      <c r="AF66" s="1">
        <f>+[5]Analysis!Z$63</f>
        <v>3549</v>
      </c>
      <c r="AG66" s="1">
        <f>+[5]Analysis!AA$63</f>
        <v>6473</v>
      </c>
      <c r="AH66" s="1">
        <f>+[5]Analysis!AB$63</f>
        <v>3093</v>
      </c>
      <c r="AI66" s="1">
        <f>+[5]Analysis!AC$63</f>
        <v>2748</v>
      </c>
      <c r="AJ66" s="1">
        <f>+[5]Analysis!AD$63</f>
        <v>2256</v>
      </c>
      <c r="AK66" s="1">
        <f>+[5]Analysis!AE$63</f>
        <v>1293</v>
      </c>
      <c r="AL66" s="1">
        <f>+[5]Analysis!AF$63</f>
        <v>930</v>
      </c>
      <c r="AM66" s="1">
        <f>+[5]Analysis!AG$63</f>
        <v>957</v>
      </c>
      <c r="AN66" s="1">
        <f>+[5]Analysis!AH$63</f>
        <v>0</v>
      </c>
      <c r="AO66" s="1">
        <f>+[5]Analysis!AI$63</f>
        <v>0</v>
      </c>
      <c r="AP66" s="1">
        <f>+[5]Analysis!AJ$63</f>
        <v>0</v>
      </c>
      <c r="AQ66" s="1">
        <f t="shared" si="57"/>
        <v>248672</v>
      </c>
    </row>
    <row r="67" spans="1:44" x14ac:dyDescent="0.25">
      <c r="A67" s="31"/>
      <c r="B67" t="s">
        <v>466</v>
      </c>
      <c r="C67" s="1"/>
      <c r="D67" s="1"/>
      <c r="E67" s="1"/>
      <c r="F67" s="1"/>
      <c r="G67" s="1"/>
      <c r="H67" s="1"/>
      <c r="I67" s="1"/>
      <c r="J67" s="1">
        <f>+J83-[2]PassVol!E$82</f>
        <v>0</v>
      </c>
      <c r="K67" s="1">
        <f>+K83-[2]PassVol!F$82</f>
        <v>7171</v>
      </c>
      <c r="L67" s="1">
        <f>+L83-[2]PassVol!G$82</f>
        <v>10206</v>
      </c>
      <c r="M67" s="1">
        <f>+M83-[2]PassVol!H$82</f>
        <v>7989</v>
      </c>
      <c r="N67" s="1">
        <f>+N83-[2]PassVol!I$82</f>
        <v>9416</v>
      </c>
      <c r="O67" s="1">
        <f>+O83-[2]PassVol!J$82</f>
        <v>17246</v>
      </c>
      <c r="P67" s="1">
        <f>+P83-[2]PassVol!K$82</f>
        <v>19202</v>
      </c>
      <c r="Q67" s="1">
        <f>+Q83-[2]PassVol!L$82</f>
        <v>19249</v>
      </c>
      <c r="R67" s="1">
        <f>+R83-[2]PassVol!M$82</f>
        <v>31803</v>
      </c>
      <c r="S67" s="1">
        <f>+S83-[2]PassVol!N$82</f>
        <v>28571</v>
      </c>
      <c r="T67" s="1">
        <f>+T83-[2]PassVol!O$82</f>
        <v>29772</v>
      </c>
      <c r="U67" s="1">
        <f>+U83-[2]PassVol!P$82</f>
        <v>19106</v>
      </c>
      <c r="V67" s="1">
        <f>+V83-[2]PassVol!Q$82</f>
        <v>20055</v>
      </c>
      <c r="W67" s="1">
        <f>+W83-[2]PassVol!R$82</f>
        <v>21137</v>
      </c>
      <c r="X67" s="1">
        <f>+X83-[2]PassVol!S$82</f>
        <v>12300</v>
      </c>
      <c r="Y67" s="1">
        <f>+Y83-[2]PassVol!T$82</f>
        <v>9265</v>
      </c>
      <c r="Z67" s="1">
        <f>+Z83-[2]PassVol!U$82</f>
        <v>5168</v>
      </c>
      <c r="AA67" s="1">
        <f>+AA83-[2]PassVol!V$82</f>
        <v>2712</v>
      </c>
      <c r="AB67" s="1">
        <f>+AB83-[2]PassVol!W$82</f>
        <v>2868</v>
      </c>
      <c r="AC67" s="1">
        <f>+AC83-[2]PassVol!X$82</f>
        <v>2271</v>
      </c>
      <c r="AD67" s="1">
        <f>+AD83-[2]PassVol!Y$82</f>
        <v>2379</v>
      </c>
      <c r="AE67" s="1">
        <f>+AE83-[2]PassVol!Z$82</f>
        <v>2064</v>
      </c>
      <c r="AF67" s="1">
        <f>+AF83-[2]PassVol!AA$82</f>
        <v>2226</v>
      </c>
      <c r="AG67" s="1">
        <f>+AG83-[2]PassVol!AB$82</f>
        <v>20247</v>
      </c>
      <c r="AH67" s="1">
        <f>+AH83-[2]PassVol!AC$82</f>
        <v>1662</v>
      </c>
      <c r="AI67" s="1">
        <f>+AI83-[2]PassVol!AD$82</f>
        <v>1998</v>
      </c>
      <c r="AJ67" s="1">
        <f>+AJ83-[2]PassVol!AE$82</f>
        <v>22072</v>
      </c>
      <c r="AK67" s="1">
        <f>+AK83-[2]PassVol!AF$82</f>
        <v>3231</v>
      </c>
      <c r="AL67" s="1">
        <f>+AL83-[2]PassVol!AG$82</f>
        <v>0</v>
      </c>
      <c r="AM67" s="1">
        <f>+AM83-[2]PassVol!AH$82</f>
        <v>0</v>
      </c>
      <c r="AN67" s="1">
        <f>+AN83-[2]PassVol!AI$82</f>
        <v>0</v>
      </c>
      <c r="AO67" s="1">
        <f>+AO83-[2]PassVol!AJ$82</f>
        <v>0</v>
      </c>
      <c r="AP67" s="1">
        <f>+AP83-[2]PassVol!AK$82</f>
        <v>0</v>
      </c>
      <c r="AQ67" s="1">
        <f t="shared" si="57"/>
        <v>331386</v>
      </c>
    </row>
    <row r="68" spans="1:44" x14ac:dyDescent="0.25">
      <c r="A68" s="31"/>
      <c r="B68" t="s">
        <v>465</v>
      </c>
      <c r="C68" s="1">
        <f>+[6]Analysis!C$69</f>
        <v>0</v>
      </c>
      <c r="D68" s="1"/>
      <c r="E68" s="1"/>
      <c r="F68" s="1"/>
      <c r="G68" s="1"/>
      <c r="H68" s="1"/>
      <c r="I68" s="1"/>
      <c r="J68" s="1">
        <f>+[6]Analysis!D$69</f>
        <v>0</v>
      </c>
      <c r="K68" s="1">
        <f>+[6]Analysis!E$69</f>
        <v>1161</v>
      </c>
      <c r="L68" s="1">
        <f>+[6]Analysis!F$69</f>
        <v>8580</v>
      </c>
      <c r="M68" s="1">
        <f>+[6]Analysis!G$69</f>
        <v>6867</v>
      </c>
      <c r="N68" s="1">
        <f>+[6]Analysis!H$69</f>
        <v>5666</v>
      </c>
      <c r="O68" s="1">
        <f>+[6]Analysis!I$69</f>
        <v>14201</v>
      </c>
      <c r="P68" s="1">
        <f>+[6]Analysis!J$69</f>
        <v>11150</v>
      </c>
      <c r="Q68" s="1">
        <f>+[6]Analysis!K$69</f>
        <v>17970</v>
      </c>
      <c r="R68" s="1">
        <f>+[6]Analysis!L$69</f>
        <v>21332</v>
      </c>
      <c r="S68" s="1">
        <f>+[6]Analysis!M$69</f>
        <v>28502</v>
      </c>
      <c r="T68" s="1">
        <f>+[6]Analysis!N$69</f>
        <v>24028</v>
      </c>
      <c r="U68" s="1">
        <f>+[6]Analysis!O$69</f>
        <v>26534</v>
      </c>
      <c r="V68" s="1">
        <f>+[6]Analysis!P$69</f>
        <v>26668</v>
      </c>
      <c r="W68" s="1">
        <f>+[6]Analysis!Q$69</f>
        <v>23226</v>
      </c>
      <c r="X68" s="1">
        <f>+[6]Analysis!R$69</f>
        <v>13761</v>
      </c>
      <c r="Y68" s="1">
        <f>+[6]Analysis!S$69</f>
        <v>9871</v>
      </c>
      <c r="Z68" s="1">
        <f>+[6]Analysis!T$69</f>
        <v>7737</v>
      </c>
      <c r="AA68" s="1">
        <f>+[6]Analysis!U$69</f>
        <v>4505</v>
      </c>
      <c r="AB68" s="1">
        <f>+[6]Analysis!V$69</f>
        <v>3103</v>
      </c>
      <c r="AC68" s="1">
        <f>+[6]Analysis!W$69</f>
        <v>2171</v>
      </c>
      <c r="AD68" s="1">
        <f>+[6]Analysis!X$69</f>
        <v>1173</v>
      </c>
      <c r="AE68" s="1">
        <f>+[6]Analysis!Y$69</f>
        <v>1317</v>
      </c>
      <c r="AF68" s="1">
        <f>+[6]Analysis!Z$69</f>
        <v>1430</v>
      </c>
      <c r="AG68" s="1">
        <f>+[6]Analysis!AA$69</f>
        <v>21058</v>
      </c>
      <c r="AH68" s="1">
        <f>+[6]Analysis!AB$69</f>
        <v>2469</v>
      </c>
      <c r="AI68" s="1">
        <f>+[6]Analysis!AC$69</f>
        <v>13142</v>
      </c>
      <c r="AJ68" s="1">
        <f>+[6]Analysis!AD$69</f>
        <v>10974</v>
      </c>
      <c r="AK68" s="1">
        <f>+[6]Analysis!AE$69</f>
        <v>2539</v>
      </c>
      <c r="AL68" s="1">
        <f>+[6]Analysis!AF$69</f>
        <v>993</v>
      </c>
      <c r="AM68" s="1">
        <f>+[6]Analysis!AG$69</f>
        <v>480</v>
      </c>
      <c r="AN68" s="1">
        <f>+[6]Analysis!AH$69</f>
        <v>291</v>
      </c>
      <c r="AO68" s="1">
        <f>+[6]Analysis!AI$69</f>
        <v>0</v>
      </c>
      <c r="AP68" s="1">
        <f>+[6]Analysis!AJ$69</f>
        <v>0</v>
      </c>
      <c r="AQ68" s="1">
        <f t="shared" si="57"/>
        <v>312899</v>
      </c>
    </row>
    <row r="69" spans="1:44" x14ac:dyDescent="0.25">
      <c r="A69" s="31"/>
      <c r="B69" t="s">
        <v>293</v>
      </c>
      <c r="C69" s="1">
        <f>+[7]Analysis!C67</f>
        <v>0</v>
      </c>
      <c r="D69" s="1"/>
      <c r="E69" s="1"/>
      <c r="F69" s="1"/>
      <c r="G69" s="1"/>
      <c r="H69" s="1"/>
      <c r="I69" s="1"/>
      <c r="J69" s="1">
        <f>+[7]Analysis!D67</f>
        <v>0</v>
      </c>
      <c r="K69" s="1">
        <f>+[7]Analysis!E67</f>
        <v>6006</v>
      </c>
      <c r="L69" s="1">
        <f>+[7]Analysis!F67</f>
        <v>9100</v>
      </c>
      <c r="M69" s="1">
        <f>+[7]Analysis!G67</f>
        <v>11226</v>
      </c>
      <c r="N69" s="1">
        <f>+[7]Analysis!H67</f>
        <v>12016</v>
      </c>
      <c r="O69" s="1">
        <f>+[7]Analysis!I67</f>
        <v>16912</v>
      </c>
      <c r="P69" s="1">
        <f>+[7]Analysis!J67</f>
        <v>23147</v>
      </c>
      <c r="Q69" s="1">
        <f>+[7]Analysis!K67</f>
        <v>31771</v>
      </c>
      <c r="R69" s="1">
        <f>+[7]Analysis!L67</f>
        <v>20227</v>
      </c>
      <c r="S69" s="1">
        <f>+[7]Analysis!M67</f>
        <v>22509</v>
      </c>
      <c r="T69" s="1">
        <f>+[7]Analysis!N67</f>
        <v>14477</v>
      </c>
      <c r="U69" s="1">
        <f>+[7]Analysis!O67</f>
        <v>17456</v>
      </c>
      <c r="V69" s="1">
        <f>+[7]Analysis!P67</f>
        <v>18079</v>
      </c>
      <c r="W69" s="1">
        <f>+[7]Analysis!Q67</f>
        <v>19005</v>
      </c>
      <c r="X69" s="1">
        <f>+[7]Analysis!R67</f>
        <v>10572</v>
      </c>
      <c r="Y69" s="1">
        <f>+[7]Analysis!S67</f>
        <v>6631</v>
      </c>
      <c r="Z69" s="1">
        <f>+[7]Analysis!T67</f>
        <v>3690</v>
      </c>
      <c r="AA69" s="1">
        <f>+[7]Analysis!U67</f>
        <v>2858</v>
      </c>
      <c r="AB69" s="1">
        <f>+[7]Analysis!V67</f>
        <v>2238</v>
      </c>
      <c r="AC69" s="1">
        <f>+[7]Analysis!W67</f>
        <v>1668</v>
      </c>
      <c r="AD69" s="1">
        <f>+[7]Analysis!X67</f>
        <v>1242</v>
      </c>
      <c r="AE69" s="1">
        <f>+[7]Analysis!Y67</f>
        <v>2034</v>
      </c>
      <c r="AF69" s="1">
        <f>+[7]Analysis!Z67</f>
        <v>1512</v>
      </c>
      <c r="AG69" s="1">
        <f>+[7]Analysis!AA67</f>
        <v>3221</v>
      </c>
      <c r="AH69" s="1">
        <f>+[7]Analysis!AB67</f>
        <v>2043</v>
      </c>
      <c r="AI69" s="1">
        <f>+[7]Analysis!AC67</f>
        <v>2502</v>
      </c>
      <c r="AJ69" s="1">
        <f>+[7]Analysis!AD67</f>
        <v>2286</v>
      </c>
      <c r="AK69" s="1">
        <f>+[7]Analysis!AE67</f>
        <v>1461</v>
      </c>
      <c r="AL69" s="1">
        <f>+[7]Analysis!AF67</f>
        <v>1158</v>
      </c>
      <c r="AM69" s="1">
        <f>+[7]Analysis!AG67</f>
        <v>630</v>
      </c>
      <c r="AN69" s="1">
        <f>+[7]Analysis!AH67</f>
        <v>393</v>
      </c>
      <c r="AO69" s="1">
        <f>+[7]Analysis!AI67</f>
        <v>264</v>
      </c>
      <c r="AP69" s="1">
        <f>+[7]Analysis!AJ67</f>
        <v>0</v>
      </c>
      <c r="AQ69" s="1">
        <f t="shared" si="57"/>
        <v>268334</v>
      </c>
    </row>
    <row r="70" spans="1:44" x14ac:dyDescent="0.25">
      <c r="A70" s="31"/>
      <c r="B70" t="s">
        <v>276</v>
      </c>
      <c r="C70" s="1">
        <f>+[8]Analysis!C$53</f>
        <v>0</v>
      </c>
      <c r="D70" s="1"/>
      <c r="E70" s="1"/>
      <c r="F70" s="1"/>
      <c r="G70" s="1"/>
      <c r="H70" s="1"/>
      <c r="I70" s="1"/>
      <c r="J70" s="1">
        <f>+[8]Analysis!D$53</f>
        <v>0</v>
      </c>
      <c r="K70" s="1">
        <f>+[8]Analysis!E$53</f>
        <v>0</v>
      </c>
      <c r="L70" s="1">
        <f>+[8]Analysis!F$53</f>
        <v>6267</v>
      </c>
      <c r="M70" s="1">
        <f>+[8]Analysis!G$53</f>
        <v>13176</v>
      </c>
      <c r="N70" s="1">
        <f>+[8]Analysis!H$53</f>
        <v>11772</v>
      </c>
      <c r="O70" s="1">
        <f>+[8]Analysis!I$53</f>
        <v>13268</v>
      </c>
      <c r="P70" s="1">
        <f>+[8]Analysis!J$53</f>
        <v>18972</v>
      </c>
      <c r="Q70" s="1">
        <f>+[8]Analysis!K$53</f>
        <v>17546</v>
      </c>
      <c r="R70" s="1">
        <f>+[8]Analysis!L$53</f>
        <v>17666</v>
      </c>
      <c r="S70" s="1">
        <f>+[8]Analysis!M$53</f>
        <v>21918</v>
      </c>
      <c r="T70" s="1">
        <f>+[8]Analysis!N$53</f>
        <v>18941</v>
      </c>
      <c r="U70" s="1">
        <f>+[8]Analysis!O$53</f>
        <v>26156</v>
      </c>
      <c r="V70" s="1">
        <f>+[8]Analysis!P$53</f>
        <v>21224</v>
      </c>
      <c r="W70" s="1">
        <f>+[8]Analysis!Q$53</f>
        <v>21085</v>
      </c>
      <c r="X70" s="1">
        <f>+[8]Analysis!R$53</f>
        <v>13833</v>
      </c>
      <c r="Y70" s="1">
        <f>+[8]Analysis!S$53</f>
        <v>10048</v>
      </c>
      <c r="Z70" s="1">
        <f>+[8]Analysis!T$53</f>
        <v>5566</v>
      </c>
      <c r="AA70" s="1">
        <f>+[8]Analysis!U$53</f>
        <v>3008</v>
      </c>
      <c r="AB70" s="1">
        <f>+[8]Analysis!V$53</f>
        <v>2286</v>
      </c>
      <c r="AC70" s="1">
        <f>+[8]Analysis!W$53</f>
        <v>2001</v>
      </c>
      <c r="AD70" s="1">
        <f>+[8]Analysis!X$53</f>
        <v>1630</v>
      </c>
      <c r="AE70" s="1">
        <f>+[8]Analysis!Y$53</f>
        <v>1449</v>
      </c>
      <c r="AF70" s="1">
        <f>+[8]Analysis!Z$53</f>
        <v>1749</v>
      </c>
      <c r="AG70" s="1">
        <f>+[8]Analysis!AA$53</f>
        <v>2448</v>
      </c>
      <c r="AH70" s="1">
        <f>+[8]Analysis!AB$53</f>
        <v>1992</v>
      </c>
      <c r="AI70" s="1">
        <f>+[8]Analysis!AC$53</f>
        <v>1590</v>
      </c>
      <c r="AJ70" s="1">
        <f>+[8]Analysis!AD$53</f>
        <v>1719</v>
      </c>
      <c r="AK70" s="1">
        <f>+[8]Analysis!AE$53</f>
        <v>1254</v>
      </c>
      <c r="AL70" s="1">
        <f>+[8]Analysis!AF$53</f>
        <v>1101</v>
      </c>
      <c r="AM70" s="1">
        <f>+[8]Analysis!AG$53</f>
        <v>924</v>
      </c>
      <c r="AN70" s="1">
        <f>+[8]Analysis!AH$53</f>
        <v>708</v>
      </c>
      <c r="AO70" s="1">
        <f>+[8]Analysis!AI$53</f>
        <v>0</v>
      </c>
      <c r="AP70" s="1">
        <f>+[8]Analysis!AJ$53</f>
        <v>0</v>
      </c>
      <c r="AQ70" s="1">
        <f t="shared" si="57"/>
        <v>261297</v>
      </c>
    </row>
    <row r="71" spans="1:44" x14ac:dyDescent="0.25">
      <c r="A71" s="31"/>
      <c r="B71" t="s">
        <v>187</v>
      </c>
      <c r="C71" s="1"/>
      <c r="D71" s="1"/>
      <c r="E71" s="1"/>
      <c r="F71" s="1"/>
      <c r="G71" s="1"/>
      <c r="H71" s="1"/>
      <c r="I71" s="1"/>
      <c r="J71" s="1"/>
      <c r="K71" s="1">
        <f>+[9]PassVol!D$80-[9]PassVol!D$64-[9]PassVol!D$78</f>
        <v>0</v>
      </c>
      <c r="L71" s="1">
        <f>+[9]PassVol!E$80-[9]PassVol!E$64-[9]PassVol!E$78</f>
        <v>0</v>
      </c>
      <c r="M71" s="1">
        <f>+[9]PassVol!F$80-[9]PassVol!F$64-[9]PassVol!F$78</f>
        <v>10494</v>
      </c>
      <c r="N71" s="1">
        <f>+[9]PassVol!G$80-[9]PassVol!G$64-[9]PassVol!G$78</f>
        <v>8672</v>
      </c>
      <c r="O71" s="1">
        <f>+[9]PassVol!H$80-[9]PassVol!H$64-[9]PassVol!H$78</f>
        <v>13891</v>
      </c>
      <c r="P71" s="1">
        <f>+[9]PassVol!I$80-[9]PassVol!I$64-[9]PassVol!I$78</f>
        <v>17709</v>
      </c>
      <c r="Q71" s="1">
        <f>+[9]PassVol!J$80-[9]PassVol!J$64-[9]PassVol!J$78</f>
        <v>16242</v>
      </c>
      <c r="R71" s="1">
        <f>+[9]PassVol!K$80-[9]PassVol!K$64-[9]PassVol!K$78</f>
        <v>26440</v>
      </c>
      <c r="S71" s="1">
        <f>+[9]PassVol!L$80-[9]PassVol!L$64-[9]PassVol!L$78</f>
        <v>23277</v>
      </c>
      <c r="T71" s="1">
        <f>+[9]PassVol!M$80-[9]PassVol!M$64-[9]PassVol!M$78</f>
        <v>25977</v>
      </c>
      <c r="U71" s="1">
        <f>+[9]PassVol!N$80-[9]PassVol!N$64-[9]PassVol!N$78</f>
        <v>14021</v>
      </c>
      <c r="V71" s="1">
        <f>+[9]PassVol!O$80-[9]PassVol!O$64-[9]PassVol!O$78</f>
        <v>15840</v>
      </c>
      <c r="W71" s="1">
        <f>+[9]PassVol!P$80-[9]PassVol!P$64-[9]PassVol!P$78</f>
        <v>19715</v>
      </c>
      <c r="X71" s="1">
        <f>+[9]PassVol!Q$80-[9]PassVol!Q$64-[9]PassVol!Q$78</f>
        <v>12498</v>
      </c>
      <c r="Y71" s="1">
        <f>+[9]PassVol!R$80-[9]PassVol!R$64-[9]PassVol!R$78</f>
        <v>10131</v>
      </c>
      <c r="Z71" s="1">
        <f>+[9]PassVol!S$80-[9]PassVol!S$64-[9]PassVol!S$78</f>
        <v>9462</v>
      </c>
      <c r="AA71" s="1">
        <f>+[9]PassVol!T$80-[9]PassVol!T$64-[9]PassVol!T$78</f>
        <v>7872</v>
      </c>
      <c r="AB71" s="1">
        <f>+[9]PassVol!U$80-[9]PassVol!U$64-[9]PassVol!U$78</f>
        <v>4470</v>
      </c>
      <c r="AC71" s="1">
        <f>+[9]PassVol!V$80-[9]PassVol!V$64-[9]PassVol!V$78</f>
        <v>3269</v>
      </c>
      <c r="AD71" s="1">
        <f>+[9]PassVol!W$80-[9]PassVol!W$64-[9]PassVol!W$78</f>
        <v>3177</v>
      </c>
      <c r="AE71" s="1">
        <f>+[9]PassVol!X$80-[9]PassVol!X$64-[9]PassVol!X$78</f>
        <v>1810</v>
      </c>
      <c r="AF71" s="1">
        <f>+[9]PassVol!Y$80-[9]PassVol!Y$64-[9]PassVol!Y$78</f>
        <v>2772</v>
      </c>
      <c r="AG71" s="1">
        <f>+[9]PassVol!Z$80-[9]PassVol!Z$64-[9]PassVol!Z$78</f>
        <v>2763</v>
      </c>
      <c r="AH71" s="1">
        <f>+[9]PassVol!AA$80-[9]PassVol!AA$64-[9]PassVol!AA$78</f>
        <v>2766</v>
      </c>
      <c r="AI71" s="1">
        <f>+[9]PassVol!AB$80-[9]PassVol!AB$64-[9]PassVol!AB$78</f>
        <v>2682</v>
      </c>
      <c r="AJ71" s="1">
        <f>+[9]PassVol!AC$80-[9]PassVol!AC$64-[9]PassVol!AC$78</f>
        <v>2319</v>
      </c>
      <c r="AK71" s="1">
        <f>+[9]PassVol!AD$80-[9]PassVol!AD$64-[9]PassVol!AD$78</f>
        <v>2187</v>
      </c>
      <c r="AL71" s="1">
        <f>+[9]PassVol!AE$80-[9]PassVol!AE$64-[9]PassVol!AE$78</f>
        <v>1605</v>
      </c>
      <c r="AM71" s="1">
        <f>+[9]PassVol!AF$80-[9]PassVol!AF$64-[9]PassVol!AF$78</f>
        <v>1458</v>
      </c>
      <c r="AN71" s="1">
        <f>+[9]PassVol!AG$80-[9]PassVol!AG$64-[9]PassVol!AG$78</f>
        <v>942</v>
      </c>
      <c r="AO71" s="1">
        <f>+[9]PassVol!AH$80-[9]PassVol!AH$64-[9]PassVol!AH$78</f>
        <v>201</v>
      </c>
      <c r="AP71" s="1">
        <f>+[9]PassVol!AI$80-[9]PassVol!AI$64-[9]PassVol!AI$78</f>
        <v>0</v>
      </c>
      <c r="AQ71" s="1">
        <f t="shared" si="57"/>
        <v>264662</v>
      </c>
    </row>
    <row r="72" spans="1:44" hidden="1" x14ac:dyDescent="0.25">
      <c r="A72" s="31"/>
      <c r="B72" t="s">
        <v>131</v>
      </c>
      <c r="C72" s="1">
        <f>+[10]Analysis!C$52</f>
        <v>0</v>
      </c>
      <c r="D72" s="1"/>
      <c r="E72" s="1"/>
      <c r="F72" s="1"/>
      <c r="G72" s="1"/>
      <c r="H72" s="1"/>
      <c r="I72" s="1"/>
      <c r="J72" s="1"/>
      <c r="K72" s="1"/>
      <c r="L72" s="1">
        <f>+[10]Analysis!D$52</f>
        <v>96</v>
      </c>
      <c r="M72" s="1">
        <f>+[10]Analysis!E$52</f>
        <v>9885</v>
      </c>
      <c r="N72" s="1">
        <f>+[10]Analysis!F$52</f>
        <v>11907</v>
      </c>
      <c r="O72" s="1">
        <f>+[10]Analysis!G$52</f>
        <v>11835</v>
      </c>
      <c r="P72" s="1">
        <f>+[10]Analysis!H$52</f>
        <v>13804</v>
      </c>
      <c r="Q72" s="1">
        <f>+[10]Analysis!I$52</f>
        <v>16791</v>
      </c>
      <c r="R72" s="1">
        <f>+[10]Analysis!J$52</f>
        <v>28515</v>
      </c>
      <c r="S72" s="1">
        <f>+[10]Analysis!K$52</f>
        <v>18715</v>
      </c>
      <c r="T72" s="1">
        <f>+[10]Analysis!L$52</f>
        <v>20568</v>
      </c>
      <c r="U72" s="1">
        <f>+[10]Analysis!M$52</f>
        <v>18513</v>
      </c>
      <c r="V72" s="1">
        <f>+[10]Analysis!N$52</f>
        <v>12683</v>
      </c>
      <c r="W72" s="1">
        <f>+[10]Analysis!O$52</f>
        <v>17217</v>
      </c>
      <c r="X72" s="1">
        <f>+[10]Analysis!P$52</f>
        <v>8403</v>
      </c>
      <c r="Y72" s="1">
        <f>+[10]Analysis!Q$52</f>
        <v>9315</v>
      </c>
      <c r="Z72" s="1">
        <f>+[10]Analysis!R$52</f>
        <v>6522</v>
      </c>
      <c r="AA72" s="1">
        <f>+[10]Analysis!S$52</f>
        <v>4791</v>
      </c>
      <c r="AB72" s="1">
        <f>+[10]Analysis!T$52</f>
        <v>3483</v>
      </c>
      <c r="AC72" s="1">
        <f>+[10]Analysis!U$52</f>
        <v>2640</v>
      </c>
      <c r="AD72" s="1">
        <f>+[10]Analysis!V$52</f>
        <v>1923</v>
      </c>
      <c r="AE72" s="1">
        <f>+[10]Analysis!W$52</f>
        <v>2055</v>
      </c>
      <c r="AF72" s="1">
        <f>+[10]Analysis!X$52</f>
        <v>1365</v>
      </c>
      <c r="AG72" s="1">
        <f>+[10]Analysis!Y$52</f>
        <v>2601</v>
      </c>
      <c r="AH72" s="1">
        <f>+[10]Analysis!Z$52</f>
        <v>3858</v>
      </c>
      <c r="AI72" s="1">
        <f>+[10]Analysis!AA$52</f>
        <v>3759</v>
      </c>
      <c r="AJ72" s="1">
        <f>+[10]Analysis!AB$52</f>
        <v>3123</v>
      </c>
      <c r="AK72" s="1">
        <f>+[10]Analysis!AC$52</f>
        <v>2214</v>
      </c>
      <c r="AL72" s="1">
        <f>+[10]Analysis!AD$52</f>
        <v>1854</v>
      </c>
      <c r="AM72" s="1">
        <f>+[10]Analysis!AE$52</f>
        <v>1350</v>
      </c>
      <c r="AN72" s="1">
        <f>+[10]Analysis!AF$52</f>
        <v>1497</v>
      </c>
      <c r="AO72" s="1">
        <f>+[10]Analysis!AG$52</f>
        <v>1101</v>
      </c>
      <c r="AP72" s="1">
        <f>+[10]Analysis!AH$52</f>
        <v>0</v>
      </c>
      <c r="AQ72" s="1">
        <f t="shared" si="57"/>
        <v>242383</v>
      </c>
      <c r="AR72" s="1">
        <f>+AQ72*6</f>
        <v>1454298</v>
      </c>
    </row>
    <row r="73" spans="1:44" hidden="1" x14ac:dyDescent="0.25">
      <c r="B73" t="s">
        <v>127</v>
      </c>
      <c r="C73" s="1">
        <f>+[11]Analysis!C27</f>
        <v>0</v>
      </c>
      <c r="D73" s="1"/>
      <c r="E73" s="1"/>
      <c r="F73" s="1"/>
      <c r="G73" s="1"/>
      <c r="H73" s="1"/>
      <c r="I73" s="1"/>
      <c r="J73" s="1"/>
      <c r="K73" s="1"/>
      <c r="L73" s="1">
        <f>+[11]Analysis!D27</f>
        <v>0</v>
      </c>
      <c r="M73" s="1">
        <f>+[11]Analysis!E27</f>
        <v>4198</v>
      </c>
      <c r="N73" s="1">
        <f>+[11]Analysis!F27</f>
        <v>5199</v>
      </c>
      <c r="O73" s="1">
        <f>+[11]Analysis!G27</f>
        <v>2895</v>
      </c>
      <c r="P73" s="1">
        <f>+[11]Analysis!H27</f>
        <v>4653</v>
      </c>
      <c r="Q73" s="1">
        <f>+[11]Analysis!I27</f>
        <v>13565</v>
      </c>
      <c r="R73" s="1">
        <f>+[11]Analysis!J27</f>
        <v>17724</v>
      </c>
      <c r="S73" s="1">
        <f>+[11]Analysis!K27</f>
        <v>24117</v>
      </c>
      <c r="T73" s="1">
        <f>+[11]Analysis!L27</f>
        <v>23241</v>
      </c>
      <c r="U73" s="1">
        <f>+[11]Analysis!M27</f>
        <v>21547</v>
      </c>
      <c r="V73" s="1">
        <f>+[11]Analysis!N27</f>
        <v>14767</v>
      </c>
      <c r="W73" s="1">
        <f>+[11]Analysis!O27</f>
        <v>16032</v>
      </c>
      <c r="X73" s="1">
        <f>+[11]Analysis!P27</f>
        <v>10779</v>
      </c>
      <c r="Y73" s="1">
        <f>+[11]Analysis!Q27</f>
        <v>13899</v>
      </c>
      <c r="Z73" s="1">
        <f>+[11]Analysis!R27</f>
        <v>11061</v>
      </c>
      <c r="AA73" s="1">
        <f>+[11]Analysis!S27</f>
        <v>6003</v>
      </c>
      <c r="AB73" s="1">
        <f>+[11]Analysis!T27</f>
        <v>4035</v>
      </c>
      <c r="AC73" s="1">
        <f>+[11]Analysis!U27</f>
        <v>2736</v>
      </c>
      <c r="AD73" s="1">
        <f>+[11]Analysis!V27</f>
        <v>1662</v>
      </c>
      <c r="AE73" s="1">
        <f>+[11]Analysis!W27</f>
        <v>1551</v>
      </c>
      <c r="AF73" s="1">
        <f>+[11]Analysis!X27</f>
        <v>1227</v>
      </c>
      <c r="AG73" s="1">
        <f>+[11]Analysis!Y27</f>
        <v>2022</v>
      </c>
      <c r="AH73" s="1">
        <f>+[11]Analysis!Z27</f>
        <v>2349</v>
      </c>
      <c r="AI73" s="1">
        <f>+[11]Analysis!AA27</f>
        <v>2742</v>
      </c>
      <c r="AJ73" s="1">
        <f>+[11]Analysis!AB27</f>
        <v>3147</v>
      </c>
      <c r="AK73" s="1">
        <f>+[11]Analysis!AC27</f>
        <v>1977</v>
      </c>
      <c r="AL73" s="1">
        <f>+[11]Analysis!AD27</f>
        <v>1575</v>
      </c>
      <c r="AM73" s="1">
        <f>+[11]Analysis!AE27</f>
        <v>999</v>
      </c>
      <c r="AN73" s="1">
        <f>+[11]Analysis!AF27</f>
        <v>486</v>
      </c>
      <c r="AO73" s="1">
        <f>+[11]Analysis!AG27</f>
        <v>255</v>
      </c>
      <c r="AP73" s="1">
        <f>+[11]Analysis!AH27</f>
        <v>0</v>
      </c>
      <c r="AQ73" s="1">
        <f t="shared" si="57"/>
        <v>216443</v>
      </c>
      <c r="AR73" s="1">
        <f t="shared" ref="AR73:AR92" si="58">+AQ73*6</f>
        <v>1298658</v>
      </c>
    </row>
    <row r="74" spans="1:44" hidden="1" x14ac:dyDescent="0.25">
      <c r="B74" t="s">
        <v>128</v>
      </c>
      <c r="C74" s="1">
        <f>+[11]Analysis!C28</f>
        <v>768</v>
      </c>
      <c r="D74" s="1"/>
      <c r="E74" s="1"/>
      <c r="F74" s="1"/>
      <c r="G74" s="1"/>
      <c r="H74" s="1"/>
      <c r="I74" s="1"/>
      <c r="J74" s="1"/>
      <c r="K74" s="1"/>
      <c r="L74" s="1">
        <f>+[11]Analysis!D28</f>
        <v>0</v>
      </c>
      <c r="M74" s="1">
        <f>+[11]Analysis!E28</f>
        <v>7644</v>
      </c>
      <c r="N74" s="1">
        <f>+[11]Analysis!F28</f>
        <v>13806</v>
      </c>
      <c r="O74" s="1">
        <f>+[11]Analysis!G28</f>
        <v>17709</v>
      </c>
      <c r="P74" s="1">
        <f>+[11]Analysis!H28</f>
        <v>18469</v>
      </c>
      <c r="Q74" s="1">
        <f>+[11]Analysis!I28</f>
        <v>7572</v>
      </c>
      <c r="R74" s="1">
        <f>+[11]Analysis!J28</f>
        <v>13413</v>
      </c>
      <c r="S74" s="1">
        <f>+[11]Analysis!K28</f>
        <v>7611</v>
      </c>
      <c r="T74" s="1">
        <f>+[11]Analysis!L28</f>
        <v>10476</v>
      </c>
      <c r="U74" s="1">
        <f>+[11]Analysis!M28</f>
        <v>10101</v>
      </c>
      <c r="V74" s="1">
        <f>+[11]Analysis!N28</f>
        <v>12477</v>
      </c>
      <c r="W74" s="1">
        <f>+[11]Analysis!O28</f>
        <v>12969</v>
      </c>
      <c r="X74" s="1">
        <f>+[11]Analysis!P28</f>
        <v>16677</v>
      </c>
      <c r="Y74" s="1">
        <f>+[11]Analysis!Q28</f>
        <v>7263</v>
      </c>
      <c r="Z74" s="1">
        <f>+[11]Analysis!R28</f>
        <v>4740</v>
      </c>
      <c r="AA74" s="1">
        <f>+[11]Analysis!S28</f>
        <v>4735</v>
      </c>
      <c r="AB74" s="1">
        <f>+[11]Analysis!T28</f>
        <v>3789</v>
      </c>
      <c r="AC74" s="1">
        <f>+[11]Analysis!U28</f>
        <v>2266</v>
      </c>
      <c r="AD74" s="1">
        <f>+[11]Analysis!V28</f>
        <v>1017</v>
      </c>
      <c r="AE74" s="1">
        <f>+[11]Analysis!W28</f>
        <v>597</v>
      </c>
      <c r="AF74" s="1">
        <f>+[11]Analysis!X28</f>
        <v>1444</v>
      </c>
      <c r="AG74" s="1">
        <f>+[11]Analysis!Y28</f>
        <v>1440</v>
      </c>
      <c r="AH74" s="1">
        <f>+[11]Analysis!Z28</f>
        <v>1416</v>
      </c>
      <c r="AI74" s="1">
        <f>+[11]Analysis!AA28</f>
        <v>1434</v>
      </c>
      <c r="AJ74" s="1">
        <f>+[11]Analysis!AB28</f>
        <v>2592</v>
      </c>
      <c r="AK74" s="1">
        <f>+[11]Analysis!AC28</f>
        <v>1222</v>
      </c>
      <c r="AL74" s="1">
        <f>+[11]Analysis!AD28</f>
        <v>969</v>
      </c>
      <c r="AM74" s="1">
        <f>+[11]Analysis!AE28</f>
        <v>1308</v>
      </c>
      <c r="AN74" s="1">
        <f>+[11]Analysis!AF28</f>
        <v>649</v>
      </c>
      <c r="AO74" s="1">
        <f>+[11]Analysis!AG28</f>
        <v>0</v>
      </c>
      <c r="AP74" s="1">
        <f>+[11]Analysis!AH28</f>
        <v>0</v>
      </c>
      <c r="AQ74" s="1">
        <f t="shared" ref="AQ74:AQ92" si="59">SUM(C74:AP74)</f>
        <v>186573</v>
      </c>
      <c r="AR74" s="1">
        <f t="shared" si="58"/>
        <v>1119438</v>
      </c>
    </row>
    <row r="75" spans="1:44" hidden="1" x14ac:dyDescent="0.25">
      <c r="B75" t="s">
        <v>129</v>
      </c>
      <c r="C75" s="1">
        <f>+[11]Analysis!C29</f>
        <v>0</v>
      </c>
      <c r="D75" s="1"/>
      <c r="E75" s="1"/>
      <c r="F75" s="1"/>
      <c r="G75" s="1"/>
      <c r="H75" s="1"/>
      <c r="I75" s="1"/>
      <c r="J75" s="1"/>
      <c r="K75" s="1"/>
      <c r="L75" s="1">
        <f>+[11]Analysis!D29</f>
        <v>0</v>
      </c>
      <c r="M75" s="1">
        <f>+[11]Analysis!E29</f>
        <v>3969</v>
      </c>
      <c r="N75" s="1">
        <f>+[11]Analysis!F29</f>
        <v>9837</v>
      </c>
      <c r="O75" s="1">
        <f>+[11]Analysis!G29</f>
        <v>14666</v>
      </c>
      <c r="P75" s="1">
        <f>+[11]Analysis!H29</f>
        <v>16271</v>
      </c>
      <c r="Q75" s="1">
        <f>+[11]Analysis!I29</f>
        <v>19878</v>
      </c>
      <c r="R75" s="1">
        <f>+[11]Analysis!J29</f>
        <v>23910</v>
      </c>
      <c r="S75" s="1">
        <f>+[11]Analysis!K29</f>
        <v>19349</v>
      </c>
      <c r="T75" s="1">
        <f>+[11]Analysis!L29</f>
        <v>11147</v>
      </c>
      <c r="U75" s="1">
        <f>+[11]Analysis!M29</f>
        <v>10236</v>
      </c>
      <c r="V75" s="1">
        <f>+[11]Analysis!N29</f>
        <v>6711</v>
      </c>
      <c r="W75" s="1">
        <f>+[11]Analysis!O29</f>
        <v>6102</v>
      </c>
      <c r="X75" s="1">
        <f>+[11]Analysis!P29</f>
        <v>3408</v>
      </c>
      <c r="Y75" s="1">
        <f>+[11]Analysis!Q29</f>
        <v>3072</v>
      </c>
      <c r="Z75" s="1">
        <f>+[11]Analysis!R29</f>
        <v>1940</v>
      </c>
      <c r="AA75" s="1">
        <f>+[11]Analysis!S29</f>
        <v>1527</v>
      </c>
      <c r="AB75" s="1">
        <f>+[11]Analysis!T29</f>
        <v>1422</v>
      </c>
      <c r="AC75" s="1">
        <f>+[11]Analysis!U29</f>
        <v>1245</v>
      </c>
      <c r="AD75" s="1">
        <f>+[11]Analysis!V29</f>
        <v>1218</v>
      </c>
      <c r="AE75" s="1">
        <f>+[11]Analysis!W29</f>
        <v>1095</v>
      </c>
      <c r="AF75" s="1">
        <f>+[11]Analysis!X29</f>
        <v>1972</v>
      </c>
      <c r="AG75" s="1">
        <f>+[11]Analysis!Y29</f>
        <v>2658</v>
      </c>
      <c r="AH75" s="1">
        <f>+[11]Analysis!Z29</f>
        <v>2931</v>
      </c>
      <c r="AI75" s="1">
        <f>+[11]Analysis!AA29</f>
        <v>3228</v>
      </c>
      <c r="AJ75" s="1">
        <f>+[11]Analysis!AB29</f>
        <v>2973</v>
      </c>
      <c r="AK75" s="1">
        <f>+[11]Analysis!AC29</f>
        <v>1650</v>
      </c>
      <c r="AL75" s="1">
        <f>+[11]Analysis!AD29</f>
        <v>1782</v>
      </c>
      <c r="AM75" s="1">
        <f>+[11]Analysis!AE29</f>
        <v>801</v>
      </c>
      <c r="AN75" s="1">
        <f>+[11]Analysis!AF29</f>
        <v>825</v>
      </c>
      <c r="AO75" s="1">
        <f>+[11]Analysis!AG29</f>
        <v>468</v>
      </c>
      <c r="AP75" s="1">
        <f>+[11]Analysis!AH29</f>
        <v>0</v>
      </c>
      <c r="AQ75" s="1">
        <f t="shared" si="59"/>
        <v>176291</v>
      </c>
      <c r="AR75" s="1">
        <f t="shared" si="58"/>
        <v>1057746</v>
      </c>
    </row>
    <row r="76" spans="1:44" hidden="1" x14ac:dyDescent="0.25">
      <c r="B76" t="s">
        <v>130</v>
      </c>
      <c r="C76" s="1">
        <f>+[11]Analysis!C30</f>
        <v>0</v>
      </c>
      <c r="D76" s="1"/>
      <c r="E76" s="1"/>
      <c r="F76" s="1"/>
      <c r="G76" s="1"/>
      <c r="H76" s="1"/>
      <c r="I76" s="1"/>
      <c r="J76" s="1"/>
      <c r="K76" s="1"/>
      <c r="L76" s="1">
        <f>+[11]Analysis!D30</f>
        <v>0</v>
      </c>
      <c r="M76" s="1">
        <f>+[11]Analysis!E30</f>
        <v>3315</v>
      </c>
      <c r="N76" s="1">
        <f>+[11]Analysis!F30</f>
        <v>8304</v>
      </c>
      <c r="O76" s="1">
        <f>+[11]Analysis!G30</f>
        <v>11447</v>
      </c>
      <c r="P76" s="1">
        <f>+[11]Analysis!H30</f>
        <v>7071</v>
      </c>
      <c r="Q76" s="1">
        <f>+[11]Analysis!I30</f>
        <v>12342</v>
      </c>
      <c r="R76" s="1">
        <f>+[11]Analysis!J30</f>
        <v>13692</v>
      </c>
      <c r="S76" s="1">
        <f>+[11]Analysis!K30</f>
        <v>19020</v>
      </c>
      <c r="T76" s="1">
        <f>+[11]Analysis!L30</f>
        <v>10581</v>
      </c>
      <c r="U76" s="1">
        <f>+[11]Analysis!M30</f>
        <v>7447</v>
      </c>
      <c r="V76" s="1">
        <f>+[11]Analysis!N30</f>
        <v>8946</v>
      </c>
      <c r="W76" s="1">
        <f>+[11]Analysis!O30</f>
        <v>8985</v>
      </c>
      <c r="X76" s="1">
        <f>+[11]Analysis!P30</f>
        <v>4893</v>
      </c>
      <c r="Y76" s="1">
        <f>+[11]Analysis!Q30</f>
        <v>2670</v>
      </c>
      <c r="Z76" s="1">
        <f>+[11]Analysis!R30</f>
        <v>1263</v>
      </c>
      <c r="AA76" s="1">
        <f>+[11]Analysis!S30</f>
        <v>1224</v>
      </c>
      <c r="AB76" s="1">
        <f>+[11]Analysis!T30</f>
        <v>879</v>
      </c>
      <c r="AC76" s="1">
        <f>+[11]Analysis!U30</f>
        <v>879</v>
      </c>
      <c r="AD76" s="1">
        <f>+[11]Analysis!V30</f>
        <v>885</v>
      </c>
      <c r="AE76" s="1">
        <f>+[11]Analysis!W30</f>
        <v>591</v>
      </c>
      <c r="AF76" s="1">
        <f>+[11]Analysis!X30</f>
        <v>1497</v>
      </c>
      <c r="AG76" s="1">
        <f>+[11]Analysis!Y30</f>
        <v>2259</v>
      </c>
      <c r="AH76" s="1">
        <f>+[11]Analysis!Z30</f>
        <v>2697</v>
      </c>
      <c r="AI76" s="1">
        <f>+[11]Analysis!AA30</f>
        <v>2382</v>
      </c>
      <c r="AJ76" s="1">
        <f>+[11]Analysis!AB30</f>
        <v>2664</v>
      </c>
      <c r="AK76" s="1">
        <f>+[11]Analysis!AC30</f>
        <v>1702</v>
      </c>
      <c r="AL76" s="1">
        <f>+[11]Analysis!AD30</f>
        <v>1755</v>
      </c>
      <c r="AM76" s="1">
        <f>+[11]Analysis!AE30</f>
        <v>1362</v>
      </c>
      <c r="AN76" s="1">
        <f>+[11]Analysis!AF30</f>
        <v>870</v>
      </c>
      <c r="AO76" s="1">
        <f>+[11]Analysis!AG30</f>
        <v>576</v>
      </c>
      <c r="AP76" s="1">
        <f>+[11]Analysis!AH30</f>
        <v>0</v>
      </c>
      <c r="AQ76" s="1">
        <f t="shared" si="59"/>
        <v>142198</v>
      </c>
      <c r="AR76" s="1">
        <f t="shared" si="58"/>
        <v>853188</v>
      </c>
    </row>
    <row r="77" spans="1:44" x14ac:dyDescent="0.25">
      <c r="AR77" s="1"/>
    </row>
    <row r="78" spans="1:44" x14ac:dyDescent="0.25">
      <c r="B78" t="s">
        <v>738</v>
      </c>
      <c r="C78" s="1">
        <f t="shared" ref="C78:AP78" si="60">+C6</f>
        <v>0</v>
      </c>
      <c r="D78" s="1">
        <f t="shared" si="60"/>
        <v>0</v>
      </c>
      <c r="E78" s="1">
        <f t="shared" si="60"/>
        <v>0</v>
      </c>
      <c r="F78" s="1">
        <f t="shared" si="60"/>
        <v>0</v>
      </c>
      <c r="G78" s="1">
        <f t="shared" si="60"/>
        <v>0</v>
      </c>
      <c r="H78" s="1">
        <f t="shared" si="60"/>
        <v>0</v>
      </c>
      <c r="I78" s="1">
        <f t="shared" si="60"/>
        <v>0</v>
      </c>
      <c r="J78" s="1">
        <f t="shared" si="60"/>
        <v>0</v>
      </c>
      <c r="K78" s="1">
        <f t="shared" si="60"/>
        <v>23183</v>
      </c>
      <c r="L78" s="1">
        <f t="shared" si="60"/>
        <v>12890</v>
      </c>
      <c r="M78" s="1">
        <f t="shared" si="60"/>
        <v>13658</v>
      </c>
      <c r="N78" s="1">
        <f t="shared" si="60"/>
        <v>21966</v>
      </c>
      <c r="O78" s="1">
        <f t="shared" si="60"/>
        <v>26529</v>
      </c>
      <c r="P78" s="1">
        <f t="shared" si="60"/>
        <v>26904</v>
      </c>
      <c r="Q78" s="1">
        <f t="shared" si="60"/>
        <v>27739</v>
      </c>
      <c r="R78" s="1">
        <f t="shared" si="60"/>
        <v>25903</v>
      </c>
      <c r="S78" s="1">
        <f t="shared" si="60"/>
        <v>26759</v>
      </c>
      <c r="T78" s="1">
        <f t="shared" si="60"/>
        <v>31438</v>
      </c>
      <c r="U78" s="1">
        <f t="shared" si="60"/>
        <v>24515</v>
      </c>
      <c r="V78" s="1">
        <f t="shared" si="60"/>
        <v>30205</v>
      </c>
      <c r="W78" s="1">
        <f t="shared" si="60"/>
        <v>27556</v>
      </c>
      <c r="X78" s="1">
        <f t="shared" si="60"/>
        <v>14779</v>
      </c>
      <c r="Y78" s="1">
        <f t="shared" si="60"/>
        <v>10023</v>
      </c>
      <c r="Z78" s="1">
        <f t="shared" si="60"/>
        <v>8365</v>
      </c>
      <c r="AA78" s="1">
        <f t="shared" si="60"/>
        <v>6458</v>
      </c>
      <c r="AB78" s="1">
        <f t="shared" si="60"/>
        <v>5371</v>
      </c>
      <c r="AC78" s="1">
        <f t="shared" si="60"/>
        <v>4099</v>
      </c>
      <c r="AD78" s="1">
        <f t="shared" si="60"/>
        <v>3964</v>
      </c>
      <c r="AE78" s="1">
        <f t="shared" si="60"/>
        <v>1756</v>
      </c>
      <c r="AF78" s="1">
        <f t="shared" si="60"/>
        <v>1779</v>
      </c>
      <c r="AG78" s="1">
        <f t="shared" si="60"/>
        <v>12147</v>
      </c>
      <c r="AH78" s="1">
        <f t="shared" si="60"/>
        <v>2253</v>
      </c>
      <c r="AI78" s="1">
        <f t="shared" si="60"/>
        <v>2324</v>
      </c>
      <c r="AJ78" s="1">
        <f t="shared" si="60"/>
        <v>2349</v>
      </c>
      <c r="AK78" s="1">
        <f t="shared" si="60"/>
        <v>1761</v>
      </c>
      <c r="AL78" s="1">
        <f t="shared" si="60"/>
        <v>958</v>
      </c>
      <c r="AM78" s="1">
        <f t="shared" si="60"/>
        <v>477</v>
      </c>
      <c r="AN78" s="1">
        <f t="shared" si="60"/>
        <v>0</v>
      </c>
      <c r="AO78" s="1">
        <f t="shared" si="60"/>
        <v>0</v>
      </c>
      <c r="AP78" s="1">
        <f t="shared" si="60"/>
        <v>0</v>
      </c>
      <c r="AQ78" s="1">
        <f t="shared" ref="AQ78:AQ86" si="61">SUM(C78:AP78)</f>
        <v>398108</v>
      </c>
      <c r="AR78" s="1"/>
    </row>
    <row r="79" spans="1:44" x14ac:dyDescent="0.25">
      <c r="B79" t="s">
        <v>684</v>
      </c>
      <c r="C79" s="1">
        <f>+[3]Analysis!C77</f>
        <v>0</v>
      </c>
      <c r="D79" s="1">
        <f>+[3]Analysis!D77</f>
        <v>0</v>
      </c>
      <c r="E79" s="1">
        <f>+[3]Analysis!E77</f>
        <v>0</v>
      </c>
      <c r="F79" s="1">
        <f>+[3]Analysis!F77</f>
        <v>0</v>
      </c>
      <c r="G79" s="1">
        <f>+[3]Analysis!G77</f>
        <v>0</v>
      </c>
      <c r="H79" s="1">
        <f>+[3]Analysis!H77</f>
        <v>0</v>
      </c>
      <c r="I79" s="1">
        <f>+[3]Analysis!I77</f>
        <v>0</v>
      </c>
      <c r="J79" s="1">
        <f>+[3]Analysis!J77</f>
        <v>6</v>
      </c>
      <c r="K79" s="1">
        <f>+[3]Analysis!K77</f>
        <v>27060</v>
      </c>
      <c r="L79" s="1">
        <f>+[3]Analysis!L77</f>
        <v>11860</v>
      </c>
      <c r="M79" s="1">
        <f>+[3]Analysis!M77</f>
        <v>9073</v>
      </c>
      <c r="N79" s="1">
        <f>+[3]Analysis!N77</f>
        <v>19528</v>
      </c>
      <c r="O79" s="1">
        <f>+[3]Analysis!O77</f>
        <v>22933</v>
      </c>
      <c r="P79" s="1">
        <f>+[3]Analysis!P77</f>
        <v>35689</v>
      </c>
      <c r="Q79" s="1">
        <f>+[3]Analysis!Q77</f>
        <v>27414</v>
      </c>
      <c r="R79" s="1">
        <f>+[3]Analysis!R77</f>
        <v>26955</v>
      </c>
      <c r="S79" s="1">
        <f>+[3]Analysis!S77</f>
        <v>26707</v>
      </c>
      <c r="T79" s="1">
        <f>+[3]Analysis!T77</f>
        <v>28562</v>
      </c>
      <c r="U79" s="1">
        <f>+[3]Analysis!U77</f>
        <v>29870</v>
      </c>
      <c r="V79" s="1">
        <f>+[3]Analysis!V77</f>
        <v>23953</v>
      </c>
      <c r="W79" s="1">
        <f>+[3]Analysis!W77</f>
        <v>23484</v>
      </c>
      <c r="X79" s="1">
        <f>+[3]Analysis!X77</f>
        <v>14611</v>
      </c>
      <c r="Y79" s="1">
        <f>+[3]Analysis!Y77</f>
        <v>8806</v>
      </c>
      <c r="Z79" s="1">
        <f>+[3]Analysis!Z77</f>
        <v>6667</v>
      </c>
      <c r="AA79" s="1">
        <f>+[3]Analysis!AA77</f>
        <v>4764</v>
      </c>
      <c r="AB79" s="1">
        <f>+[3]Analysis!AB77</f>
        <v>5271</v>
      </c>
      <c r="AC79" s="1">
        <f>+[3]Analysis!AC77</f>
        <v>3082</v>
      </c>
      <c r="AD79" s="1">
        <f>+[3]Analysis!AD77</f>
        <v>2493</v>
      </c>
      <c r="AE79" s="1">
        <f>+[3]Analysis!AE77</f>
        <v>2199</v>
      </c>
      <c r="AF79" s="1">
        <f>+[3]Analysis!AF77</f>
        <v>1265</v>
      </c>
      <c r="AG79" s="1">
        <f>+[3]Analysis!AG77</f>
        <v>13068</v>
      </c>
      <c r="AH79" s="1">
        <f>+[3]Analysis!AH77</f>
        <v>1770</v>
      </c>
      <c r="AI79" s="1">
        <f>+[3]Analysis!AI77</f>
        <v>2381</v>
      </c>
      <c r="AJ79" s="1">
        <f>+[3]Analysis!AJ77</f>
        <v>2752</v>
      </c>
      <c r="AK79" s="1">
        <f>+[3]Analysis!AK77</f>
        <v>1212</v>
      </c>
      <c r="AL79" s="1">
        <f>+[3]Analysis!AL77</f>
        <v>658</v>
      </c>
      <c r="AM79" s="1">
        <f>+[3]Analysis!AM77</f>
        <v>0</v>
      </c>
      <c r="AN79" s="1">
        <f>+[3]Analysis!AN77</f>
        <v>0</v>
      </c>
      <c r="AO79" s="1">
        <f>+[3]Analysis!AO77</f>
        <v>0</v>
      </c>
      <c r="AP79" s="1">
        <f>+[3]Analysis!AP77</f>
        <v>0</v>
      </c>
      <c r="AQ79" s="1">
        <f t="shared" si="61"/>
        <v>384093</v>
      </c>
      <c r="AR79" s="1"/>
    </row>
    <row r="80" spans="1:44" x14ac:dyDescent="0.25">
      <c r="B80" t="s">
        <v>679</v>
      </c>
      <c r="C80" s="1">
        <f>+[4]Analysis!C76</f>
        <v>0</v>
      </c>
      <c r="D80" s="1">
        <f>+[4]Analysis!D76</f>
        <v>0</v>
      </c>
      <c r="E80" s="1">
        <f>+[4]Analysis!E76</f>
        <v>0</v>
      </c>
      <c r="F80" s="1">
        <f>+[4]Analysis!F76</f>
        <v>0</v>
      </c>
      <c r="G80" s="1">
        <f>+[4]Analysis!G76</f>
        <v>0</v>
      </c>
      <c r="H80" s="1">
        <f>+[4]Analysis!H76</f>
        <v>0</v>
      </c>
      <c r="I80" s="1">
        <f>+[4]Analysis!I76</f>
        <v>0</v>
      </c>
      <c r="J80" s="1">
        <f>+[4]Analysis!J76</f>
        <v>0</v>
      </c>
      <c r="K80" s="1">
        <f>+[4]Analysis!K76</f>
        <v>21423</v>
      </c>
      <c r="L80" s="1">
        <f>+[4]Analysis!L76</f>
        <v>15780</v>
      </c>
      <c r="M80" s="1">
        <f>+[4]Analysis!M76</f>
        <v>15911</v>
      </c>
      <c r="N80" s="1">
        <f>+[4]Analysis!N76</f>
        <v>21956</v>
      </c>
      <c r="O80" s="1">
        <f>+[4]Analysis!O76</f>
        <v>27730</v>
      </c>
      <c r="P80" s="1">
        <f>+[4]Analysis!P76</f>
        <v>27622</v>
      </c>
      <c r="Q80" s="1">
        <f>+[4]Analysis!Q76</f>
        <v>25634</v>
      </c>
      <c r="R80" s="1">
        <f>+[4]Analysis!R76</f>
        <v>26842</v>
      </c>
      <c r="S80" s="1">
        <f>+[4]Analysis!S76</f>
        <v>35034</v>
      </c>
      <c r="T80" s="1">
        <f>+[4]Analysis!T76</f>
        <v>26959</v>
      </c>
      <c r="U80" s="1"/>
      <c r="V80" s="1">
        <f>+[4]Analysis!V76</f>
        <v>24172</v>
      </c>
      <c r="W80" s="1">
        <f>+[4]Analysis!W76</f>
        <v>16948</v>
      </c>
      <c r="X80" s="1">
        <f>+[4]Analysis!X76</f>
        <v>13612</v>
      </c>
      <c r="Y80" s="1">
        <f>+[4]Analysis!Y76</f>
        <v>9188</v>
      </c>
      <c r="Z80" s="1">
        <f>+[4]Analysis!Z76</f>
        <v>7229</v>
      </c>
      <c r="AA80" s="1">
        <f>+[4]Analysis!AA76</f>
        <v>3794</v>
      </c>
      <c r="AB80" s="1">
        <f>+[4]Analysis!AB76</f>
        <v>4248</v>
      </c>
      <c r="AC80" s="1">
        <f>+[4]Analysis!AC76</f>
        <v>3929</v>
      </c>
      <c r="AD80" s="1">
        <f>+[4]Analysis!AD76</f>
        <v>3264</v>
      </c>
      <c r="AE80" s="1">
        <f>+[4]Analysis!AE76</f>
        <v>2528</v>
      </c>
      <c r="AF80" s="1">
        <f>+[4]Analysis!AF76</f>
        <v>2598</v>
      </c>
      <c r="AG80" s="1">
        <f>+[4]Analysis!AG76</f>
        <v>12628</v>
      </c>
      <c r="AH80" s="1">
        <f>+[4]Analysis!AH76</f>
        <v>3117</v>
      </c>
      <c r="AI80" s="1">
        <f>+[4]Analysis!AI76</f>
        <v>1752</v>
      </c>
      <c r="AJ80" s="1">
        <f>+[4]Analysis!AJ76</f>
        <v>2754</v>
      </c>
      <c r="AK80" s="1">
        <f>+[4]Analysis!AK76</f>
        <v>1767</v>
      </c>
      <c r="AL80" s="1">
        <f>+[4]Analysis!AL76</f>
        <v>1536</v>
      </c>
      <c r="AM80" s="1">
        <f>+[4]Analysis!AM76</f>
        <v>0</v>
      </c>
      <c r="AN80" s="1">
        <f>+[4]Analysis!AN76</f>
        <v>0</v>
      </c>
      <c r="AO80" s="1">
        <f>+[4]Analysis!AO76</f>
        <v>0</v>
      </c>
      <c r="AP80" s="1">
        <f>+[4]Analysis!AP76</f>
        <v>0</v>
      </c>
      <c r="AQ80" s="1">
        <f t="shared" si="61"/>
        <v>359955</v>
      </c>
      <c r="AR80" s="1"/>
    </row>
    <row r="81" spans="1:44" x14ac:dyDescent="0.25">
      <c r="B81" t="s">
        <v>509</v>
      </c>
      <c r="C81" s="1">
        <f>+[1]Analysis!C$75</f>
        <v>0</v>
      </c>
      <c r="D81" s="1">
        <f>+[1]Analysis!D$75</f>
        <v>0</v>
      </c>
      <c r="E81" s="1">
        <f>+[1]Analysis!E$75</f>
        <v>0</v>
      </c>
      <c r="F81" s="1">
        <f>+[1]Analysis!F$75</f>
        <v>0</v>
      </c>
      <c r="G81" s="1">
        <f>+[1]Analysis!G$75</f>
        <v>0</v>
      </c>
      <c r="H81" s="1">
        <f>+[1]Analysis!H$75</f>
        <v>0</v>
      </c>
      <c r="I81" s="1">
        <f>+[1]Analysis!I$75</f>
        <v>0</v>
      </c>
      <c r="J81" s="1">
        <f>+[1]Analysis!J$75</f>
        <v>1521</v>
      </c>
      <c r="K81" s="1">
        <f>+[1]Analysis!K$75</f>
        <v>24147</v>
      </c>
      <c r="L81" s="1">
        <f>+[1]Analysis!L$75</f>
        <v>22718</v>
      </c>
      <c r="M81" s="1">
        <f>+[1]Analysis!M$75</f>
        <v>17030</v>
      </c>
      <c r="N81" s="1">
        <f>+[1]Analysis!N$75</f>
        <v>26975</v>
      </c>
      <c r="O81" s="1">
        <f>+[1]Analysis!O$75</f>
        <v>34718</v>
      </c>
      <c r="P81" s="1">
        <f>+[1]Analysis!P$75</f>
        <v>29230</v>
      </c>
      <c r="Q81" s="1">
        <f>+[1]Analysis!Q$75</f>
        <v>38494</v>
      </c>
      <c r="R81" s="1">
        <f>+[1]Analysis!R$75</f>
        <v>31644</v>
      </c>
      <c r="S81" s="1">
        <f>+[1]Analysis!S$75</f>
        <v>32446</v>
      </c>
      <c r="T81" s="1">
        <f>+[1]Analysis!T$75</f>
        <v>26981</v>
      </c>
      <c r="U81" s="1">
        <f>+[1]Analysis!U$75</f>
        <v>19605</v>
      </c>
      <c r="V81" s="1">
        <f>+[1]Analysis!V$75</f>
        <v>15909</v>
      </c>
      <c r="W81" s="1">
        <f>+[1]Analysis!W$75</f>
        <v>15750</v>
      </c>
      <c r="X81" s="1">
        <f>+[1]Analysis!X$75</f>
        <v>12774</v>
      </c>
      <c r="Y81" s="1">
        <f>+[1]Analysis!Y$75</f>
        <v>10252</v>
      </c>
      <c r="Z81" s="1">
        <f>+[1]Analysis!Z$75</f>
        <v>4155</v>
      </c>
      <c r="AA81" s="1">
        <f>+[1]Analysis!AA$75</f>
        <v>3471</v>
      </c>
      <c r="AB81" s="1">
        <f>+[1]Analysis!AB$75</f>
        <v>3555</v>
      </c>
      <c r="AC81" s="1">
        <f>+[1]Analysis!AC$75</f>
        <v>1842</v>
      </c>
      <c r="AD81" s="1">
        <f>+[1]Analysis!AD$75</f>
        <v>1197</v>
      </c>
      <c r="AE81" s="1">
        <f>+[1]Analysis!AE$75</f>
        <v>1280</v>
      </c>
      <c r="AF81" s="1">
        <f>+[1]Analysis!AF$75</f>
        <v>872</v>
      </c>
      <c r="AG81" s="1">
        <f>+[1]Analysis!AG$75</f>
        <v>14391</v>
      </c>
      <c r="AH81" s="1">
        <f>+[1]Analysis!AH$75</f>
        <v>2565</v>
      </c>
      <c r="AI81" s="1">
        <f>+[1]Analysis!AI$75</f>
        <v>3213</v>
      </c>
      <c r="AJ81" s="1">
        <f>+[1]Analysis!AJ$75</f>
        <v>5090</v>
      </c>
      <c r="AK81" s="1">
        <f>+[1]Analysis!AK$75</f>
        <v>2388</v>
      </c>
      <c r="AL81" s="1">
        <f>+[1]Analysis!AL$75</f>
        <v>1824</v>
      </c>
      <c r="AM81" s="1">
        <f>+[1]Analysis!AM$75</f>
        <v>0</v>
      </c>
      <c r="AN81" s="1">
        <f>+[1]Analysis!AN$75</f>
        <v>0</v>
      </c>
      <c r="AO81" s="1">
        <f>+[1]Analysis!AO$75</f>
        <v>0</v>
      </c>
      <c r="AP81" s="1">
        <f>+[1]Analysis!AP$75</f>
        <v>0</v>
      </c>
      <c r="AQ81" s="1">
        <f t="shared" si="61"/>
        <v>406037</v>
      </c>
      <c r="AR81" s="1"/>
    </row>
    <row r="82" spans="1:44" x14ac:dyDescent="0.25">
      <c r="B82" t="s">
        <v>462</v>
      </c>
      <c r="C82" s="1"/>
      <c r="D82" s="1"/>
      <c r="E82" s="1"/>
      <c r="F82" s="1"/>
      <c r="G82" s="1"/>
      <c r="H82" s="1"/>
      <c r="I82" s="1"/>
      <c r="J82" s="1">
        <f>+[5]Analysis!D$75</f>
        <v>1639</v>
      </c>
      <c r="K82" s="1">
        <f>+[5]Analysis!E$75</f>
        <v>17674</v>
      </c>
      <c r="L82" s="1">
        <f>+[5]Analysis!F$75</f>
        <v>6576</v>
      </c>
      <c r="M82" s="1">
        <f>+[5]Analysis!G$75</f>
        <v>12190</v>
      </c>
      <c r="N82" s="1">
        <f>+[5]Analysis!H$75</f>
        <v>24811</v>
      </c>
      <c r="O82" s="1">
        <f>+[5]Analysis!I$75</f>
        <v>13594</v>
      </c>
      <c r="P82" s="1">
        <f>+[5]Analysis!J$75</f>
        <v>75</v>
      </c>
      <c r="Q82" s="1">
        <f>+[5]Analysis!K$75</f>
        <v>3333</v>
      </c>
      <c r="R82" s="1">
        <f>+[5]Analysis!L$75</f>
        <v>4677</v>
      </c>
      <c r="S82" s="1">
        <f>+[5]Analysis!M$75</f>
        <v>10047</v>
      </c>
      <c r="T82" s="1">
        <f>+[5]Analysis!N$75</f>
        <v>12564</v>
      </c>
      <c r="U82" s="1">
        <f>+[5]Analysis!O$75</f>
        <v>19338</v>
      </c>
      <c r="V82" s="1">
        <f>+[5]Analysis!P$75</f>
        <v>27308</v>
      </c>
      <c r="W82" s="1">
        <f>+[5]Analysis!Q$75</f>
        <v>36743</v>
      </c>
      <c r="X82" s="1">
        <f>+[5]Analysis!R$75</f>
        <v>28299</v>
      </c>
      <c r="Y82" s="1">
        <f>+[5]Analysis!S$75</f>
        <v>25701</v>
      </c>
      <c r="Z82" s="1">
        <f>+[5]Analysis!T$75</f>
        <v>22893</v>
      </c>
      <c r="AA82" s="1">
        <f>+[5]Analysis!U$75</f>
        <v>17703</v>
      </c>
      <c r="AB82" s="1">
        <f>+[5]Analysis!V$75</f>
        <v>13122</v>
      </c>
      <c r="AC82" s="1">
        <f>+[5]Analysis!W$75</f>
        <v>7281</v>
      </c>
      <c r="AD82" s="1">
        <f>+[5]Analysis!X$75</f>
        <v>3942</v>
      </c>
      <c r="AE82" s="1">
        <f>+[5]Analysis!Y$75</f>
        <v>2322</v>
      </c>
      <c r="AF82" s="1">
        <f>+[5]Analysis!Z$75</f>
        <v>3549</v>
      </c>
      <c r="AG82" s="1">
        <f>+[5]Analysis!AA$75</f>
        <v>12593</v>
      </c>
      <c r="AH82" s="1">
        <f>+[5]Analysis!AB$75</f>
        <v>3093</v>
      </c>
      <c r="AI82" s="1">
        <f>+[5]Analysis!AC$75</f>
        <v>2748</v>
      </c>
      <c r="AJ82" s="1">
        <f>+[5]Analysis!AD$75</f>
        <v>2256</v>
      </c>
      <c r="AK82" s="1">
        <f>+[5]Analysis!AE$75</f>
        <v>1293</v>
      </c>
      <c r="AL82" s="1">
        <f>+[5]Analysis!AF$75</f>
        <v>930</v>
      </c>
      <c r="AM82" s="1">
        <f>+[5]Analysis!AG$75</f>
        <v>957</v>
      </c>
      <c r="AN82" s="1">
        <f>+[5]Analysis!AH$75</f>
        <v>0</v>
      </c>
      <c r="AO82" s="1">
        <f>+[5]Analysis!AI$75</f>
        <v>0</v>
      </c>
      <c r="AP82" s="1">
        <f>+[5]Analysis!AJ$75</f>
        <v>0</v>
      </c>
      <c r="AQ82" s="1">
        <f t="shared" si="61"/>
        <v>339251</v>
      </c>
      <c r="AR82" s="1"/>
    </row>
    <row r="83" spans="1:44" x14ac:dyDescent="0.25">
      <c r="B83" t="s">
        <v>436</v>
      </c>
      <c r="C83" s="1"/>
      <c r="D83" s="1"/>
      <c r="E83" s="1"/>
      <c r="F83" s="1"/>
      <c r="G83" s="1"/>
      <c r="H83" s="1"/>
      <c r="I83" s="1">
        <f>+[2]Analysis!C$6</f>
        <v>312</v>
      </c>
      <c r="J83" s="1">
        <f>+[2]Analysis!D$6</f>
        <v>1106</v>
      </c>
      <c r="K83" s="1">
        <f>+[2]Analysis!E$6</f>
        <v>8881</v>
      </c>
      <c r="L83" s="1">
        <f>+[2]Analysis!F$6</f>
        <v>11036</v>
      </c>
      <c r="M83" s="1">
        <f>+[2]Analysis!G$6</f>
        <v>14157</v>
      </c>
      <c r="N83" s="1">
        <f>+[2]Analysis!H$6</f>
        <v>14102</v>
      </c>
      <c r="O83" s="1">
        <f>+[2]Analysis!I$6</f>
        <v>23621</v>
      </c>
      <c r="P83" s="1">
        <f>+[2]Analysis!J$6</f>
        <v>24824</v>
      </c>
      <c r="Q83" s="1">
        <f>+[2]Analysis!K$6</f>
        <v>25105</v>
      </c>
      <c r="R83" s="1">
        <f>+[2]Analysis!L$6</f>
        <v>37555</v>
      </c>
      <c r="S83" s="1">
        <f>+[2]Analysis!M$6</f>
        <v>36141</v>
      </c>
      <c r="T83" s="1">
        <f>+[2]Analysis!N$6</f>
        <v>35736</v>
      </c>
      <c r="U83" s="1">
        <f>+[2]Analysis!O$6</f>
        <v>23892</v>
      </c>
      <c r="V83" s="1">
        <f>+[2]Analysis!P$6</f>
        <v>24187</v>
      </c>
      <c r="W83" s="1">
        <f>+[2]Analysis!Q$6</f>
        <v>24952</v>
      </c>
      <c r="X83" s="1">
        <f>+[2]Analysis!R$6</f>
        <v>14572</v>
      </c>
      <c r="Y83" s="1">
        <f>+[2]Analysis!S$6</f>
        <v>10280</v>
      </c>
      <c r="Z83" s="1">
        <f>+[2]Analysis!T$6</f>
        <v>5552</v>
      </c>
      <c r="AA83" s="1">
        <f>+[2]Analysis!U$6</f>
        <v>2712</v>
      </c>
      <c r="AB83" s="1">
        <f>+[2]Analysis!V$6</f>
        <v>2868</v>
      </c>
      <c r="AC83" s="1">
        <f>+[2]Analysis!W$6</f>
        <v>2271</v>
      </c>
      <c r="AD83" s="1">
        <f>+[2]Analysis!X$6</f>
        <v>2379</v>
      </c>
      <c r="AE83" s="1">
        <f>+[2]Analysis!Y$6</f>
        <v>2064</v>
      </c>
      <c r="AF83" s="1">
        <f>+[2]Analysis!Z$6</f>
        <v>2226</v>
      </c>
      <c r="AG83" s="1">
        <f>+[2]Analysis!AA$6</f>
        <v>20247</v>
      </c>
      <c r="AH83" s="1">
        <f>+[2]Analysis!AB$6</f>
        <v>1662</v>
      </c>
      <c r="AI83" s="1">
        <f>+[2]Analysis!AC$6</f>
        <v>1998</v>
      </c>
      <c r="AJ83" s="1">
        <f>+[2]Analysis!AD$6</f>
        <v>22072</v>
      </c>
      <c r="AK83" s="1">
        <f>+[2]Analysis!AE$6</f>
        <v>3231</v>
      </c>
      <c r="AL83" s="1">
        <f>+[2]Analysis!AF$6</f>
        <v>0</v>
      </c>
      <c r="AM83" s="1">
        <f>+[2]Analysis!AG$6</f>
        <v>0</v>
      </c>
      <c r="AN83" s="1">
        <f>+[2]Analysis!AH$6</f>
        <v>0</v>
      </c>
      <c r="AO83" s="1">
        <f>+[2]Analysis!AI$6</f>
        <v>0</v>
      </c>
      <c r="AP83" s="1">
        <f>+[2]Analysis!AJ$6</f>
        <v>0</v>
      </c>
      <c r="AQ83" s="1">
        <f t="shared" si="61"/>
        <v>399741</v>
      </c>
      <c r="AR83" s="1"/>
    </row>
    <row r="84" spans="1:44" x14ac:dyDescent="0.25">
      <c r="B84" t="s">
        <v>358</v>
      </c>
      <c r="C84" s="1">
        <f>+[6]Analysis!C$79</f>
        <v>0</v>
      </c>
      <c r="D84" s="1"/>
      <c r="E84" s="1"/>
      <c r="F84" s="1"/>
      <c r="G84" s="1"/>
      <c r="H84" s="1"/>
      <c r="I84" s="1">
        <f>+[6]Analysis!C$79</f>
        <v>0</v>
      </c>
      <c r="J84" s="1">
        <f>+[6]Analysis!D$79</f>
        <v>390</v>
      </c>
      <c r="K84" s="1">
        <f>+[6]Analysis!E$79</f>
        <v>2002</v>
      </c>
      <c r="L84" s="1">
        <f>+[6]Analysis!F$79</f>
        <v>10469</v>
      </c>
      <c r="M84" s="1">
        <f>+[6]Analysis!G$79</f>
        <v>11485</v>
      </c>
      <c r="N84" s="1">
        <f>+[6]Analysis!H$79</f>
        <v>12397</v>
      </c>
      <c r="O84" s="1">
        <f>+[6]Analysis!I$79</f>
        <v>20563</v>
      </c>
      <c r="P84" s="1">
        <f>+[6]Analysis!J$79</f>
        <v>12184</v>
      </c>
      <c r="Q84" s="1">
        <f>+[6]Analysis!K$79</f>
        <v>26353</v>
      </c>
      <c r="R84" s="1">
        <f>+[6]Analysis!L$79</f>
        <v>31174</v>
      </c>
      <c r="S84" s="1">
        <f>+[6]Analysis!M$79</f>
        <v>38093</v>
      </c>
      <c r="T84" s="1">
        <f>+[6]Analysis!N$79</f>
        <v>32846</v>
      </c>
      <c r="U84" s="1">
        <f>+[6]Analysis!O$79</f>
        <v>31652</v>
      </c>
      <c r="V84" s="1">
        <f>+[6]Analysis!P$79</f>
        <v>30304</v>
      </c>
      <c r="W84" s="1">
        <f>+[6]Analysis!Q$79</f>
        <v>28554</v>
      </c>
      <c r="X84" s="1">
        <f>+[6]Analysis!R$79</f>
        <v>16619</v>
      </c>
      <c r="Y84" s="1">
        <f>+[6]Analysis!S$79</f>
        <v>12719</v>
      </c>
      <c r="Z84" s="1">
        <f>+[6]Analysis!T$79</f>
        <v>9451</v>
      </c>
      <c r="AA84" s="1">
        <f>+[6]Analysis!U$79</f>
        <v>4774</v>
      </c>
      <c r="AB84" s="1">
        <f>+[6]Analysis!V$79</f>
        <v>3103</v>
      </c>
      <c r="AC84" s="1">
        <f>+[6]Analysis!W$79</f>
        <v>2171</v>
      </c>
      <c r="AD84" s="1">
        <f>+[6]Analysis!X$79</f>
        <v>1173</v>
      </c>
      <c r="AE84" s="1">
        <f>+[6]Analysis!Y$79</f>
        <v>1317</v>
      </c>
      <c r="AF84" s="1">
        <f>+[6]Analysis!Z$79</f>
        <v>1430</v>
      </c>
      <c r="AG84" s="1">
        <f>+[6]Analysis!AA$79</f>
        <v>21058</v>
      </c>
      <c r="AH84" s="1">
        <f>+[6]Analysis!AB$79</f>
        <v>2469</v>
      </c>
      <c r="AI84" s="1">
        <f>+[6]Analysis!AC$79</f>
        <v>13142</v>
      </c>
      <c r="AJ84" s="1">
        <f>+[6]Analysis!AD$79</f>
        <v>10974</v>
      </c>
      <c r="AK84" s="1">
        <f>+[6]Analysis!AE$79</f>
        <v>2539</v>
      </c>
      <c r="AL84" s="1">
        <f>+[6]Analysis!AF$79</f>
        <v>993</v>
      </c>
      <c r="AM84" s="1">
        <f>+[6]Analysis!AG$79</f>
        <v>480</v>
      </c>
      <c r="AN84" s="1">
        <f>+[6]Analysis!AH$79</f>
        <v>291</v>
      </c>
      <c r="AO84" s="1">
        <f>+[6]Analysis!AI$79</f>
        <v>0</v>
      </c>
      <c r="AP84" s="1">
        <f>+[6]Analysis!AJ$79</f>
        <v>0</v>
      </c>
      <c r="AQ84" s="1">
        <f t="shared" si="61"/>
        <v>393169</v>
      </c>
      <c r="AR84" s="1"/>
    </row>
    <row r="85" spans="1:44" x14ac:dyDescent="0.25">
      <c r="B85" t="s">
        <v>294</v>
      </c>
      <c r="C85" s="1">
        <f>+[7]Analysis!C76</f>
        <v>0</v>
      </c>
      <c r="D85" s="1"/>
      <c r="E85" s="1"/>
      <c r="F85" s="1"/>
      <c r="G85" s="1"/>
      <c r="H85" s="1"/>
      <c r="I85" s="1"/>
      <c r="J85" s="1">
        <f>+[7]Analysis!D76</f>
        <v>1740</v>
      </c>
      <c r="K85" s="1">
        <f>+[7]Analysis!E76</f>
        <v>9035</v>
      </c>
      <c r="L85" s="1">
        <f>+[7]Analysis!F76</f>
        <v>16382</v>
      </c>
      <c r="M85" s="1">
        <f>+[7]Analysis!G76</f>
        <v>17011</v>
      </c>
      <c r="N85" s="1">
        <f>+[7]Analysis!H76</f>
        <v>18484</v>
      </c>
      <c r="O85" s="1">
        <f>+[7]Analysis!I76</f>
        <v>22892</v>
      </c>
      <c r="P85" s="1">
        <f>+[7]Analysis!J76</f>
        <v>32018</v>
      </c>
      <c r="Q85" s="1">
        <f>+[7]Analysis!K76</f>
        <v>38082</v>
      </c>
      <c r="R85" s="1">
        <f>+[7]Analysis!L76</f>
        <v>32836</v>
      </c>
      <c r="S85" s="1">
        <f>+[7]Analysis!M76</f>
        <v>26601</v>
      </c>
      <c r="T85" s="1">
        <f>+[7]Analysis!N76</f>
        <v>21958</v>
      </c>
      <c r="U85" s="1">
        <f>+[7]Analysis!O76</f>
        <v>25094</v>
      </c>
      <c r="V85" s="1">
        <f>+[7]Analysis!P76</f>
        <v>25085</v>
      </c>
      <c r="W85" s="1">
        <f>+[7]Analysis!Q76</f>
        <v>24868</v>
      </c>
      <c r="X85" s="1">
        <f>+[7]Analysis!R76</f>
        <v>15275</v>
      </c>
      <c r="Y85" s="1">
        <f>+[7]Analysis!S76</f>
        <v>9709</v>
      </c>
      <c r="Z85" s="1">
        <f>+[7]Analysis!T76</f>
        <v>5140</v>
      </c>
      <c r="AA85" s="1">
        <f>+[7]Analysis!U76</f>
        <v>3532</v>
      </c>
      <c r="AB85" s="1">
        <f>+[7]Analysis!V76</f>
        <v>2238</v>
      </c>
      <c r="AC85" s="1">
        <f>+[7]Analysis!W76</f>
        <v>1668</v>
      </c>
      <c r="AD85" s="1">
        <f>+[7]Analysis!X76</f>
        <v>1242</v>
      </c>
      <c r="AE85" s="1">
        <f>+[7]Analysis!Y76</f>
        <v>2034</v>
      </c>
      <c r="AF85" s="1">
        <f>+[7]Analysis!Z76</f>
        <v>1512</v>
      </c>
      <c r="AG85" s="1">
        <f>+[7]Analysis!AA76</f>
        <v>3221</v>
      </c>
      <c r="AH85" s="1">
        <f>+[7]Analysis!AB76</f>
        <v>2043</v>
      </c>
      <c r="AI85" s="1">
        <f>+[7]Analysis!AC76</f>
        <v>2502</v>
      </c>
      <c r="AJ85" s="1">
        <f>+[7]Analysis!AD76</f>
        <v>2286</v>
      </c>
      <c r="AK85" s="1">
        <f>+[7]Analysis!AE76</f>
        <v>1461</v>
      </c>
      <c r="AL85" s="1">
        <f>+[7]Analysis!AF76</f>
        <v>1158</v>
      </c>
      <c r="AM85" s="1">
        <f>+[7]Analysis!AG76</f>
        <v>630</v>
      </c>
      <c r="AN85" s="1">
        <f>+[7]Analysis!AH76</f>
        <v>393</v>
      </c>
      <c r="AO85" s="1">
        <f>+[7]Analysis!AI76</f>
        <v>264</v>
      </c>
      <c r="AP85" s="1">
        <f>+[7]Analysis!AJ76</f>
        <v>0</v>
      </c>
      <c r="AQ85" s="1">
        <f t="shared" si="61"/>
        <v>368394</v>
      </c>
      <c r="AR85" s="1"/>
    </row>
    <row r="86" spans="1:44" x14ac:dyDescent="0.25">
      <c r="B86" t="s">
        <v>277</v>
      </c>
      <c r="C86" s="1">
        <f>+[8]Analysis!C$61</f>
        <v>0</v>
      </c>
      <c r="D86" s="1"/>
      <c r="E86" s="1"/>
      <c r="F86" s="1"/>
      <c r="G86" s="1"/>
      <c r="H86" s="1"/>
      <c r="I86" s="1"/>
      <c r="J86" s="1">
        <f>+[8]Analysis!D$61</f>
        <v>782</v>
      </c>
      <c r="K86" s="1">
        <f>+[8]Analysis!E$61</f>
        <v>2891</v>
      </c>
      <c r="L86" s="1">
        <f>+[8]Analysis!F$61</f>
        <v>12418</v>
      </c>
      <c r="M86" s="1">
        <f>+[8]Analysis!G$61</f>
        <v>21777</v>
      </c>
      <c r="N86" s="1">
        <f>+[8]Analysis!H$61</f>
        <v>20514</v>
      </c>
      <c r="O86" s="1">
        <f>+[8]Analysis!I$61</f>
        <v>17249</v>
      </c>
      <c r="P86" s="1">
        <f>+[8]Analysis!J$61</f>
        <v>29817</v>
      </c>
      <c r="Q86" s="1">
        <f>+[8]Analysis!K$61</f>
        <v>23397</v>
      </c>
      <c r="R86" s="1">
        <f>+[8]Analysis!L$61</f>
        <v>21408</v>
      </c>
      <c r="S86" s="1">
        <f>+[8]Analysis!M$61</f>
        <v>29304</v>
      </c>
      <c r="T86" s="1">
        <f>+[8]Analysis!N$61</f>
        <v>24897</v>
      </c>
      <c r="U86" s="1">
        <f>+[8]Analysis!O$61</f>
        <v>33606</v>
      </c>
      <c r="V86" s="1">
        <f>+[8]Analysis!P$61</f>
        <v>27735</v>
      </c>
      <c r="W86" s="1">
        <f>+[8]Analysis!Q$61</f>
        <v>27337</v>
      </c>
      <c r="X86" s="1">
        <f>+[8]Analysis!R$61</f>
        <v>17985</v>
      </c>
      <c r="Y86" s="1">
        <f>+[8]Analysis!S$61</f>
        <v>14988</v>
      </c>
      <c r="Z86" s="1">
        <f>+[8]Analysis!T$61</f>
        <v>11482</v>
      </c>
      <c r="AA86" s="1">
        <f>+[8]Analysis!U$61</f>
        <v>4616</v>
      </c>
      <c r="AB86" s="1">
        <f>+[8]Analysis!V$61</f>
        <v>2286</v>
      </c>
      <c r="AC86" s="1">
        <f>+[8]Analysis!W$61</f>
        <v>2001</v>
      </c>
      <c r="AD86" s="1">
        <f>+[8]Analysis!X$61</f>
        <v>1630</v>
      </c>
      <c r="AE86" s="1">
        <f>+[8]Analysis!Y$61</f>
        <v>5014</v>
      </c>
      <c r="AF86" s="1">
        <f>+[8]Analysis!Z$61</f>
        <v>2497</v>
      </c>
      <c r="AG86" s="1">
        <f>+[8]Analysis!AA$61</f>
        <v>3163</v>
      </c>
      <c r="AH86" s="1">
        <f>+[8]Analysis!AB$61</f>
        <v>2728</v>
      </c>
      <c r="AI86" s="1">
        <f>+[8]Analysis!AC$61</f>
        <v>2519</v>
      </c>
      <c r="AJ86" s="1">
        <f>+[8]Analysis!AD$61</f>
        <v>1719</v>
      </c>
      <c r="AK86" s="1">
        <f>+[8]Analysis!AE$61</f>
        <v>1254</v>
      </c>
      <c r="AL86" s="1">
        <f>+[8]Analysis!AF$61</f>
        <v>1101</v>
      </c>
      <c r="AM86" s="1">
        <f>+[8]Analysis!AG$61</f>
        <v>924</v>
      </c>
      <c r="AN86" s="1">
        <f>+[8]Analysis!AH$61</f>
        <v>708</v>
      </c>
      <c r="AO86" s="1">
        <f>+[8]Analysis!AI$61</f>
        <v>0</v>
      </c>
      <c r="AP86" s="1">
        <f>+[8]Analysis!AJ$61</f>
        <v>0</v>
      </c>
      <c r="AQ86" s="1">
        <f t="shared" si="61"/>
        <v>369747</v>
      </c>
      <c r="AR86" s="1"/>
    </row>
    <row r="87" spans="1:44" x14ac:dyDescent="0.25">
      <c r="B87" t="s">
        <v>188</v>
      </c>
      <c r="C87" s="1"/>
      <c r="D87" s="1"/>
      <c r="E87" s="1"/>
      <c r="F87" s="1"/>
      <c r="G87" s="1"/>
      <c r="H87" s="1"/>
      <c r="I87" s="1"/>
      <c r="J87" s="1"/>
      <c r="K87" s="1">
        <f>+[9]PassVol!D$80-[9]PassVol!D$78</f>
        <v>1793</v>
      </c>
      <c r="L87" s="1">
        <f>+[9]PassVol!E$80-[9]PassVol!E$78</f>
        <v>4564</v>
      </c>
      <c r="M87" s="1">
        <f>+[9]PassVol!F$80-[9]PassVol!F$78</f>
        <v>17376</v>
      </c>
      <c r="N87" s="1">
        <f>+[9]PassVol!G$80-[9]PassVol!G$78</f>
        <v>10712</v>
      </c>
      <c r="O87" s="1">
        <f>+[9]PassVol!H$80-[9]PassVol!H$78</f>
        <v>21731</v>
      </c>
      <c r="P87" s="1">
        <f>+[9]PassVol!I$80-[9]PassVol!I$78</f>
        <v>27479</v>
      </c>
      <c r="Q87" s="1">
        <f>+[9]PassVol!J$80-[9]PassVol!J$78</f>
        <v>21009</v>
      </c>
      <c r="R87" s="1">
        <f>+[9]PassVol!K$80-[9]PassVol!K$78</f>
        <v>34830</v>
      </c>
      <c r="S87" s="1">
        <f>+[9]PassVol!L$80-[9]PassVol!L$78</f>
        <v>30608</v>
      </c>
      <c r="T87" s="1">
        <f>+[9]PassVol!M$80-[9]PassVol!M$78</f>
        <v>32919</v>
      </c>
      <c r="U87" s="1">
        <f>+[9]PassVol!N$80-[9]PassVol!N$78</f>
        <v>19351</v>
      </c>
      <c r="V87" s="1">
        <f>+[9]PassVol!O$80-[9]PassVol!O$78</f>
        <v>21838</v>
      </c>
      <c r="W87" s="1">
        <f>+[9]PassVol!P$80-[9]PassVol!P$78</f>
        <v>26161</v>
      </c>
      <c r="X87" s="1">
        <f>+[9]PassVol!Q$80-[9]PassVol!Q$78</f>
        <v>18379</v>
      </c>
      <c r="Y87" s="1">
        <f>+[9]PassVol!R$80-[9]PassVol!R$78</f>
        <v>14787</v>
      </c>
      <c r="Z87" s="1">
        <f>+[9]PassVol!S$80-[9]PassVol!S$78</f>
        <v>13973</v>
      </c>
      <c r="AA87" s="1">
        <f>+[9]PassVol!T$80-[9]PassVol!T$78</f>
        <v>10596</v>
      </c>
      <c r="AB87" s="1">
        <f>+[9]PassVol!U$80-[9]PassVol!U$78</f>
        <v>5514</v>
      </c>
      <c r="AC87" s="1">
        <f>+[9]PassVol!V$80-[9]PassVol!V$78</f>
        <v>3269</v>
      </c>
      <c r="AD87" s="1">
        <f>+[9]PassVol!W$80-[9]PassVol!W$78</f>
        <v>3177</v>
      </c>
      <c r="AE87" s="1">
        <f>+[9]PassVol!X$80-[9]PassVol!X$78</f>
        <v>1810</v>
      </c>
      <c r="AF87" s="1">
        <f>+[9]PassVol!Y$80-[9]PassVol!Y$78</f>
        <v>6096</v>
      </c>
      <c r="AG87" s="1">
        <f>+[9]PassVol!Z$80-[9]PassVol!Z$78</f>
        <v>3231</v>
      </c>
      <c r="AH87" s="1">
        <f>+[9]PassVol!AA$80-[9]PassVol!AA$78</f>
        <v>3726</v>
      </c>
      <c r="AI87" s="1">
        <f>+[9]PassVol!AB$80-[9]PassVol!AB$78</f>
        <v>3223</v>
      </c>
      <c r="AJ87" s="1">
        <f>+[9]PassVol!AC$80-[9]PassVol!AC$78</f>
        <v>2837</v>
      </c>
      <c r="AK87" s="1">
        <f>+[9]PassVol!AD$80-[9]PassVol!AD$78</f>
        <v>2630</v>
      </c>
      <c r="AL87" s="1">
        <f>+[9]PassVol!AE$80-[9]PassVol!AE$78</f>
        <v>2013</v>
      </c>
      <c r="AM87" s="1">
        <f>+[9]PassVol!AF$80-[9]PassVol!AF$78</f>
        <v>1706</v>
      </c>
      <c r="AN87" s="1">
        <f>+[9]PassVol!AG$80-[9]PassVol!AG$78</f>
        <v>1182</v>
      </c>
      <c r="AO87" s="1">
        <f>+[9]PassVol!AH$80-[9]PassVol!AH$78</f>
        <v>201</v>
      </c>
      <c r="AP87" s="1">
        <f>+[9]PassVol!AI$80-[9]PassVol!AI$78</f>
        <v>0</v>
      </c>
      <c r="AQ87" s="1">
        <f t="shared" si="59"/>
        <v>368721</v>
      </c>
      <c r="AR87" s="1"/>
    </row>
    <row r="88" spans="1:44" hidden="1" x14ac:dyDescent="0.25">
      <c r="B88" t="s">
        <v>132</v>
      </c>
      <c r="C88" s="1">
        <f>+[10]Analysis!C$58</f>
        <v>0</v>
      </c>
      <c r="D88" s="1"/>
      <c r="E88" s="1"/>
      <c r="F88" s="1"/>
      <c r="G88" s="1"/>
      <c r="H88" s="1"/>
      <c r="I88" s="1"/>
      <c r="J88" s="1"/>
      <c r="K88" s="1"/>
      <c r="L88" s="1">
        <f>+[10]Analysis!D$58</f>
        <v>6819</v>
      </c>
      <c r="M88" s="1">
        <f>+[10]Analysis!E$58</f>
        <v>16455</v>
      </c>
      <c r="N88" s="1">
        <f>+[10]Analysis!F$58</f>
        <v>20252</v>
      </c>
      <c r="O88" s="1">
        <f>+[10]Analysis!G$58</f>
        <v>20081</v>
      </c>
      <c r="P88" s="1">
        <f>+[10]Analysis!H$58</f>
        <v>19075</v>
      </c>
      <c r="Q88" s="1">
        <f>+[10]Analysis!I$58</f>
        <v>23581</v>
      </c>
      <c r="R88" s="1">
        <f>+[10]Analysis!J$58</f>
        <v>34509</v>
      </c>
      <c r="S88" s="1">
        <f>+[10]Analysis!K$58</f>
        <v>27368</v>
      </c>
      <c r="T88" s="1">
        <f>+[10]Analysis!L$58</f>
        <v>25984</v>
      </c>
      <c r="U88" s="1">
        <f>+[10]Analysis!M$58</f>
        <v>27654</v>
      </c>
      <c r="V88" s="1">
        <f>+[10]Analysis!N$58</f>
        <v>20023</v>
      </c>
      <c r="W88" s="1">
        <f>+[10]Analysis!O$58</f>
        <v>24859</v>
      </c>
      <c r="X88" s="1">
        <f>+[10]Analysis!P$58</f>
        <v>14562</v>
      </c>
      <c r="Y88" s="1">
        <f>+[10]Analysis!Q$58</f>
        <v>12574</v>
      </c>
      <c r="Z88" s="1">
        <f>+[10]Analysis!R$58</f>
        <v>7999</v>
      </c>
      <c r="AA88" s="1">
        <f>+[10]Analysis!S$58</f>
        <v>5633</v>
      </c>
      <c r="AB88" s="1">
        <f>+[10]Analysis!T$58</f>
        <v>3483</v>
      </c>
      <c r="AC88" s="1">
        <f>+[10]Analysis!U$58</f>
        <v>2640</v>
      </c>
      <c r="AD88" s="1">
        <f>+[10]Analysis!V$58</f>
        <v>1923</v>
      </c>
      <c r="AE88" s="1">
        <f>+[10]Analysis!W$58</f>
        <v>2055</v>
      </c>
      <c r="AF88" s="1">
        <f>+[10]Analysis!X$58</f>
        <v>3535</v>
      </c>
      <c r="AG88" s="1">
        <f>+[10]Analysis!Y$58</f>
        <v>3124</v>
      </c>
      <c r="AH88" s="1">
        <f>+[10]Analysis!Z$58</f>
        <v>5432</v>
      </c>
      <c r="AI88" s="1">
        <f>+[10]Analysis!AA$58</f>
        <v>5091</v>
      </c>
      <c r="AJ88" s="1">
        <f>+[10]Analysis!AB$58</f>
        <v>3630</v>
      </c>
      <c r="AK88" s="1">
        <f>+[10]Analysis!AC$58</f>
        <v>2783</v>
      </c>
      <c r="AL88" s="1">
        <f>+[10]Analysis!AD$58</f>
        <v>2454</v>
      </c>
      <c r="AM88" s="1">
        <f>+[10]Analysis!AE$58</f>
        <v>1500</v>
      </c>
      <c r="AN88" s="1">
        <f>+[10]Analysis!AF$58</f>
        <v>1497</v>
      </c>
      <c r="AO88" s="1">
        <f>+[10]Analysis!AG$58</f>
        <v>1101</v>
      </c>
      <c r="AP88" s="1">
        <f>+[10]Analysis!AH$58</f>
        <v>0</v>
      </c>
      <c r="AQ88" s="1">
        <f>SUM(C88:AP88)</f>
        <v>347676</v>
      </c>
      <c r="AR88" s="1">
        <f>+AQ88*6</f>
        <v>2086056</v>
      </c>
    </row>
    <row r="89" spans="1:44" hidden="1" x14ac:dyDescent="0.25">
      <c r="B89" t="s">
        <v>123</v>
      </c>
      <c r="C89" s="1">
        <f>+[11]Analysis!C34</f>
        <v>770</v>
      </c>
      <c r="D89" s="1"/>
      <c r="E89" s="1"/>
      <c r="F89" s="1"/>
      <c r="G89" s="1"/>
      <c r="H89" s="1"/>
      <c r="I89" s="1"/>
      <c r="J89" s="1"/>
      <c r="K89" s="1"/>
      <c r="L89" s="1">
        <f>+[11]Analysis!D34</f>
        <v>3709</v>
      </c>
      <c r="M89" s="1">
        <f>+[11]Analysis!E34</f>
        <v>14867</v>
      </c>
      <c r="N89" s="1">
        <f>+[11]Analysis!F34</f>
        <v>10011</v>
      </c>
      <c r="O89" s="1">
        <f>+[11]Analysis!G34</f>
        <v>4793</v>
      </c>
      <c r="P89" s="1">
        <f>+[11]Analysis!H34</f>
        <v>9973</v>
      </c>
      <c r="Q89" s="1">
        <f>+[11]Analysis!I34</f>
        <v>18515</v>
      </c>
      <c r="R89" s="1">
        <f>+[11]Analysis!J34</f>
        <v>25204</v>
      </c>
      <c r="S89" s="1">
        <f>+[11]Analysis!K34</f>
        <v>31392</v>
      </c>
      <c r="T89" s="1">
        <f>+[11]Analysis!L34</f>
        <v>31274</v>
      </c>
      <c r="U89" s="1">
        <f>+[11]Analysis!M34</f>
        <v>35262</v>
      </c>
      <c r="V89" s="1">
        <f>+[11]Analysis!N34</f>
        <v>21827</v>
      </c>
      <c r="W89" s="1">
        <f>+[11]Analysis!O34</f>
        <v>24219</v>
      </c>
      <c r="X89" s="1">
        <f>+[11]Analysis!P34</f>
        <v>17215</v>
      </c>
      <c r="Y89" s="1">
        <f>+[11]Analysis!Q34</f>
        <v>20032</v>
      </c>
      <c r="Z89" s="1">
        <f>+[11]Analysis!R34</f>
        <v>17964</v>
      </c>
      <c r="AA89" s="1">
        <f>+[11]Analysis!S34</f>
        <v>8459</v>
      </c>
      <c r="AB89" s="1">
        <f>+[11]Analysis!T34</f>
        <v>5361</v>
      </c>
      <c r="AC89" s="1">
        <f>+[11]Analysis!U34</f>
        <v>2736</v>
      </c>
      <c r="AD89" s="1">
        <f>+[11]Analysis!V34</f>
        <v>1662</v>
      </c>
      <c r="AE89" s="1">
        <f>+[11]Analysis!W34</f>
        <v>1551</v>
      </c>
      <c r="AF89" s="1">
        <f>+[11]Analysis!X34</f>
        <v>3897</v>
      </c>
      <c r="AG89" s="1">
        <f>+[11]Analysis!Y34</f>
        <v>3613</v>
      </c>
      <c r="AH89" s="1">
        <f>+[11]Analysis!Z34</f>
        <v>3325</v>
      </c>
      <c r="AI89" s="1">
        <f>+[11]Analysis!AA34</f>
        <v>3667</v>
      </c>
      <c r="AJ89" s="1">
        <f>+[11]Analysis!AB34</f>
        <v>3860</v>
      </c>
      <c r="AK89" s="1">
        <f>+[11]Analysis!AC34</f>
        <v>2572</v>
      </c>
      <c r="AL89" s="1">
        <f>+[11]Analysis!AD34</f>
        <v>2048</v>
      </c>
      <c r="AM89" s="1">
        <f>+[11]Analysis!AE34</f>
        <v>1366</v>
      </c>
      <c r="AN89" s="1">
        <f>+[11]Analysis!AF34</f>
        <v>692</v>
      </c>
      <c r="AO89" s="1">
        <f>+[11]Analysis!AG34</f>
        <v>255</v>
      </c>
      <c r="AP89" s="1">
        <f>+[11]Analysis!AH34</f>
        <v>0</v>
      </c>
      <c r="AQ89" s="1">
        <f t="shared" si="59"/>
        <v>332091</v>
      </c>
      <c r="AR89" s="1">
        <f t="shared" si="58"/>
        <v>1992546</v>
      </c>
    </row>
    <row r="90" spans="1:44" hidden="1" x14ac:dyDescent="0.25">
      <c r="A90" s="1"/>
      <c r="B90" t="s">
        <v>124</v>
      </c>
      <c r="C90" s="1">
        <f>+[11]Analysis!C35</f>
        <v>768</v>
      </c>
      <c r="D90" s="1"/>
      <c r="E90" s="1"/>
      <c r="F90" s="1"/>
      <c r="G90" s="1"/>
      <c r="H90" s="1"/>
      <c r="I90" s="1"/>
      <c r="J90" s="1"/>
      <c r="K90" s="1"/>
      <c r="L90" s="1">
        <f>+[11]Analysis!D35</f>
        <v>0</v>
      </c>
      <c r="M90" s="1">
        <f>+[11]Analysis!E35</f>
        <v>18139</v>
      </c>
      <c r="N90" s="1">
        <f>+[11]Analysis!F35</f>
        <v>16732</v>
      </c>
      <c r="O90" s="1">
        <f>+[11]Analysis!G35</f>
        <v>26694</v>
      </c>
      <c r="P90" s="1">
        <f>+[11]Analysis!H35</f>
        <v>35652</v>
      </c>
      <c r="Q90" s="1">
        <f>+[11]Analysis!I35</f>
        <v>16670</v>
      </c>
      <c r="R90" s="1">
        <f>+[11]Analysis!J35</f>
        <v>16580</v>
      </c>
      <c r="S90" s="1">
        <f>+[11]Analysis!K35</f>
        <v>13263</v>
      </c>
      <c r="T90" s="1">
        <f>+[11]Analysis!L35</f>
        <v>16225</v>
      </c>
      <c r="U90" s="1">
        <f>+[11]Analysis!M35</f>
        <v>15977</v>
      </c>
      <c r="V90" s="1">
        <f>+[11]Analysis!N35</f>
        <v>17980</v>
      </c>
      <c r="W90" s="1">
        <f>+[11]Analysis!O35</f>
        <v>18539</v>
      </c>
      <c r="X90" s="1">
        <f>+[11]Analysis!P35</f>
        <v>21175</v>
      </c>
      <c r="Y90" s="1">
        <f>+[11]Analysis!Q35</f>
        <v>10133</v>
      </c>
      <c r="Z90" s="1">
        <f>+[11]Analysis!R35</f>
        <v>8764</v>
      </c>
      <c r="AA90" s="1">
        <f>+[11]Analysis!S35</f>
        <v>8322</v>
      </c>
      <c r="AB90" s="1">
        <f>+[11]Analysis!T35</f>
        <v>4810</v>
      </c>
      <c r="AC90" s="1">
        <f>+[11]Analysis!U35</f>
        <v>2266</v>
      </c>
      <c r="AD90" s="1">
        <f>+[11]Analysis!V35</f>
        <v>303</v>
      </c>
      <c r="AE90" s="1">
        <f>+[11]Analysis!W35</f>
        <v>597</v>
      </c>
      <c r="AF90" s="1">
        <f>+[11]Analysis!X35</f>
        <v>5085</v>
      </c>
      <c r="AG90" s="1">
        <f>+[11]Analysis!Y35</f>
        <v>2351</v>
      </c>
      <c r="AH90" s="1">
        <f>+[11]Analysis!Z35</f>
        <v>2701</v>
      </c>
      <c r="AI90" s="1">
        <f>+[11]Analysis!AA35</f>
        <v>2468</v>
      </c>
      <c r="AJ90" s="1">
        <f>+[11]Analysis!AB35</f>
        <v>3641</v>
      </c>
      <c r="AK90" s="1">
        <f>+[11]Analysis!AC35</f>
        <v>1713</v>
      </c>
      <c r="AL90" s="1">
        <f>+[11]Analysis!AD35</f>
        <v>1408</v>
      </c>
      <c r="AM90" s="1">
        <f>+[11]Analysis!AE35</f>
        <v>1617</v>
      </c>
      <c r="AN90" s="1">
        <f>+[11]Analysis!AF35</f>
        <v>816</v>
      </c>
      <c r="AO90" s="1">
        <f>+[11]Analysis!AG35</f>
        <v>0</v>
      </c>
      <c r="AP90" s="1">
        <f>+[11]Analysis!AH35</f>
        <v>0</v>
      </c>
      <c r="AQ90" s="1">
        <f t="shared" si="59"/>
        <v>291389</v>
      </c>
      <c r="AR90" s="1">
        <f t="shared" si="58"/>
        <v>1748334</v>
      </c>
    </row>
    <row r="91" spans="1:44" hidden="1" x14ac:dyDescent="0.25">
      <c r="A91" s="1"/>
      <c r="B91" t="s">
        <v>125</v>
      </c>
      <c r="C91" s="1">
        <f>+[11]Analysis!C36</f>
        <v>0</v>
      </c>
      <c r="D91" s="1"/>
      <c r="E91" s="1"/>
      <c r="F91" s="1"/>
      <c r="G91" s="1"/>
      <c r="H91" s="1"/>
      <c r="I91" s="1"/>
      <c r="J91" s="1"/>
      <c r="K91" s="1"/>
      <c r="L91" s="1">
        <f>+[11]Analysis!D36</f>
        <v>0</v>
      </c>
      <c r="M91" s="1">
        <f>+[11]Analysis!E36</f>
        <v>16803</v>
      </c>
      <c r="N91" s="1">
        <f>+[11]Analysis!F36</f>
        <v>15704</v>
      </c>
      <c r="O91" s="1">
        <f>+[11]Analysis!G36</f>
        <v>21416</v>
      </c>
      <c r="P91" s="1">
        <f>+[11]Analysis!H36</f>
        <v>26242</v>
      </c>
      <c r="Q91" s="1">
        <f>+[11]Analysis!I36</f>
        <v>31169</v>
      </c>
      <c r="R91" s="1">
        <f>+[11]Analysis!J36</f>
        <v>32480</v>
      </c>
      <c r="S91" s="1">
        <f>+[11]Analysis!K36</f>
        <v>31531</v>
      </c>
      <c r="T91" s="1">
        <f>+[11]Analysis!L36</f>
        <v>20441</v>
      </c>
      <c r="U91" s="1">
        <f>+[11]Analysis!M36</f>
        <v>17749</v>
      </c>
      <c r="V91" s="1">
        <f>+[11]Analysis!N36</f>
        <v>13846</v>
      </c>
      <c r="W91" s="1">
        <f>+[11]Analysis!O36</f>
        <v>10873</v>
      </c>
      <c r="X91" s="1">
        <f>+[11]Analysis!P36</f>
        <v>5801</v>
      </c>
      <c r="Y91" s="1">
        <f>+[11]Analysis!Q36</f>
        <v>5605</v>
      </c>
      <c r="Z91" s="1">
        <f>+[11]Analysis!R36</f>
        <v>4191</v>
      </c>
      <c r="AA91" s="1">
        <f>+[11]Analysis!S36</f>
        <v>2565</v>
      </c>
      <c r="AB91" s="1">
        <f>+[11]Analysis!T36</f>
        <v>2650</v>
      </c>
      <c r="AC91" s="1">
        <f>+[11]Analysis!U36</f>
        <v>2030</v>
      </c>
      <c r="AD91" s="1">
        <f>+[11]Analysis!V36</f>
        <v>1218</v>
      </c>
      <c r="AE91" s="1">
        <f>+[11]Analysis!W36</f>
        <v>1575</v>
      </c>
      <c r="AF91" s="1">
        <f>+[11]Analysis!X36</f>
        <v>4120</v>
      </c>
      <c r="AG91" s="1">
        <f>+[11]Analysis!Y36</f>
        <v>3845</v>
      </c>
      <c r="AH91" s="1">
        <f>+[11]Analysis!Z36</f>
        <v>3867</v>
      </c>
      <c r="AI91" s="1">
        <f>+[11]Analysis!AA36</f>
        <v>4246</v>
      </c>
      <c r="AJ91" s="1">
        <f>+[11]Analysis!AB36</f>
        <v>3879</v>
      </c>
      <c r="AK91" s="1">
        <f>+[11]Analysis!AC36</f>
        <v>2572</v>
      </c>
      <c r="AL91" s="1">
        <f>+[11]Analysis!AD36</f>
        <v>2374</v>
      </c>
      <c r="AM91" s="1">
        <f>+[11]Analysis!AE36</f>
        <v>1402</v>
      </c>
      <c r="AN91" s="1">
        <f>+[11]Analysis!AF36</f>
        <v>825</v>
      </c>
      <c r="AO91" s="1">
        <f>+[11]Analysis!AG36</f>
        <v>468</v>
      </c>
      <c r="AP91" s="1">
        <f>+[11]Analysis!AH36</f>
        <v>0</v>
      </c>
      <c r="AQ91" s="1">
        <f t="shared" si="59"/>
        <v>291487</v>
      </c>
      <c r="AR91" s="1">
        <f t="shared" si="58"/>
        <v>1748922</v>
      </c>
    </row>
    <row r="92" spans="1:44" hidden="1" x14ac:dyDescent="0.25">
      <c r="A92" s="1"/>
      <c r="B92" t="s">
        <v>126</v>
      </c>
      <c r="C92" s="1">
        <f>+[11]Analysis!C37</f>
        <v>0</v>
      </c>
      <c r="D92" s="1"/>
      <c r="E92" s="1"/>
      <c r="F92" s="1"/>
      <c r="G92" s="1"/>
      <c r="H92" s="1"/>
      <c r="I92" s="1"/>
      <c r="J92" s="1"/>
      <c r="K92" s="1"/>
      <c r="L92" s="1">
        <f>+[11]Analysis!D37</f>
        <v>0</v>
      </c>
      <c r="M92" s="1">
        <f>+[11]Analysis!E37</f>
        <v>9893</v>
      </c>
      <c r="N92" s="1">
        <f>+[11]Analysis!F37</f>
        <v>15721</v>
      </c>
      <c r="O92" s="1">
        <f>+[11]Analysis!G37</f>
        <v>16372</v>
      </c>
      <c r="P92" s="1">
        <f>+[11]Analysis!H37</f>
        <v>11639</v>
      </c>
      <c r="Q92" s="1">
        <f>+[11]Analysis!I37</f>
        <v>19658</v>
      </c>
      <c r="R92" s="1">
        <f>+[11]Analysis!J37</f>
        <v>24037</v>
      </c>
      <c r="S92" s="1">
        <f>+[11]Analysis!K37</f>
        <v>24987</v>
      </c>
      <c r="T92" s="1">
        <f>+[11]Analysis!L37</f>
        <v>17232</v>
      </c>
      <c r="U92" s="1">
        <f>+[11]Analysis!M37</f>
        <v>17745</v>
      </c>
      <c r="V92" s="1">
        <f>+[11]Analysis!N37</f>
        <v>13488</v>
      </c>
      <c r="W92" s="1">
        <f>+[11]Analysis!O37</f>
        <v>14523</v>
      </c>
      <c r="X92" s="1">
        <f>+[11]Analysis!P37</f>
        <v>6902</v>
      </c>
      <c r="Y92" s="1">
        <f>+[11]Analysis!Q37</f>
        <v>5167</v>
      </c>
      <c r="Z92" s="1">
        <f>+[11]Analysis!R37</f>
        <v>3085</v>
      </c>
      <c r="AA92" s="1">
        <f>+[11]Analysis!S37</f>
        <v>2472</v>
      </c>
      <c r="AB92" s="1">
        <f>+[11]Analysis!T37</f>
        <v>2171</v>
      </c>
      <c r="AC92" s="1">
        <f>+[11]Analysis!U37</f>
        <v>2091</v>
      </c>
      <c r="AD92" s="1">
        <f>+[11]Analysis!V37</f>
        <v>0</v>
      </c>
      <c r="AE92" s="1">
        <f>+[11]Analysis!W37</f>
        <v>1203</v>
      </c>
      <c r="AF92" s="1">
        <f>+[11]Analysis!X37</f>
        <v>2046</v>
      </c>
      <c r="AG92" s="1">
        <f>+[11]Analysis!Y37</f>
        <v>4361</v>
      </c>
      <c r="AH92" s="1">
        <f>+[11]Analysis!Z37</f>
        <v>3796</v>
      </c>
      <c r="AI92" s="1">
        <f>+[11]Analysis!AA37</f>
        <v>3454</v>
      </c>
      <c r="AJ92" s="1">
        <f>+[11]Analysis!AB37</f>
        <v>3465</v>
      </c>
      <c r="AK92" s="1">
        <f>+[11]Analysis!AC37</f>
        <v>2627</v>
      </c>
      <c r="AL92" s="1">
        <f>+[11]Analysis!AD37</f>
        <v>2406</v>
      </c>
      <c r="AM92" s="1">
        <f>+[11]Analysis!AE37</f>
        <v>1976</v>
      </c>
      <c r="AN92" s="1">
        <f>+[11]Analysis!AF37</f>
        <v>1318</v>
      </c>
      <c r="AO92" s="1">
        <f>+[11]Analysis!AG37</f>
        <v>725</v>
      </c>
      <c r="AP92" s="1">
        <f>+[11]Analysis!AH37</f>
        <v>0</v>
      </c>
      <c r="AQ92" s="1">
        <f t="shared" si="59"/>
        <v>234560</v>
      </c>
      <c r="AR92" s="1">
        <f t="shared" si="58"/>
        <v>1407360</v>
      </c>
    </row>
    <row r="94" spans="1:44" x14ac:dyDescent="0.25">
      <c r="A94" s="31" t="s">
        <v>459</v>
      </c>
    </row>
    <row r="95" spans="1:44" x14ac:dyDescent="0.25">
      <c r="A95" s="31"/>
      <c r="B95" t="s">
        <v>737</v>
      </c>
      <c r="C95" s="1">
        <f t="shared" ref="C95:AP95" si="62">+C21</f>
        <v>0</v>
      </c>
      <c r="D95" s="1">
        <f t="shared" si="62"/>
        <v>0</v>
      </c>
      <c r="E95" s="1">
        <f t="shared" si="62"/>
        <v>0</v>
      </c>
      <c r="F95" s="1">
        <f t="shared" si="62"/>
        <v>0</v>
      </c>
      <c r="G95" s="1">
        <f t="shared" si="62"/>
        <v>0</v>
      </c>
      <c r="H95" s="1">
        <f t="shared" si="62"/>
        <v>0</v>
      </c>
      <c r="I95" s="1">
        <f t="shared" si="62"/>
        <v>0</v>
      </c>
      <c r="J95" s="1">
        <f t="shared" si="62"/>
        <v>0</v>
      </c>
      <c r="K95" s="1">
        <f t="shared" si="62"/>
        <v>26874</v>
      </c>
      <c r="L95" s="1">
        <f t="shared" si="62"/>
        <v>159642</v>
      </c>
      <c r="M95" s="1">
        <f t="shared" si="62"/>
        <v>102996</v>
      </c>
      <c r="N95" s="1">
        <f t="shared" si="62"/>
        <v>150318</v>
      </c>
      <c r="O95" s="1">
        <f t="shared" si="62"/>
        <v>236610</v>
      </c>
      <c r="P95" s="1">
        <f t="shared" si="62"/>
        <v>322338</v>
      </c>
      <c r="Q95" s="1">
        <f t="shared" si="62"/>
        <v>347744</v>
      </c>
      <c r="R95" s="1">
        <f t="shared" si="62"/>
        <v>340642</v>
      </c>
      <c r="S95" s="1">
        <f t="shared" si="62"/>
        <v>352852</v>
      </c>
      <c r="T95" s="1">
        <f t="shared" si="62"/>
        <v>341982</v>
      </c>
      <c r="U95" s="1">
        <f t="shared" si="62"/>
        <v>228962</v>
      </c>
      <c r="V95" s="1">
        <f t="shared" si="62"/>
        <v>237588</v>
      </c>
      <c r="W95" s="1">
        <f t="shared" si="62"/>
        <v>211410</v>
      </c>
      <c r="X95" s="1">
        <f t="shared" si="62"/>
        <v>143170</v>
      </c>
      <c r="Y95" s="1">
        <f t="shared" si="62"/>
        <v>49374</v>
      </c>
      <c r="Z95" s="1">
        <f t="shared" si="62"/>
        <v>28908</v>
      </c>
      <c r="AA95" s="1">
        <f t="shared" si="62"/>
        <v>11106</v>
      </c>
      <c r="AB95" s="1">
        <f t="shared" si="62"/>
        <v>1062</v>
      </c>
      <c r="AC95" s="1">
        <f t="shared" si="62"/>
        <v>162</v>
      </c>
      <c r="AD95" s="1">
        <f t="shared" si="62"/>
        <v>0</v>
      </c>
      <c r="AE95" s="1">
        <f t="shared" si="62"/>
        <v>0</v>
      </c>
      <c r="AF95" s="1">
        <f t="shared" si="62"/>
        <v>0</v>
      </c>
      <c r="AG95" s="1">
        <f t="shared" si="62"/>
        <v>0</v>
      </c>
      <c r="AH95" s="1">
        <f t="shared" si="62"/>
        <v>0</v>
      </c>
      <c r="AI95" s="1">
        <f t="shared" si="62"/>
        <v>0</v>
      </c>
      <c r="AJ95" s="1">
        <f t="shared" si="62"/>
        <v>0</v>
      </c>
      <c r="AK95" s="1">
        <f t="shared" si="62"/>
        <v>0</v>
      </c>
      <c r="AL95" s="1">
        <f t="shared" si="62"/>
        <v>0</v>
      </c>
      <c r="AM95" s="1">
        <f t="shared" si="62"/>
        <v>0</v>
      </c>
      <c r="AN95" s="1">
        <f t="shared" si="62"/>
        <v>0</v>
      </c>
      <c r="AO95" s="1">
        <f t="shared" si="62"/>
        <v>0</v>
      </c>
      <c r="AP95" s="1">
        <f t="shared" si="62"/>
        <v>0</v>
      </c>
      <c r="AQ95" s="1">
        <f t="shared" ref="AQ95:AQ106" si="63">SUM(C95:AP95)</f>
        <v>3293740</v>
      </c>
    </row>
    <row r="96" spans="1:44" x14ac:dyDescent="0.25">
      <c r="A96" s="31"/>
      <c r="B96" t="s">
        <v>685</v>
      </c>
      <c r="C96" s="1">
        <f>+[3]Analysis!C93</f>
        <v>0</v>
      </c>
      <c r="D96" s="1">
        <f>+[3]Analysis!D93</f>
        <v>0</v>
      </c>
      <c r="E96" s="1">
        <f>+[3]Analysis!E93</f>
        <v>0</v>
      </c>
      <c r="F96" s="1">
        <f>+[3]Analysis!F93</f>
        <v>0</v>
      </c>
      <c r="G96" s="1">
        <f>+[3]Analysis!G93</f>
        <v>0</v>
      </c>
      <c r="H96" s="1">
        <f>+[3]Analysis!H93</f>
        <v>0</v>
      </c>
      <c r="I96" s="1">
        <f>+[3]Analysis!I93</f>
        <v>0</v>
      </c>
      <c r="J96" s="1">
        <f>+[3]Analysis!J93</f>
        <v>0</v>
      </c>
      <c r="K96" s="1">
        <f>+[3]Analysis!K93</f>
        <v>95148</v>
      </c>
      <c r="L96" s="1">
        <f>+[3]Analysis!L93</f>
        <v>86490</v>
      </c>
      <c r="M96" s="1">
        <f>+[3]Analysis!M93</f>
        <v>69048</v>
      </c>
      <c r="N96" s="1">
        <f>+[3]Analysis!N93</f>
        <v>112536</v>
      </c>
      <c r="O96" s="1">
        <f>+[3]Analysis!O93</f>
        <v>161622</v>
      </c>
      <c r="P96" s="1">
        <f>+[3]Analysis!P93</f>
        <v>309990</v>
      </c>
      <c r="Q96" s="1">
        <f>+[3]Analysis!Q93</f>
        <v>324094</v>
      </c>
      <c r="R96" s="1">
        <f>+[3]Analysis!R93</f>
        <v>315850</v>
      </c>
      <c r="S96" s="1">
        <f>+[3]Analysis!S93</f>
        <v>318334</v>
      </c>
      <c r="T96" s="1">
        <f>+[3]Analysis!T93</f>
        <v>267322</v>
      </c>
      <c r="U96" s="1">
        <f>+[3]Analysis!U93</f>
        <v>288884</v>
      </c>
      <c r="V96" s="1">
        <f>+[3]Analysis!V93</f>
        <v>209218</v>
      </c>
      <c r="W96" s="1">
        <f>+[3]Analysis!W93</f>
        <v>227724</v>
      </c>
      <c r="X96" s="1">
        <f>+[3]Analysis!X93</f>
        <v>115590</v>
      </c>
      <c r="Y96" s="1">
        <f>+[3]Analysis!Y93</f>
        <v>38304</v>
      </c>
      <c r="Z96" s="1">
        <f>+[3]Analysis!Z93</f>
        <v>28470</v>
      </c>
      <c r="AA96" s="1">
        <f>+[3]Analysis!AA93</f>
        <v>9756</v>
      </c>
      <c r="AB96" s="1">
        <f>+[3]Analysis!AB93</f>
        <v>0</v>
      </c>
      <c r="AC96" s="1">
        <f>+[3]Analysis!AC93</f>
        <v>0</v>
      </c>
      <c r="AD96" s="1">
        <f>+[3]Analysis!AD93</f>
        <v>0</v>
      </c>
      <c r="AE96" s="1">
        <f>+[3]Analysis!AE93</f>
        <v>0</v>
      </c>
      <c r="AF96" s="1">
        <f>+[3]Analysis!AF93</f>
        <v>0</v>
      </c>
      <c r="AG96" s="1">
        <f>+[3]Analysis!AG93</f>
        <v>0</v>
      </c>
      <c r="AH96" s="1">
        <f>+[3]Analysis!AH93</f>
        <v>0</v>
      </c>
      <c r="AI96" s="1">
        <f>+[3]Analysis!AI93</f>
        <v>0</v>
      </c>
      <c r="AJ96" s="1">
        <f>+[3]Analysis!AJ93</f>
        <v>0</v>
      </c>
      <c r="AK96" s="1">
        <f>+[3]Analysis!AK93</f>
        <v>0</v>
      </c>
      <c r="AL96" s="1">
        <f>+[3]Analysis!AL93</f>
        <v>0</v>
      </c>
      <c r="AM96" s="1">
        <f>+[3]Analysis!AM93</f>
        <v>0</v>
      </c>
      <c r="AN96" s="1">
        <f>+[3]Analysis!AN93</f>
        <v>0</v>
      </c>
      <c r="AO96" s="1">
        <f>+[3]Analysis!AO93</f>
        <v>0</v>
      </c>
      <c r="AP96" s="1">
        <f>+[3]Analysis!AP93</f>
        <v>0</v>
      </c>
      <c r="AQ96" s="1">
        <f t="shared" si="63"/>
        <v>2978380</v>
      </c>
    </row>
    <row r="97" spans="1:44" x14ac:dyDescent="0.25">
      <c r="A97" s="31"/>
      <c r="B97" t="s">
        <v>680</v>
      </c>
      <c r="C97" s="1">
        <f>+[4]Analysis!C91</f>
        <v>0</v>
      </c>
      <c r="D97" s="1">
        <f>+[4]Analysis!D91</f>
        <v>0</v>
      </c>
      <c r="E97" s="1">
        <f>+[4]Analysis!E91</f>
        <v>0</v>
      </c>
      <c r="F97" s="1">
        <f>+[4]Analysis!F91</f>
        <v>0</v>
      </c>
      <c r="G97" s="1">
        <f>+[4]Analysis!G91</f>
        <v>0</v>
      </c>
      <c r="H97" s="1">
        <f>+[4]Analysis!H91</f>
        <v>0</v>
      </c>
      <c r="I97" s="1">
        <f>+[4]Analysis!I91</f>
        <v>0</v>
      </c>
      <c r="J97" s="1">
        <f>+[4]Analysis!J91</f>
        <v>0</v>
      </c>
      <c r="K97" s="1">
        <f>+[4]Analysis!K91</f>
        <v>99990</v>
      </c>
      <c r="L97" s="1">
        <f>+[4]Analysis!L91</f>
        <v>95670</v>
      </c>
      <c r="M97" s="1">
        <f>+[4]Analysis!M91</f>
        <v>168318</v>
      </c>
      <c r="N97" s="1">
        <f>+[4]Analysis!N91</f>
        <v>253854</v>
      </c>
      <c r="O97" s="1">
        <f>+[4]Analysis!O91</f>
        <v>252812</v>
      </c>
      <c r="P97" s="1">
        <f>+[4]Analysis!P91</f>
        <v>250290</v>
      </c>
      <c r="Q97" s="1">
        <f>+[4]Analysis!Q91</f>
        <v>439248</v>
      </c>
      <c r="R97" s="1">
        <f>+[4]Analysis!R91</f>
        <v>300344</v>
      </c>
      <c r="S97" s="1">
        <f>+[4]Analysis!S91</f>
        <v>433014</v>
      </c>
      <c r="T97" s="1">
        <f>+[4]Analysis!T91</f>
        <v>267228</v>
      </c>
      <c r="U97" s="1">
        <f>+[4]Analysis!U91</f>
        <v>290484</v>
      </c>
      <c r="V97" s="1">
        <f>+[4]Analysis!V91</f>
        <v>183778</v>
      </c>
      <c r="W97" s="1">
        <f>+[4]Analysis!W91</f>
        <v>111266</v>
      </c>
      <c r="X97" s="1">
        <f>+[4]Analysis!X91</f>
        <v>100524</v>
      </c>
      <c r="Y97" s="1">
        <f>+[4]Analysis!Y91</f>
        <v>43470</v>
      </c>
      <c r="Z97" s="1">
        <f>+[4]Analysis!Z91</f>
        <v>25155</v>
      </c>
      <c r="AA97" s="1">
        <f>+[4]Analysis!AA91</f>
        <v>7020</v>
      </c>
      <c r="AB97" s="1">
        <f>+[4]Analysis!AB91</f>
        <v>3186</v>
      </c>
      <c r="AC97" s="1">
        <f>+[4]Analysis!AC91</f>
        <v>0</v>
      </c>
      <c r="AD97" s="1">
        <f>+[4]Analysis!AD91</f>
        <v>0</v>
      </c>
      <c r="AE97" s="1">
        <f>+[4]Analysis!AE91</f>
        <v>0</v>
      </c>
      <c r="AF97" s="1">
        <f>+[4]Analysis!AF91</f>
        <v>0</v>
      </c>
      <c r="AG97" s="1">
        <f>+[4]Analysis!AG91</f>
        <v>0</v>
      </c>
      <c r="AH97" s="1">
        <f>+[4]Analysis!AH91</f>
        <v>0</v>
      </c>
      <c r="AI97" s="1">
        <f>+[4]Analysis!AI91</f>
        <v>0</v>
      </c>
      <c r="AJ97" s="1">
        <f>+[4]Analysis!AJ91</f>
        <v>0</v>
      </c>
      <c r="AK97" s="1">
        <f>+[4]Analysis!AK91</f>
        <v>0</v>
      </c>
      <c r="AL97" s="1">
        <f>+[4]Analysis!AL91</f>
        <v>0</v>
      </c>
      <c r="AM97" s="1">
        <f>+[4]Analysis!AM91</f>
        <v>0</v>
      </c>
      <c r="AN97" s="1">
        <f>+[4]Analysis!AN91</f>
        <v>0</v>
      </c>
      <c r="AO97" s="1">
        <f>+[4]Analysis!AO91</f>
        <v>0</v>
      </c>
      <c r="AP97" s="1">
        <f>+[4]Analysis!AP91</f>
        <v>0</v>
      </c>
      <c r="AQ97" s="1">
        <f t="shared" si="63"/>
        <v>3325651</v>
      </c>
    </row>
    <row r="98" spans="1:44" x14ac:dyDescent="0.25">
      <c r="A98" s="31"/>
      <c r="B98" t="s">
        <v>510</v>
      </c>
      <c r="C98" s="1">
        <f>+[1]Analysis!C$89</f>
        <v>0</v>
      </c>
      <c r="D98" s="1">
        <f>+[1]Analysis!D$89</f>
        <v>0</v>
      </c>
      <c r="E98" s="1">
        <f>+[1]Analysis!E$89</f>
        <v>0</v>
      </c>
      <c r="F98" s="1">
        <f>+[1]Analysis!F$89</f>
        <v>0</v>
      </c>
      <c r="G98" s="1">
        <f>+[1]Analysis!G$89</f>
        <v>0</v>
      </c>
      <c r="H98" s="1">
        <f>+[1]Analysis!H$89</f>
        <v>0</v>
      </c>
      <c r="I98" s="1">
        <f>+[1]Analysis!I$89</f>
        <v>0</v>
      </c>
      <c r="J98" s="1">
        <f>+[1]Analysis!J$89</f>
        <v>0</v>
      </c>
      <c r="K98" s="1">
        <f>+[1]Analysis!K$89</f>
        <v>168534</v>
      </c>
      <c r="L98" s="1">
        <f>+[1]Analysis!L$89</f>
        <v>189846</v>
      </c>
      <c r="M98" s="1">
        <f>+[1]Analysis!M$89</f>
        <v>194364</v>
      </c>
      <c r="N98" s="1">
        <f>+[1]Analysis!N$89</f>
        <v>207762</v>
      </c>
      <c r="O98" s="1">
        <f>+[1]Analysis!O$89</f>
        <v>237610</v>
      </c>
      <c r="P98" s="1">
        <f>+[1]Analysis!P$89</f>
        <v>255720</v>
      </c>
      <c r="Q98" s="1">
        <f>+[1]Analysis!Q$89</f>
        <v>321606</v>
      </c>
      <c r="R98" s="1">
        <f>+[1]Analysis!R$89</f>
        <v>324610</v>
      </c>
      <c r="S98" s="1">
        <f>+[1]Analysis!S$89</f>
        <v>407194</v>
      </c>
      <c r="T98" s="1">
        <f>+[1]Analysis!T$89</f>
        <v>288664</v>
      </c>
      <c r="U98" s="1">
        <f>+[1]Analysis!U$89</f>
        <v>221296</v>
      </c>
      <c r="V98" s="1">
        <f>+[1]Analysis!V$89</f>
        <v>194524</v>
      </c>
      <c r="W98" s="1">
        <f>+[1]Analysis!W$89</f>
        <v>125914</v>
      </c>
      <c r="X98" s="1">
        <f>+[1]Analysis!X$89</f>
        <v>93790</v>
      </c>
      <c r="Y98" s="1">
        <f>+[1]Analysis!Y$89</f>
        <v>78788</v>
      </c>
      <c r="Z98" s="1">
        <f>+[1]Analysis!Z$89</f>
        <v>26766</v>
      </c>
      <c r="AA98" s="1">
        <f>+[1]Analysis!AA$89</f>
        <v>3006</v>
      </c>
      <c r="AB98" s="1">
        <f>+[1]Analysis!AB$89</f>
        <v>0</v>
      </c>
      <c r="AC98" s="1">
        <f>+[1]Analysis!AC$89</f>
        <v>0</v>
      </c>
      <c r="AD98" s="1">
        <f>+[1]Analysis!AD$89</f>
        <v>0</v>
      </c>
      <c r="AE98" s="1">
        <f>+[1]Analysis!AE$89</f>
        <v>0</v>
      </c>
      <c r="AF98" s="1">
        <f>+[1]Analysis!AF$89</f>
        <v>0</v>
      </c>
      <c r="AG98" s="1">
        <f>+[1]Analysis!AG$89</f>
        <v>0</v>
      </c>
      <c r="AH98" s="1">
        <f>+[1]Analysis!AH$89</f>
        <v>0</v>
      </c>
      <c r="AI98" s="1">
        <f>+[1]Analysis!AI$89</f>
        <v>0</v>
      </c>
      <c r="AJ98" s="1">
        <f>+[1]Analysis!AJ$89</f>
        <v>0</v>
      </c>
      <c r="AK98" s="1">
        <f>+[1]Analysis!AK$89</f>
        <v>0</v>
      </c>
      <c r="AL98" s="1">
        <f>+[1]Analysis!AL$89</f>
        <v>0</v>
      </c>
      <c r="AM98" s="1">
        <f>+[1]Analysis!AM$89</f>
        <v>0</v>
      </c>
      <c r="AN98" s="1">
        <f>+[1]Analysis!AN$89</f>
        <v>0</v>
      </c>
      <c r="AO98" s="1">
        <f>+[1]Analysis!AO$89</f>
        <v>0</v>
      </c>
      <c r="AP98" s="1">
        <f>+[1]Analysis!AP$89</f>
        <v>0</v>
      </c>
      <c r="AQ98" s="1">
        <f t="shared" si="63"/>
        <v>3339994</v>
      </c>
    </row>
    <row r="99" spans="1:44" x14ac:dyDescent="0.25">
      <c r="A99" s="31"/>
      <c r="B99" t="s">
        <v>460</v>
      </c>
      <c r="C99" s="1"/>
      <c r="D99" s="1"/>
      <c r="E99" s="1"/>
      <c r="F99" s="1"/>
      <c r="G99" s="1"/>
      <c r="H99" s="1"/>
      <c r="I99" s="1"/>
      <c r="J99" s="1">
        <f>+[5]Analysis!D$88</f>
        <v>0</v>
      </c>
      <c r="K99" s="1">
        <f>+[5]Analysis!E$88</f>
        <v>0</v>
      </c>
      <c r="L99" s="1">
        <f>+[5]Analysis!F$88</f>
        <v>132912</v>
      </c>
      <c r="M99" s="1">
        <f>+[5]Analysis!G$88</f>
        <v>58050</v>
      </c>
      <c r="N99" s="1">
        <f>+[5]Analysis!H$88</f>
        <v>112192</v>
      </c>
      <c r="O99" s="1">
        <f>+[5]Analysis!I$88</f>
        <v>58752</v>
      </c>
      <c r="P99" s="1">
        <f>+[5]Analysis!J$88</f>
        <v>34398</v>
      </c>
      <c r="Q99" s="1">
        <f>+[5]Analysis!K$88</f>
        <v>59442</v>
      </c>
      <c r="R99" s="1">
        <f>+[5]Analysis!L$88</f>
        <v>57676</v>
      </c>
      <c r="S99" s="1">
        <f>+[5]Analysis!M$88</f>
        <v>107886</v>
      </c>
      <c r="T99" s="1">
        <f>+[5]Analysis!N$88</f>
        <v>123626</v>
      </c>
      <c r="U99" s="1">
        <f>+[5]Analysis!O$88</f>
        <v>139354</v>
      </c>
      <c r="V99" s="1">
        <f>+[5]Analysis!P$88</f>
        <v>193410</v>
      </c>
      <c r="W99" s="1">
        <f>+[5]Analysis!Q$88</f>
        <v>345552</v>
      </c>
      <c r="X99" s="1">
        <f>+[5]Analysis!R$88</f>
        <v>115598</v>
      </c>
      <c r="Y99" s="1">
        <f>+[5]Analysis!S$88</f>
        <v>179718</v>
      </c>
      <c r="Z99" s="1">
        <f>+[5]Analysis!T$88</f>
        <v>133500</v>
      </c>
      <c r="AA99" s="1">
        <f>+[5]Analysis!U$88</f>
        <v>169064</v>
      </c>
      <c r="AB99" s="1">
        <f>+[5]Analysis!V$88</f>
        <v>48146</v>
      </c>
      <c r="AC99" s="1">
        <f>+[5]Analysis!W$88</f>
        <v>27600</v>
      </c>
      <c r="AD99" s="1">
        <f>+[5]Analysis!X$88</f>
        <v>22088</v>
      </c>
      <c r="AE99" s="1">
        <f>+[5]Analysis!Y$88</f>
        <v>0</v>
      </c>
      <c r="AF99" s="1">
        <f>+[5]Analysis!Z$88</f>
        <v>0</v>
      </c>
      <c r="AG99" s="1">
        <f>+[5]Analysis!AA$88</f>
        <v>0</v>
      </c>
      <c r="AH99" s="1">
        <f>+[5]Analysis!AB$88</f>
        <v>0</v>
      </c>
      <c r="AI99" s="1">
        <f>+[5]Analysis!AC$88</f>
        <v>0</v>
      </c>
      <c r="AJ99" s="1">
        <f>+[5]Analysis!AD$88</f>
        <v>0</v>
      </c>
      <c r="AK99" s="1">
        <f>+[5]Analysis!AE$88</f>
        <v>0</v>
      </c>
      <c r="AL99" s="1">
        <f>+[5]Analysis!AF$88</f>
        <v>0</v>
      </c>
      <c r="AM99" s="1">
        <f>+[5]Analysis!AG$88</f>
        <v>0</v>
      </c>
      <c r="AN99" s="1">
        <f>+[5]Analysis!AH$88</f>
        <v>0</v>
      </c>
      <c r="AO99" s="1">
        <f>+[5]Analysis!AI$88</f>
        <v>0</v>
      </c>
      <c r="AP99" s="1">
        <f>+[5]Analysis!AJ$88</f>
        <v>0</v>
      </c>
      <c r="AQ99" s="1">
        <f t="shared" si="63"/>
        <v>2118964</v>
      </c>
    </row>
    <row r="100" spans="1:44" x14ac:dyDescent="0.25">
      <c r="A100" s="31"/>
      <c r="B100" t="s">
        <v>437</v>
      </c>
      <c r="C100" s="1">
        <f>+[2]Analysis!C$92</f>
        <v>0</v>
      </c>
      <c r="D100" s="1"/>
      <c r="E100" s="1"/>
      <c r="F100" s="1"/>
      <c r="G100" s="1"/>
      <c r="H100" s="1"/>
      <c r="I100" s="1"/>
      <c r="J100" s="1">
        <f>+[2]Analysis!D$30</f>
        <v>5868</v>
      </c>
      <c r="K100" s="1">
        <f>+[2]Analysis!E$30</f>
        <v>3510</v>
      </c>
      <c r="L100" s="1">
        <f>+[2]Analysis!F$30</f>
        <v>140804</v>
      </c>
      <c r="M100" s="1">
        <f>+[2]Analysis!G$30</f>
        <v>93128</v>
      </c>
      <c r="N100" s="1">
        <f>+[2]Analysis!H$30</f>
        <v>102857</v>
      </c>
      <c r="O100" s="1">
        <f>+[2]Analysis!I$30</f>
        <v>196372</v>
      </c>
      <c r="P100" s="1">
        <f>+[2]Analysis!J$30</f>
        <v>334729</v>
      </c>
      <c r="Q100" s="1">
        <f>+[2]Analysis!K$30</f>
        <v>250443</v>
      </c>
      <c r="R100" s="1">
        <f>+[2]Analysis!L$30</f>
        <v>415645</v>
      </c>
      <c r="S100" s="1">
        <f>+[2]Analysis!M$30</f>
        <v>318965</v>
      </c>
      <c r="T100" s="1">
        <f>+[2]Analysis!N$30</f>
        <v>321266</v>
      </c>
      <c r="U100" s="1">
        <f>+[2]Analysis!O$30</f>
        <v>146908</v>
      </c>
      <c r="V100" s="1">
        <f>+[2]Analysis!P$30</f>
        <v>171983</v>
      </c>
      <c r="W100" s="1">
        <f>+[2]Analysis!Q$30</f>
        <v>191505</v>
      </c>
      <c r="X100" s="1">
        <f>+[2]Analysis!R$30</f>
        <v>50263</v>
      </c>
      <c r="Y100" s="1">
        <f>+[2]Analysis!S$30</f>
        <v>52977</v>
      </c>
      <c r="Z100" s="1">
        <f>+[2]Analysis!T$30</f>
        <v>24138</v>
      </c>
      <c r="AA100" s="1">
        <f>+[2]Analysis!U$30</f>
        <v>5094</v>
      </c>
      <c r="AB100" s="1">
        <f>+[2]Analysis!V$30</f>
        <v>0</v>
      </c>
      <c r="AC100" s="1">
        <f>+[2]Analysis!W$30</f>
        <v>0</v>
      </c>
      <c r="AD100" s="1">
        <f>+[2]Analysis!X$30</f>
        <v>0</v>
      </c>
      <c r="AE100" s="1">
        <f>+[2]Analysis!Y$30</f>
        <v>0</v>
      </c>
      <c r="AF100" s="1">
        <f>+[2]Analysis!Z$30</f>
        <v>0</v>
      </c>
      <c r="AG100" s="1">
        <f>+[2]Analysis!AA$30</f>
        <v>0</v>
      </c>
      <c r="AH100" s="1">
        <f>+[2]Analysis!AB$30</f>
        <v>0</v>
      </c>
      <c r="AI100" s="1">
        <f>+[2]Analysis!AC$30</f>
        <v>0</v>
      </c>
      <c r="AJ100" s="1">
        <f>+[2]Analysis!AD$30</f>
        <v>0</v>
      </c>
      <c r="AK100" s="1">
        <f>+[2]Analysis!AE$30</f>
        <v>0</v>
      </c>
      <c r="AL100" s="1">
        <f>+[2]Analysis!AF$30</f>
        <v>0</v>
      </c>
      <c r="AM100" s="1">
        <f>+[2]Analysis!AG$30</f>
        <v>0</v>
      </c>
      <c r="AN100" s="1">
        <f>+[2]Analysis!AH$30</f>
        <v>0</v>
      </c>
      <c r="AO100" s="1">
        <f>+[2]Analysis!AI$30</f>
        <v>0</v>
      </c>
      <c r="AP100" s="1">
        <f>+[2]Analysis!AJ$30</f>
        <v>0</v>
      </c>
      <c r="AQ100" s="1">
        <f t="shared" si="63"/>
        <v>2826455</v>
      </c>
    </row>
    <row r="101" spans="1:44" x14ac:dyDescent="0.25">
      <c r="A101" s="31"/>
      <c r="B101" t="s">
        <v>360</v>
      </c>
      <c r="C101" s="1">
        <f>+[6]Analysis!C$90-C115</f>
        <v>0</v>
      </c>
      <c r="D101" s="1"/>
      <c r="E101" s="1"/>
      <c r="F101" s="1"/>
      <c r="G101" s="1"/>
      <c r="H101" s="1"/>
      <c r="I101" s="1"/>
      <c r="J101" s="1">
        <f>+[6]Analysis!D$90-J115</f>
        <v>0</v>
      </c>
      <c r="K101" s="1">
        <f>+[6]Analysis!E$90-K115</f>
        <v>0</v>
      </c>
      <c r="L101" s="1">
        <f>+[6]Analysis!F$90-L115</f>
        <v>49140</v>
      </c>
      <c r="M101" s="1">
        <f>+[6]Analysis!G$90-M115</f>
        <v>47100</v>
      </c>
      <c r="N101" s="1">
        <f>+[6]Analysis!H$90-N115</f>
        <v>45898</v>
      </c>
      <c r="O101" s="1">
        <f>+[6]Analysis!I$90-O115</f>
        <v>99596</v>
      </c>
      <c r="P101" s="1">
        <f>+[6]Analysis!J$90-P115</f>
        <v>152100</v>
      </c>
      <c r="Q101" s="1">
        <f>+[6]Analysis!K$90-Q115</f>
        <v>203269</v>
      </c>
      <c r="R101" s="1">
        <f>+[6]Analysis!L$90-R115</f>
        <v>246330</v>
      </c>
      <c r="S101" s="1">
        <f>+[6]Analysis!M$90-S115</f>
        <v>257520</v>
      </c>
      <c r="T101" s="1">
        <f>+[6]Analysis!N$90-T115</f>
        <v>249655</v>
      </c>
      <c r="U101" s="1">
        <f>+[6]Analysis!O$90-U115</f>
        <v>193260</v>
      </c>
      <c r="V101" s="1">
        <f>+[6]Analysis!P$90-V115</f>
        <v>199890</v>
      </c>
      <c r="W101" s="1">
        <f>+[6]Analysis!Q$90-W115</f>
        <v>164958</v>
      </c>
      <c r="X101" s="1">
        <f>+[6]Analysis!R$90-X115</f>
        <v>76556</v>
      </c>
      <c r="Y101" s="1">
        <f>+[6]Analysis!S$90-Y115</f>
        <v>42372</v>
      </c>
      <c r="Z101" s="1">
        <f>+[6]Analysis!T$90-Z115</f>
        <v>20388</v>
      </c>
      <c r="AA101" s="1">
        <f>+[6]Analysis!U$90-AA115</f>
        <v>7848</v>
      </c>
      <c r="AB101" s="1">
        <f>+[6]Analysis!V$90-AB115</f>
        <v>5184</v>
      </c>
      <c r="AC101" s="1">
        <f>+[6]Analysis!W$90-AC115</f>
        <v>0</v>
      </c>
      <c r="AD101" s="1">
        <f>+[6]Analysis!X$90-AD115</f>
        <v>0</v>
      </c>
      <c r="AE101" s="1">
        <f>+[6]Analysis!Y$90-AE115</f>
        <v>0</v>
      </c>
      <c r="AF101" s="1">
        <f>+[6]Analysis!Z$90-AF115</f>
        <v>0</v>
      </c>
      <c r="AG101" s="1">
        <f>+[6]Analysis!AA$90-AG115</f>
        <v>0</v>
      </c>
      <c r="AH101" s="1">
        <f>+[6]Analysis!AB$90-AH115</f>
        <v>0</v>
      </c>
      <c r="AI101" s="1">
        <f>+[6]Analysis!AC$90-AI115</f>
        <v>0</v>
      </c>
      <c r="AJ101" s="1">
        <f>+[6]Analysis!AD$90-AJ115</f>
        <v>0</v>
      </c>
      <c r="AK101" s="1">
        <f>+[6]Analysis!AE$90-AK115</f>
        <v>0</v>
      </c>
      <c r="AL101" s="1">
        <f>+[6]Analysis!AF$90-AL115</f>
        <v>0</v>
      </c>
      <c r="AM101" s="1">
        <f>+[6]Analysis!AG$90-AM115</f>
        <v>0</v>
      </c>
      <c r="AN101" s="1">
        <f>+[6]Analysis!AH$90-AN115</f>
        <v>0</v>
      </c>
      <c r="AO101" s="1">
        <f>+[6]Analysis!AI$90-AO115</f>
        <v>0</v>
      </c>
      <c r="AP101" s="1">
        <f>+[6]Analysis!AJ$90</f>
        <v>0</v>
      </c>
      <c r="AQ101" s="1">
        <f t="shared" si="63"/>
        <v>2061064</v>
      </c>
    </row>
    <row r="102" spans="1:44" x14ac:dyDescent="0.25">
      <c r="A102" s="31"/>
      <c r="B102" t="s">
        <v>295</v>
      </c>
      <c r="C102" s="1">
        <f>+[7]Analysis!C86-C116</f>
        <v>0</v>
      </c>
      <c r="D102" s="1"/>
      <c r="E102" s="1"/>
      <c r="F102" s="1"/>
      <c r="G102" s="1"/>
      <c r="H102" s="1"/>
      <c r="I102" s="1"/>
      <c r="J102" s="1">
        <f>+[7]Analysis!D86-J116</f>
        <v>0</v>
      </c>
      <c r="K102" s="1">
        <f>+[7]Analysis!E86-K116</f>
        <v>13734</v>
      </c>
      <c r="L102" s="1">
        <f>+[7]Analysis!F86-L116</f>
        <v>93312</v>
      </c>
      <c r="M102" s="1">
        <f>+[7]Analysis!G86-M116</f>
        <v>100512</v>
      </c>
      <c r="N102" s="1">
        <f>+[7]Analysis!H86-N116</f>
        <v>113578</v>
      </c>
      <c r="O102" s="1">
        <f>+[7]Analysis!I86-O116</f>
        <v>155670</v>
      </c>
      <c r="P102" s="1">
        <f>+[7]Analysis!J86-P116</f>
        <v>227910</v>
      </c>
      <c r="Q102" s="1">
        <f>+[7]Analysis!K86-Q116</f>
        <v>371396</v>
      </c>
      <c r="R102" s="1">
        <f>+[7]Analysis!L86-R116</f>
        <v>238910</v>
      </c>
      <c r="S102" s="1">
        <f>+[7]Analysis!M86-S116</f>
        <v>283838</v>
      </c>
      <c r="T102" s="1">
        <f>+[7]Analysis!N86-T116</f>
        <v>139842</v>
      </c>
      <c r="U102" s="1">
        <f>+[7]Analysis!O86-U116</f>
        <v>160819</v>
      </c>
      <c r="V102" s="1">
        <f>+[7]Analysis!P86-V116</f>
        <v>169880</v>
      </c>
      <c r="W102" s="1">
        <f>+[7]Analysis!Q86-W116</f>
        <v>214624</v>
      </c>
      <c r="X102" s="1">
        <f>+[7]Analysis!R86-X116</f>
        <v>60362</v>
      </c>
      <c r="Y102" s="1">
        <f>+[7]Analysis!S86-Y116</f>
        <v>19074</v>
      </c>
      <c r="Z102" s="1">
        <f>+[7]Analysis!T86-Z116</f>
        <v>6606</v>
      </c>
      <c r="AA102" s="1">
        <f>+[7]Analysis!U86-AA116</f>
        <v>0</v>
      </c>
      <c r="AB102" s="1">
        <f>+[7]Analysis!V86-AB116</f>
        <v>0</v>
      </c>
      <c r="AC102" s="1">
        <f>+[7]Analysis!W86-AC116</f>
        <v>0</v>
      </c>
      <c r="AD102" s="1">
        <f>+[7]Analysis!X86-AD116</f>
        <v>0</v>
      </c>
      <c r="AE102" s="1">
        <f>+[7]Analysis!Y86-AE116</f>
        <v>0</v>
      </c>
      <c r="AF102" s="1">
        <f>+[7]Analysis!Z86-AF116</f>
        <v>0</v>
      </c>
      <c r="AG102" s="1">
        <f>+[7]Analysis!AA86-AG116</f>
        <v>11340</v>
      </c>
      <c r="AH102" s="1">
        <f>+[7]Analysis!AB86-AH116</f>
        <v>0</v>
      </c>
      <c r="AI102" s="1">
        <f>+[7]Analysis!AC86-AI116</f>
        <v>2877</v>
      </c>
      <c r="AJ102" s="1">
        <f>+[7]Analysis!AD86-AJ116</f>
        <v>0</v>
      </c>
      <c r="AK102" s="1">
        <f>+[7]Analysis!AE86-AK116</f>
        <v>0</v>
      </c>
      <c r="AL102" s="1">
        <f>+[7]Analysis!AF86-AL116</f>
        <v>0</v>
      </c>
      <c r="AM102" s="1">
        <f>+[7]Analysis!AG86-AM116</f>
        <v>0</v>
      </c>
      <c r="AN102" s="1">
        <f>+[7]Analysis!AH86-AN116</f>
        <v>0</v>
      </c>
      <c r="AO102" s="1">
        <f>+[7]Analysis!AI86-AO116</f>
        <v>0</v>
      </c>
      <c r="AP102" s="1">
        <f>+[7]Analysis!AJ86</f>
        <v>0</v>
      </c>
      <c r="AQ102" s="1">
        <f t="shared" si="63"/>
        <v>2384284</v>
      </c>
    </row>
    <row r="103" spans="1:44" x14ac:dyDescent="0.25">
      <c r="A103" s="31"/>
      <c r="B103" t="s">
        <v>278</v>
      </c>
      <c r="C103" s="1">
        <f>+[8]Analysis!C$70-C117</f>
        <v>0</v>
      </c>
      <c r="D103" s="1"/>
      <c r="E103" s="1"/>
      <c r="F103" s="1"/>
      <c r="G103" s="1"/>
      <c r="H103" s="1"/>
      <c r="I103" s="1"/>
      <c r="J103" s="1">
        <f>+[8]Analysis!D$70-J117</f>
        <v>0</v>
      </c>
      <c r="K103" s="1">
        <f>+[8]Analysis!E$70-K117</f>
        <v>22932</v>
      </c>
      <c r="L103" s="1">
        <f>+[8]Analysis!F$70-L117</f>
        <v>48762</v>
      </c>
      <c r="M103" s="1">
        <f>+[8]Analysis!G$70-M117</f>
        <v>112446</v>
      </c>
      <c r="N103" s="1">
        <f>+[8]Analysis!H$70-N117</f>
        <v>80766</v>
      </c>
      <c r="O103" s="1">
        <f>+[8]Analysis!I$70-O117</f>
        <v>143772</v>
      </c>
      <c r="P103" s="1">
        <f>+[8]Analysis!J$70-P117</f>
        <v>143928</v>
      </c>
      <c r="Q103" s="1">
        <f>+[8]Analysis!K$70-Q117</f>
        <v>212320</v>
      </c>
      <c r="R103" s="1">
        <f>+[8]Analysis!L$70-R117</f>
        <v>198382</v>
      </c>
      <c r="S103" s="1">
        <f>+[8]Analysis!M$70-S117</f>
        <v>191786</v>
      </c>
      <c r="T103" s="1">
        <f>+[8]Analysis!N$70-T117</f>
        <v>269458</v>
      </c>
      <c r="U103" s="1">
        <f>+[8]Analysis!O$70-U117</f>
        <v>203496</v>
      </c>
      <c r="V103" s="1">
        <f>+[8]Analysis!P$70-V117</f>
        <v>163492</v>
      </c>
      <c r="W103" s="1">
        <f>+[8]Analysis!Q$70-W117</f>
        <v>140388</v>
      </c>
      <c r="X103" s="1">
        <f>+[8]Analysis!R$70-X117</f>
        <v>58312</v>
      </c>
      <c r="Y103" s="1">
        <f>+[8]Analysis!S$70-Y117</f>
        <v>32184</v>
      </c>
      <c r="Z103" s="1">
        <f>+[8]Analysis!T$70-Z117</f>
        <v>19224</v>
      </c>
      <c r="AA103" s="1">
        <f>+[8]Analysis!U$70-AA117</f>
        <v>6210</v>
      </c>
      <c r="AB103" s="1">
        <f>+[8]Analysis!V$70-AB117</f>
        <v>0</v>
      </c>
      <c r="AC103" s="1">
        <f>+[8]Analysis!W$70-AC117</f>
        <v>0</v>
      </c>
      <c r="AD103" s="1">
        <f>+[8]Analysis!X$70-AD117</f>
        <v>0</v>
      </c>
      <c r="AE103" s="1">
        <f>+[8]Analysis!Y$70-AE117</f>
        <v>0</v>
      </c>
      <c r="AF103" s="1">
        <f>+[8]Analysis!Z$70-AF117</f>
        <v>8230</v>
      </c>
      <c r="AG103" s="1">
        <f>+[8]Analysis!AA$70-AG117</f>
        <v>0</v>
      </c>
      <c r="AH103" s="1">
        <f>+[8]Analysis!AB$70-AH117</f>
        <v>13251</v>
      </c>
      <c r="AI103" s="1">
        <f>+[8]Analysis!AC$70-AI117</f>
        <v>7859</v>
      </c>
      <c r="AJ103" s="1">
        <f>+[8]Analysis!AD$70-AJ117</f>
        <v>0</v>
      </c>
      <c r="AK103" s="1">
        <f>+[8]Analysis!AE$70-AK117</f>
        <v>0</v>
      </c>
      <c r="AL103" s="1">
        <f>+[8]Analysis!AF$70-AL117</f>
        <v>0</v>
      </c>
      <c r="AM103" s="1">
        <f>+[8]Analysis!AG$70-AM117</f>
        <v>0</v>
      </c>
      <c r="AN103" s="1">
        <f>+[8]Analysis!AH$70-AN117</f>
        <v>0</v>
      </c>
      <c r="AO103" s="1">
        <f>+[8]Analysis!AI$70-AO117</f>
        <v>0</v>
      </c>
      <c r="AP103" s="1">
        <f>+[8]Analysis!AJ$70</f>
        <v>0</v>
      </c>
      <c r="AQ103" s="1">
        <f t="shared" si="63"/>
        <v>2077198</v>
      </c>
    </row>
    <row r="104" spans="1:44" x14ac:dyDescent="0.25">
      <c r="B104" t="s">
        <v>279</v>
      </c>
      <c r="C104" s="1"/>
      <c r="D104" s="1"/>
      <c r="E104" s="1"/>
      <c r="F104" s="1"/>
      <c r="G104" s="1"/>
      <c r="H104" s="1"/>
      <c r="I104" s="1"/>
      <c r="J104" s="1"/>
      <c r="K104" s="1">
        <f>+[9]PassVol!D$233</f>
        <v>0</v>
      </c>
      <c r="L104" s="1">
        <f>+[9]PassVol!E$233</f>
        <v>13608</v>
      </c>
      <c r="M104" s="1">
        <f>+[9]PassVol!F$233</f>
        <v>66906</v>
      </c>
      <c r="N104" s="1">
        <f>+[9]PassVol!G$233</f>
        <v>35208</v>
      </c>
      <c r="O104" s="1">
        <f>+[9]PassVol!H$233</f>
        <v>76104</v>
      </c>
      <c r="P104" s="1">
        <f>+[9]PassVol!I$233</f>
        <v>98424</v>
      </c>
      <c r="Q104" s="1">
        <f>+[9]PassVol!J$233</f>
        <v>107496</v>
      </c>
      <c r="R104" s="1">
        <f>+[9]PassVol!K$233</f>
        <v>185636</v>
      </c>
      <c r="S104" s="1">
        <f>+[9]PassVol!L$233</f>
        <v>147610</v>
      </c>
      <c r="T104" s="1">
        <f>+[9]PassVol!M$233</f>
        <v>175882</v>
      </c>
      <c r="U104" s="1">
        <f>+[9]PassVol!N$233</f>
        <v>94222</v>
      </c>
      <c r="V104" s="1">
        <f>+[9]PassVol!O$233</f>
        <v>99260</v>
      </c>
      <c r="W104" s="1">
        <f>+[9]PassVol!P$233</f>
        <v>122992</v>
      </c>
      <c r="X104" s="1">
        <f>+[9]PassVol!Q$233</f>
        <v>61290</v>
      </c>
      <c r="Y104" s="1">
        <f>+[9]PassVol!R$233</f>
        <v>53158</v>
      </c>
      <c r="Z104" s="1">
        <f>+[9]PassVol!S$233</f>
        <v>29802</v>
      </c>
      <c r="AA104" s="1">
        <f>+[9]PassVol!T$233</f>
        <v>13908</v>
      </c>
      <c r="AB104" s="1">
        <f>+[9]PassVol!U$233</f>
        <v>6336</v>
      </c>
      <c r="AC104" s="1">
        <f>+[9]PassVol!V$233</f>
        <v>4428</v>
      </c>
      <c r="AD104" s="1">
        <f>+[9]PassVol!W$233</f>
        <v>6624</v>
      </c>
      <c r="AE104" s="1">
        <f>+[9]PassVol!X$233</f>
        <v>2052</v>
      </c>
      <c r="AF104" s="1">
        <f>+[9]PassVol!Y$233</f>
        <v>2394</v>
      </c>
      <c r="AG104" s="1">
        <f>+[9]PassVol!Z$233</f>
        <v>2052</v>
      </c>
      <c r="AH104" s="1">
        <f>+[9]PassVol!AA$233</f>
        <v>1692</v>
      </c>
      <c r="AI104" s="1">
        <f>+[9]PassVol!AB$233</f>
        <v>1800</v>
      </c>
      <c r="AJ104" s="1">
        <f>+[9]PassVol!AC$233</f>
        <v>1728</v>
      </c>
      <c r="AK104" s="1">
        <f>+[9]PassVol!AD$233</f>
        <v>2484</v>
      </c>
      <c r="AL104" s="1">
        <f>+[9]PassVol!AE$233</f>
        <v>2772</v>
      </c>
      <c r="AM104" s="1">
        <f>+[9]PassVol!AF$233</f>
        <v>1008</v>
      </c>
      <c r="AN104" s="1">
        <f>+[9]PassVol!AG$233</f>
        <v>936</v>
      </c>
      <c r="AO104" s="1">
        <f>+[9]PassVol!AH$233</f>
        <v>288</v>
      </c>
      <c r="AP104" s="1">
        <f>+[9]PassVol!AI$233</f>
        <v>0</v>
      </c>
      <c r="AQ104" s="1">
        <f t="shared" si="63"/>
        <v>1418100</v>
      </c>
      <c r="AR104" s="1"/>
    </row>
    <row r="105" spans="1:44" hidden="1" x14ac:dyDescent="0.25">
      <c r="B105" t="s">
        <v>280</v>
      </c>
      <c r="C105" s="1">
        <f>+[10]PassVol!D$124</f>
        <v>0</v>
      </c>
      <c r="D105" s="1"/>
      <c r="E105" s="1"/>
      <c r="F105" s="1"/>
      <c r="G105" s="1"/>
      <c r="H105" s="1"/>
      <c r="I105" s="1"/>
      <c r="J105" s="1"/>
      <c r="K105" s="1"/>
      <c r="L105" s="1">
        <f>+[10]PassVol!E$124</f>
        <v>30024</v>
      </c>
      <c r="M105" s="1">
        <f>+[10]PassVol!F$124</f>
        <v>32832</v>
      </c>
      <c r="N105" s="1">
        <f>+[10]PassVol!G$124</f>
        <v>57534</v>
      </c>
      <c r="O105" s="1">
        <f>+[10]PassVol!H$124</f>
        <v>50184</v>
      </c>
      <c r="P105" s="1">
        <f>+[10]PassVol!I$124</f>
        <v>78492</v>
      </c>
      <c r="Q105" s="1">
        <f>+[10]PassVol!J$124</f>
        <v>83422</v>
      </c>
      <c r="R105" s="1">
        <f>+[10]PassVol!K$124</f>
        <v>134808</v>
      </c>
      <c r="S105" s="1">
        <f>+[10]PassVol!L$124</f>
        <v>101736</v>
      </c>
      <c r="T105" s="1">
        <f>+[10]PassVol!M$124</f>
        <v>109458</v>
      </c>
      <c r="U105" s="1">
        <f>+[10]PassVol!N$124</f>
        <v>78234</v>
      </c>
      <c r="V105" s="1">
        <f>+[10]PassVol!O$124</f>
        <v>57490</v>
      </c>
      <c r="W105" s="1">
        <f>+[10]PassVol!P$124</f>
        <v>61237</v>
      </c>
      <c r="X105" s="1">
        <f>+[10]PassVol!Q$124</f>
        <v>20021</v>
      </c>
      <c r="Y105" s="1">
        <f>+[10]PassVol!R$124</f>
        <v>3329</v>
      </c>
      <c r="Z105" s="1">
        <f>+[10]PassVol!S$124</f>
        <v>954</v>
      </c>
      <c r="AA105" s="1">
        <f>+[10]PassVol!T$124</f>
        <v>1212</v>
      </c>
      <c r="AB105" s="1">
        <f>+[10]PassVol!U$124</f>
        <v>1974</v>
      </c>
      <c r="AC105" s="1">
        <f>+[10]PassVol!V$124</f>
        <v>1470</v>
      </c>
      <c r="AD105" s="1">
        <f>+[10]PassVol!W$124</f>
        <v>1764</v>
      </c>
      <c r="AE105" s="1">
        <f>+[10]PassVol!X$124</f>
        <v>1806</v>
      </c>
      <c r="AF105" s="1">
        <f>+[10]PassVol!Y$124</f>
        <v>1302</v>
      </c>
      <c r="AG105" s="1">
        <f>+[10]PassVol!Z$124</f>
        <v>1512</v>
      </c>
      <c r="AH105" s="1">
        <f>+[10]PassVol!AA$124</f>
        <v>2352</v>
      </c>
      <c r="AI105" s="1">
        <f>+[10]PassVol!AB$124</f>
        <v>1680</v>
      </c>
      <c r="AJ105" s="1">
        <f>+[10]PassVol!AC$124</f>
        <v>4158</v>
      </c>
      <c r="AK105" s="1">
        <f>+[10]PassVol!AD$124</f>
        <v>630</v>
      </c>
      <c r="AL105" s="1">
        <f>+[10]PassVol!AE$124</f>
        <v>798</v>
      </c>
      <c r="AM105" s="1">
        <f>+[10]PassVol!AF$124</f>
        <v>882</v>
      </c>
      <c r="AN105" s="1">
        <f>+[10]PassVol!AG$124</f>
        <v>756</v>
      </c>
      <c r="AO105" s="1">
        <f>+[10]PassVol!AH$124</f>
        <v>378</v>
      </c>
      <c r="AP105" s="1">
        <f>+[10]PassVol!AI$124</f>
        <v>0</v>
      </c>
      <c r="AQ105" s="1">
        <f t="shared" si="63"/>
        <v>922429</v>
      </c>
      <c r="AR105" s="1" t="s">
        <v>221</v>
      </c>
    </row>
    <row r="106" spans="1:44" hidden="1" x14ac:dyDescent="0.25">
      <c r="B106" t="s">
        <v>281</v>
      </c>
      <c r="C106" s="1">
        <f>+[11]Analysis!C$14*21</f>
        <v>35238</v>
      </c>
      <c r="D106" s="1"/>
      <c r="E106" s="1"/>
      <c r="F106" s="1"/>
      <c r="G106" s="1"/>
      <c r="H106" s="1"/>
      <c r="I106" s="1"/>
      <c r="J106" s="1"/>
      <c r="K106" s="1"/>
      <c r="L106" s="1">
        <f>+[11]Analysis!D$14*21</f>
        <v>13188</v>
      </c>
      <c r="M106" s="1">
        <f>+[11]Analysis!E$14*21</f>
        <v>16674</v>
      </c>
      <c r="N106" s="1">
        <f>+[11]Analysis!F$14*21</f>
        <v>20538</v>
      </c>
      <c r="O106" s="1">
        <f>+[11]Analysis!G$14*21</f>
        <v>14700</v>
      </c>
      <c r="P106" s="1">
        <f>+[11]Analysis!H$14*21</f>
        <v>20118</v>
      </c>
      <c r="Q106" s="1">
        <f>+[11]Analysis!I$14*21</f>
        <v>41034</v>
      </c>
      <c r="R106" s="1">
        <f>+[11]Analysis!J$14*21</f>
        <v>71400</v>
      </c>
      <c r="S106" s="1">
        <f>+[11]Analysis!K$14*21</f>
        <v>76230</v>
      </c>
      <c r="T106" s="1">
        <f>+[11]Analysis!L$14*21</f>
        <v>95088</v>
      </c>
      <c r="U106" s="1">
        <f>+[11]Analysis!M$14*21</f>
        <v>73752</v>
      </c>
      <c r="V106" s="1">
        <f>+[11]Analysis!N$14*21</f>
        <v>42924</v>
      </c>
      <c r="W106" s="1">
        <f>+[11]Analysis!O$14*21</f>
        <v>47712</v>
      </c>
      <c r="X106" s="1">
        <f>+[11]Analysis!P$14*21</f>
        <v>24234</v>
      </c>
      <c r="Y106" s="1">
        <f>+[11]Analysis!Q$14*21</f>
        <v>6636</v>
      </c>
      <c r="Z106" s="1">
        <f>+[11]Analysis!R$14*21</f>
        <v>210</v>
      </c>
      <c r="AA106" s="1">
        <f>+[11]Analysis!S$14*21</f>
        <v>0</v>
      </c>
      <c r="AB106" s="1">
        <f>+[11]Analysis!T$14*21</f>
        <v>0</v>
      </c>
      <c r="AC106" s="1">
        <f>+[11]Analysis!U$14*21</f>
        <v>0</v>
      </c>
      <c r="AD106" s="1">
        <f>+[11]Analysis!V$14*21</f>
        <v>0</v>
      </c>
      <c r="AE106" s="1">
        <f>+[11]Analysis!W$14*21</f>
        <v>0</v>
      </c>
      <c r="AF106" s="1">
        <f>+[11]Analysis!X$14*21</f>
        <v>0</v>
      </c>
      <c r="AG106" s="1">
        <f>+[11]Analysis!Y$14*21</f>
        <v>0</v>
      </c>
      <c r="AH106" s="1">
        <f>+[11]Analysis!Z$14*21</f>
        <v>0</v>
      </c>
      <c r="AI106" s="1">
        <f>+[11]Analysis!AA$14*21</f>
        <v>0</v>
      </c>
      <c r="AJ106" s="1">
        <f>+[11]Analysis!AB$14*21</f>
        <v>0</v>
      </c>
      <c r="AK106" s="1">
        <f>+[11]Analysis!AC$14*21</f>
        <v>0</v>
      </c>
      <c r="AL106" s="1">
        <f>+[11]Analysis!AD$14*21</f>
        <v>0</v>
      </c>
      <c r="AM106" s="1">
        <f>+[11]Analysis!AE$14*21</f>
        <v>0</v>
      </c>
      <c r="AN106" s="1">
        <f>+[11]Analysis!AF$14*21</f>
        <v>0</v>
      </c>
      <c r="AO106" s="1">
        <f>+[11]Analysis!AG$14*21</f>
        <v>0</v>
      </c>
      <c r="AP106" s="1">
        <f>+[11]Analysis!AH$14</f>
        <v>0</v>
      </c>
      <c r="AQ106" s="1">
        <f t="shared" si="63"/>
        <v>599676</v>
      </c>
      <c r="AR106" s="1"/>
    </row>
    <row r="108" spans="1:44" x14ac:dyDescent="0.25">
      <c r="A108" s="2" t="s">
        <v>314</v>
      </c>
    </row>
    <row r="109" spans="1:44" x14ac:dyDescent="0.25">
      <c r="A109" s="2"/>
      <c r="B109" t="s">
        <v>736</v>
      </c>
      <c r="C109" s="1">
        <f t="shared" ref="C109:AP109" si="64">+C36</f>
        <v>0</v>
      </c>
      <c r="D109" s="1">
        <f t="shared" si="64"/>
        <v>0</v>
      </c>
      <c r="E109" s="1">
        <f t="shared" si="64"/>
        <v>0</v>
      </c>
      <c r="F109" s="1">
        <f t="shared" si="64"/>
        <v>73760</v>
      </c>
      <c r="G109" s="1">
        <f>+G36</f>
        <v>32846</v>
      </c>
      <c r="H109" s="1">
        <f t="shared" si="64"/>
        <v>6328</v>
      </c>
      <c r="I109" s="1">
        <f t="shared" si="64"/>
        <v>20614</v>
      </c>
      <c r="J109" s="1">
        <f t="shared" si="64"/>
        <v>46056</v>
      </c>
      <c r="K109" s="1">
        <f t="shared" si="64"/>
        <v>44422</v>
      </c>
      <c r="L109" s="1">
        <f t="shared" si="64"/>
        <v>39748</v>
      </c>
      <c r="M109" s="1">
        <f t="shared" si="64"/>
        <v>52120</v>
      </c>
      <c r="N109" s="1">
        <f t="shared" si="64"/>
        <v>38026</v>
      </c>
      <c r="O109" s="1">
        <f t="shared" si="64"/>
        <v>55324</v>
      </c>
      <c r="P109" s="1">
        <f t="shared" si="64"/>
        <v>60544</v>
      </c>
      <c r="Q109" s="1">
        <f t="shared" si="64"/>
        <v>68304</v>
      </c>
      <c r="R109" s="1">
        <f t="shared" si="64"/>
        <v>70264</v>
      </c>
      <c r="S109" s="1">
        <f t="shared" si="64"/>
        <v>72994</v>
      </c>
      <c r="T109" s="1">
        <f t="shared" si="64"/>
        <v>86968</v>
      </c>
      <c r="U109" s="1">
        <f t="shared" si="64"/>
        <v>67216</v>
      </c>
      <c r="V109" s="1">
        <f t="shared" si="64"/>
        <v>65898</v>
      </c>
      <c r="W109" s="1">
        <f t="shared" si="64"/>
        <v>75332</v>
      </c>
      <c r="X109" s="1">
        <f t="shared" si="64"/>
        <v>60896</v>
      </c>
      <c r="Y109" s="1">
        <f t="shared" si="64"/>
        <v>35352</v>
      </c>
      <c r="Z109" s="1">
        <f t="shared" si="64"/>
        <v>38464</v>
      </c>
      <c r="AA109" s="1">
        <f t="shared" si="64"/>
        <v>31236</v>
      </c>
      <c r="AB109" s="1">
        <f t="shared" si="64"/>
        <v>22148</v>
      </c>
      <c r="AC109" s="1">
        <f t="shared" si="64"/>
        <v>25270</v>
      </c>
      <c r="AD109" s="1">
        <f t="shared" si="64"/>
        <v>11446</v>
      </c>
      <c r="AE109" s="1">
        <f t="shared" si="64"/>
        <v>10762</v>
      </c>
      <c r="AF109" s="1">
        <f t="shared" si="64"/>
        <v>11648</v>
      </c>
      <c r="AG109" s="1">
        <f t="shared" si="64"/>
        <v>12200</v>
      </c>
      <c r="AH109" s="1">
        <f t="shared" si="64"/>
        <v>14654</v>
      </c>
      <c r="AI109" s="1">
        <f t="shared" si="64"/>
        <v>24798</v>
      </c>
      <c r="AJ109" s="1">
        <f t="shared" si="64"/>
        <v>14000</v>
      </c>
      <c r="AK109" s="1">
        <f t="shared" si="64"/>
        <v>9954</v>
      </c>
      <c r="AL109" s="1">
        <f t="shared" si="64"/>
        <v>5950</v>
      </c>
      <c r="AM109" s="1">
        <f t="shared" si="64"/>
        <v>5502</v>
      </c>
      <c r="AN109" s="1">
        <f t="shared" si="64"/>
        <v>1758</v>
      </c>
      <c r="AO109" s="1">
        <f t="shared" si="64"/>
        <v>720</v>
      </c>
      <c r="AP109" s="1">
        <f t="shared" si="64"/>
        <v>0</v>
      </c>
      <c r="AQ109" s="1">
        <f t="shared" ref="AQ109:AQ117" si="65">SUM(C109:AP109)</f>
        <v>1313522</v>
      </c>
    </row>
    <row r="110" spans="1:44" x14ac:dyDescent="0.25">
      <c r="A110" s="2"/>
      <c r="B110" t="s">
        <v>686</v>
      </c>
      <c r="C110" s="1">
        <f>+[3]Analysis!C106</f>
        <v>0</v>
      </c>
      <c r="D110" s="1">
        <f>+[3]Analysis!D106</f>
        <v>0</v>
      </c>
      <c r="E110" s="1">
        <f>+[3]Analysis!E106</f>
        <v>0</v>
      </c>
      <c r="F110" s="1">
        <f>+[3]Analysis!F106</f>
        <v>72400</v>
      </c>
      <c r="G110" s="1">
        <f>+[3]Analysis!G106</f>
        <v>9170</v>
      </c>
      <c r="H110" s="1">
        <f>+[3]Analysis!H106</f>
        <v>0</v>
      </c>
      <c r="I110" s="1">
        <f>+[3]Analysis!I106</f>
        <v>4850</v>
      </c>
      <c r="J110" s="1">
        <f>+[3]Analysis!J106</f>
        <v>46210</v>
      </c>
      <c r="K110" s="1">
        <f>+[3]Analysis!K106</f>
        <v>79660</v>
      </c>
      <c r="L110" s="1">
        <f>+[3]Analysis!L106</f>
        <v>54886</v>
      </c>
      <c r="M110" s="1">
        <f>+[3]Analysis!M106</f>
        <v>42284</v>
      </c>
      <c r="N110" s="1">
        <f>+[3]Analysis!N106</f>
        <v>43396</v>
      </c>
      <c r="O110" s="1">
        <f>+[3]Analysis!O106</f>
        <v>77216</v>
      </c>
      <c r="P110" s="1">
        <f>+[3]Analysis!P106</f>
        <v>107588</v>
      </c>
      <c r="Q110" s="1">
        <f>+[3]Analysis!Q106</f>
        <v>77540</v>
      </c>
      <c r="R110" s="1">
        <f>+[3]Analysis!R106</f>
        <v>57464</v>
      </c>
      <c r="S110" s="1">
        <f>+[3]Analysis!S106</f>
        <v>68254</v>
      </c>
      <c r="T110" s="1">
        <f>+[3]Analysis!T106</f>
        <v>82028</v>
      </c>
      <c r="U110" s="1">
        <f>+[3]Analysis!U106</f>
        <v>64554</v>
      </c>
      <c r="V110" s="1">
        <f>+[3]Analysis!V106</f>
        <v>38636</v>
      </c>
      <c r="W110" s="1">
        <f>+[3]Analysis!W106</f>
        <v>55884</v>
      </c>
      <c r="X110" s="1">
        <f>+[3]Analysis!X106</f>
        <v>70032</v>
      </c>
      <c r="Y110" s="1">
        <f>+[3]Analysis!Y106</f>
        <v>36286</v>
      </c>
      <c r="Z110" s="1">
        <f>+[3]Analysis!Z106</f>
        <v>25508</v>
      </c>
      <c r="AA110" s="1">
        <f>+[3]Analysis!AA106</f>
        <v>25884</v>
      </c>
      <c r="AB110" s="1">
        <f>+[3]Analysis!AB106</f>
        <v>16318</v>
      </c>
      <c r="AC110" s="1">
        <f>+[3]Analysis!AC106</f>
        <v>11568</v>
      </c>
      <c r="AD110" s="1">
        <f>+[3]Analysis!AD106</f>
        <v>8656</v>
      </c>
      <c r="AE110" s="1">
        <f>+[3]Analysis!AE106</f>
        <v>5648</v>
      </c>
      <c r="AF110" s="1">
        <f>+[3]Analysis!AF106</f>
        <v>22330</v>
      </c>
      <c r="AG110" s="1">
        <f>+[3]Analysis!AG106</f>
        <v>26168</v>
      </c>
      <c r="AH110" s="1">
        <f>+[3]Analysis!AH106</f>
        <v>2780</v>
      </c>
      <c r="AI110" s="1">
        <f>+[3]Analysis!AI106</f>
        <v>7584</v>
      </c>
      <c r="AJ110" s="1">
        <f>+[3]Analysis!AJ106</f>
        <v>2278</v>
      </c>
      <c r="AK110" s="1">
        <f>+[3]Analysis!AK106</f>
        <v>4236</v>
      </c>
      <c r="AL110" s="1">
        <f>+[3]Analysis!AL106</f>
        <v>5168</v>
      </c>
      <c r="AM110" s="1">
        <f>+[3]Analysis!AM106</f>
        <v>5840</v>
      </c>
      <c r="AN110" s="1">
        <f>+[3]Analysis!AN106</f>
        <v>11372</v>
      </c>
      <c r="AO110" s="1">
        <f>+[3]Analysis!AO106</f>
        <v>1370</v>
      </c>
      <c r="AP110" s="1">
        <f>+[3]Analysis!AP106</f>
        <v>0</v>
      </c>
      <c r="AQ110" s="1">
        <f t="shared" si="65"/>
        <v>1271046</v>
      </c>
    </row>
    <row r="111" spans="1:44" x14ac:dyDescent="0.25">
      <c r="A111" s="2"/>
      <c r="B111" t="s">
        <v>681</v>
      </c>
      <c r="C111" s="1">
        <f>+[4]Analysis!C103</f>
        <v>0</v>
      </c>
      <c r="D111" s="1">
        <f>+[4]Analysis!D103</f>
        <v>0</v>
      </c>
      <c r="E111" s="1">
        <f>+[4]Analysis!E103</f>
        <v>5888</v>
      </c>
      <c r="F111" s="1">
        <f>+[4]Analysis!F103</f>
        <v>67734</v>
      </c>
      <c r="G111" s="1">
        <f>+[4]Analysis!G103</f>
        <v>37846</v>
      </c>
      <c r="H111" s="1">
        <f>+[4]Analysis!H103</f>
        <v>19590</v>
      </c>
      <c r="I111" s="1">
        <f>+[4]Analysis!I103</f>
        <v>42702</v>
      </c>
      <c r="J111" s="1">
        <f>+[4]Analysis!J103</f>
        <v>8688</v>
      </c>
      <c r="K111" s="1">
        <f>+[4]Analysis!K103</f>
        <v>9680</v>
      </c>
      <c r="L111" s="1">
        <f>+[4]Analysis!L103</f>
        <v>66808</v>
      </c>
      <c r="M111" s="1">
        <f>+[4]Analysis!M103</f>
        <v>47864</v>
      </c>
      <c r="N111" s="1">
        <f>+[4]Analysis!N103</f>
        <v>78036</v>
      </c>
      <c r="O111" s="1">
        <f>+[4]Analysis!O103</f>
        <v>66038</v>
      </c>
      <c r="P111" s="1">
        <f>+[4]Analysis!P103</f>
        <v>56204</v>
      </c>
      <c r="Q111" s="1">
        <f>+[4]Analysis!Q103</f>
        <v>56830</v>
      </c>
      <c r="R111" s="1">
        <f>+[4]Analysis!R103</f>
        <v>64260</v>
      </c>
      <c r="S111" s="1">
        <f>+[4]Analysis!S103</f>
        <v>70588</v>
      </c>
      <c r="T111" s="1">
        <f>+[4]Analysis!T103</f>
        <v>53064</v>
      </c>
      <c r="U111" s="1">
        <f>+[4]Analysis!U103</f>
        <v>65150</v>
      </c>
      <c r="V111" s="1">
        <f>+[4]Analysis!V103</f>
        <v>39908</v>
      </c>
      <c r="W111" s="1">
        <f>+[4]Analysis!W103</f>
        <v>62306</v>
      </c>
      <c r="X111" s="1">
        <f>+[4]Analysis!X103</f>
        <v>27434</v>
      </c>
      <c r="Y111" s="1">
        <f>+[4]Analysis!Y103</f>
        <v>33320</v>
      </c>
      <c r="Z111" s="1">
        <f>+[4]Analysis!Z103</f>
        <v>12456</v>
      </c>
      <c r="AA111" s="1">
        <f>+[4]Analysis!AA103</f>
        <v>6848</v>
      </c>
      <c r="AB111" s="1">
        <f>+[4]Analysis!AB103</f>
        <v>7912</v>
      </c>
      <c r="AC111" s="1">
        <f>+[4]Analysis!AC103</f>
        <v>7388</v>
      </c>
      <c r="AD111" s="1">
        <f>+[4]Analysis!AD103</f>
        <v>12182</v>
      </c>
      <c r="AE111" s="1">
        <f>+[4]Analysis!AE103</f>
        <v>11566</v>
      </c>
      <c r="AF111" s="1">
        <f>+[4]Analysis!AF103</f>
        <v>6764</v>
      </c>
      <c r="AG111" s="1">
        <f>+[4]Analysis!AG103</f>
        <v>11130</v>
      </c>
      <c r="AH111" s="1">
        <f>+[4]Analysis!AH103</f>
        <v>3106</v>
      </c>
      <c r="AI111" s="1">
        <f>+[4]Analysis!AI103</f>
        <v>4920</v>
      </c>
      <c r="AJ111" s="1">
        <f>+[4]Analysis!AJ103</f>
        <v>7122</v>
      </c>
      <c r="AK111" s="1">
        <f>+[4]Analysis!AK103</f>
        <v>2828</v>
      </c>
      <c r="AL111" s="1">
        <f>+[4]Analysis!AL103</f>
        <v>3034</v>
      </c>
      <c r="AM111" s="1">
        <f>+[4]Analysis!AM103</f>
        <v>270</v>
      </c>
      <c r="AN111" s="1">
        <f>+[4]Analysis!AN103</f>
        <v>2880</v>
      </c>
      <c r="AO111" s="1">
        <f>+[4]Analysis!AO103</f>
        <v>0</v>
      </c>
      <c r="AP111" s="1">
        <f>+[4]Analysis!AP103</f>
        <v>0</v>
      </c>
      <c r="AQ111" s="1">
        <f t="shared" si="65"/>
        <v>1080344</v>
      </c>
    </row>
    <row r="112" spans="1:44" x14ac:dyDescent="0.25">
      <c r="A112" s="2"/>
      <c r="B112" t="s">
        <v>511</v>
      </c>
      <c r="C112" s="1">
        <f>+[1]Analysis!C$100</f>
        <v>0</v>
      </c>
      <c r="D112" s="1">
        <f>+[1]Analysis!D$100</f>
        <v>0</v>
      </c>
      <c r="E112" s="1">
        <f>+[1]Analysis!E$100</f>
        <v>0</v>
      </c>
      <c r="F112" s="1">
        <f>+[1]Analysis!F$100</f>
        <v>12720</v>
      </c>
      <c r="G112" s="1">
        <f>+[1]Analysis!G$100</f>
        <v>50400</v>
      </c>
      <c r="H112" s="1">
        <f>+[1]Analysis!H$100</f>
        <v>12960</v>
      </c>
      <c r="I112" s="1">
        <f>+[1]Analysis!I$100</f>
        <v>0</v>
      </c>
      <c r="J112" s="1">
        <f>+[1]Analysis!J$100</f>
        <v>31614</v>
      </c>
      <c r="K112" s="1">
        <f>+[1]Analysis!K$100</f>
        <v>61552</v>
      </c>
      <c r="L112" s="1">
        <f>+[1]Analysis!L$100</f>
        <v>45752</v>
      </c>
      <c r="M112" s="1">
        <f>+[1]Analysis!M$100</f>
        <v>42684</v>
      </c>
      <c r="N112" s="1">
        <f>+[1]Analysis!N$100</f>
        <v>75538</v>
      </c>
      <c r="O112" s="1">
        <f>+[1]Analysis!O$100</f>
        <v>87470</v>
      </c>
      <c r="P112" s="1">
        <f>+[1]Analysis!P$100</f>
        <v>66390</v>
      </c>
      <c r="Q112" s="1">
        <f>+[1]Analysis!Q$100</f>
        <v>86006</v>
      </c>
      <c r="R112" s="1">
        <f>+[1]Analysis!R$100</f>
        <v>65628</v>
      </c>
      <c r="S112" s="1">
        <f>+[1]Analysis!S$100</f>
        <v>67896</v>
      </c>
      <c r="T112" s="1">
        <f>+[1]Analysis!T$100</f>
        <v>58946</v>
      </c>
      <c r="U112" s="1">
        <f>+[1]Analysis!U$100</f>
        <v>34972</v>
      </c>
      <c r="V112" s="1">
        <f>+[1]Analysis!V$100</f>
        <v>60226</v>
      </c>
      <c r="W112" s="1">
        <f>+[1]Analysis!W$100</f>
        <v>35340</v>
      </c>
      <c r="X112" s="1">
        <f>+[1]Analysis!X$100</f>
        <v>37792</v>
      </c>
      <c r="Y112" s="1">
        <f>+[1]Analysis!Y$100</f>
        <v>31966</v>
      </c>
      <c r="Z112" s="1">
        <f>+[1]Analysis!Z$100</f>
        <v>32192</v>
      </c>
      <c r="AA112" s="1">
        <f>+[1]Analysis!AA$100</f>
        <v>18422</v>
      </c>
      <c r="AB112" s="1">
        <f>+[1]Analysis!AB$100</f>
        <v>10722</v>
      </c>
      <c r="AC112" s="1">
        <f>+[1]Analysis!AC$100</f>
        <v>7878</v>
      </c>
      <c r="AD112" s="1">
        <f>+[1]Analysis!AD$100</f>
        <v>3534</v>
      </c>
      <c r="AE112" s="1">
        <f>+[1]Analysis!AE$100</f>
        <v>14438</v>
      </c>
      <c r="AF112" s="1">
        <f>+[1]Analysis!AF$100</f>
        <v>16020</v>
      </c>
      <c r="AG112" s="1">
        <f>+[1]Analysis!AG$100</f>
        <v>20682</v>
      </c>
      <c r="AH112" s="1">
        <f>+[1]Analysis!AH$100</f>
        <v>4152</v>
      </c>
      <c r="AI112" s="1">
        <f>+[1]Analysis!AI$100</f>
        <v>3706</v>
      </c>
      <c r="AJ112" s="1">
        <f>+[1]Analysis!AJ$100</f>
        <v>3066</v>
      </c>
      <c r="AK112" s="1">
        <f>+[1]Analysis!AK$100</f>
        <v>4674</v>
      </c>
      <c r="AL112" s="1">
        <f>+[1]Analysis!AL$100</f>
        <v>8480</v>
      </c>
      <c r="AM112" s="1">
        <f>+[1]Analysis!AM$100</f>
        <v>0</v>
      </c>
      <c r="AN112" s="1">
        <f>+[1]Analysis!AN$100</f>
        <v>0</v>
      </c>
      <c r="AO112" s="1">
        <f>+[1]Analysis!AO$100</f>
        <v>0</v>
      </c>
      <c r="AP112" s="1">
        <f>+[1]Analysis!AP$100</f>
        <v>0</v>
      </c>
      <c r="AQ112" s="1">
        <f t="shared" si="65"/>
        <v>1113818</v>
      </c>
    </row>
    <row r="113" spans="1:43" x14ac:dyDescent="0.25">
      <c r="A113" s="2"/>
      <c r="B113" t="s">
        <v>461</v>
      </c>
      <c r="C113" s="1"/>
      <c r="D113" s="1"/>
      <c r="E113" s="1"/>
      <c r="F113" s="1"/>
      <c r="G113" s="1"/>
      <c r="H113" s="1"/>
      <c r="I113" s="1"/>
      <c r="J113" s="1">
        <f>+[5]Analysis!D$98</f>
        <v>12820</v>
      </c>
      <c r="K113" s="1">
        <f>+[5]Analysis!E$98</f>
        <v>6758</v>
      </c>
      <c r="L113" s="1">
        <f>+[5]Analysis!F$98</f>
        <v>17066</v>
      </c>
      <c r="M113" s="1">
        <f>+[5]Analysis!G$98</f>
        <v>10910</v>
      </c>
      <c r="N113" s="1">
        <f>+[5]Analysis!H$98</f>
        <v>24786</v>
      </c>
      <c r="O113" s="1">
        <f>+[5]Analysis!I$98</f>
        <v>28792</v>
      </c>
      <c r="P113" s="1">
        <f>+[5]Analysis!J$98</f>
        <v>18</v>
      </c>
      <c r="Q113" s="1">
        <f>+[5]Analysis!K$98</f>
        <v>1856</v>
      </c>
      <c r="R113" s="1">
        <f>+[5]Analysis!L$98</f>
        <v>1360</v>
      </c>
      <c r="S113" s="1">
        <f>+[5]Analysis!M$98</f>
        <v>16048</v>
      </c>
      <c r="T113" s="1">
        <f>+[5]Analysis!N$98</f>
        <v>25440</v>
      </c>
      <c r="U113" s="1">
        <f>+[5]Analysis!O$98</f>
        <v>32556</v>
      </c>
      <c r="V113" s="1">
        <f>+[5]Analysis!P$98</f>
        <v>35744</v>
      </c>
      <c r="W113" s="1">
        <f>+[5]Analysis!Q$98</f>
        <v>46948</v>
      </c>
      <c r="X113" s="1">
        <f>+[5]Analysis!R$98</f>
        <v>33948</v>
      </c>
      <c r="Y113" s="1">
        <f>+[5]Analysis!S$98</f>
        <v>20582</v>
      </c>
      <c r="Z113" s="1">
        <f>+[5]Analysis!T$98</f>
        <v>17458</v>
      </c>
      <c r="AA113" s="1">
        <f>+[5]Analysis!U$98</f>
        <v>11902</v>
      </c>
      <c r="AB113" s="1">
        <f>+[5]Analysis!V$98</f>
        <v>6716</v>
      </c>
      <c r="AC113" s="1">
        <f>+[5]Analysis!W$98</f>
        <v>20104</v>
      </c>
      <c r="AD113" s="1">
        <f>+[5]Analysis!X$98</f>
        <v>32354</v>
      </c>
      <c r="AE113" s="1">
        <f>+[5]Analysis!Y$98</f>
        <v>12104</v>
      </c>
      <c r="AF113" s="1">
        <f>+[5]Analysis!Z$98</f>
        <v>24000</v>
      </c>
      <c r="AG113" s="1">
        <f>+[5]Analysis!AA$98</f>
        <v>25138</v>
      </c>
      <c r="AH113" s="1">
        <f>+[5]Analysis!AB$98</f>
        <v>19672</v>
      </c>
      <c r="AI113" s="1">
        <f>+[5]Analysis!AC$98</f>
        <v>13616</v>
      </c>
      <c r="AJ113" s="1">
        <f>+[5]Analysis!AD$98</f>
        <v>396</v>
      </c>
      <c r="AK113" s="1">
        <f>+[5]Analysis!AE$98</f>
        <v>0</v>
      </c>
      <c r="AL113" s="1">
        <f>+[5]Analysis!AF$98</f>
        <v>0</v>
      </c>
      <c r="AM113" s="1">
        <f>+[5]Analysis!AG$98</f>
        <v>0</v>
      </c>
      <c r="AN113" s="1">
        <f>+[5]Analysis!AH$98</f>
        <v>0</v>
      </c>
      <c r="AO113" s="1">
        <f>+[5]Analysis!AI$98</f>
        <v>0</v>
      </c>
      <c r="AP113" s="1">
        <f>+[5]Analysis!AJ$98</f>
        <v>0</v>
      </c>
      <c r="AQ113" s="1">
        <f t="shared" si="65"/>
        <v>499092</v>
      </c>
    </row>
    <row r="114" spans="1:43" x14ac:dyDescent="0.25">
      <c r="A114" s="2"/>
      <c r="B114" t="s">
        <v>438</v>
      </c>
      <c r="C114" s="1">
        <f>+[2]Analysis!C$51</f>
        <v>0</v>
      </c>
      <c r="D114" s="1"/>
      <c r="E114" s="1"/>
      <c r="F114" s="1"/>
      <c r="G114" s="1"/>
      <c r="H114" s="1"/>
      <c r="I114" s="1"/>
      <c r="J114" s="1">
        <f>+[2]Analysis!D$45</f>
        <v>6434</v>
      </c>
      <c r="K114" s="1">
        <f>+[2]Analysis!E$45</f>
        <v>13542</v>
      </c>
      <c r="L114" s="1">
        <f>+[2]Analysis!F$45</f>
        <v>19836</v>
      </c>
      <c r="M114" s="1">
        <f>+[2]Analysis!G$45</f>
        <v>8846</v>
      </c>
      <c r="N114" s="1">
        <f>+[2]Analysis!H$45</f>
        <v>12652</v>
      </c>
      <c r="O114" s="1">
        <f>+[2]Analysis!I$45</f>
        <v>31274</v>
      </c>
      <c r="P114" s="1">
        <f>+[2]Analysis!J$45</f>
        <v>37762</v>
      </c>
      <c r="Q114" s="1">
        <f>+[2]Analysis!K$45</f>
        <v>41684</v>
      </c>
      <c r="R114" s="1">
        <f>+[2]Analysis!L$45</f>
        <v>54070</v>
      </c>
      <c r="S114" s="1">
        <f>+[2]Analysis!M$45</f>
        <v>53568</v>
      </c>
      <c r="T114" s="1">
        <f>+[2]Analysis!N$45</f>
        <v>52826</v>
      </c>
      <c r="U114" s="1">
        <f>+[2]Analysis!O$45</f>
        <v>35366</v>
      </c>
      <c r="V114" s="1">
        <f>+[2]Analysis!P$45</f>
        <v>26544</v>
      </c>
      <c r="W114" s="1">
        <f>+[2]Analysis!Q$45</f>
        <v>31644</v>
      </c>
      <c r="X114" s="1">
        <f>+[2]Analysis!R$45</f>
        <v>15440</v>
      </c>
      <c r="Y114" s="1">
        <f>+[2]Analysis!S$45</f>
        <v>13166</v>
      </c>
      <c r="Z114" s="1">
        <f>+[2]Analysis!T$45</f>
        <v>11574</v>
      </c>
      <c r="AA114" s="1">
        <f>+[2]Analysis!U$45</f>
        <v>9398</v>
      </c>
      <c r="AB114" s="1">
        <f>+[2]Analysis!V$45</f>
        <v>8370</v>
      </c>
      <c r="AC114" s="1">
        <f>+[2]Analysis!W$45</f>
        <v>7660</v>
      </c>
      <c r="AD114" s="1">
        <f>+[2]Analysis!X$45</f>
        <v>10852</v>
      </c>
      <c r="AE114" s="1">
        <f>+[2]Analysis!Y$45</f>
        <v>9342</v>
      </c>
      <c r="AF114" s="1">
        <f>+[2]Analysis!Z$45</f>
        <v>6794</v>
      </c>
      <c r="AG114" s="1">
        <f>+[2]Analysis!AA$45</f>
        <v>5344</v>
      </c>
      <c r="AH114" s="1">
        <f>+[2]Analysis!AB$45</f>
        <v>7138</v>
      </c>
      <c r="AI114" s="1">
        <f>+[2]Analysis!AC$45</f>
        <v>3088</v>
      </c>
      <c r="AJ114" s="1">
        <f>+[2]Analysis!AD$45</f>
        <v>2192</v>
      </c>
      <c r="AK114" s="1">
        <f>+[2]Analysis!AE$45</f>
        <v>300</v>
      </c>
      <c r="AL114" s="1">
        <f>+[2]Analysis!AF$45</f>
        <v>0</v>
      </c>
      <c r="AM114" s="1">
        <f>+[2]Analysis!AG$45</f>
        <v>0</v>
      </c>
      <c r="AN114" s="1">
        <f>+[2]Analysis!AH$45</f>
        <v>0</v>
      </c>
      <c r="AO114" s="1">
        <f>+[2]Analysis!AI$45</f>
        <v>0</v>
      </c>
      <c r="AP114" s="1">
        <f>+[2]Analysis!AJ$45</f>
        <v>0</v>
      </c>
      <c r="AQ114" s="1">
        <f t="shared" si="65"/>
        <v>536706</v>
      </c>
    </row>
    <row r="115" spans="1:43" x14ac:dyDescent="0.25">
      <c r="A115" s="2"/>
      <c r="B115" t="s">
        <v>359</v>
      </c>
      <c r="C115" s="1">
        <f>+[6]Analysis!C$98</f>
        <v>0</v>
      </c>
      <c r="D115" s="1"/>
      <c r="E115" s="1"/>
      <c r="F115" s="1"/>
      <c r="G115" s="1"/>
      <c r="H115" s="1"/>
      <c r="I115" s="1"/>
      <c r="J115" s="1">
        <f>+[6]Analysis!D$98</f>
        <v>0</v>
      </c>
      <c r="K115" s="1">
        <f>+[6]Analysis!E$98</f>
        <v>3888</v>
      </c>
      <c r="L115" s="1">
        <f>+[6]Analysis!F$98</f>
        <v>14464</v>
      </c>
      <c r="M115" s="1">
        <f>+[6]Analysis!G$98</f>
        <v>7366</v>
      </c>
      <c r="N115" s="1">
        <f>+[6]Analysis!H$98</f>
        <v>5926</v>
      </c>
      <c r="O115" s="1">
        <f>+[6]Analysis!I$98</f>
        <v>17332</v>
      </c>
      <c r="P115" s="1">
        <f>+[6]Analysis!J$98</f>
        <v>11992</v>
      </c>
      <c r="Q115" s="1">
        <f>+[6]Analysis!K$98</f>
        <v>20566</v>
      </c>
      <c r="R115" s="1">
        <f>+[6]Analysis!L$98</f>
        <v>23468</v>
      </c>
      <c r="S115" s="1">
        <f>+[6]Analysis!M$98</f>
        <v>39756</v>
      </c>
      <c r="T115" s="1">
        <f>+[6]Analysis!N$98</f>
        <v>21300</v>
      </c>
      <c r="U115" s="1">
        <f>+[6]Analysis!O$98</f>
        <v>39068</v>
      </c>
      <c r="V115" s="1">
        <f>+[6]Analysis!P$98</f>
        <v>31068</v>
      </c>
      <c r="W115" s="1">
        <f>+[6]Analysis!Q$98</f>
        <v>21868</v>
      </c>
      <c r="X115" s="1">
        <f>+[6]Analysis!R$98</f>
        <v>16768</v>
      </c>
      <c r="Y115" s="1">
        <f>+[6]Analysis!S$98</f>
        <v>11846</v>
      </c>
      <c r="Z115" s="1">
        <f>+[6]Analysis!T$98</f>
        <v>8364</v>
      </c>
      <c r="AA115" s="1">
        <f>+[6]Analysis!U$98</f>
        <v>3784</v>
      </c>
      <c r="AB115" s="1">
        <f>+[6]Analysis!V$98</f>
        <v>5446</v>
      </c>
      <c r="AC115" s="1">
        <f>+[6]Analysis!W$98</f>
        <v>6036</v>
      </c>
      <c r="AD115" s="1">
        <f>+[6]Analysis!X$98</f>
        <v>2070</v>
      </c>
      <c r="AE115" s="1">
        <f>+[6]Analysis!Y$98</f>
        <v>1256</v>
      </c>
      <c r="AF115" s="1">
        <f>+[6]Analysis!Z$98</f>
        <v>1550</v>
      </c>
      <c r="AG115" s="1">
        <f>+[6]Analysis!AA$98</f>
        <v>4794</v>
      </c>
      <c r="AH115" s="1">
        <f>+[6]Analysis!AB$98</f>
        <v>1940</v>
      </c>
      <c r="AI115" s="1">
        <f>+[6]Analysis!AC$98</f>
        <v>1872</v>
      </c>
      <c r="AJ115" s="1">
        <f>+[6]Analysis!AD$98</f>
        <v>2056</v>
      </c>
      <c r="AK115" s="1">
        <f>+[6]Analysis!AE$98</f>
        <v>1826</v>
      </c>
      <c r="AL115" s="1">
        <f>+[6]Analysis!AF$98</f>
        <v>108</v>
      </c>
      <c r="AM115" s="1">
        <f>+[6]Analysis!AG$98</f>
        <v>216</v>
      </c>
      <c r="AN115" s="1">
        <f>+[6]Analysis!AH$98</f>
        <v>144</v>
      </c>
      <c r="AO115" s="1">
        <f>+[6]Analysis!AI$98</f>
        <v>0</v>
      </c>
      <c r="AP115" s="1">
        <f>+[6]Analysis!AJ$98</f>
        <v>0</v>
      </c>
      <c r="AQ115" s="1">
        <f t="shared" si="65"/>
        <v>328138</v>
      </c>
    </row>
    <row r="116" spans="1:43" x14ac:dyDescent="0.25">
      <c r="B116" t="s">
        <v>315</v>
      </c>
      <c r="C116" s="1">
        <f>+[7]Analysis!C93</f>
        <v>0</v>
      </c>
      <c r="D116" s="1"/>
      <c r="E116" s="1"/>
      <c r="F116" s="1"/>
      <c r="G116" s="1"/>
      <c r="H116" s="1"/>
      <c r="I116" s="1"/>
      <c r="J116" s="1">
        <f>+[7]Analysis!D93</f>
        <v>7308</v>
      </c>
      <c r="K116" s="1">
        <f>+[7]Analysis!E93</f>
        <v>7592</v>
      </c>
      <c r="L116" s="1">
        <f>+[7]Analysis!F93</f>
        <v>11710</v>
      </c>
      <c r="M116" s="1">
        <f>+[7]Analysis!G93</f>
        <v>11686</v>
      </c>
      <c r="N116" s="1">
        <f>+[7]Analysis!H93</f>
        <v>10232</v>
      </c>
      <c r="O116" s="1">
        <f>+[7]Analysis!I93</f>
        <v>16732</v>
      </c>
      <c r="P116" s="1">
        <f>+[7]Analysis!J93</f>
        <v>20510</v>
      </c>
      <c r="Q116" s="1">
        <f>+[7]Analysis!K93</f>
        <v>26832</v>
      </c>
      <c r="R116" s="1">
        <f>+[7]Analysis!L93</f>
        <v>18546</v>
      </c>
      <c r="S116" s="1">
        <f>+[7]Analysis!M93</f>
        <v>21470</v>
      </c>
      <c r="T116" s="1">
        <f>+[7]Analysis!N93</f>
        <v>13456</v>
      </c>
      <c r="U116" s="1">
        <f>+[7]Analysis!O93</f>
        <v>14712</v>
      </c>
      <c r="V116" s="1">
        <f>+[7]Analysis!P93</f>
        <v>16338</v>
      </c>
      <c r="W116" s="1">
        <f>+[7]Analysis!Q93</f>
        <v>17968</v>
      </c>
      <c r="X116" s="1">
        <f>+[7]Analysis!R93</f>
        <v>9776</v>
      </c>
      <c r="Y116" s="1">
        <f>+[7]Analysis!S93</f>
        <v>1018</v>
      </c>
      <c r="Z116" s="1">
        <f>+[7]Analysis!T93</f>
        <v>5168</v>
      </c>
      <c r="AA116" s="1">
        <f>+[7]Analysis!U93</f>
        <v>3666</v>
      </c>
      <c r="AB116" s="1">
        <f>+[7]Analysis!V93</f>
        <v>2544</v>
      </c>
      <c r="AC116" s="1">
        <f>+[7]Analysis!W93</f>
        <v>4660</v>
      </c>
      <c r="AD116" s="1">
        <f>+[7]Analysis!X93</f>
        <v>584</v>
      </c>
      <c r="AE116" s="1">
        <f>+[7]Analysis!Y93</f>
        <v>3804</v>
      </c>
      <c r="AF116" s="1">
        <f>+[7]Analysis!Z93</f>
        <v>3496</v>
      </c>
      <c r="AG116" s="1">
        <f>+[7]Analysis!AA93</f>
        <v>1184</v>
      </c>
      <c r="AH116" s="1">
        <f>+[7]Analysis!AB93</f>
        <v>2892</v>
      </c>
      <c r="AI116" s="1">
        <f>+[7]Analysis!AC93</f>
        <v>1336</v>
      </c>
      <c r="AJ116" s="1">
        <f>+[7]Analysis!AD93</f>
        <v>8180</v>
      </c>
      <c r="AK116" s="1">
        <f>+[7]Analysis!AE93</f>
        <v>18960</v>
      </c>
      <c r="AL116" s="1">
        <f>+[7]Analysis!AF93</f>
        <v>6260</v>
      </c>
      <c r="AM116" s="1">
        <f>+[7]Analysis!AG93</f>
        <v>2876</v>
      </c>
      <c r="AN116" s="1">
        <f>+[7]Analysis!AH93</f>
        <v>6196</v>
      </c>
      <c r="AO116" s="1">
        <f>+[7]Analysis!AI93</f>
        <v>1660</v>
      </c>
      <c r="AP116" s="1">
        <f>+[7]Analysis!AJ93</f>
        <v>0</v>
      </c>
      <c r="AQ116" s="1">
        <f t="shared" si="65"/>
        <v>299352</v>
      </c>
    </row>
    <row r="117" spans="1:43" x14ac:dyDescent="0.25">
      <c r="B117" t="s">
        <v>316</v>
      </c>
      <c r="C117" s="1">
        <v>0</v>
      </c>
      <c r="D117" s="1"/>
      <c r="E117" s="1"/>
      <c r="F117" s="1"/>
      <c r="G117" s="1"/>
      <c r="H117" s="1"/>
      <c r="I117" s="1"/>
      <c r="J117" s="1">
        <v>6390</v>
      </c>
      <c r="K117" s="1">
        <v>0</v>
      </c>
      <c r="L117" s="1">
        <v>3978</v>
      </c>
      <c r="M117" s="1">
        <v>11386</v>
      </c>
      <c r="N117" s="1">
        <v>9144</v>
      </c>
      <c r="O117" s="1">
        <v>8764</v>
      </c>
      <c r="P117" s="1">
        <v>14284</v>
      </c>
      <c r="Q117" s="1">
        <v>14264</v>
      </c>
      <c r="R117" s="1">
        <v>10410</v>
      </c>
      <c r="S117" s="1">
        <v>13764</v>
      </c>
      <c r="T117" s="1">
        <v>12634</v>
      </c>
      <c r="U117" s="1">
        <v>20432</v>
      </c>
      <c r="V117" s="1">
        <v>12660</v>
      </c>
      <c r="W117" s="1">
        <v>10084</v>
      </c>
      <c r="X117" s="1">
        <v>11210</v>
      </c>
      <c r="Y117" s="1">
        <v>8742</v>
      </c>
      <c r="Z117" s="1">
        <v>4274</v>
      </c>
      <c r="AA117" s="1">
        <v>3214</v>
      </c>
      <c r="AB117" s="1">
        <v>2776</v>
      </c>
      <c r="AC117" s="1">
        <v>1376</v>
      </c>
      <c r="AD117" s="1">
        <v>1132</v>
      </c>
      <c r="AE117" s="1">
        <v>1116</v>
      </c>
      <c r="AF117" s="1">
        <v>1636</v>
      </c>
      <c r="AG117" s="1">
        <v>1888</v>
      </c>
      <c r="AH117" s="1">
        <v>1616</v>
      </c>
      <c r="AI117" s="1">
        <v>1426</v>
      </c>
      <c r="AJ117" s="1">
        <v>1772</v>
      </c>
      <c r="AK117" s="1">
        <v>1212</v>
      </c>
      <c r="AL117" s="1">
        <v>980</v>
      </c>
      <c r="AM117" s="1">
        <v>288</v>
      </c>
      <c r="AN117" s="1">
        <v>144</v>
      </c>
      <c r="AO117" s="1">
        <v>0</v>
      </c>
      <c r="AP117" s="1">
        <v>0</v>
      </c>
      <c r="AQ117" s="1">
        <f t="shared" si="65"/>
        <v>192996</v>
      </c>
    </row>
    <row r="118" spans="1:43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</sheetData>
  <phoneticPr fontId="20" type="noConversion"/>
  <pageMargins left="0.11811023622047245" right="0" top="0.15748031496062992" bottom="0.55118110236220474" header="0.31496062992125984" footer="0.31496062992125984"/>
  <pageSetup paperSize="9" scale="62" orientation="landscape" r:id="rId1"/>
  <headerFooter>
    <oddFooter>&amp;L&amp;F&amp;R&amp;D</oddFooter>
  </headerFooter>
  <rowBreaks count="1" manualBreakCount="1">
    <brk id="52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U85"/>
  <sheetViews>
    <sheetView workbookViewId="0">
      <pane xSplit="4" ySplit="2" topLeftCell="V13" activePane="bottomRight" state="frozen"/>
      <selection pane="topRight" activeCell="D1" sqref="D1"/>
      <selection pane="bottomLeft" activeCell="A3" sqref="A3"/>
      <selection pane="bottomRight" activeCell="AQ25" sqref="AQ25"/>
    </sheetView>
  </sheetViews>
  <sheetFormatPr defaultRowHeight="15" x14ac:dyDescent="0.25"/>
  <cols>
    <col min="1" max="1" width="3.85546875" style="2" customWidth="1"/>
    <col min="22" max="22" width="9.140625" customWidth="1"/>
  </cols>
  <sheetData>
    <row r="1" spans="1:47" x14ac:dyDescent="0.25">
      <c r="A1" s="2" t="s">
        <v>548</v>
      </c>
      <c r="C1" s="2"/>
      <c r="E1" s="142">
        <v>45292</v>
      </c>
      <c r="F1" s="142">
        <v>45292</v>
      </c>
      <c r="G1" s="142">
        <v>45292</v>
      </c>
      <c r="H1" s="142">
        <v>45292</v>
      </c>
      <c r="I1" s="142">
        <v>45292</v>
      </c>
      <c r="J1" s="142">
        <v>45323</v>
      </c>
      <c r="K1" s="142">
        <v>45323</v>
      </c>
      <c r="L1" s="142">
        <v>45323</v>
      </c>
      <c r="M1" s="142">
        <v>45323</v>
      </c>
      <c r="N1" s="142">
        <v>45352</v>
      </c>
      <c r="O1" s="142">
        <v>45352</v>
      </c>
      <c r="P1" s="142">
        <v>45352</v>
      </c>
      <c r="Q1" s="142">
        <v>45352</v>
      </c>
      <c r="R1" s="142">
        <v>45383</v>
      </c>
      <c r="S1" s="142">
        <v>45383</v>
      </c>
      <c r="T1" s="142">
        <v>45383</v>
      </c>
      <c r="U1" s="142">
        <v>45383</v>
      </c>
      <c r="V1" s="142">
        <v>45413</v>
      </c>
      <c r="W1" s="142">
        <v>45413</v>
      </c>
      <c r="X1" s="142">
        <v>45413</v>
      </c>
      <c r="Y1" s="142">
        <v>45413</v>
      </c>
      <c r="Z1" s="142">
        <v>45413</v>
      </c>
      <c r="AA1" s="142">
        <v>45444</v>
      </c>
      <c r="AB1" s="142">
        <v>45444</v>
      </c>
      <c r="AC1" s="142">
        <v>45444</v>
      </c>
      <c r="AD1" s="142">
        <v>45444</v>
      </c>
      <c r="AE1" s="142">
        <v>45474</v>
      </c>
      <c r="AF1" s="142">
        <v>45474</v>
      </c>
      <c r="AG1" s="142">
        <v>45474</v>
      </c>
      <c r="AH1" s="142">
        <v>45474</v>
      </c>
      <c r="AI1" s="142">
        <v>45474</v>
      </c>
      <c r="AJ1" s="142">
        <v>45505</v>
      </c>
      <c r="AK1" s="142">
        <v>45505</v>
      </c>
      <c r="AL1" s="142">
        <v>45505</v>
      </c>
      <c r="AM1" s="142">
        <v>45505</v>
      </c>
      <c r="AN1" s="142">
        <v>45536</v>
      </c>
      <c r="AO1" s="142">
        <v>45536</v>
      </c>
      <c r="AP1" s="142">
        <v>45536</v>
      </c>
      <c r="AQ1" s="142">
        <v>45536</v>
      </c>
      <c r="AR1" s="13" t="s">
        <v>282</v>
      </c>
      <c r="AS1" s="1"/>
      <c r="AT1" s="1"/>
    </row>
    <row r="2" spans="1:47" x14ac:dyDescent="0.25">
      <c r="B2" s="2"/>
      <c r="C2" s="2"/>
      <c r="E2" s="13" t="s">
        <v>491</v>
      </c>
      <c r="F2" s="13" t="s">
        <v>492</v>
      </c>
      <c r="G2" s="13" t="s">
        <v>493</v>
      </c>
      <c r="H2" s="13" t="s">
        <v>494</v>
      </c>
      <c r="I2" s="13" t="s">
        <v>495</v>
      </c>
      <c r="J2" s="13" t="s">
        <v>496</v>
      </c>
      <c r="K2" s="13" t="s">
        <v>263</v>
      </c>
      <c r="L2" s="13" t="s">
        <v>264</v>
      </c>
      <c r="M2" s="13" t="s">
        <v>11</v>
      </c>
      <c r="N2" s="13" t="s">
        <v>12</v>
      </c>
      <c r="O2" s="13" t="s">
        <v>13</v>
      </c>
      <c r="P2" s="13" t="s">
        <v>14</v>
      </c>
      <c r="Q2" s="13" t="s">
        <v>15</v>
      </c>
      <c r="R2" s="13" t="s">
        <v>16</v>
      </c>
      <c r="S2" s="13" t="s">
        <v>17</v>
      </c>
      <c r="T2" s="13" t="s">
        <v>18</v>
      </c>
      <c r="U2" s="13" t="s">
        <v>19</v>
      </c>
      <c r="V2" s="13" t="s">
        <v>54</v>
      </c>
      <c r="W2" s="13" t="s">
        <v>20</v>
      </c>
      <c r="X2" s="13" t="s">
        <v>21</v>
      </c>
      <c r="Y2" s="13" t="s">
        <v>22</v>
      </c>
      <c r="Z2" s="13" t="s">
        <v>23</v>
      </c>
      <c r="AA2" s="13" t="s">
        <v>24</v>
      </c>
      <c r="AB2" s="13" t="s">
        <v>25</v>
      </c>
      <c r="AC2" s="13" t="s">
        <v>26</v>
      </c>
      <c r="AD2" s="13" t="s">
        <v>27</v>
      </c>
      <c r="AE2" s="13" t="s">
        <v>28</v>
      </c>
      <c r="AF2" s="13" t="s">
        <v>29</v>
      </c>
      <c r="AG2" s="13" t="s">
        <v>30</v>
      </c>
      <c r="AH2" s="13" t="s">
        <v>31</v>
      </c>
      <c r="AI2" s="13" t="s">
        <v>32</v>
      </c>
      <c r="AJ2" s="13" t="s">
        <v>33</v>
      </c>
      <c r="AK2" s="13" t="s">
        <v>34</v>
      </c>
      <c r="AL2" s="13" t="s">
        <v>55</v>
      </c>
      <c r="AM2" s="13" t="s">
        <v>56</v>
      </c>
      <c r="AN2" s="13" t="s">
        <v>57</v>
      </c>
      <c r="AO2" s="13" t="s">
        <v>58</v>
      </c>
      <c r="AP2" s="13" t="s">
        <v>59</v>
      </c>
      <c r="AQ2" s="13" t="s">
        <v>60</v>
      </c>
      <c r="AR2" s="4" t="s">
        <v>61</v>
      </c>
      <c r="AS2" s="4" t="s">
        <v>2</v>
      </c>
      <c r="AT2" s="1"/>
    </row>
    <row r="4" spans="1:47" x14ac:dyDescent="0.25">
      <c r="A4" s="2" t="s">
        <v>84</v>
      </c>
      <c r="E4" s="1">
        <f>+PassVol!D95</f>
        <v>0</v>
      </c>
      <c r="F4" s="1">
        <f>+PassVol!E95</f>
        <v>0</v>
      </c>
      <c r="G4" s="1">
        <f>+PassVol!F95</f>
        <v>0</v>
      </c>
      <c r="H4" s="1">
        <f>+PassVol!G95</f>
        <v>0</v>
      </c>
      <c r="I4" s="1">
        <f>+PassVol!H95</f>
        <v>0</v>
      </c>
      <c r="J4" s="1">
        <f>+PassVol!I95</f>
        <v>0</v>
      </c>
      <c r="K4" s="1">
        <f>+PassVol!J95</f>
        <v>0</v>
      </c>
      <c r="L4" s="1">
        <f>+PassVol!K95</f>
        <v>0</v>
      </c>
      <c r="M4" s="1">
        <f>+PassVol!L95</f>
        <v>5567.666666666667</v>
      </c>
      <c r="N4" s="1">
        <f>+PassVol!M95</f>
        <v>3396.6666666666665</v>
      </c>
      <c r="O4" s="1">
        <f>+PassVol!N95</f>
        <v>3655</v>
      </c>
      <c r="P4" s="1">
        <f>+PassVol!O95</f>
        <v>6422</v>
      </c>
      <c r="Q4" s="1">
        <f>+PassVol!P95</f>
        <v>8123</v>
      </c>
      <c r="R4" s="1">
        <f>+PassVol!Q95</f>
        <v>6808</v>
      </c>
      <c r="S4" s="1">
        <f>+PassVol!R95</f>
        <v>8526.3333333333339</v>
      </c>
      <c r="T4" s="1">
        <f>+PassVol!S95</f>
        <v>7824.333333333333</v>
      </c>
      <c r="U4" s="1">
        <f>+PassVol!T95</f>
        <v>8035.666666666667</v>
      </c>
      <c r="V4" s="1">
        <f>+PassVol!U95</f>
        <v>9839.3333333333339</v>
      </c>
      <c r="W4" s="1">
        <f>+PassVol!V95</f>
        <v>7619.666666666667</v>
      </c>
      <c r="X4" s="1">
        <f>+PassVol!W95</f>
        <v>9600.3333333333339</v>
      </c>
      <c r="Y4" s="1">
        <f>+PassVol!X95</f>
        <v>9185.3333333333339</v>
      </c>
      <c r="Z4" s="1">
        <f>+PassVol!Y95</f>
        <v>4411.333333333333</v>
      </c>
      <c r="AA4" s="1">
        <f>+PassVol!Z95</f>
        <v>3341</v>
      </c>
      <c r="AB4" s="1">
        <f>+PassVol!AA95</f>
        <v>2355</v>
      </c>
      <c r="AC4" s="1">
        <f>+PassVol!AB95</f>
        <v>2152.6666666666665</v>
      </c>
      <c r="AD4" s="1">
        <f>+PassVol!AC95</f>
        <v>1340.3333333333333</v>
      </c>
      <c r="AE4" s="1">
        <f>+PassVol!AD95</f>
        <v>1366.3333333333333</v>
      </c>
      <c r="AF4" s="1">
        <f>+PassVol!AE95</f>
        <v>961.33333333333337</v>
      </c>
      <c r="AG4" s="1">
        <f>+PassVol!AF95</f>
        <v>585.33333333333337</v>
      </c>
      <c r="AH4" s="1">
        <f>+PassVol!AG95</f>
        <v>593</v>
      </c>
      <c r="AI4" s="1">
        <f>+PassVol!AH95</f>
        <v>2249</v>
      </c>
      <c r="AJ4" s="1">
        <f>+PassVol!AI95</f>
        <v>751</v>
      </c>
      <c r="AK4" s="1">
        <f>+PassVol!AJ95</f>
        <v>774.66666666666663</v>
      </c>
      <c r="AL4" s="1">
        <f>+PassVol!AK95</f>
        <v>783</v>
      </c>
      <c r="AM4" s="1">
        <f>+PassVol!AL95</f>
        <v>587</v>
      </c>
      <c r="AN4" s="1">
        <f>+PassVol!AM95</f>
        <v>319.33333333333331</v>
      </c>
      <c r="AO4" s="1">
        <f>+PassVol!AN95</f>
        <v>159</v>
      </c>
      <c r="AP4" s="1">
        <f>+PassVol!AO95</f>
        <v>0</v>
      </c>
      <c r="AQ4" s="1">
        <f>+PassVol!AP95</f>
        <v>0</v>
      </c>
      <c r="AR4" s="1">
        <f>+PassVol!AQ95</f>
        <v>0</v>
      </c>
      <c r="AS4" s="1">
        <f>SUM(E4:AR4)</f>
        <v>117332.66666666664</v>
      </c>
      <c r="AU4">
        <f>+AS4*18</f>
        <v>2111987.9999999995</v>
      </c>
    </row>
    <row r="5" spans="1:47" x14ac:dyDescent="0.25">
      <c r="A5" s="2" t="s">
        <v>85</v>
      </c>
      <c r="E5" s="1">
        <f>+PassVol!D555</f>
        <v>0</v>
      </c>
      <c r="F5" s="1">
        <f>+PassVol!E555</f>
        <v>0</v>
      </c>
      <c r="G5" s="1">
        <f>+PassVol!F555</f>
        <v>0</v>
      </c>
      <c r="H5" s="1">
        <f>+PassVol!G555</f>
        <v>0</v>
      </c>
      <c r="I5" s="1">
        <f>+PassVol!H555</f>
        <v>0</v>
      </c>
      <c r="J5" s="1">
        <f>+PassVol!I555</f>
        <v>0</v>
      </c>
      <c r="K5" s="1">
        <f>+PassVol!J555</f>
        <v>0</v>
      </c>
      <c r="L5" s="1">
        <f>+PassVol!K555</f>
        <v>0</v>
      </c>
      <c r="M5" s="1">
        <f>+PassVol!L555</f>
        <v>746.5</v>
      </c>
      <c r="N5" s="1">
        <f>+PassVol!M555</f>
        <v>4434.5</v>
      </c>
      <c r="O5" s="1">
        <f>+PassVol!N555</f>
        <v>2861</v>
      </c>
      <c r="P5" s="1">
        <f>+PassVol!O555</f>
        <v>4175.5</v>
      </c>
      <c r="Q5" s="1">
        <f>+PassVol!P555</f>
        <v>6388.5</v>
      </c>
      <c r="R5" s="1">
        <f>+PassVol!Q555</f>
        <v>10974.5</v>
      </c>
      <c r="S5" s="1">
        <f>+PassVol!R555</f>
        <v>10916</v>
      </c>
      <c r="T5" s="1">
        <f>+PassVol!S555</f>
        <v>10704.5</v>
      </c>
      <c r="U5" s="1">
        <f>+PassVol!T555</f>
        <v>11212</v>
      </c>
      <c r="V5" s="1">
        <f>+PassVol!U555</f>
        <v>10819.5</v>
      </c>
      <c r="W5" s="1">
        <f>+PassVol!V555</f>
        <v>6207.5</v>
      </c>
      <c r="X5" s="1">
        <f>+PassVol!W555</f>
        <v>7767.5</v>
      </c>
      <c r="Y5" s="1">
        <f>+PassVol!X555</f>
        <v>5872.5</v>
      </c>
      <c r="Z5" s="1">
        <f>+PassVol!Y555</f>
        <v>4577.5</v>
      </c>
      <c r="AA5" s="1">
        <f>+PassVol!Z555</f>
        <v>1371.5</v>
      </c>
      <c r="AB5" s="1">
        <f>+PassVol!AA555</f>
        <v>803</v>
      </c>
      <c r="AC5" s="1">
        <f>+PassVol!AB555</f>
        <v>308.5</v>
      </c>
      <c r="AD5" s="1">
        <f>+PassVol!AC555</f>
        <v>29.5</v>
      </c>
      <c r="AE5" s="1">
        <f>+PassVol!AD555</f>
        <v>4.5</v>
      </c>
      <c r="AF5" s="1">
        <f>+PassVol!AE555</f>
        <v>0</v>
      </c>
      <c r="AG5" s="1">
        <f>+PassVol!AF555</f>
        <v>0</v>
      </c>
      <c r="AH5" s="1">
        <f>+PassVol!AG555</f>
        <v>0</v>
      </c>
      <c r="AI5" s="1">
        <f>+PassVol!AH555</f>
        <v>0</v>
      </c>
      <c r="AJ5" s="1">
        <f>+PassVol!AI555</f>
        <v>0</v>
      </c>
      <c r="AK5" s="1">
        <f>+PassVol!AJ555</f>
        <v>0</v>
      </c>
      <c r="AL5" s="1">
        <f>+PassVol!AK555</f>
        <v>0</v>
      </c>
      <c r="AM5" s="1">
        <f>+PassVol!AL555</f>
        <v>0</v>
      </c>
      <c r="AN5" s="1">
        <f>+PassVol!AM555</f>
        <v>0</v>
      </c>
      <c r="AO5" s="1">
        <f>+PassVol!AN555</f>
        <v>0</v>
      </c>
      <c r="AP5" s="1">
        <f>+PassVol!AO555</f>
        <v>0</v>
      </c>
      <c r="AQ5" s="1">
        <f>+PassVol!AP555</f>
        <v>0</v>
      </c>
      <c r="AR5" s="1">
        <f>+PassVol!AQ555</f>
        <v>0</v>
      </c>
      <c r="AS5" s="1">
        <f>SUM(E5:AR5)</f>
        <v>100174.5</v>
      </c>
      <c r="AT5">
        <f>+AS5/(AS5+AS4)</f>
        <v>0.46055723834387075</v>
      </c>
    </row>
    <row r="6" spans="1:47" x14ac:dyDescent="0.25">
      <c r="A6" s="2" t="s">
        <v>308</v>
      </c>
      <c r="E6" s="1">
        <f>+PassVol!D556</f>
        <v>0</v>
      </c>
      <c r="F6" s="1">
        <f>+PassVol!E556</f>
        <v>0</v>
      </c>
      <c r="G6" s="1">
        <f>+PassVol!F556</f>
        <v>0</v>
      </c>
      <c r="H6" s="1">
        <f>+PassVol!G556</f>
        <v>2795</v>
      </c>
      <c r="I6" s="1">
        <f>+PassVol!H556</f>
        <v>1121</v>
      </c>
      <c r="J6" s="1">
        <f>+PassVol!I556</f>
        <v>213</v>
      </c>
      <c r="K6" s="1">
        <f>+PassVol!J556</f>
        <v>774</v>
      </c>
      <c r="L6" s="1">
        <f>+PassVol!K556</f>
        <v>1818.5</v>
      </c>
      <c r="M6" s="1">
        <f>+PassVol!L556</f>
        <v>1719.5</v>
      </c>
      <c r="N6" s="1">
        <f>+PassVol!M556</f>
        <v>1628</v>
      </c>
      <c r="O6" s="1">
        <f>+PassVol!N556</f>
        <v>1950</v>
      </c>
      <c r="P6" s="1">
        <f>+PassVol!O556</f>
        <v>1451</v>
      </c>
      <c r="Q6" s="1">
        <f>+PassVol!P556</f>
        <v>2181.5</v>
      </c>
      <c r="R6" s="1">
        <f>+PassVol!Q556</f>
        <v>2316.5</v>
      </c>
      <c r="S6" s="1">
        <f>+PassVol!R556</f>
        <v>2429</v>
      </c>
      <c r="T6" s="1">
        <f>+PassVol!S556</f>
        <v>2719</v>
      </c>
      <c r="U6" s="1">
        <f>+PassVol!T556</f>
        <v>2784</v>
      </c>
      <c r="V6" s="1">
        <f>+PassVol!U556</f>
        <v>3253</v>
      </c>
      <c r="W6" s="1">
        <f>+PassVol!V556</f>
        <v>2483.5</v>
      </c>
      <c r="X6" s="1">
        <f>+PassVol!W556</f>
        <v>2458</v>
      </c>
      <c r="Y6" s="1">
        <f>+PassVol!X556</f>
        <v>2842</v>
      </c>
      <c r="Z6" s="1">
        <f>+PassVol!Y556</f>
        <v>2368.5</v>
      </c>
      <c r="AA6" s="1">
        <f>+PassVol!Z556</f>
        <v>1414.5</v>
      </c>
      <c r="AB6" s="1">
        <f>+PassVol!AA556</f>
        <v>1541.5</v>
      </c>
      <c r="AC6" s="1">
        <f>+PassVol!AB556</f>
        <v>1223.5</v>
      </c>
      <c r="AD6" s="1">
        <f>+PassVol!AC556</f>
        <v>888</v>
      </c>
      <c r="AE6" s="1">
        <f>+PassVol!AD556</f>
        <v>982.5</v>
      </c>
      <c r="AF6" s="1">
        <f>+PassVol!AE556</f>
        <v>488.5</v>
      </c>
      <c r="AG6" s="1">
        <f>+PassVol!AF556</f>
        <v>399.5</v>
      </c>
      <c r="AH6" s="1">
        <f>+PassVol!AG556</f>
        <v>455.5</v>
      </c>
      <c r="AI6" s="1">
        <f>+PassVol!AH556</f>
        <v>540</v>
      </c>
      <c r="AJ6" s="1">
        <f>+PassVol!AI556</f>
        <v>569</v>
      </c>
      <c r="AK6" s="1">
        <f>+PassVol!AJ556</f>
        <v>1095.5</v>
      </c>
      <c r="AL6" s="1">
        <f>+PassVol!AK556</f>
        <v>477.5</v>
      </c>
      <c r="AM6" s="1">
        <f>+PassVol!AL556</f>
        <v>374</v>
      </c>
      <c r="AN6" s="1">
        <f>+PassVol!AM556</f>
        <v>230</v>
      </c>
      <c r="AO6" s="1">
        <f>+PassVol!AN556</f>
        <v>217</v>
      </c>
      <c r="AP6" s="1">
        <f>+PassVol!AO556</f>
        <v>63</v>
      </c>
      <c r="AQ6" s="1">
        <f>+PassVol!AP556</f>
        <v>30</v>
      </c>
      <c r="AR6" s="1">
        <f>+PassVol!AQ556</f>
        <v>0</v>
      </c>
      <c r="AS6" s="1">
        <f>SUM(E6:AR6)</f>
        <v>50294.5</v>
      </c>
    </row>
    <row r="7" spans="1:47" x14ac:dyDescent="0.25">
      <c r="A7" s="2" t="s">
        <v>83</v>
      </c>
      <c r="E7" s="1">
        <f>+Daily!D14</f>
        <v>0</v>
      </c>
      <c r="F7" s="1">
        <f>+Daily!E14</f>
        <v>0</v>
      </c>
      <c r="G7" s="1">
        <f>+Daily!F14</f>
        <v>0</v>
      </c>
      <c r="H7" s="1">
        <f>+Daily!G14</f>
        <v>0</v>
      </c>
      <c r="I7" s="1">
        <f>+Daily!H14</f>
        <v>0</v>
      </c>
      <c r="J7" s="1">
        <f>+Daily!I14</f>
        <v>0</v>
      </c>
      <c r="K7" s="1">
        <f>+Daily!J14</f>
        <v>0</v>
      </c>
      <c r="L7" s="1">
        <f>+Daily!K14</f>
        <v>0</v>
      </c>
      <c r="M7" s="1">
        <f>+Daily!L14</f>
        <v>120</v>
      </c>
      <c r="N7" s="1">
        <f>+Daily!M14</f>
        <v>50</v>
      </c>
      <c r="O7" s="1">
        <f>+Daily!N14</f>
        <v>50</v>
      </c>
      <c r="P7" s="1">
        <f>+Daily!O14</f>
        <v>50</v>
      </c>
      <c r="Q7" s="1">
        <f>+Daily!P14</f>
        <v>40</v>
      </c>
      <c r="R7" s="1">
        <f>+Daily!Q14</f>
        <v>120</v>
      </c>
      <c r="S7" s="1">
        <f>+Daily!R14</f>
        <v>100</v>
      </c>
      <c r="T7" s="1">
        <f>+Daily!S14</f>
        <v>45</v>
      </c>
      <c r="U7" s="1">
        <f>+Daily!T14</f>
        <v>110</v>
      </c>
      <c r="V7" s="1">
        <f>+Daily!U14</f>
        <v>40</v>
      </c>
      <c r="W7" s="1">
        <f>+Daily!V14</f>
        <v>83</v>
      </c>
      <c r="X7" s="1">
        <f>+Daily!W14</f>
        <v>26</v>
      </c>
      <c r="Y7" s="1">
        <f>+Daily!X14</f>
        <v>0</v>
      </c>
      <c r="Z7" s="1">
        <f>+Daily!Y14</f>
        <v>30</v>
      </c>
      <c r="AA7" s="1">
        <f>+Daily!Z14</f>
        <v>0</v>
      </c>
      <c r="AB7" s="1">
        <f>+Daily!AA14</f>
        <v>25</v>
      </c>
      <c r="AC7" s="1">
        <f>+Daily!AB14</f>
        <v>0</v>
      </c>
      <c r="AD7" s="1">
        <f>+Daily!AC14</f>
        <v>25</v>
      </c>
      <c r="AE7" s="1">
        <f>+Daily!AD14</f>
        <v>0</v>
      </c>
      <c r="AF7" s="1">
        <f>+Daily!AE14</f>
        <v>20</v>
      </c>
      <c r="AG7" s="1">
        <f>+Daily!AF14</f>
        <v>0</v>
      </c>
      <c r="AH7" s="1">
        <f>+Daily!AG14</f>
        <v>0</v>
      </c>
      <c r="AI7" s="1">
        <f>+Daily!AH14</f>
        <v>100</v>
      </c>
      <c r="AJ7" s="1">
        <f>+Daily!AI14</f>
        <v>0</v>
      </c>
      <c r="AK7" s="1">
        <f>+Daily!AJ14</f>
        <v>0</v>
      </c>
      <c r="AL7" s="1">
        <f>+Daily!AK14</f>
        <v>0</v>
      </c>
      <c r="AM7" s="1">
        <f>+Daily!AL14</f>
        <v>0</v>
      </c>
      <c r="AN7" s="1">
        <f>+Daily!AM14</f>
        <v>0</v>
      </c>
      <c r="AO7" s="1">
        <f>+Daily!AN14</f>
        <v>0</v>
      </c>
      <c r="AP7" s="1">
        <f>+Daily!AO14</f>
        <v>0</v>
      </c>
      <c r="AQ7" s="1">
        <f>+Daily!AP14</f>
        <v>0</v>
      </c>
      <c r="AR7" s="1">
        <f>+Daily!AQ14</f>
        <v>0</v>
      </c>
      <c r="AS7" s="1">
        <f>SUM(E7:AR7)</f>
        <v>1034</v>
      </c>
    </row>
    <row r="8" spans="1:47" x14ac:dyDescent="0.25">
      <c r="A8" s="2" t="s">
        <v>446</v>
      </c>
      <c r="E8" s="1">
        <f>+Daily!D15</f>
        <v>0</v>
      </c>
      <c r="F8" s="1">
        <f>+Daily!E15</f>
        <v>0</v>
      </c>
      <c r="G8" s="1">
        <f>+Daily!F15</f>
        <v>0</v>
      </c>
      <c r="H8" s="1">
        <f>+Daily!G15</f>
        <v>163</v>
      </c>
      <c r="I8" s="1">
        <f>+Daily!H15</f>
        <v>0</v>
      </c>
      <c r="J8" s="1">
        <f>+Daily!I15</f>
        <v>0</v>
      </c>
      <c r="K8" s="1">
        <f>+Daily!J15</f>
        <v>40</v>
      </c>
      <c r="L8" s="1">
        <f>+Daily!K15</f>
        <v>75</v>
      </c>
      <c r="M8" s="1">
        <f>+Daily!L15</f>
        <v>326</v>
      </c>
      <c r="N8" s="1">
        <f>+Daily!M15</f>
        <v>206</v>
      </c>
      <c r="O8" s="1">
        <f>+Daily!N15</f>
        <v>216</v>
      </c>
      <c r="P8" s="1">
        <f>+Daily!O15</f>
        <v>290</v>
      </c>
      <c r="Q8" s="1">
        <f>+Daily!P15</f>
        <v>250</v>
      </c>
      <c r="R8" s="1">
        <f>+Daily!Q15</f>
        <v>696</v>
      </c>
      <c r="S8" s="1">
        <f>+Daily!R15</f>
        <v>725</v>
      </c>
      <c r="T8" s="1">
        <f>+Daily!S15</f>
        <v>620</v>
      </c>
      <c r="U8" s="1">
        <f>+Daily!T15</f>
        <v>603</v>
      </c>
      <c r="V8" s="1">
        <f>+Daily!U15</f>
        <v>732</v>
      </c>
      <c r="W8" s="1">
        <f>+Daily!V15</f>
        <v>337</v>
      </c>
      <c r="X8" s="1">
        <f>+Daily!W15</f>
        <v>573</v>
      </c>
      <c r="Y8" s="1">
        <f>+Daily!X15</f>
        <v>486</v>
      </c>
      <c r="Z8" s="1">
        <f>+Daily!Y15</f>
        <v>590</v>
      </c>
      <c r="AA8" s="1">
        <f>+Daily!Z15</f>
        <v>205</v>
      </c>
      <c r="AB8" s="1">
        <f>+Daily!AA15</f>
        <v>172</v>
      </c>
      <c r="AC8" s="1">
        <f>+Daily!AB15</f>
        <v>142</v>
      </c>
      <c r="AD8" s="1">
        <f>+Daily!AC15</f>
        <v>54</v>
      </c>
      <c r="AE8" s="1">
        <f>+Daily!AD15</f>
        <v>122</v>
      </c>
      <c r="AF8" s="1">
        <f>+Daily!AE15</f>
        <v>21</v>
      </c>
      <c r="AG8" s="1">
        <f>+Daily!AF15</f>
        <v>10</v>
      </c>
      <c r="AH8" s="1">
        <f>+Daily!AG15</f>
        <v>0</v>
      </c>
      <c r="AI8" s="1">
        <f>+Daily!AH15</f>
        <v>129</v>
      </c>
      <c r="AJ8" s="1">
        <f>+Daily!AI15</f>
        <v>20</v>
      </c>
      <c r="AK8" s="1">
        <f>+Daily!AJ15</f>
        <v>0</v>
      </c>
      <c r="AL8" s="1">
        <f>+Daily!AK15</f>
        <v>0</v>
      </c>
      <c r="AM8" s="1">
        <f>+Daily!AL15</f>
        <v>0</v>
      </c>
      <c r="AN8" s="1">
        <f>+Daily!AM15</f>
        <v>0</v>
      </c>
      <c r="AO8" s="1">
        <f>+Daily!AN15</f>
        <v>0</v>
      </c>
      <c r="AP8" s="1">
        <f>+Daily!AO15</f>
        <v>0</v>
      </c>
      <c r="AQ8" s="1">
        <f>+Daily!AP15</f>
        <v>0</v>
      </c>
      <c r="AR8" s="1">
        <f>+Daily!AQ15</f>
        <v>0</v>
      </c>
      <c r="AS8" s="1">
        <f>SUM(E8:AR8)</f>
        <v>7803</v>
      </c>
    </row>
    <row r="9" spans="1:47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7" x14ac:dyDescent="0.25">
      <c r="A10" s="2" t="s">
        <v>520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f t="shared" ref="AS10:AS14" si="0">SUM(E10:AR10)</f>
        <v>0</v>
      </c>
    </row>
    <row r="11" spans="1:47" x14ac:dyDescent="0.25">
      <c r="A11" s="2" t="s">
        <v>521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f t="shared" si="0"/>
        <v>0</v>
      </c>
    </row>
    <row r="12" spans="1:47" x14ac:dyDescent="0.25">
      <c r="A12" s="2" t="s">
        <v>522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f t="shared" si="0"/>
        <v>0</v>
      </c>
    </row>
    <row r="13" spans="1:47" x14ac:dyDescent="0.25">
      <c r="A13" s="2" t="s">
        <v>523</v>
      </c>
      <c r="E13" s="3">
        <f>SUM(E10:E12)</f>
        <v>0</v>
      </c>
      <c r="F13" s="3">
        <f t="shared" ref="F13:AS13" si="1">SUM(F10:F12)</f>
        <v>0</v>
      </c>
      <c r="G13" s="3">
        <f t="shared" si="1"/>
        <v>0</v>
      </c>
      <c r="H13" s="3">
        <f t="shared" si="1"/>
        <v>0</v>
      </c>
      <c r="I13" s="3">
        <f t="shared" si="1"/>
        <v>0</v>
      </c>
      <c r="J13" s="3">
        <f t="shared" si="1"/>
        <v>0</v>
      </c>
      <c r="K13" s="3">
        <f t="shared" si="1"/>
        <v>0</v>
      </c>
      <c r="L13" s="3">
        <f t="shared" si="1"/>
        <v>0</v>
      </c>
      <c r="M13" s="3">
        <f t="shared" si="1"/>
        <v>0</v>
      </c>
      <c r="N13" s="3">
        <f t="shared" si="1"/>
        <v>0</v>
      </c>
      <c r="O13" s="3">
        <f t="shared" si="1"/>
        <v>0</v>
      </c>
      <c r="P13" s="3">
        <f t="shared" si="1"/>
        <v>0</v>
      </c>
      <c r="Q13" s="3">
        <f t="shared" si="1"/>
        <v>0</v>
      </c>
      <c r="R13" s="3">
        <f t="shared" si="1"/>
        <v>0</v>
      </c>
      <c r="S13" s="3">
        <f t="shared" si="1"/>
        <v>0</v>
      </c>
      <c r="T13" s="3">
        <f t="shared" si="1"/>
        <v>0</v>
      </c>
      <c r="U13" s="3">
        <f t="shared" si="1"/>
        <v>0</v>
      </c>
      <c r="V13" s="3">
        <f t="shared" si="1"/>
        <v>0</v>
      </c>
      <c r="W13" s="3">
        <f t="shared" si="1"/>
        <v>0</v>
      </c>
      <c r="X13" s="3">
        <f t="shared" si="1"/>
        <v>0</v>
      </c>
      <c r="Y13" s="3">
        <f t="shared" si="1"/>
        <v>0</v>
      </c>
      <c r="Z13" s="3">
        <f t="shared" si="1"/>
        <v>0</v>
      </c>
      <c r="AA13" s="3">
        <f t="shared" si="1"/>
        <v>0</v>
      </c>
      <c r="AB13" s="3">
        <f t="shared" si="1"/>
        <v>0</v>
      </c>
      <c r="AC13" s="3">
        <f t="shared" si="1"/>
        <v>0</v>
      </c>
      <c r="AD13" s="3">
        <f t="shared" si="1"/>
        <v>0</v>
      </c>
      <c r="AE13" s="3">
        <f t="shared" si="1"/>
        <v>0</v>
      </c>
      <c r="AF13" s="3">
        <f t="shared" si="1"/>
        <v>0</v>
      </c>
      <c r="AG13" s="3">
        <f t="shared" si="1"/>
        <v>0</v>
      </c>
      <c r="AH13" s="3">
        <f t="shared" si="1"/>
        <v>0</v>
      </c>
      <c r="AI13" s="3">
        <f t="shared" si="1"/>
        <v>0</v>
      </c>
      <c r="AJ13" s="3">
        <f t="shared" si="1"/>
        <v>0</v>
      </c>
      <c r="AK13" s="3">
        <f t="shared" si="1"/>
        <v>0</v>
      </c>
      <c r="AL13" s="3">
        <f t="shared" si="1"/>
        <v>0</v>
      </c>
      <c r="AM13" s="3">
        <f t="shared" si="1"/>
        <v>0</v>
      </c>
      <c r="AN13" s="3">
        <f t="shared" si="1"/>
        <v>0</v>
      </c>
      <c r="AO13" s="3">
        <f t="shared" si="1"/>
        <v>0</v>
      </c>
      <c r="AP13" s="3">
        <f t="shared" si="1"/>
        <v>0</v>
      </c>
      <c r="AQ13" s="3">
        <f t="shared" si="1"/>
        <v>0</v>
      </c>
      <c r="AR13" s="3">
        <f t="shared" si="1"/>
        <v>0</v>
      </c>
      <c r="AS13" s="3">
        <f t="shared" si="1"/>
        <v>0</v>
      </c>
    </row>
    <row r="14" spans="1:47" x14ac:dyDescent="0.25">
      <c r="A14" s="2" t="s">
        <v>600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>
        <f t="shared" si="0"/>
        <v>0</v>
      </c>
      <c r="AU14" t="s">
        <v>546</v>
      </c>
    </row>
    <row r="15" spans="1:47" x14ac:dyDescent="0.25">
      <c r="A15"/>
      <c r="AU15" t="s">
        <v>547</v>
      </c>
    </row>
    <row r="16" spans="1:47" s="1" customFormat="1" x14ac:dyDescent="0.25">
      <c r="A16" s="3" t="s">
        <v>601</v>
      </c>
      <c r="E16" s="1">
        <f>+E4*E21</f>
        <v>0</v>
      </c>
      <c r="F16" s="1">
        <f t="shared" ref="F16:AR16" si="2">+F4*F21</f>
        <v>0</v>
      </c>
      <c r="G16" s="1">
        <f t="shared" si="2"/>
        <v>0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  <c r="L16" s="1">
        <f t="shared" si="2"/>
        <v>0</v>
      </c>
      <c r="M16" s="1">
        <f t="shared" si="2"/>
        <v>21157.133333333335</v>
      </c>
      <c r="N16" s="1">
        <f t="shared" si="2"/>
        <v>12907.333333333332</v>
      </c>
      <c r="O16" s="1">
        <f t="shared" si="2"/>
        <v>13889</v>
      </c>
      <c r="P16" s="1">
        <f t="shared" si="2"/>
        <v>24403.599999999999</v>
      </c>
      <c r="Q16" s="1">
        <f>+Q4*Q21</f>
        <v>30867.399999999998</v>
      </c>
      <c r="R16" s="1">
        <f t="shared" si="2"/>
        <v>25870.399999999998</v>
      </c>
      <c r="S16" s="1">
        <f t="shared" si="2"/>
        <v>32400.066666666666</v>
      </c>
      <c r="T16" s="1">
        <f t="shared" si="2"/>
        <v>29732.466666666664</v>
      </c>
      <c r="U16" s="1">
        <f t="shared" si="2"/>
        <v>30535.533333333333</v>
      </c>
      <c r="V16" s="1">
        <f t="shared" si="2"/>
        <v>37389.466666666667</v>
      </c>
      <c r="W16" s="1">
        <f t="shared" si="2"/>
        <v>28954.733333333334</v>
      </c>
      <c r="X16" s="1">
        <f t="shared" si="2"/>
        <v>36481.26666666667</v>
      </c>
      <c r="Y16" s="1">
        <f t="shared" si="2"/>
        <v>34904.26666666667</v>
      </c>
      <c r="Z16" s="1">
        <f t="shared" si="2"/>
        <v>17645.333333333332</v>
      </c>
      <c r="AA16" s="1">
        <f t="shared" si="2"/>
        <v>13364</v>
      </c>
      <c r="AB16" s="1">
        <f t="shared" si="2"/>
        <v>10008.75</v>
      </c>
      <c r="AC16" s="1">
        <f t="shared" si="2"/>
        <v>9148.8333333333321</v>
      </c>
      <c r="AD16" s="1">
        <f t="shared" si="2"/>
        <v>5696.4166666666661</v>
      </c>
      <c r="AE16" s="1">
        <f t="shared" si="2"/>
        <v>5806.9166666666661</v>
      </c>
      <c r="AF16" s="1">
        <f t="shared" si="2"/>
        <v>4085.666666666667</v>
      </c>
      <c r="AG16" s="1">
        <f t="shared" si="2"/>
        <v>2487.666666666667</v>
      </c>
      <c r="AH16" s="1">
        <f t="shared" si="2"/>
        <v>2905.7000000000003</v>
      </c>
      <c r="AI16" s="1">
        <f t="shared" si="2"/>
        <v>11020.1</v>
      </c>
      <c r="AJ16" s="1">
        <f t="shared" si="2"/>
        <v>3679.9</v>
      </c>
      <c r="AK16" s="1">
        <f t="shared" si="2"/>
        <v>3795.8666666666668</v>
      </c>
      <c r="AL16" s="1">
        <f t="shared" si="2"/>
        <v>3836.7000000000003</v>
      </c>
      <c r="AM16" s="1">
        <f t="shared" si="2"/>
        <v>2641.5</v>
      </c>
      <c r="AN16" s="1">
        <f t="shared" si="2"/>
        <v>1437</v>
      </c>
      <c r="AO16" s="1">
        <f t="shared" si="2"/>
        <v>715.5</v>
      </c>
      <c r="AP16" s="1">
        <f t="shared" si="2"/>
        <v>0</v>
      </c>
      <c r="AQ16" s="1">
        <f t="shared" si="2"/>
        <v>0</v>
      </c>
      <c r="AR16" s="1">
        <f t="shared" si="2"/>
        <v>0</v>
      </c>
      <c r="AS16" s="1">
        <f>SUM(E16:AR16)</f>
        <v>457768.51666666666</v>
      </c>
      <c r="AT16" s="8">
        <f>+AS16/AS19</f>
        <v>0.4404097586878235</v>
      </c>
      <c r="AU16" s="8">
        <f>+AS16/Analysis!AQ6/6</f>
        <v>0.19164335501365903</v>
      </c>
    </row>
    <row r="17" spans="1:47" s="1" customFormat="1" x14ac:dyDescent="0.25">
      <c r="A17" s="3" t="s">
        <v>602</v>
      </c>
      <c r="E17" s="1">
        <f>+E5*E21</f>
        <v>0</v>
      </c>
      <c r="F17" s="1">
        <f t="shared" ref="F17:K17" si="3">+F5*F21</f>
        <v>0</v>
      </c>
      <c r="G17" s="1">
        <f t="shared" si="3"/>
        <v>0</v>
      </c>
      <c r="H17" s="1">
        <f t="shared" si="3"/>
        <v>0</v>
      </c>
      <c r="I17" s="1">
        <f t="shared" si="3"/>
        <v>0</v>
      </c>
      <c r="J17" s="1">
        <f t="shared" si="3"/>
        <v>0</v>
      </c>
      <c r="K17" s="1">
        <f t="shared" si="3"/>
        <v>0</v>
      </c>
      <c r="L17" s="1">
        <f t="shared" ref="L17:AB17" si="4">+L5*L21</f>
        <v>0</v>
      </c>
      <c r="M17" s="1">
        <f t="shared" si="4"/>
        <v>2836.7</v>
      </c>
      <c r="N17" s="1">
        <f t="shared" si="4"/>
        <v>16851.099999999999</v>
      </c>
      <c r="O17" s="1">
        <f t="shared" si="4"/>
        <v>10871.8</v>
      </c>
      <c r="P17" s="1">
        <f t="shared" si="4"/>
        <v>15866.9</v>
      </c>
      <c r="Q17" s="1">
        <f t="shared" si="4"/>
        <v>24276.3</v>
      </c>
      <c r="R17" s="1">
        <f t="shared" si="4"/>
        <v>41703.1</v>
      </c>
      <c r="S17" s="1">
        <f t="shared" si="4"/>
        <v>41480.799999999996</v>
      </c>
      <c r="T17" s="1">
        <f t="shared" si="4"/>
        <v>40677.1</v>
      </c>
      <c r="U17" s="1">
        <f t="shared" si="4"/>
        <v>42605.599999999999</v>
      </c>
      <c r="V17" s="1">
        <f t="shared" si="4"/>
        <v>41114.1</v>
      </c>
      <c r="W17" s="1">
        <f t="shared" si="4"/>
        <v>23588.5</v>
      </c>
      <c r="X17" s="1">
        <f t="shared" si="4"/>
        <v>29516.5</v>
      </c>
      <c r="Y17" s="1">
        <f t="shared" si="4"/>
        <v>22315.5</v>
      </c>
      <c r="Z17" s="1">
        <f t="shared" si="4"/>
        <v>18310</v>
      </c>
      <c r="AA17" s="1">
        <f t="shared" si="4"/>
        <v>5486</v>
      </c>
      <c r="AB17" s="1">
        <f t="shared" si="4"/>
        <v>3412.75</v>
      </c>
      <c r="AC17" s="1">
        <f t="shared" ref="AC17:AR17" si="5">+AC5*AC21</f>
        <v>1311.125</v>
      </c>
      <c r="AD17" s="1">
        <f t="shared" si="5"/>
        <v>125.375</v>
      </c>
      <c r="AE17" s="1">
        <f t="shared" si="5"/>
        <v>19.125</v>
      </c>
      <c r="AF17" s="1">
        <f t="shared" si="5"/>
        <v>0</v>
      </c>
      <c r="AG17" s="1">
        <f t="shared" si="5"/>
        <v>0</v>
      </c>
      <c r="AH17" s="1">
        <f t="shared" si="5"/>
        <v>0</v>
      </c>
      <c r="AI17" s="1">
        <f t="shared" si="5"/>
        <v>0</v>
      </c>
      <c r="AJ17" s="1">
        <f t="shared" si="5"/>
        <v>0</v>
      </c>
      <c r="AK17" s="1">
        <f t="shared" si="5"/>
        <v>0</v>
      </c>
      <c r="AL17" s="1">
        <f t="shared" si="5"/>
        <v>0</v>
      </c>
      <c r="AM17" s="1">
        <f t="shared" si="5"/>
        <v>0</v>
      </c>
      <c r="AN17" s="1">
        <f t="shared" si="5"/>
        <v>0</v>
      </c>
      <c r="AO17" s="1">
        <f t="shared" si="5"/>
        <v>0</v>
      </c>
      <c r="AP17" s="1">
        <f t="shared" si="5"/>
        <v>0</v>
      </c>
      <c r="AQ17" s="1">
        <f t="shared" si="5"/>
        <v>0</v>
      </c>
      <c r="AR17" s="1">
        <f t="shared" si="5"/>
        <v>0</v>
      </c>
      <c r="AS17" s="1">
        <f>SUM(E17:AR17)</f>
        <v>382368.375</v>
      </c>
      <c r="AT17" s="8">
        <f>+AS17/AS19</f>
        <v>0.36786881935401461</v>
      </c>
      <c r="AU17" s="8">
        <f>+AS17/Analysis!AQ21</f>
        <v>0.1160894226623838</v>
      </c>
    </row>
    <row r="18" spans="1:47" s="1" customFormat="1" x14ac:dyDescent="0.25">
      <c r="A18" s="3" t="s">
        <v>603</v>
      </c>
      <c r="E18" s="1">
        <f>+E6*E21</f>
        <v>0</v>
      </c>
      <c r="F18" s="1">
        <f t="shared" ref="F18:K18" si="6">+F6*F21</f>
        <v>0</v>
      </c>
      <c r="G18" s="1">
        <f t="shared" si="6"/>
        <v>0</v>
      </c>
      <c r="H18" s="1">
        <f t="shared" si="6"/>
        <v>11180</v>
      </c>
      <c r="I18" s="1">
        <f t="shared" si="6"/>
        <v>4484</v>
      </c>
      <c r="J18" s="1">
        <f t="shared" si="6"/>
        <v>852</v>
      </c>
      <c r="K18" s="1">
        <f t="shared" si="6"/>
        <v>2941.2</v>
      </c>
      <c r="L18" s="1">
        <f t="shared" ref="L18:AB18" si="7">+L6*L21</f>
        <v>6910.2999999999993</v>
      </c>
      <c r="M18" s="1">
        <f t="shared" si="7"/>
        <v>6534.0999999999995</v>
      </c>
      <c r="N18" s="1">
        <f t="shared" si="7"/>
        <v>6186.4</v>
      </c>
      <c r="O18" s="1">
        <f t="shared" si="7"/>
        <v>7410</v>
      </c>
      <c r="P18" s="1">
        <f t="shared" si="7"/>
        <v>5513.8</v>
      </c>
      <c r="Q18" s="1">
        <f t="shared" si="7"/>
        <v>8289.6999999999989</v>
      </c>
      <c r="R18" s="1">
        <f t="shared" si="7"/>
        <v>8802.6999999999989</v>
      </c>
      <c r="S18" s="1">
        <f t="shared" si="7"/>
        <v>9230.1999999999989</v>
      </c>
      <c r="T18" s="1">
        <f t="shared" si="7"/>
        <v>10332.199999999999</v>
      </c>
      <c r="U18" s="1">
        <f t="shared" si="7"/>
        <v>10579.199999999999</v>
      </c>
      <c r="V18" s="1">
        <f t="shared" si="7"/>
        <v>12361.4</v>
      </c>
      <c r="W18" s="1">
        <f t="shared" si="7"/>
        <v>9437.2999999999993</v>
      </c>
      <c r="X18" s="1">
        <f t="shared" si="7"/>
        <v>9340.4</v>
      </c>
      <c r="Y18" s="1">
        <f t="shared" si="7"/>
        <v>10799.6</v>
      </c>
      <c r="Z18" s="1">
        <f t="shared" si="7"/>
        <v>9474</v>
      </c>
      <c r="AA18" s="1">
        <f t="shared" si="7"/>
        <v>5658</v>
      </c>
      <c r="AB18" s="1">
        <f t="shared" si="7"/>
        <v>6551.375</v>
      </c>
      <c r="AC18" s="1">
        <f t="shared" ref="AC18:AR18" si="8">+AC6*AC21</f>
        <v>5199.875</v>
      </c>
      <c r="AD18" s="1">
        <f t="shared" si="8"/>
        <v>3774</v>
      </c>
      <c r="AE18" s="1">
        <f t="shared" si="8"/>
        <v>4175.625</v>
      </c>
      <c r="AF18" s="1">
        <f t="shared" si="8"/>
        <v>2076.125</v>
      </c>
      <c r="AG18" s="1">
        <f t="shared" si="8"/>
        <v>1697.875</v>
      </c>
      <c r="AH18" s="1">
        <f t="shared" si="8"/>
        <v>2231.9500000000003</v>
      </c>
      <c r="AI18" s="1">
        <f t="shared" si="8"/>
        <v>2646</v>
      </c>
      <c r="AJ18" s="1">
        <f t="shared" si="8"/>
        <v>2788.1000000000004</v>
      </c>
      <c r="AK18" s="1">
        <f t="shared" si="8"/>
        <v>5367.9500000000007</v>
      </c>
      <c r="AL18" s="1">
        <f t="shared" si="8"/>
        <v>2339.75</v>
      </c>
      <c r="AM18" s="1">
        <f t="shared" si="8"/>
        <v>1683</v>
      </c>
      <c r="AN18" s="1">
        <f t="shared" si="8"/>
        <v>1035</v>
      </c>
      <c r="AO18" s="1">
        <f t="shared" si="8"/>
        <v>976.5</v>
      </c>
      <c r="AP18" s="1">
        <f t="shared" si="8"/>
        <v>283.5</v>
      </c>
      <c r="AQ18" s="1">
        <f t="shared" si="8"/>
        <v>135</v>
      </c>
      <c r="AR18" s="1">
        <f t="shared" si="8"/>
        <v>0</v>
      </c>
      <c r="AS18" s="1">
        <f>SUM(E18:AR18)</f>
        <v>199278.125</v>
      </c>
      <c r="AT18" s="8">
        <f>+AS18/AS19</f>
        <v>0.19172142195816205</v>
      </c>
      <c r="AU18" s="8">
        <f>+AS18/Analysis!AQ36</f>
        <v>0.15171281866615099</v>
      </c>
    </row>
    <row r="19" spans="1:47" s="1" customFormat="1" x14ac:dyDescent="0.25">
      <c r="A19" s="3" t="s">
        <v>604</v>
      </c>
      <c r="E19" s="1">
        <f>SUM(E16:E18)</f>
        <v>0</v>
      </c>
      <c r="F19" s="1">
        <f t="shared" ref="F19:K19" si="9">SUM(F16:F18)</f>
        <v>0</v>
      </c>
      <c r="G19" s="1">
        <f t="shared" si="9"/>
        <v>0</v>
      </c>
      <c r="H19" s="1">
        <f t="shared" si="9"/>
        <v>11180</v>
      </c>
      <c r="I19" s="1">
        <f t="shared" si="9"/>
        <v>4484</v>
      </c>
      <c r="J19" s="1">
        <f t="shared" si="9"/>
        <v>852</v>
      </c>
      <c r="K19" s="1">
        <f t="shared" si="9"/>
        <v>2941.2</v>
      </c>
      <c r="L19" s="1">
        <f t="shared" ref="L19:AB19" si="10">SUM(L16:L18)</f>
        <v>6910.2999999999993</v>
      </c>
      <c r="M19" s="1">
        <f t="shared" si="10"/>
        <v>30527.933333333334</v>
      </c>
      <c r="N19" s="1">
        <f t="shared" si="10"/>
        <v>35944.833333333328</v>
      </c>
      <c r="O19" s="1">
        <f t="shared" si="10"/>
        <v>32170.799999999999</v>
      </c>
      <c r="P19" s="1">
        <f t="shared" si="10"/>
        <v>45784.3</v>
      </c>
      <c r="Q19" s="1">
        <f t="shared" si="10"/>
        <v>63433.399999999994</v>
      </c>
      <c r="R19" s="1">
        <f t="shared" si="10"/>
        <v>76376.2</v>
      </c>
      <c r="S19" s="1">
        <f t="shared" si="10"/>
        <v>83111.066666666666</v>
      </c>
      <c r="T19" s="1">
        <f t="shared" si="10"/>
        <v>80741.766666666663</v>
      </c>
      <c r="U19" s="1">
        <f t="shared" si="10"/>
        <v>83720.333333333328</v>
      </c>
      <c r="V19" s="1">
        <f t="shared" si="10"/>
        <v>90864.96666666666</v>
      </c>
      <c r="W19" s="1">
        <f t="shared" si="10"/>
        <v>61980.53333333334</v>
      </c>
      <c r="X19" s="1">
        <f t="shared" si="10"/>
        <v>75338.166666666657</v>
      </c>
      <c r="Y19" s="1">
        <f t="shared" si="10"/>
        <v>68019.366666666669</v>
      </c>
      <c r="Z19" s="1">
        <f t="shared" si="10"/>
        <v>45429.333333333328</v>
      </c>
      <c r="AA19" s="1">
        <f t="shared" si="10"/>
        <v>24508</v>
      </c>
      <c r="AB19" s="1">
        <f t="shared" si="10"/>
        <v>19972.875</v>
      </c>
      <c r="AC19" s="1">
        <f t="shared" ref="AC19:AR19" si="11">SUM(AC16:AC18)</f>
        <v>15659.833333333332</v>
      </c>
      <c r="AD19" s="1">
        <f t="shared" si="11"/>
        <v>9595.7916666666661</v>
      </c>
      <c r="AE19" s="1">
        <f t="shared" si="11"/>
        <v>10001.666666666666</v>
      </c>
      <c r="AF19" s="1">
        <f t="shared" si="11"/>
        <v>6161.791666666667</v>
      </c>
      <c r="AG19" s="1">
        <f t="shared" si="11"/>
        <v>4185.541666666667</v>
      </c>
      <c r="AH19" s="1">
        <f t="shared" si="11"/>
        <v>5137.6500000000005</v>
      </c>
      <c r="AI19" s="1">
        <f t="shared" si="11"/>
        <v>13666.1</v>
      </c>
      <c r="AJ19" s="1">
        <f t="shared" si="11"/>
        <v>6468</v>
      </c>
      <c r="AK19" s="1">
        <f t="shared" si="11"/>
        <v>9163.8166666666675</v>
      </c>
      <c r="AL19" s="1">
        <f t="shared" si="11"/>
        <v>6176.4500000000007</v>
      </c>
      <c r="AM19" s="1">
        <f t="shared" si="11"/>
        <v>4324.5</v>
      </c>
      <c r="AN19" s="1">
        <f t="shared" si="11"/>
        <v>2472</v>
      </c>
      <c r="AO19" s="1">
        <f t="shared" si="11"/>
        <v>1692</v>
      </c>
      <c r="AP19" s="1">
        <f t="shared" si="11"/>
        <v>283.5</v>
      </c>
      <c r="AQ19" s="1">
        <f t="shared" si="11"/>
        <v>135</v>
      </c>
      <c r="AR19" s="1">
        <f t="shared" si="11"/>
        <v>0</v>
      </c>
      <c r="AS19" s="1">
        <f>SUM(E19:AR19)</f>
        <v>1039415.0166666665</v>
      </c>
    </row>
    <row r="20" spans="1:47" s="1" customFormat="1" x14ac:dyDescent="0.25">
      <c r="A20"/>
    </row>
    <row r="21" spans="1:47" s="6" customFormat="1" x14ac:dyDescent="0.25">
      <c r="A21" s="7" t="s">
        <v>91</v>
      </c>
      <c r="E21" s="6">
        <v>3.5</v>
      </c>
      <c r="F21" s="6">
        <v>3.5</v>
      </c>
      <c r="G21" s="6">
        <v>3.5</v>
      </c>
      <c r="H21" s="6">
        <v>4</v>
      </c>
      <c r="I21" s="6">
        <v>4</v>
      </c>
      <c r="J21" s="6">
        <v>4</v>
      </c>
      <c r="K21" s="6">
        <v>3.8</v>
      </c>
      <c r="L21" s="6">
        <v>3.8</v>
      </c>
      <c r="M21" s="6">
        <v>3.8</v>
      </c>
      <c r="N21" s="6">
        <v>3.8</v>
      </c>
      <c r="O21" s="6">
        <v>3.8</v>
      </c>
      <c r="P21" s="6">
        <v>3.8</v>
      </c>
      <c r="Q21" s="6">
        <v>3.8</v>
      </c>
      <c r="R21" s="6">
        <v>3.8</v>
      </c>
      <c r="S21" s="6">
        <v>3.8</v>
      </c>
      <c r="T21" s="6">
        <v>3.8</v>
      </c>
      <c r="U21" s="6">
        <v>3.8</v>
      </c>
      <c r="V21" s="6">
        <v>3.8</v>
      </c>
      <c r="W21" s="6">
        <v>3.8</v>
      </c>
      <c r="X21" s="6">
        <v>3.8</v>
      </c>
      <c r="Y21" s="6">
        <v>3.8</v>
      </c>
      <c r="Z21" s="6">
        <v>4</v>
      </c>
      <c r="AA21" s="6">
        <v>4</v>
      </c>
      <c r="AB21" s="6">
        <v>4.25</v>
      </c>
      <c r="AC21" s="6">
        <v>4.25</v>
      </c>
      <c r="AD21" s="6">
        <v>4.25</v>
      </c>
      <c r="AE21" s="6">
        <v>4.25</v>
      </c>
      <c r="AF21" s="6">
        <v>4.25</v>
      </c>
      <c r="AG21" s="6">
        <v>4.25</v>
      </c>
      <c r="AH21" s="6">
        <v>4.9000000000000004</v>
      </c>
      <c r="AI21" s="6">
        <v>4.9000000000000004</v>
      </c>
      <c r="AJ21" s="6">
        <v>4.9000000000000004</v>
      </c>
      <c r="AK21" s="6">
        <v>4.9000000000000004</v>
      </c>
      <c r="AL21" s="6">
        <v>4.9000000000000004</v>
      </c>
      <c r="AM21" s="6">
        <v>4.5</v>
      </c>
      <c r="AN21" s="6">
        <v>4.5</v>
      </c>
      <c r="AO21" s="6">
        <v>4.5</v>
      </c>
      <c r="AP21" s="6">
        <v>4.5</v>
      </c>
      <c r="AQ21" s="6">
        <v>4.5</v>
      </c>
      <c r="AR21" s="6">
        <v>4.5</v>
      </c>
      <c r="AS21" s="6">
        <f>+AS19/SUM(AS4:AS6)</f>
        <v>3.8812865864663526</v>
      </c>
    </row>
    <row r="22" spans="1:47" x14ac:dyDescent="0.25">
      <c r="B22" s="2"/>
    </row>
    <row r="23" spans="1:47" x14ac:dyDescent="0.25">
      <c r="A23" s="2" t="s">
        <v>157</v>
      </c>
      <c r="B23" s="2"/>
      <c r="D23" s="107" t="s">
        <v>477</v>
      </c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</row>
    <row r="24" spans="1:47" x14ac:dyDescent="0.25">
      <c r="B24" t="s">
        <v>89</v>
      </c>
      <c r="C24" s="5">
        <v>1</v>
      </c>
      <c r="E24" s="1">
        <v>0</v>
      </c>
      <c r="F24" s="1">
        <v>0</v>
      </c>
      <c r="G24" s="1">
        <v>0</v>
      </c>
      <c r="H24" s="117">
        <f>6801.06-I24</f>
        <v>3830.3400000000006</v>
      </c>
      <c r="I24" s="117">
        <v>2970.72</v>
      </c>
      <c r="J24" s="1">
        <v>676.41</v>
      </c>
      <c r="K24" s="1">
        <v>513.65</v>
      </c>
      <c r="L24" s="1">
        <f>681.37+1579.13</f>
        <v>2260.5</v>
      </c>
      <c r="M24" s="1">
        <v>89.7</v>
      </c>
      <c r="N24" s="1">
        <v>68.95</v>
      </c>
      <c r="O24" s="1">
        <f>87.2+206.85</f>
        <v>294.05</v>
      </c>
      <c r="P24" s="1">
        <v>0</v>
      </c>
      <c r="Q24" s="1">
        <f>68.95+89.7</f>
        <v>158.65</v>
      </c>
      <c r="R24" s="1">
        <v>317.3</v>
      </c>
      <c r="S24" s="1">
        <f>169.15+179.4</f>
        <v>348.55</v>
      </c>
      <c r="T24" s="1">
        <v>624.35</v>
      </c>
      <c r="U24" s="1">
        <f>13013.78-580.68-251.56-387.12-486.22</f>
        <v>11308.2</v>
      </c>
      <c r="V24" s="1">
        <f>87.92+13719.26+6306.17-2516.28-577.68</f>
        <v>17019.39</v>
      </c>
      <c r="W24" s="1">
        <v>0</v>
      </c>
      <c r="X24" s="1">
        <v>12437.31</v>
      </c>
      <c r="Y24" s="1">
        <v>12600.03</v>
      </c>
      <c r="Z24" s="1">
        <v>0</v>
      </c>
      <c r="AA24" s="1">
        <v>0</v>
      </c>
      <c r="AB24" s="1">
        <v>0</v>
      </c>
      <c r="AC24" s="1">
        <v>3873.65</v>
      </c>
      <c r="AD24" s="1">
        <v>2142.39</v>
      </c>
      <c r="AE24" s="1">
        <v>1468.29</v>
      </c>
      <c r="AF24" s="1">
        <v>3015.03</v>
      </c>
      <c r="AG24" s="1">
        <v>1645.09</v>
      </c>
      <c r="AH24" s="1">
        <v>2687.6</v>
      </c>
      <c r="AI24" s="1">
        <v>2678.37</v>
      </c>
      <c r="AJ24" s="1">
        <v>1437.12</v>
      </c>
      <c r="AK24" s="1">
        <v>6462.15</v>
      </c>
      <c r="AL24" s="1">
        <v>4282.4399999999996</v>
      </c>
      <c r="AM24" s="1">
        <v>3605.11</v>
      </c>
      <c r="AN24" s="1">
        <v>2052.48</v>
      </c>
      <c r="AO24" s="1">
        <v>1471.85</v>
      </c>
      <c r="AP24" s="1">
        <v>200.56</v>
      </c>
      <c r="AQ24" s="1">
        <v>102.77</v>
      </c>
      <c r="AR24" s="1">
        <v>0</v>
      </c>
      <c r="AS24" s="1">
        <f t="shared" ref="AS24:AS34" si="12">SUM(E24:AR24)</f>
        <v>102642.99999999997</v>
      </c>
    </row>
    <row r="25" spans="1:47" x14ac:dyDescent="0.25">
      <c r="B25" t="s">
        <v>89</v>
      </c>
      <c r="C25" s="5">
        <v>2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11819</v>
      </c>
      <c r="N25" s="1">
        <v>20639.41</v>
      </c>
      <c r="O25" s="1">
        <v>19331.27</v>
      </c>
      <c r="P25" s="1">
        <v>0</v>
      </c>
      <c r="Q25" s="1">
        <v>42578.58</v>
      </c>
      <c r="R25" s="1">
        <v>33866.769999999997</v>
      </c>
      <c r="S25" s="1">
        <v>37627.31</v>
      </c>
      <c r="T25" s="1">
        <v>40652.75</v>
      </c>
      <c r="U25" s="1">
        <f>9105.72-192.56-557.68</f>
        <v>8355.48</v>
      </c>
      <c r="V25" s="1">
        <v>0</v>
      </c>
      <c r="W25" s="1">
        <v>9915.11</v>
      </c>
      <c r="X25" s="1">
        <v>6709.95</v>
      </c>
      <c r="Y25" s="1">
        <v>14915.79</v>
      </c>
      <c r="Z25" s="1">
        <v>11009.09</v>
      </c>
      <c r="AA25" s="1">
        <v>5574.64</v>
      </c>
      <c r="AB25" s="1">
        <v>6255.24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f t="shared" si="12"/>
        <v>269250.39</v>
      </c>
    </row>
    <row r="26" spans="1:47" x14ac:dyDescent="0.25">
      <c r="B26" t="s">
        <v>89</v>
      </c>
      <c r="C26" s="5">
        <v>3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f>8519.93-193.56-251.56-387.12-387.12</f>
        <v>7300.5700000000006</v>
      </c>
      <c r="V26" s="1">
        <v>12614.18</v>
      </c>
      <c r="W26" s="1">
        <v>7587.08</v>
      </c>
      <c r="X26" s="1">
        <v>8600.4699999999993</v>
      </c>
      <c r="Y26" s="1">
        <v>755.41</v>
      </c>
      <c r="Z26" s="1">
        <v>3038.67</v>
      </c>
      <c r="AA26" s="1">
        <v>5437.53</v>
      </c>
      <c r="AB26" s="1">
        <v>0</v>
      </c>
      <c r="AC26" s="1">
        <v>2693.15</v>
      </c>
      <c r="AD26" s="1">
        <v>3429.88</v>
      </c>
      <c r="AE26" s="1">
        <v>995.64</v>
      </c>
      <c r="AF26" s="1">
        <v>1642.19</v>
      </c>
      <c r="AG26" s="1">
        <v>1615.84</v>
      </c>
      <c r="AH26" s="1">
        <v>980.05</v>
      </c>
      <c r="AI26" s="1">
        <v>1825.7</v>
      </c>
      <c r="AJ26" s="1">
        <v>2566.86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f t="shared" si="12"/>
        <v>61083.22</v>
      </c>
    </row>
    <row r="27" spans="1:47" x14ac:dyDescent="0.25">
      <c r="B27" t="s">
        <v>89</v>
      </c>
      <c r="C27" s="5">
        <v>4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f>15582.18-387-387</f>
        <v>14808.18</v>
      </c>
      <c r="U27" s="1">
        <f>15944.11-193.56-580.68</f>
        <v>15169.87</v>
      </c>
      <c r="V27" s="1">
        <v>6959.9139999999998</v>
      </c>
      <c r="W27" s="1">
        <v>8800.09</v>
      </c>
      <c r="X27" s="1">
        <v>10942.33</v>
      </c>
      <c r="Y27" s="1">
        <v>7156.03</v>
      </c>
      <c r="Z27" s="1">
        <v>3330.42</v>
      </c>
      <c r="AA27" s="1">
        <v>1702.97</v>
      </c>
      <c r="AB27" s="1">
        <v>2870.93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f t="shared" si="12"/>
        <v>71740.733999999997</v>
      </c>
    </row>
    <row r="28" spans="1:47" x14ac:dyDescent="0.25">
      <c r="B28" t="s">
        <v>89</v>
      </c>
      <c r="C28" s="5">
        <v>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>
        <f t="shared" si="12"/>
        <v>0</v>
      </c>
    </row>
    <row r="29" spans="1:47" x14ac:dyDescent="0.25">
      <c r="B29" t="s">
        <v>608</v>
      </c>
      <c r="C29" s="5"/>
      <c r="E29" s="1"/>
      <c r="F29" s="1"/>
      <c r="G29" s="1"/>
      <c r="H29" s="1">
        <f>389.2+35.61+1021.65+93.48+2919+267.09+1410.85+129.09</f>
        <v>6265.9700000000012</v>
      </c>
      <c r="I29" s="1"/>
      <c r="J29" s="1"/>
      <c r="K29" s="1">
        <v>1265.48</v>
      </c>
      <c r="L29" s="1">
        <v>3026.14</v>
      </c>
      <c r="M29" s="1">
        <f>2270.06+233.82+300.66+30.97+110.54+221.09+233.05+24</f>
        <v>3424.19</v>
      </c>
      <c r="N29" s="1">
        <f>6346.47+675.26+2104.62+223.93+450.99+47.99+1302.86+138.62</f>
        <v>11290.740000000002</v>
      </c>
      <c r="O29" s="1">
        <f>450.99+49.92+1202.64+133.13+2287.56+253.23</f>
        <v>4377.4699999999993</v>
      </c>
      <c r="P29" s="1">
        <f>206.85+2806.16+302.5+501.1+54.02</f>
        <v>3870.6299999999997</v>
      </c>
      <c r="Q29" s="1">
        <f>7680.66+830.28+1302.86+140.84</f>
        <v>9954.6400000000012</v>
      </c>
      <c r="R29" s="1">
        <f>801.76+86.67+2004.4+216.68+6885.9+744.37+12124.06+1310.61+12353.61+1335.43</f>
        <v>37863.49</v>
      </c>
      <c r="S29" s="1">
        <f>100.22+10.93+11760.4+1283.06+3021.71+329.67+625+73.75+1428.61+168.58</f>
        <v>18801.93</v>
      </c>
      <c r="T29" s="1">
        <f>4309.29+494.28+601.32+68.97+18979.4+2176.94+1002.2+114.95-2073.07</f>
        <v>25674.280000000002</v>
      </c>
      <c r="U29" s="1">
        <f>601.32+70.76+1603.52+189.22+3691.75+435.63+15635.91+181.24</f>
        <v>22409.350000000002</v>
      </c>
      <c r="V29" s="1">
        <f>1957.62+233.74+18174.24+2144.56</f>
        <v>22510.160000000003</v>
      </c>
      <c r="W29" s="1">
        <f>851.87+101.71+1453.19+173.51+13343.86+1593.26</f>
        <v>17517.399999999998</v>
      </c>
      <c r="X29" s="1">
        <f>2276.31+1958.87+1503.3+175.74+6541.02+764.65</f>
        <v>13219.890000000001</v>
      </c>
      <c r="Y29" s="1">
        <f>1846.91+18542.34+2167.6</f>
        <v>22556.85</v>
      </c>
      <c r="Z29" s="1">
        <f>3695.25+423.11+1352.97+154.92+701.54+80.33</f>
        <v>6408.12</v>
      </c>
      <c r="AA29" s="1">
        <f>651.43+69.25+2031.8+1219.61</f>
        <v>3972.09</v>
      </c>
      <c r="AB29" s="1">
        <f>1718.53+831.55</f>
        <v>2550.08</v>
      </c>
      <c r="AC29" s="1">
        <f>2434.39+250.26+751.65+77.27+55.26+771.06+826.14</f>
        <v>5166.03</v>
      </c>
      <c r="AD29" s="1">
        <f>110.15+440.61+1101.52+450.99+44.69</f>
        <v>2147.96</v>
      </c>
      <c r="AE29" s="1">
        <f>3457.59+337.12+1553.41+151.46+701.54+68.4+200.44+19.54</f>
        <v>6489.4999999999991</v>
      </c>
      <c r="AF29" s="1">
        <f>109.98+501.1+48.81</f>
        <v>659.8900000000001</v>
      </c>
      <c r="AG29" s="1">
        <f>300.66+29.28+100.22+9.76+50.11+4.88</f>
        <v>494.91000000000008</v>
      </c>
      <c r="AH29" s="1"/>
      <c r="AI29" s="1">
        <f>150.33+14.85+100.22+9.9+501.1+49.51+300.66+29.71+100.22+9.9</f>
        <v>1266.4000000000001</v>
      </c>
      <c r="AJ29" s="1">
        <f>100.22+9.49+54.86+164.57+767.98</f>
        <v>1097.1199999999999</v>
      </c>
      <c r="AK29" s="1"/>
      <c r="AL29" s="1"/>
      <c r="AM29" s="1"/>
      <c r="AN29" s="1"/>
      <c r="AO29" s="1"/>
      <c r="AP29" s="1"/>
      <c r="AQ29" s="1"/>
      <c r="AR29" s="1"/>
      <c r="AS29" s="1">
        <f t="shared" si="12"/>
        <v>254280.71</v>
      </c>
    </row>
    <row r="30" spans="1:47" x14ac:dyDescent="0.25">
      <c r="B30" t="s">
        <v>608</v>
      </c>
      <c r="C30" s="5"/>
      <c r="E30" s="1"/>
      <c r="F30" s="1"/>
      <c r="G30" s="1"/>
      <c r="H30" s="1"/>
      <c r="I30" s="1"/>
      <c r="J30" s="1"/>
      <c r="K30" s="1">
        <f>495.19+273.3+165.06</f>
        <v>933.55</v>
      </c>
      <c r="L30" s="1">
        <f>605.23+386.95+110.04</f>
        <v>1102.22</v>
      </c>
      <c r="M30" s="1">
        <f>651.43+67.1+11550.74+1189.73+400.88+41.29+283.16+29.17</f>
        <v>14213.5</v>
      </c>
      <c r="N30" s="1"/>
      <c r="O30" s="1">
        <f>6764.85+748.87</f>
        <v>7513.72</v>
      </c>
      <c r="P30" s="1">
        <f>1352.97+145.85+634.6+9583.73+1033.13</f>
        <v>12750.279999999999</v>
      </c>
      <c r="Q30" s="1">
        <f>1936.79+209.37+501.1+54.17+551.21+59.42+300.66+32.41</f>
        <v>3645.1299999999997</v>
      </c>
      <c r="R30" s="1"/>
      <c r="S30" s="1">
        <f>13930.01+1519.76+2037.01+222.24+1530.3+164.01+450.99+49.2+55.85</f>
        <v>19959.37</v>
      </c>
      <c r="T30" s="1">
        <f>6381.27+731.93</f>
        <v>7113.2000000000007</v>
      </c>
      <c r="U30" s="1">
        <f>4724.17-557.45+112.19</f>
        <v>4278.91</v>
      </c>
      <c r="V30" s="1">
        <f>1279.47+152.77+400.88+47.87+100.22+11.97+300.66+35.9+3119.54+372.47+2054.51+245.31+701.54+83.76+7422+886.19+5224.16+623.76+1067.42+127.45+624.7</f>
        <v>24882.550000000003</v>
      </c>
      <c r="W30" s="1">
        <f>651.43+77.78+1453.19+173.51+3720.3+14509.39</f>
        <v>20585.599999999999</v>
      </c>
      <c r="X30" s="1">
        <f>3682.56+15244.26+2079.3</f>
        <v>21006.12</v>
      </c>
      <c r="Y30" s="1">
        <v>372.23</v>
      </c>
      <c r="Z30" s="1">
        <f>4289.8+19050.68+2181.3</f>
        <v>25521.78</v>
      </c>
      <c r="AA30" s="1">
        <v>7315</v>
      </c>
      <c r="AB30" s="1">
        <v>6629.17</v>
      </c>
      <c r="AC30" s="1">
        <f>2092.88+400.88+39.73+530.11</f>
        <v>3063.6000000000004</v>
      </c>
      <c r="AD30" s="1">
        <f>150.33+14.9+3560.77+34.76+250.55+24.83+46.09</f>
        <v>4082.2300000000005</v>
      </c>
      <c r="AE30" s="1"/>
      <c r="AF30" s="1">
        <f>150.33+14.64+200.44+19.52+100.22+9.76</f>
        <v>494.90999999999997</v>
      </c>
      <c r="AG30" s="1"/>
      <c r="AH30" s="1"/>
      <c r="AI30" s="1">
        <f>2705.94+267.35+601.32+59.41+250.55+24.75+100.22+9.9+1854.07+183.18+100.22+9.9+501.1+49.51</f>
        <v>6717.420000000001</v>
      </c>
      <c r="AJ30" s="1"/>
      <c r="AK30" s="1"/>
      <c r="AL30" s="1"/>
      <c r="AM30" s="1"/>
      <c r="AN30" s="1"/>
      <c r="AO30" s="1"/>
      <c r="AP30" s="1"/>
      <c r="AQ30" s="1"/>
      <c r="AR30" s="1"/>
      <c r="AS30" s="1">
        <f t="shared" si="12"/>
        <v>192180.49000000005</v>
      </c>
    </row>
    <row r="31" spans="1:47" x14ac:dyDescent="0.25">
      <c r="B31" t="s">
        <v>326</v>
      </c>
      <c r="C31" s="5"/>
      <c r="E31" s="1"/>
      <c r="F31" s="1"/>
      <c r="G31" s="1"/>
      <c r="H31" s="1"/>
      <c r="I31" s="1"/>
      <c r="J31" s="1"/>
      <c r="K31" s="1">
        <v>0</v>
      </c>
      <c r="L31" s="1"/>
      <c r="M31" s="1"/>
      <c r="N31" s="1"/>
      <c r="O31" s="1"/>
      <c r="P31" s="1">
        <v>26181.03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>
        <f t="shared" si="12"/>
        <v>26181.03</v>
      </c>
    </row>
    <row r="32" spans="1:47" x14ac:dyDescent="0.25">
      <c r="B32" t="s">
        <v>609</v>
      </c>
      <c r="C32" s="5"/>
      <c r="E32" s="1"/>
      <c r="F32" s="1"/>
      <c r="G32" s="1"/>
      <c r="H32" s="1">
        <v>460.1</v>
      </c>
      <c r="I32" s="1"/>
      <c r="J32" s="1"/>
      <c r="K32" s="1"/>
      <c r="L32" s="1"/>
      <c r="M32" s="1">
        <f>234.12+78.01+156.02+210+23.96</f>
        <v>702.11</v>
      </c>
      <c r="N32" s="1">
        <v>233.12</v>
      </c>
      <c r="O32" s="1">
        <f>395.56+232.4</f>
        <v>627.96</v>
      </c>
      <c r="P32" s="1">
        <f>395.56+348.1</f>
        <v>743.66000000000008</v>
      </c>
      <c r="Q32" s="1"/>
      <c r="R32" s="1">
        <f>78.01+131.85+527.41+234.03+659.26+156.02</f>
        <v>1786.58</v>
      </c>
      <c r="S32" s="1">
        <f>420+45.47+156.02+234.03+169.4+350.41</f>
        <v>1375.3300000000002</v>
      </c>
      <c r="T32" s="1">
        <f>234.03+234.03</f>
        <v>468.06</v>
      </c>
      <c r="U32" s="1">
        <f>156.02+1046.79</f>
        <v>1202.81</v>
      </c>
      <c r="V32" s="1">
        <f>234.03+234.03+578.25</f>
        <v>1046.31</v>
      </c>
      <c r="W32" s="1">
        <v>115.08</v>
      </c>
      <c r="X32" s="1">
        <f>263.7+229.42</f>
        <v>493.12</v>
      </c>
      <c r="Y32" s="1">
        <f>390.04+229.55</f>
        <v>619.59</v>
      </c>
      <c r="Z32" s="1">
        <v>459.22</v>
      </c>
      <c r="AA32" s="1">
        <f>420+38.56</f>
        <v>458.56</v>
      </c>
      <c r="AB32" s="1">
        <f>210+15.72+261.44</f>
        <v>487.15999999999997</v>
      </c>
      <c r="AC32" s="1">
        <v>228.46</v>
      </c>
      <c r="AD32" s="1"/>
      <c r="AE32" s="1">
        <v>461.6</v>
      </c>
      <c r="AF32" s="1"/>
      <c r="AG32" s="1">
        <v>115.46</v>
      </c>
      <c r="AH32" s="1"/>
      <c r="AI32" s="1"/>
      <c r="AJ32" s="1"/>
      <c r="AK32" s="1">
        <v>130.72</v>
      </c>
      <c r="AL32" s="1"/>
      <c r="AM32" s="1"/>
      <c r="AN32" s="1"/>
      <c r="AO32" s="1"/>
      <c r="AP32" s="1"/>
      <c r="AQ32" s="1"/>
      <c r="AR32" s="1"/>
      <c r="AS32" s="1">
        <f t="shared" si="12"/>
        <v>12215.009999999997</v>
      </c>
    </row>
    <row r="33" spans="1:47" x14ac:dyDescent="0.25">
      <c r="B33" t="s">
        <v>605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>
        <f t="shared" si="12"/>
        <v>0</v>
      </c>
    </row>
    <row r="34" spans="1:47" s="2" customFormat="1" x14ac:dyDescent="0.25">
      <c r="B34" s="2" t="s">
        <v>90</v>
      </c>
      <c r="E34" s="3">
        <f>SUM(E24:E33)</f>
        <v>0</v>
      </c>
      <c r="F34" s="3">
        <f t="shared" ref="F34:K34" si="13">SUM(F24:F33)</f>
        <v>0</v>
      </c>
      <c r="G34" s="3">
        <f t="shared" si="13"/>
        <v>0</v>
      </c>
      <c r="H34" s="3">
        <f t="shared" si="13"/>
        <v>10556.410000000002</v>
      </c>
      <c r="I34" s="3">
        <f t="shared" si="13"/>
        <v>2970.72</v>
      </c>
      <c r="J34" s="3">
        <f t="shared" si="13"/>
        <v>676.41</v>
      </c>
      <c r="K34" s="3">
        <f t="shared" si="13"/>
        <v>2712.6800000000003</v>
      </c>
      <c r="L34" s="3">
        <f>SUM(L24:L33)</f>
        <v>6388.86</v>
      </c>
      <c r="M34" s="3">
        <f>SUM(M24:M33)</f>
        <v>30248.5</v>
      </c>
      <c r="N34" s="3">
        <f>SUM(N24:N33)</f>
        <v>32232.22</v>
      </c>
      <c r="O34" s="3">
        <f t="shared" ref="O34:AD34" si="14">SUM(O24:O33)</f>
        <v>32144.47</v>
      </c>
      <c r="P34" s="3">
        <f t="shared" si="14"/>
        <v>43545.600000000006</v>
      </c>
      <c r="Q34" s="3">
        <f t="shared" si="14"/>
        <v>56337</v>
      </c>
      <c r="R34" s="3">
        <f t="shared" si="14"/>
        <v>73834.14</v>
      </c>
      <c r="S34" s="3">
        <f t="shared" si="14"/>
        <v>78112.490000000005</v>
      </c>
      <c r="T34" s="3">
        <f t="shared" si="14"/>
        <v>89340.819999999992</v>
      </c>
      <c r="U34" s="3">
        <f t="shared" si="14"/>
        <v>70025.19</v>
      </c>
      <c r="V34" s="3">
        <f t="shared" si="14"/>
        <v>85032.504000000001</v>
      </c>
      <c r="W34" s="3">
        <f t="shared" si="14"/>
        <v>64520.36</v>
      </c>
      <c r="X34" s="3">
        <f t="shared" si="14"/>
        <v>73409.189999999988</v>
      </c>
      <c r="Y34" s="3">
        <f t="shared" si="14"/>
        <v>58975.93</v>
      </c>
      <c r="Z34" s="3">
        <f t="shared" si="14"/>
        <v>49767.3</v>
      </c>
      <c r="AA34" s="3">
        <f t="shared" si="14"/>
        <v>24460.79</v>
      </c>
      <c r="AB34" s="3">
        <f t="shared" si="14"/>
        <v>18792.579999999998</v>
      </c>
      <c r="AC34" s="3">
        <f t="shared" si="14"/>
        <v>15024.89</v>
      </c>
      <c r="AD34" s="3">
        <f t="shared" si="14"/>
        <v>11802.460000000001</v>
      </c>
      <c r="AE34" s="3">
        <f t="shared" ref="AE34:AR34" si="15">SUM(AE24:AE33)</f>
        <v>9415.0299999999988</v>
      </c>
      <c r="AF34" s="3">
        <f t="shared" si="15"/>
        <v>5812.02</v>
      </c>
      <c r="AG34" s="3">
        <f t="shared" si="15"/>
        <v>3871.3</v>
      </c>
      <c r="AH34" s="3">
        <f t="shared" si="15"/>
        <v>3667.6499999999996</v>
      </c>
      <c r="AI34" s="3">
        <f t="shared" si="15"/>
        <v>12487.89</v>
      </c>
      <c r="AJ34" s="3">
        <f t="shared" si="15"/>
        <v>5101.1000000000004</v>
      </c>
      <c r="AK34" s="3">
        <f t="shared" si="15"/>
        <v>6592.87</v>
      </c>
      <c r="AL34" s="3">
        <f t="shared" si="15"/>
        <v>4282.4399999999996</v>
      </c>
      <c r="AM34" s="3">
        <f t="shared" si="15"/>
        <v>3605.11</v>
      </c>
      <c r="AN34" s="3">
        <f t="shared" si="15"/>
        <v>2052.48</v>
      </c>
      <c r="AO34" s="3">
        <f t="shared" si="15"/>
        <v>1471.85</v>
      </c>
      <c r="AP34" s="3">
        <f t="shared" si="15"/>
        <v>200.56</v>
      </c>
      <c r="AQ34" s="3">
        <f t="shared" si="15"/>
        <v>102.77</v>
      </c>
      <c r="AR34" s="3">
        <f t="shared" si="15"/>
        <v>0</v>
      </c>
      <c r="AS34" s="1">
        <f t="shared" si="12"/>
        <v>989574.58400000003</v>
      </c>
    </row>
    <row r="35" spans="1:47" s="2" customFormat="1" x14ac:dyDescent="0.25">
      <c r="B35" s="2" t="s">
        <v>92</v>
      </c>
      <c r="E35" s="7" t="e">
        <f>+E34/(E4+E5+E6)</f>
        <v>#DIV/0!</v>
      </c>
      <c r="F35" s="7" t="e">
        <f t="shared" ref="F35:K35" si="16">+F34/(F4+F5+F6)</f>
        <v>#DIV/0!</v>
      </c>
      <c r="G35" s="7" t="e">
        <f t="shared" si="16"/>
        <v>#DIV/0!</v>
      </c>
      <c r="H35" s="7">
        <f t="shared" si="16"/>
        <v>3.7768908765652958</v>
      </c>
      <c r="I35" s="7">
        <f t="shared" si="16"/>
        <v>2.6500624442462084</v>
      </c>
      <c r="J35" s="7">
        <f t="shared" si="16"/>
        <v>3.1756338028169013</v>
      </c>
      <c r="K35" s="7">
        <f t="shared" si="16"/>
        <v>3.5047545219638248</v>
      </c>
      <c r="L35" s="7">
        <f>+L34/(L4+L5+L6)</f>
        <v>3.5132581798185316</v>
      </c>
      <c r="M35" s="7">
        <f>+M34/(M4+M5+M6)</f>
        <v>3.7652172109041118</v>
      </c>
      <c r="N35" s="7">
        <f t="shared" ref="N35:AS35" si="17">+N34/(N4+N5+N6)</f>
        <v>3.4075115848823896</v>
      </c>
      <c r="O35" s="7">
        <f t="shared" si="17"/>
        <v>3.796889912591543</v>
      </c>
      <c r="P35" s="7">
        <f t="shared" si="17"/>
        <v>3.6141926380877294</v>
      </c>
      <c r="Q35" s="7">
        <f>+Q34/(Q4+Q5+Q6)</f>
        <v>3.3748876774695979</v>
      </c>
      <c r="R35" s="7">
        <f t="shared" si="17"/>
        <v>3.6735230608487983</v>
      </c>
      <c r="S35" s="7">
        <f t="shared" si="17"/>
        <v>3.5714553296552563</v>
      </c>
      <c r="T35" s="7">
        <f t="shared" si="17"/>
        <v>4.2047025971275502</v>
      </c>
      <c r="U35" s="7">
        <f t="shared" si="17"/>
        <v>3.1783882290642258</v>
      </c>
      <c r="V35" s="7">
        <f t="shared" si="17"/>
        <v>3.556084672163712</v>
      </c>
      <c r="W35" s="7">
        <f t="shared" si="17"/>
        <v>3.955715687075942</v>
      </c>
      <c r="X35" s="7">
        <f t="shared" si="17"/>
        <v>3.7027038796183418</v>
      </c>
      <c r="Y35" s="7">
        <f t="shared" si="17"/>
        <v>3.2947753703479545</v>
      </c>
      <c r="Z35" s="7">
        <f t="shared" si="17"/>
        <v>4.3819529232214141</v>
      </c>
      <c r="AA35" s="7">
        <f t="shared" si="17"/>
        <v>3.9922947608944019</v>
      </c>
      <c r="AB35" s="7">
        <f t="shared" si="17"/>
        <v>3.9988466858176399</v>
      </c>
      <c r="AC35" s="7">
        <f t="shared" si="17"/>
        <v>4.0776795730052466</v>
      </c>
      <c r="AD35" s="7">
        <f t="shared" si="17"/>
        <v>5.2273388942201233</v>
      </c>
      <c r="AE35" s="7">
        <f t="shared" si="17"/>
        <v>4.0007209631728049</v>
      </c>
      <c r="AF35" s="7">
        <f t="shared" si="17"/>
        <v>4.0087504310840325</v>
      </c>
      <c r="AG35" s="7">
        <f t="shared" si="17"/>
        <v>3.9309189372144187</v>
      </c>
      <c r="AH35" s="7">
        <f t="shared" si="17"/>
        <v>3.4979971387696707</v>
      </c>
      <c r="AI35" s="7">
        <f t="shared" si="17"/>
        <v>4.4775510935819289</v>
      </c>
      <c r="AJ35" s="7">
        <f t="shared" si="17"/>
        <v>3.8644696969696972</v>
      </c>
      <c r="AK35" s="7">
        <f t="shared" si="17"/>
        <v>3.525284733980929</v>
      </c>
      <c r="AL35" s="7">
        <f t="shared" si="17"/>
        <v>3.3974137247124152</v>
      </c>
      <c r="AM35" s="7">
        <f t="shared" si="17"/>
        <v>3.7514151925078045</v>
      </c>
      <c r="AN35" s="7">
        <f t="shared" si="17"/>
        <v>3.736310679611651</v>
      </c>
      <c r="AO35" s="7">
        <f t="shared" si="17"/>
        <v>3.9144946808510634</v>
      </c>
      <c r="AP35" s="7">
        <f t="shared" si="17"/>
        <v>3.1834920634920634</v>
      </c>
      <c r="AQ35" s="7">
        <f t="shared" si="17"/>
        <v>3.4256666666666664</v>
      </c>
      <c r="AR35" s="7" t="e">
        <f t="shared" si="17"/>
        <v>#DIV/0!</v>
      </c>
      <c r="AS35" s="7">
        <f t="shared" si="17"/>
        <v>3.6951770925000473</v>
      </c>
      <c r="AT35"/>
    </row>
    <row r="36" spans="1:47" s="24" customFormat="1" x14ac:dyDescent="0.25">
      <c r="B36" s="62"/>
      <c r="C36" s="63"/>
      <c r="D36" s="63" t="s">
        <v>171</v>
      </c>
      <c r="E36" s="64">
        <f>+E19-E34</f>
        <v>0</v>
      </c>
      <c r="F36" s="64"/>
      <c r="G36" s="64"/>
      <c r="H36" s="64">
        <f t="shared" ref="H36:K36" si="18">+H19-H34</f>
        <v>623.58999999999833</v>
      </c>
      <c r="I36" s="64">
        <f t="shared" si="18"/>
        <v>1513.2800000000002</v>
      </c>
      <c r="J36" s="64">
        <f t="shared" si="18"/>
        <v>175.59000000000003</v>
      </c>
      <c r="K36" s="64">
        <f t="shared" si="18"/>
        <v>228.51999999999953</v>
      </c>
      <c r="L36" s="64">
        <f>+L19-L34</f>
        <v>521.4399999999996</v>
      </c>
      <c r="M36" s="64">
        <f>+M19-M34</f>
        <v>279.4333333333343</v>
      </c>
      <c r="N36" s="64">
        <f>+N19-N34</f>
        <v>3712.6133333333273</v>
      </c>
      <c r="O36" s="64">
        <f t="shared" ref="O36:AQ36" si="19">+O19-O34</f>
        <v>26.329999999998108</v>
      </c>
      <c r="P36" s="64">
        <f t="shared" si="19"/>
        <v>2238.6999999999971</v>
      </c>
      <c r="Q36" s="64">
        <f t="shared" si="19"/>
        <v>7096.3999999999942</v>
      </c>
      <c r="R36" s="64">
        <f t="shared" si="19"/>
        <v>2542.0599999999977</v>
      </c>
      <c r="S36" s="64">
        <f t="shared" si="19"/>
        <v>4998.5766666666605</v>
      </c>
      <c r="T36" s="64">
        <f t="shared" si="19"/>
        <v>-8599.0533333333296</v>
      </c>
      <c r="U36" s="64">
        <f t="shared" si="19"/>
        <v>13695.143333333326</v>
      </c>
      <c r="V36" s="64">
        <f t="shared" si="19"/>
        <v>5832.4626666666591</v>
      </c>
      <c r="W36" s="64">
        <f t="shared" si="19"/>
        <v>-2539.8266666666605</v>
      </c>
      <c r="X36" s="64">
        <f t="shared" si="19"/>
        <v>1928.9766666666692</v>
      </c>
      <c r="Y36" s="64">
        <f t="shared" si="19"/>
        <v>9043.4366666666683</v>
      </c>
      <c r="Z36" s="64">
        <f t="shared" si="19"/>
        <v>-4337.9666666666744</v>
      </c>
      <c r="AA36" s="64">
        <f t="shared" si="19"/>
        <v>47.209999999999127</v>
      </c>
      <c r="AB36" s="64">
        <f t="shared" si="19"/>
        <v>1180.2950000000019</v>
      </c>
      <c r="AC36" s="64">
        <f t="shared" si="19"/>
        <v>634.9433333333327</v>
      </c>
      <c r="AD36" s="64">
        <f t="shared" si="19"/>
        <v>-2206.6683333333349</v>
      </c>
      <c r="AE36" s="64">
        <f t="shared" si="19"/>
        <v>586.63666666666722</v>
      </c>
      <c r="AF36" s="64">
        <f t="shared" si="19"/>
        <v>349.77166666666653</v>
      </c>
      <c r="AG36" s="64">
        <f t="shared" si="19"/>
        <v>314.24166666666679</v>
      </c>
      <c r="AH36" s="64">
        <f t="shared" si="19"/>
        <v>1470.0000000000009</v>
      </c>
      <c r="AI36" s="64">
        <f t="shared" si="19"/>
        <v>1178.2100000000009</v>
      </c>
      <c r="AJ36" s="64">
        <f t="shared" si="19"/>
        <v>1366.8999999999996</v>
      </c>
      <c r="AK36" s="64">
        <f t="shared" si="19"/>
        <v>2570.9466666666676</v>
      </c>
      <c r="AL36" s="64">
        <f t="shared" si="19"/>
        <v>1894.0100000000011</v>
      </c>
      <c r="AM36" s="64">
        <f t="shared" si="19"/>
        <v>719.38999999999987</v>
      </c>
      <c r="AN36" s="64">
        <f t="shared" si="19"/>
        <v>419.52</v>
      </c>
      <c r="AO36" s="64">
        <f t="shared" si="19"/>
        <v>220.15000000000009</v>
      </c>
      <c r="AP36" s="64">
        <f t="shared" si="19"/>
        <v>82.94</v>
      </c>
      <c r="AQ36" s="64">
        <f t="shared" si="19"/>
        <v>32.230000000000004</v>
      </c>
      <c r="AR36" s="65"/>
      <c r="AS36" s="66">
        <f>SUM(E36:AR36)</f>
        <v>49840.432666666638</v>
      </c>
      <c r="AT36" s="25"/>
    </row>
    <row r="37" spans="1:47" s="24" customFormat="1" x14ac:dyDescent="0.25">
      <c r="B37" s="67"/>
      <c r="D37" s="27" t="s">
        <v>288</v>
      </c>
      <c r="E37" s="25"/>
      <c r="F37" s="25"/>
      <c r="G37" s="25"/>
      <c r="H37" s="25"/>
      <c r="I37" s="25"/>
      <c r="J37" s="25"/>
      <c r="K37" s="25"/>
      <c r="L37" s="25">
        <f>-L16/SUM(L16:L18)*L36</f>
        <v>0</v>
      </c>
      <c r="M37" s="25">
        <f t="shared" ref="M37:U37" si="20">-M16/SUM(M16:M18)*M36</f>
        <v>-193.65897542287388</v>
      </c>
      <c r="N37" s="25">
        <f t="shared" si="20"/>
        <v>-1333.1523166828158</v>
      </c>
      <c r="O37" s="25">
        <f t="shared" si="20"/>
        <v>-11.367369477910829</v>
      </c>
      <c r="P37" s="25">
        <f t="shared" si="20"/>
        <v>-1193.2548782006043</v>
      </c>
      <c r="Q37" s="25">
        <f>-Q16/SUM(Q16:Q18)*Q36</f>
        <v>-3453.1873959144527</v>
      </c>
      <c r="R37" s="25">
        <f t="shared" si="20"/>
        <v>-861.05500174137944</v>
      </c>
      <c r="S37" s="25">
        <f t="shared" si="20"/>
        <v>-1948.6480409160622</v>
      </c>
      <c r="T37" s="25">
        <f t="shared" si="20"/>
        <v>3166.5280207916608</v>
      </c>
      <c r="U37" s="25">
        <f t="shared" si="20"/>
        <v>-4995.0649873162347</v>
      </c>
      <c r="V37" s="25">
        <f t="shared" ref="V37:AH37" si="21">-V16/SUM(V16:V18)*V36</f>
        <v>-2399.9642156905084</v>
      </c>
      <c r="W37" s="25">
        <f t="shared" si="21"/>
        <v>1186.5016302896506</v>
      </c>
      <c r="X37" s="25">
        <f t="shared" si="21"/>
        <v>-934.0751877040351</v>
      </c>
      <c r="Y37" s="25">
        <f t="shared" si="21"/>
        <v>-4640.6566315639202</v>
      </c>
      <c r="Z37" s="25">
        <f t="shared" si="21"/>
        <v>1684.9216619707317</v>
      </c>
      <c r="AA37" s="25">
        <f t="shared" si="21"/>
        <v>-25.743203851803017</v>
      </c>
      <c r="AB37" s="25">
        <f t="shared" si="21"/>
        <v>-591.4660548994583</v>
      </c>
      <c r="AC37" s="25">
        <f t="shared" si="21"/>
        <v>-370.94843917737126</v>
      </c>
      <c r="AD37" s="25">
        <f t="shared" si="21"/>
        <v>1309.9598978863717</v>
      </c>
      <c r="AE37" s="25">
        <f t="shared" si="21"/>
        <v>-340.59825731822502</v>
      </c>
      <c r="AF37" s="25">
        <f t="shared" si="21"/>
        <v>-231.92125225121654</v>
      </c>
      <c r="AG37" s="25">
        <f t="shared" si="21"/>
        <v>-186.76878208382703</v>
      </c>
      <c r="AH37" s="25">
        <f t="shared" si="21"/>
        <v>-831.38769670958573</v>
      </c>
      <c r="AI37" s="25"/>
      <c r="AJ37" s="25"/>
      <c r="AK37" s="25"/>
      <c r="AL37" s="25"/>
      <c r="AM37" s="25"/>
      <c r="AN37" s="25"/>
      <c r="AO37" s="25"/>
      <c r="AP37" s="25"/>
      <c r="AQ37" s="25"/>
      <c r="AR37" s="41"/>
      <c r="AS37" s="68"/>
      <c r="AT37" s="25"/>
    </row>
    <row r="38" spans="1:47" s="24" customFormat="1" x14ac:dyDescent="0.25">
      <c r="B38" s="67"/>
      <c r="D38" s="27" t="s">
        <v>223</v>
      </c>
      <c r="E38" s="25"/>
      <c r="F38" s="25"/>
      <c r="G38" s="25"/>
      <c r="H38" s="25"/>
      <c r="I38" s="25"/>
      <c r="J38" s="25"/>
      <c r="K38" s="25"/>
      <c r="L38" s="25">
        <f>-L17/SUM(L16:L18)*L36</f>
        <v>0</v>
      </c>
      <c r="M38" s="25">
        <f t="shared" ref="M38:U38" si="22">-M17/SUM(M16:M18)*M36</f>
        <v>-25.965352060080583</v>
      </c>
      <c r="N38" s="25">
        <f t="shared" si="22"/>
        <v>-1740.4898768390424</v>
      </c>
      <c r="O38" s="25">
        <f t="shared" si="22"/>
        <v>-8.8979600755958632</v>
      </c>
      <c r="P38" s="25">
        <f t="shared" si="22"/>
        <v>-775.83863966468743</v>
      </c>
      <c r="Q38" s="25">
        <f t="shared" si="22"/>
        <v>-2715.8300724854707</v>
      </c>
      <c r="R38" s="25">
        <f t="shared" si="22"/>
        <v>-1388.0211687148601</v>
      </c>
      <c r="S38" s="25">
        <f t="shared" si="22"/>
        <v>-2494.7936214832166</v>
      </c>
      <c r="T38" s="25">
        <f t="shared" si="22"/>
        <v>4332.1389509518604</v>
      </c>
      <c r="U38" s="25">
        <f t="shared" si="22"/>
        <v>-6969.5111757318973</v>
      </c>
      <c r="V38" s="25">
        <f t="shared" ref="V38:AH38" si="23">-V17/SUM(V16:V18)*V36</f>
        <v>-2639.0418895247089</v>
      </c>
      <c r="W38" s="25">
        <f t="shared" si="23"/>
        <v>966.60512752390821</v>
      </c>
      <c r="X38" s="25">
        <f t="shared" si="23"/>
        <v>-755.74761506452126</v>
      </c>
      <c r="Y38" s="25">
        <f t="shared" si="23"/>
        <v>-2966.931637631636</v>
      </c>
      <c r="Z38" s="25">
        <f t="shared" si="23"/>
        <v>1748.3895060460236</v>
      </c>
      <c r="AA38" s="25">
        <f t="shared" si="23"/>
        <v>-10.567735433327698</v>
      </c>
      <c r="AB38" s="25">
        <f t="shared" si="23"/>
        <v>-201.67611128843527</v>
      </c>
      <c r="AC38" s="25">
        <f t="shared" si="23"/>
        <v>-53.160851727881258</v>
      </c>
      <c r="AD38" s="25">
        <f t="shared" si="23"/>
        <v>28.831497379493637</v>
      </c>
      <c r="AE38" s="25">
        <f t="shared" si="23"/>
        <v>-1.1217556657223808</v>
      </c>
      <c r="AF38" s="25">
        <f t="shared" si="23"/>
        <v>0</v>
      </c>
      <c r="AG38" s="25">
        <f t="shared" si="23"/>
        <v>0</v>
      </c>
      <c r="AH38" s="25">
        <f t="shared" si="23"/>
        <v>0</v>
      </c>
      <c r="AI38" s="25"/>
      <c r="AJ38" s="25"/>
      <c r="AK38" s="25"/>
      <c r="AL38" s="25"/>
      <c r="AM38" s="25"/>
      <c r="AN38" s="25"/>
      <c r="AO38" s="25"/>
      <c r="AP38" s="25"/>
      <c r="AQ38" s="25"/>
      <c r="AR38" s="41"/>
      <c r="AS38" s="68"/>
      <c r="AT38" s="25"/>
    </row>
    <row r="39" spans="1:47" s="24" customFormat="1" x14ac:dyDescent="0.25">
      <c r="B39" s="69"/>
      <c r="C39" s="70"/>
      <c r="D39" s="78" t="s">
        <v>226</v>
      </c>
      <c r="E39" s="71"/>
      <c r="F39" s="71"/>
      <c r="G39" s="71"/>
      <c r="H39" s="71"/>
      <c r="I39" s="71"/>
      <c r="J39" s="71"/>
      <c r="K39" s="71"/>
      <c r="L39" s="71">
        <f>-L18/SUM(L16:L18)*L36</f>
        <v>-521.4399999999996</v>
      </c>
      <c r="M39" s="71">
        <f t="shared" ref="M39:U39" si="24">-M18/SUM(M16:M18)*M36</f>
        <v>-59.809005850379855</v>
      </c>
      <c r="N39" s="71">
        <f t="shared" si="24"/>
        <v>-638.97113981146936</v>
      </c>
      <c r="O39" s="71">
        <f t="shared" si="24"/>
        <v>-6.0646704464914141</v>
      </c>
      <c r="P39" s="71">
        <f t="shared" si="24"/>
        <v>-269.60648213470523</v>
      </c>
      <c r="Q39" s="71">
        <f t="shared" si="24"/>
        <v>-927.38253160007105</v>
      </c>
      <c r="R39" s="71">
        <f t="shared" si="24"/>
        <v>-292.98382954375808</v>
      </c>
      <c r="S39" s="71">
        <f t="shared" si="24"/>
        <v>-555.13500426738119</v>
      </c>
      <c r="T39" s="71">
        <f t="shared" si="24"/>
        <v>1100.3863615898085</v>
      </c>
      <c r="U39" s="71">
        <f t="shared" si="24"/>
        <v>-1730.5671702851946</v>
      </c>
      <c r="V39" s="71">
        <f t="shared" ref="V39:AH39" si="25">-V18/SUM(V16:V18)*V36</f>
        <v>-793.4565614514421</v>
      </c>
      <c r="W39" s="71">
        <f t="shared" si="25"/>
        <v>386.71990885310123</v>
      </c>
      <c r="X39" s="71">
        <f t="shared" si="25"/>
        <v>-239.15386389811306</v>
      </c>
      <c r="Y39" s="71">
        <f t="shared" si="25"/>
        <v>-1435.8483974711128</v>
      </c>
      <c r="Z39" s="71">
        <f t="shared" si="25"/>
        <v>904.65549864991954</v>
      </c>
      <c r="AA39" s="71">
        <f t="shared" si="25"/>
        <v>-10.899060714868412</v>
      </c>
      <c r="AB39" s="71">
        <f t="shared" si="25"/>
        <v>-387.15283381210827</v>
      </c>
      <c r="AC39" s="71">
        <f t="shared" si="25"/>
        <v>-210.83404242808015</v>
      </c>
      <c r="AD39" s="71">
        <f t="shared" si="25"/>
        <v>867.8769380674695</v>
      </c>
      <c r="AE39" s="71">
        <f t="shared" si="25"/>
        <v>-244.91665368271978</v>
      </c>
      <c r="AF39" s="71">
        <f t="shared" si="25"/>
        <v>-117.85041441544999</v>
      </c>
      <c r="AG39" s="71">
        <f t="shared" si="25"/>
        <v>-127.47288458283978</v>
      </c>
      <c r="AH39" s="71">
        <f t="shared" si="25"/>
        <v>-638.6123032904153</v>
      </c>
      <c r="AI39" s="71"/>
      <c r="AJ39" s="71"/>
      <c r="AK39" s="71"/>
      <c r="AL39" s="71"/>
      <c r="AM39" s="71"/>
      <c r="AN39" s="71"/>
      <c r="AO39" s="71"/>
      <c r="AP39" s="71"/>
      <c r="AQ39" s="71"/>
      <c r="AR39" s="72"/>
      <c r="AS39" s="73"/>
      <c r="AT39" s="25"/>
    </row>
    <row r="40" spans="1:47" s="2" customFormat="1" x14ac:dyDescent="0.25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AS40" s="7"/>
    </row>
    <row r="41" spans="1:47" s="2" customFormat="1" x14ac:dyDescent="0.25">
      <c r="B41" s="2" t="s">
        <v>112</v>
      </c>
      <c r="E41" s="3">
        <f>+E34</f>
        <v>0</v>
      </c>
      <c r="F41" s="3">
        <f t="shared" ref="F41:K41" si="26">+E41+F34</f>
        <v>0</v>
      </c>
      <c r="G41" s="3">
        <f t="shared" si="26"/>
        <v>0</v>
      </c>
      <c r="H41" s="3">
        <f t="shared" si="26"/>
        <v>10556.410000000002</v>
      </c>
      <c r="I41" s="3">
        <f t="shared" si="26"/>
        <v>13527.130000000001</v>
      </c>
      <c r="J41" s="3">
        <f t="shared" si="26"/>
        <v>14203.54</v>
      </c>
      <c r="K41" s="3">
        <f t="shared" si="26"/>
        <v>16916.22</v>
      </c>
      <c r="L41" s="3">
        <f>+K41+L34</f>
        <v>23305.08</v>
      </c>
      <c r="M41" s="3">
        <f>+L41+M34</f>
        <v>53553.58</v>
      </c>
      <c r="N41" s="3">
        <f>+M41+N34</f>
        <v>85785.8</v>
      </c>
      <c r="O41" s="3">
        <f t="shared" ref="O41:W41" si="27">+N41+O34</f>
        <v>117930.27</v>
      </c>
      <c r="P41" s="3">
        <f t="shared" si="27"/>
        <v>161475.87</v>
      </c>
      <c r="Q41" s="3">
        <f t="shared" si="27"/>
        <v>217812.87</v>
      </c>
      <c r="R41" s="3">
        <f t="shared" si="27"/>
        <v>291647.01</v>
      </c>
      <c r="S41" s="3">
        <f t="shared" si="27"/>
        <v>369759.5</v>
      </c>
      <c r="T41" s="3">
        <f t="shared" si="27"/>
        <v>459100.32</v>
      </c>
      <c r="U41" s="3">
        <f t="shared" si="27"/>
        <v>529125.51</v>
      </c>
      <c r="V41" s="3">
        <f t="shared" si="27"/>
        <v>614158.01399999997</v>
      </c>
      <c r="W41" s="3">
        <f t="shared" si="27"/>
        <v>678678.37399999995</v>
      </c>
      <c r="X41" s="3">
        <f t="shared" ref="X41:AR41" si="28">+W41+X34</f>
        <v>752087.5639999999</v>
      </c>
      <c r="Y41" s="3">
        <f t="shared" si="28"/>
        <v>811063.49399999995</v>
      </c>
      <c r="Z41" s="3">
        <f t="shared" si="28"/>
        <v>860830.79399999999</v>
      </c>
      <c r="AA41" s="3">
        <f t="shared" si="28"/>
        <v>885291.58400000003</v>
      </c>
      <c r="AB41" s="3">
        <f t="shared" si="28"/>
        <v>904084.16399999999</v>
      </c>
      <c r="AC41" s="3">
        <f t="shared" si="28"/>
        <v>919109.054</v>
      </c>
      <c r="AD41" s="3">
        <f t="shared" si="28"/>
        <v>930911.51399999997</v>
      </c>
      <c r="AE41" s="3">
        <f t="shared" si="28"/>
        <v>940326.54399999999</v>
      </c>
      <c r="AF41" s="3">
        <f t="shared" si="28"/>
        <v>946138.56400000001</v>
      </c>
      <c r="AG41" s="3">
        <f t="shared" si="28"/>
        <v>950009.86400000006</v>
      </c>
      <c r="AH41" s="3">
        <f t="shared" si="28"/>
        <v>953677.51400000008</v>
      </c>
      <c r="AI41" s="3">
        <f t="shared" si="28"/>
        <v>966165.4040000001</v>
      </c>
      <c r="AJ41" s="3">
        <f t="shared" si="28"/>
        <v>971266.50400000007</v>
      </c>
      <c r="AK41" s="3">
        <f t="shared" si="28"/>
        <v>977859.37400000007</v>
      </c>
      <c r="AL41" s="3">
        <f t="shared" si="28"/>
        <v>982141.81400000001</v>
      </c>
      <c r="AM41" s="3">
        <f t="shared" si="28"/>
        <v>985746.924</v>
      </c>
      <c r="AN41" s="3">
        <f t="shared" si="28"/>
        <v>987799.40399999998</v>
      </c>
      <c r="AO41" s="3">
        <f t="shared" si="28"/>
        <v>989271.25399999996</v>
      </c>
      <c r="AP41" s="3">
        <f t="shared" si="28"/>
        <v>989471.81400000001</v>
      </c>
      <c r="AQ41" s="3">
        <f t="shared" si="28"/>
        <v>989574.58400000003</v>
      </c>
      <c r="AR41" s="3">
        <f t="shared" si="28"/>
        <v>989574.58400000003</v>
      </c>
    </row>
    <row r="42" spans="1:47" s="2" customFormat="1" x14ac:dyDescent="0.25">
      <c r="B42" s="2" t="s">
        <v>114</v>
      </c>
      <c r="E42" s="3">
        <f>+E5+E4+E6</f>
        <v>0</v>
      </c>
      <c r="F42" s="3">
        <f t="shared" ref="F42" si="29">+E42+F5+F4+F6</f>
        <v>0</v>
      </c>
      <c r="G42" s="3">
        <f t="shared" ref="G42" si="30">+F42+G5+G4+G6</f>
        <v>0</v>
      </c>
      <c r="H42" s="3">
        <f t="shared" ref="H42" si="31">+G42+H5+H4+H6</f>
        <v>2795</v>
      </c>
      <c r="I42" s="3">
        <f t="shared" ref="I42" si="32">+H42+I5+I4+I6</f>
        <v>3916</v>
      </c>
      <c r="J42" s="3">
        <f t="shared" ref="J42" si="33">+I42+J5+J4+J6</f>
        <v>4129</v>
      </c>
      <c r="K42" s="3">
        <f t="shared" ref="K42" si="34">+J42+K5+K4+K6</f>
        <v>4903</v>
      </c>
      <c r="L42" s="3">
        <f t="shared" ref="L42" si="35">+K42+L5+L4+L6</f>
        <v>6721.5</v>
      </c>
      <c r="M42" s="3">
        <f t="shared" ref="M42:AR42" si="36">+L42+M5+M4+M6</f>
        <v>14755.166666666668</v>
      </c>
      <c r="N42" s="3">
        <f t="shared" si="36"/>
        <v>24214.333333333336</v>
      </c>
      <c r="O42" s="3">
        <f t="shared" si="36"/>
        <v>32680.333333333336</v>
      </c>
      <c r="P42" s="3">
        <f t="shared" si="36"/>
        <v>44728.833333333336</v>
      </c>
      <c r="Q42" s="3">
        <f t="shared" si="36"/>
        <v>61421.833333333336</v>
      </c>
      <c r="R42" s="3">
        <f t="shared" si="36"/>
        <v>81520.833333333343</v>
      </c>
      <c r="S42" s="3">
        <f t="shared" si="36"/>
        <v>103392.16666666667</v>
      </c>
      <c r="T42" s="3">
        <f t="shared" si="36"/>
        <v>124640</v>
      </c>
      <c r="U42" s="3">
        <f t="shared" si="36"/>
        <v>146671.66666666666</v>
      </c>
      <c r="V42" s="3">
        <f t="shared" si="36"/>
        <v>170583.5</v>
      </c>
      <c r="W42" s="3">
        <f t="shared" si="36"/>
        <v>186894.16666666666</v>
      </c>
      <c r="X42" s="3">
        <f t="shared" si="36"/>
        <v>206720</v>
      </c>
      <c r="Y42" s="3">
        <f t="shared" si="36"/>
        <v>224619.83333333334</v>
      </c>
      <c r="Z42" s="3">
        <f t="shared" si="36"/>
        <v>235977.16666666669</v>
      </c>
      <c r="AA42" s="3">
        <f t="shared" si="36"/>
        <v>242104.16666666669</v>
      </c>
      <c r="AB42" s="3">
        <f t="shared" si="36"/>
        <v>246803.66666666669</v>
      </c>
      <c r="AC42" s="3">
        <f t="shared" si="36"/>
        <v>250488.33333333334</v>
      </c>
      <c r="AD42" s="3">
        <f t="shared" si="36"/>
        <v>252746.16666666669</v>
      </c>
      <c r="AE42" s="3">
        <f t="shared" si="36"/>
        <v>255099.50000000003</v>
      </c>
      <c r="AF42" s="3">
        <f t="shared" si="36"/>
        <v>256549.33333333337</v>
      </c>
      <c r="AG42" s="3">
        <f t="shared" si="36"/>
        <v>257534.16666666672</v>
      </c>
      <c r="AH42" s="3">
        <f t="shared" si="36"/>
        <v>258582.66666666672</v>
      </c>
      <c r="AI42" s="3">
        <f t="shared" si="36"/>
        <v>261371.66666666672</v>
      </c>
      <c r="AJ42" s="3">
        <f t="shared" si="36"/>
        <v>262691.66666666674</v>
      </c>
      <c r="AK42" s="3">
        <f t="shared" si="36"/>
        <v>264561.83333333343</v>
      </c>
      <c r="AL42" s="3">
        <f t="shared" si="36"/>
        <v>265822.33333333343</v>
      </c>
      <c r="AM42" s="3">
        <f t="shared" si="36"/>
        <v>266783.33333333343</v>
      </c>
      <c r="AN42" s="3">
        <f t="shared" si="36"/>
        <v>267332.66666666674</v>
      </c>
      <c r="AO42" s="3">
        <f t="shared" si="36"/>
        <v>267708.66666666674</v>
      </c>
      <c r="AP42" s="3">
        <f t="shared" si="36"/>
        <v>267771.66666666674</v>
      </c>
      <c r="AQ42" s="3">
        <f t="shared" si="36"/>
        <v>267801.66666666674</v>
      </c>
      <c r="AR42" s="3">
        <f t="shared" si="36"/>
        <v>267801.66666666674</v>
      </c>
    </row>
    <row r="43" spans="1:47" s="2" customFormat="1" x14ac:dyDescent="0.25">
      <c r="B43" s="2" t="s">
        <v>113</v>
      </c>
      <c r="E43" s="7" t="e">
        <f t="shared" ref="E43:K43" si="37">+E41/E42</f>
        <v>#DIV/0!</v>
      </c>
      <c r="F43" s="7" t="e">
        <f t="shared" si="37"/>
        <v>#DIV/0!</v>
      </c>
      <c r="G43" s="7" t="e">
        <f t="shared" si="37"/>
        <v>#DIV/0!</v>
      </c>
      <c r="H43" s="7">
        <f t="shared" si="37"/>
        <v>3.7768908765652958</v>
      </c>
      <c r="I43" s="7">
        <f t="shared" si="37"/>
        <v>3.4543232890704805</v>
      </c>
      <c r="J43" s="7">
        <f t="shared" si="37"/>
        <v>3.4399467183337373</v>
      </c>
      <c r="K43" s="7">
        <f t="shared" si="37"/>
        <v>3.4501774423822154</v>
      </c>
      <c r="L43" s="7">
        <f>+L41/L42</f>
        <v>3.4672439187681325</v>
      </c>
      <c r="M43" s="7">
        <f>+M41/M42</f>
        <v>3.6294798432187592</v>
      </c>
      <c r="N43" s="7">
        <f t="shared" ref="N43:Y43" si="38">+N41/N42</f>
        <v>3.5427694340817419</v>
      </c>
      <c r="O43" s="7">
        <f t="shared" si="38"/>
        <v>3.6086005854693441</v>
      </c>
      <c r="P43" s="7">
        <f t="shared" si="38"/>
        <v>3.610106903451539</v>
      </c>
      <c r="Q43" s="7">
        <f t="shared" si="38"/>
        <v>3.5461798871736705</v>
      </c>
      <c r="R43" s="7">
        <f t="shared" si="38"/>
        <v>3.5775764068489648</v>
      </c>
      <c r="S43" s="7">
        <f t="shared" si="38"/>
        <v>3.5762815687197449</v>
      </c>
      <c r="T43" s="7">
        <f t="shared" si="38"/>
        <v>3.6834107830551992</v>
      </c>
      <c r="U43" s="7">
        <f t="shared" si="38"/>
        <v>3.6075509471268026</v>
      </c>
      <c r="V43" s="7">
        <f t="shared" si="38"/>
        <v>3.6003365741704205</v>
      </c>
      <c r="W43" s="7">
        <f t="shared" si="38"/>
        <v>3.6313512941816448</v>
      </c>
      <c r="X43" s="7">
        <f t="shared" si="38"/>
        <v>3.6381944852941173</v>
      </c>
      <c r="Y43" s="7">
        <f t="shared" si="38"/>
        <v>3.610827601302645</v>
      </c>
      <c r="Z43" s="7">
        <f>+Z41/Z42</f>
        <v>3.6479410536188879</v>
      </c>
      <c r="AA43" s="7">
        <f>+AA41/AA42</f>
        <v>3.6566557122450734</v>
      </c>
      <c r="AB43" s="7">
        <f>+AB41/AB42</f>
        <v>3.6631715250043553</v>
      </c>
      <c r="AC43" s="7">
        <f>+AC41/AC42</f>
        <v>3.6692689107277117</v>
      </c>
      <c r="AD43" s="7">
        <f>+AD41/AD42</f>
        <v>3.6831874693780384</v>
      </c>
      <c r="AE43" s="7">
        <f t="shared" ref="AE43:AK43" si="39">+AE41/AE42</f>
        <v>3.686116766202991</v>
      </c>
      <c r="AF43" s="7">
        <f t="shared" si="39"/>
        <v>3.6879400609109614</v>
      </c>
      <c r="AG43" s="7">
        <f t="shared" si="39"/>
        <v>3.6888692335321198</v>
      </c>
      <c r="AH43" s="7">
        <f t="shared" si="39"/>
        <v>3.6880952860980623</v>
      </c>
      <c r="AI43" s="7">
        <f t="shared" si="39"/>
        <v>3.6965192758715237</v>
      </c>
      <c r="AJ43" s="7">
        <f t="shared" si="39"/>
        <v>3.6973632103543435</v>
      </c>
      <c r="AK43" s="7">
        <f t="shared" si="39"/>
        <v>3.6961468012203818</v>
      </c>
      <c r="AL43" s="7">
        <f t="shared" ref="AL43:AR43" si="40">+AL41/AL42</f>
        <v>3.6947302421291401</v>
      </c>
      <c r="AM43" s="7">
        <f t="shared" si="40"/>
        <v>3.6949344311863546</v>
      </c>
      <c r="AN43" s="7">
        <f t="shared" si="40"/>
        <v>3.695019453913849</v>
      </c>
      <c r="AO43" s="7">
        <f t="shared" si="40"/>
        <v>3.6953277094752242</v>
      </c>
      <c r="AP43" s="7">
        <f t="shared" si="40"/>
        <v>3.6952072873032362</v>
      </c>
      <c r="AQ43" s="7">
        <f t="shared" si="40"/>
        <v>3.6951770925000456</v>
      </c>
      <c r="AR43" s="7">
        <f t="shared" si="40"/>
        <v>3.6951770925000456</v>
      </c>
    </row>
    <row r="44" spans="1:47" s="2" customFormat="1" x14ac:dyDescent="0.25">
      <c r="N44" s="3"/>
    </row>
    <row r="45" spans="1:47" x14ac:dyDescent="0.25">
      <c r="A45" s="2" t="s">
        <v>592</v>
      </c>
    </row>
    <row r="46" spans="1:47" s="1" customFormat="1" x14ac:dyDescent="0.25">
      <c r="A46" s="3"/>
      <c r="B46" s="3" t="s">
        <v>352</v>
      </c>
      <c r="E46" s="1">
        <f t="shared" ref="E46:L46" si="41">+E7*E49-E47</f>
        <v>0</v>
      </c>
      <c r="F46" s="1">
        <f t="shared" ref="F46:K46" si="42">+F7*F49-F47</f>
        <v>0</v>
      </c>
      <c r="G46" s="1">
        <f t="shared" si="42"/>
        <v>0</v>
      </c>
      <c r="H46" s="1">
        <f t="shared" si="42"/>
        <v>0</v>
      </c>
      <c r="I46" s="1">
        <f t="shared" si="42"/>
        <v>0</v>
      </c>
      <c r="J46" s="1">
        <f t="shared" si="42"/>
        <v>0</v>
      </c>
      <c r="K46" s="1">
        <f t="shared" si="42"/>
        <v>0</v>
      </c>
      <c r="L46" s="1">
        <f t="shared" si="41"/>
        <v>0</v>
      </c>
      <c r="M46" s="1">
        <f>+M83</f>
        <v>2819.2084799999998</v>
      </c>
      <c r="N46" s="1">
        <f t="shared" ref="N46:AL46" si="43">+N83</f>
        <v>1174.6702</v>
      </c>
      <c r="O46" s="1">
        <f t="shared" si="43"/>
        <v>1174.6702</v>
      </c>
      <c r="P46" s="1">
        <f t="shared" si="43"/>
        <v>1174.6702</v>
      </c>
      <c r="Q46" s="1">
        <f t="shared" si="43"/>
        <v>939.73615999999993</v>
      </c>
      <c r="R46" s="1">
        <f t="shared" si="43"/>
        <v>2819.2084799999998</v>
      </c>
      <c r="S46" s="1">
        <f t="shared" si="43"/>
        <v>939.73616000000004</v>
      </c>
      <c r="T46" s="1">
        <f t="shared" si="43"/>
        <v>939.73615999999993</v>
      </c>
      <c r="U46" s="1">
        <f t="shared" si="43"/>
        <v>939.73616000000004</v>
      </c>
      <c r="V46" s="1">
        <f t="shared" si="43"/>
        <v>939.73615999999993</v>
      </c>
      <c r="W46" s="1">
        <f t="shared" si="43"/>
        <v>939.73615999999993</v>
      </c>
      <c r="X46" s="1">
        <f t="shared" si="43"/>
        <v>610.82850400000007</v>
      </c>
      <c r="Y46" s="1">
        <f t="shared" si="43"/>
        <v>0</v>
      </c>
      <c r="Z46" s="1">
        <f t="shared" si="43"/>
        <v>704.80211999999995</v>
      </c>
      <c r="AA46" s="1">
        <f t="shared" si="43"/>
        <v>0</v>
      </c>
      <c r="AB46" s="1">
        <f t="shared" si="43"/>
        <v>587.33510000000001</v>
      </c>
      <c r="AC46" s="1">
        <f t="shared" si="43"/>
        <v>0</v>
      </c>
      <c r="AD46" s="1">
        <f t="shared" si="43"/>
        <v>587.33510000000001</v>
      </c>
      <c r="AE46" s="1">
        <f t="shared" si="43"/>
        <v>0</v>
      </c>
      <c r="AF46" s="1">
        <f t="shared" si="43"/>
        <v>469.86807999999996</v>
      </c>
      <c r="AG46" s="1">
        <f t="shared" si="43"/>
        <v>0</v>
      </c>
      <c r="AH46" s="1">
        <f t="shared" si="43"/>
        <v>0</v>
      </c>
      <c r="AI46" s="1">
        <f t="shared" si="43"/>
        <v>2349.3404</v>
      </c>
      <c r="AJ46" s="1">
        <f t="shared" si="43"/>
        <v>0</v>
      </c>
      <c r="AK46" s="1">
        <f t="shared" si="43"/>
        <v>0</v>
      </c>
      <c r="AL46" s="1">
        <f t="shared" si="43"/>
        <v>0</v>
      </c>
      <c r="AM46" s="1">
        <f t="shared" ref="AM46:AR46" si="44">+AM7*AM49-AM47-AM48</f>
        <v>0</v>
      </c>
      <c r="AN46" s="1">
        <f t="shared" si="44"/>
        <v>0</v>
      </c>
      <c r="AO46" s="1">
        <f t="shared" si="44"/>
        <v>0</v>
      </c>
      <c r="AP46" s="1">
        <f t="shared" si="44"/>
        <v>0</v>
      </c>
      <c r="AQ46" s="1">
        <f t="shared" si="44"/>
        <v>0</v>
      </c>
      <c r="AR46" s="1">
        <f t="shared" si="44"/>
        <v>0</v>
      </c>
      <c r="AS46" s="1">
        <f>SUM(E46:AR46)</f>
        <v>20110.353824000005</v>
      </c>
      <c r="AU46" s="8">
        <f>+AS46/'[12]21strip'!$F$31</f>
        <v>0.43710558650669462</v>
      </c>
    </row>
    <row r="47" spans="1:47" s="1" customFormat="1" x14ac:dyDescent="0.25">
      <c r="A47" s="3"/>
      <c r="B47" s="3" t="s">
        <v>353</v>
      </c>
      <c r="E47" s="1">
        <f>+Daily!D32*Transport!E49</f>
        <v>0</v>
      </c>
      <c r="F47" s="1">
        <f>+Daily!E32*Transport!F49</f>
        <v>0</v>
      </c>
      <c r="G47" s="1">
        <f>+Daily!F32*Transport!G49</f>
        <v>0</v>
      </c>
      <c r="H47" s="1">
        <f>+Daily!G32*Transport!H49</f>
        <v>0</v>
      </c>
      <c r="I47" s="1">
        <f>+Daily!H32*Transport!I49</f>
        <v>0</v>
      </c>
      <c r="J47" s="1">
        <f>+Daily!I32*Transport!J49</f>
        <v>0</v>
      </c>
      <c r="K47" s="1">
        <f>+Daily!J32*Transport!K49</f>
        <v>0</v>
      </c>
      <c r="L47" s="1">
        <f>+Daily!K32*Transport!L49</f>
        <v>0</v>
      </c>
      <c r="M47" s="1">
        <f>+M84</f>
        <v>0</v>
      </c>
      <c r="N47" s="1">
        <f t="shared" ref="N47:AL47" si="45">+N84</f>
        <v>0</v>
      </c>
      <c r="O47" s="1">
        <f t="shared" si="45"/>
        <v>0</v>
      </c>
      <c r="P47" s="1">
        <f t="shared" si="45"/>
        <v>0</v>
      </c>
      <c r="Q47" s="1">
        <f t="shared" si="45"/>
        <v>0</v>
      </c>
      <c r="R47" s="1">
        <f t="shared" si="45"/>
        <v>0</v>
      </c>
      <c r="S47" s="1">
        <f t="shared" si="45"/>
        <v>1409.6042400000001</v>
      </c>
      <c r="T47" s="1">
        <f t="shared" si="45"/>
        <v>117.46702000000005</v>
      </c>
      <c r="U47" s="1">
        <f t="shared" si="45"/>
        <v>1644.5382800000002</v>
      </c>
      <c r="V47" s="1">
        <f t="shared" si="45"/>
        <v>0</v>
      </c>
      <c r="W47" s="1">
        <f t="shared" si="45"/>
        <v>1010.2163719999999</v>
      </c>
      <c r="X47" s="1">
        <f t="shared" si="45"/>
        <v>0</v>
      </c>
      <c r="Y47" s="1">
        <f t="shared" si="45"/>
        <v>0</v>
      </c>
      <c r="Z47" s="1">
        <f t="shared" si="45"/>
        <v>0</v>
      </c>
      <c r="AA47" s="1">
        <f t="shared" si="45"/>
        <v>0</v>
      </c>
      <c r="AB47" s="1">
        <f t="shared" si="45"/>
        <v>0</v>
      </c>
      <c r="AC47" s="1">
        <f t="shared" si="45"/>
        <v>0</v>
      </c>
      <c r="AD47" s="1">
        <f t="shared" si="45"/>
        <v>0</v>
      </c>
      <c r="AE47" s="1">
        <f t="shared" si="45"/>
        <v>0</v>
      </c>
      <c r="AF47" s="1">
        <f t="shared" si="45"/>
        <v>0</v>
      </c>
      <c r="AG47" s="1">
        <f t="shared" si="45"/>
        <v>0</v>
      </c>
      <c r="AH47" s="1">
        <f t="shared" si="45"/>
        <v>0</v>
      </c>
      <c r="AI47" s="1">
        <f t="shared" si="45"/>
        <v>0</v>
      </c>
      <c r="AJ47" s="1">
        <f t="shared" si="45"/>
        <v>0</v>
      </c>
      <c r="AK47" s="1">
        <f t="shared" si="45"/>
        <v>0</v>
      </c>
      <c r="AL47" s="1">
        <f t="shared" si="45"/>
        <v>0</v>
      </c>
      <c r="AM47" s="1">
        <f>+Daily!AL32*Transport!AM49</f>
        <v>0</v>
      </c>
      <c r="AN47" s="1">
        <f>+Daily!AM32*Transport!AN49</f>
        <v>0</v>
      </c>
      <c r="AO47" s="1">
        <f>+Daily!AN32*Transport!AO49</f>
        <v>0</v>
      </c>
      <c r="AP47" s="1">
        <f>+Daily!AO32*Transport!AP49</f>
        <v>0</v>
      </c>
      <c r="AQ47" s="1">
        <f>+Daily!AP32*Transport!AQ49</f>
        <v>0</v>
      </c>
      <c r="AR47" s="1">
        <f>+Daily!AQ32*Transport!AR49</f>
        <v>0</v>
      </c>
      <c r="AS47" s="1">
        <f>SUM(E47:AR47)</f>
        <v>4181.8259120000002</v>
      </c>
      <c r="AU47" s="8">
        <f>+AS47/'[12]21pot'!$F$68</f>
        <v>2.5470051721827685E-2</v>
      </c>
    </row>
    <row r="48" spans="1:47" s="1" customFormat="1" x14ac:dyDescent="0.25">
      <c r="A48" s="3"/>
      <c r="B48" s="3" t="s">
        <v>478</v>
      </c>
      <c r="E48" s="1">
        <f>+Daily!D33*Transport!E49</f>
        <v>0</v>
      </c>
      <c r="F48" s="1">
        <f>+Daily!E33*Transport!F49</f>
        <v>0</v>
      </c>
      <c r="G48" s="1">
        <f>+Daily!F33*Transport!G49</f>
        <v>0</v>
      </c>
      <c r="H48" s="1">
        <f>+Daily!G33*Transport!H49</f>
        <v>0</v>
      </c>
      <c r="I48" s="1">
        <f>+Daily!H33*Transport!I49</f>
        <v>0</v>
      </c>
      <c r="J48" s="1">
        <f>+Daily!I33*Transport!J49</f>
        <v>0</v>
      </c>
      <c r="K48" s="1">
        <f>+Daily!J33*Transport!K49</f>
        <v>0</v>
      </c>
      <c r="L48" s="1">
        <f>+Daily!K33*Transport!L49</f>
        <v>0</v>
      </c>
      <c r="M48" s="1">
        <f>+Daily!L33*Transport!M49</f>
        <v>0</v>
      </c>
      <c r="N48" s="1">
        <f>+Daily!M33*Transport!N49</f>
        <v>0</v>
      </c>
      <c r="O48" s="1">
        <f>+Daily!N33*Transport!O49</f>
        <v>0</v>
      </c>
      <c r="P48" s="1">
        <f>+Daily!O33*Transport!P49</f>
        <v>0</v>
      </c>
      <c r="Q48" s="1">
        <f>+Daily!P33*Transport!Q49</f>
        <v>0</v>
      </c>
      <c r="R48" s="1">
        <f>+Daily!Q33*Transport!R49</f>
        <v>0</v>
      </c>
      <c r="S48" s="1">
        <f>+Daily!R33*Transport!S49</f>
        <v>0</v>
      </c>
      <c r="T48" s="1">
        <f>+Daily!S33*Transport!T49</f>
        <v>0</v>
      </c>
      <c r="U48" s="1">
        <f>+Daily!T33*Transport!U49</f>
        <v>0</v>
      </c>
      <c r="V48" s="1">
        <f>+Daily!U33*Transport!V49</f>
        <v>0</v>
      </c>
      <c r="W48" s="1">
        <f>+Daily!V33*Transport!W49</f>
        <v>0</v>
      </c>
      <c r="X48" s="1">
        <f>+Daily!W33*Transport!X49</f>
        <v>0</v>
      </c>
      <c r="Y48" s="1">
        <f>+Daily!X33*Transport!Y49</f>
        <v>0</v>
      </c>
      <c r="Z48" s="1">
        <f>+Daily!Y33*Transport!Z49</f>
        <v>0</v>
      </c>
      <c r="AA48" s="1">
        <f>+Daily!Z33*Transport!AA49</f>
        <v>0</v>
      </c>
      <c r="AB48" s="1">
        <f>+Daily!AA33*Transport!AB49</f>
        <v>0</v>
      </c>
      <c r="AC48" s="1">
        <f>+Daily!AB33*Transport!AC49</f>
        <v>0</v>
      </c>
      <c r="AD48" s="1">
        <f>+Daily!AC33*Transport!AD49</f>
        <v>0</v>
      </c>
      <c r="AE48" s="1">
        <f>+Daily!AD33*Transport!AE49</f>
        <v>0</v>
      </c>
      <c r="AF48" s="1">
        <f>+Daily!AE33*Transport!AF49</f>
        <v>0</v>
      </c>
      <c r="AG48" s="1">
        <f>+Daily!AF33*Transport!AG49</f>
        <v>0</v>
      </c>
      <c r="AH48" s="1">
        <f>+Daily!AG33*Transport!AH49</f>
        <v>0</v>
      </c>
      <c r="AI48" s="1">
        <f>+Daily!AH33*Transport!AI49</f>
        <v>0</v>
      </c>
      <c r="AJ48" s="1">
        <f>+Daily!AI33*Transport!AJ49</f>
        <v>0</v>
      </c>
      <c r="AK48" s="1">
        <f>+Daily!AJ33*Transport!AK49</f>
        <v>0</v>
      </c>
      <c r="AL48" s="1">
        <f>+Daily!AK33*Transport!AL49</f>
        <v>0</v>
      </c>
      <c r="AM48" s="1">
        <f>+Daily!AL33*Transport!AM49</f>
        <v>0</v>
      </c>
      <c r="AN48" s="1">
        <f>+Daily!AM33*Transport!AN49</f>
        <v>0</v>
      </c>
      <c r="AO48" s="1">
        <f>+Daily!AN33*Transport!AO49</f>
        <v>0</v>
      </c>
      <c r="AP48" s="1">
        <f>+Daily!AO33*Transport!AP49</f>
        <v>0</v>
      </c>
      <c r="AQ48" s="1">
        <f>+Daily!AP33*Transport!AQ49</f>
        <v>0</v>
      </c>
      <c r="AR48" s="1">
        <f>+Daily!AQ33*Transport!AR49</f>
        <v>0</v>
      </c>
      <c r="AS48" s="1">
        <f>SUM(E48:AR48)</f>
        <v>0</v>
      </c>
      <c r="AU48" s="8">
        <f>+AS48/'[12]21Herb'!$F$20</f>
        <v>0</v>
      </c>
    </row>
    <row r="49" spans="1:46" x14ac:dyDescent="0.25">
      <c r="B49" s="2" t="s">
        <v>93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</row>
    <row r="50" spans="1:46" x14ac:dyDescent="0.25">
      <c r="B50" s="2"/>
      <c r="AE50" s="13"/>
      <c r="AF50" s="13"/>
    </row>
    <row r="51" spans="1:46" s="1" customFormat="1" x14ac:dyDescent="0.25">
      <c r="A51" s="3"/>
      <c r="B51" s="3" t="s">
        <v>610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f>2516.4+259.19</f>
        <v>2775.59</v>
      </c>
      <c r="N51" s="1">
        <f>1048.5+111.56</f>
        <v>1160.06</v>
      </c>
      <c r="O51" s="1">
        <f>440.37+46.86+608.13+67.32</f>
        <v>1162.68</v>
      </c>
      <c r="P51" s="1">
        <f>1048.5+113.03</f>
        <v>1161.53</v>
      </c>
      <c r="Q51" s="1">
        <f>838.8+90.42</f>
        <v>929.21999999999991</v>
      </c>
      <c r="R51" s="1">
        <f>1090.44+117.88+1425.96+153.72</f>
        <v>2788</v>
      </c>
      <c r="S51" s="1">
        <f>2097+228.78+41.94+4.81</f>
        <v>2372.5300000000002</v>
      </c>
      <c r="T51" s="1">
        <f>943.65+111.35</f>
        <v>1055</v>
      </c>
      <c r="U51" s="1">
        <f>2306.7+272.19</f>
        <v>2578.89</v>
      </c>
      <c r="V51" s="1">
        <f>838.8+98.98</f>
        <v>937.78</v>
      </c>
      <c r="W51" s="1">
        <f>1740.51+207.82</f>
        <v>1948.33</v>
      </c>
      <c r="X51" s="1">
        <f>545.22+65.1</f>
        <v>610.32000000000005</v>
      </c>
      <c r="Y51" s="1">
        <v>0</v>
      </c>
      <c r="Z51" s="1">
        <f>629.1+72.03</f>
        <v>701.13</v>
      </c>
      <c r="AA51" s="1">
        <v>0</v>
      </c>
      <c r="AB51" s="1">
        <f>503.28+54.96</f>
        <v>558.24</v>
      </c>
      <c r="AC51" s="1">
        <v>0</v>
      </c>
      <c r="AD51" s="1">
        <v>0</v>
      </c>
      <c r="AE51" s="1">
        <v>0</v>
      </c>
      <c r="AF51" s="1">
        <f>419.4+40.85</f>
        <v>460.25</v>
      </c>
      <c r="AG51" s="1">
        <v>0</v>
      </c>
      <c r="AH51" s="1">
        <v>0</v>
      </c>
      <c r="AI51" s="1">
        <f>2097+206.14</f>
        <v>2303.14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f>SUM(E51:AR51)</f>
        <v>23502.690000000002</v>
      </c>
    </row>
    <row r="52" spans="1:46" x14ac:dyDescent="0.25">
      <c r="B52" s="2" t="s">
        <v>94</v>
      </c>
      <c r="E52" s="6" t="e">
        <f>+E51/E7</f>
        <v>#DIV/0!</v>
      </c>
      <c r="F52" s="6" t="e">
        <f t="shared" ref="F52:K52" si="46">+F51/F7</f>
        <v>#DIV/0!</v>
      </c>
      <c r="G52" s="6" t="e">
        <f t="shared" si="46"/>
        <v>#DIV/0!</v>
      </c>
      <c r="H52" s="6" t="e">
        <f t="shared" si="46"/>
        <v>#DIV/0!</v>
      </c>
      <c r="I52" s="6" t="e">
        <f t="shared" si="46"/>
        <v>#DIV/0!</v>
      </c>
      <c r="J52" s="6" t="e">
        <f t="shared" si="46"/>
        <v>#DIV/0!</v>
      </c>
      <c r="K52" s="6" t="e">
        <f t="shared" si="46"/>
        <v>#DIV/0!</v>
      </c>
      <c r="L52" s="6" t="e">
        <f t="shared" ref="L52:AR52" si="47">+L51/L7</f>
        <v>#DIV/0!</v>
      </c>
      <c r="M52" s="6">
        <f t="shared" si="47"/>
        <v>23.129916666666666</v>
      </c>
      <c r="N52" s="6">
        <f t="shared" si="47"/>
        <v>23.2012</v>
      </c>
      <c r="O52" s="6">
        <f t="shared" si="47"/>
        <v>23.253600000000002</v>
      </c>
      <c r="P52" s="6">
        <f t="shared" si="47"/>
        <v>23.230599999999999</v>
      </c>
      <c r="Q52" s="6">
        <f t="shared" si="47"/>
        <v>23.230499999999999</v>
      </c>
      <c r="R52" s="6">
        <f t="shared" si="47"/>
        <v>23.233333333333334</v>
      </c>
      <c r="S52" s="6">
        <f t="shared" si="47"/>
        <v>23.725300000000001</v>
      </c>
      <c r="T52" s="6">
        <f t="shared" si="47"/>
        <v>23.444444444444443</v>
      </c>
      <c r="U52" s="6">
        <f t="shared" si="47"/>
        <v>23.444454545454544</v>
      </c>
      <c r="V52" s="6">
        <f t="shared" si="47"/>
        <v>23.444499999999998</v>
      </c>
      <c r="W52" s="6">
        <f t="shared" si="47"/>
        <v>23.473855421686746</v>
      </c>
      <c r="X52" s="6">
        <f t="shared" si="47"/>
        <v>23.473846153846157</v>
      </c>
      <c r="Y52" s="6" t="e">
        <f t="shared" si="47"/>
        <v>#DIV/0!</v>
      </c>
      <c r="Z52" s="6">
        <f t="shared" si="47"/>
        <v>23.370999999999999</v>
      </c>
      <c r="AA52" s="6" t="e">
        <f t="shared" si="47"/>
        <v>#DIV/0!</v>
      </c>
      <c r="AB52" s="6">
        <f t="shared" si="47"/>
        <v>22.329599999999999</v>
      </c>
      <c r="AC52" s="6" t="e">
        <f t="shared" si="47"/>
        <v>#DIV/0!</v>
      </c>
      <c r="AD52" s="6">
        <f t="shared" si="47"/>
        <v>0</v>
      </c>
      <c r="AE52" s="6" t="e">
        <f t="shared" si="47"/>
        <v>#DIV/0!</v>
      </c>
      <c r="AF52" s="6">
        <f t="shared" si="47"/>
        <v>23.012499999999999</v>
      </c>
      <c r="AG52" s="6" t="e">
        <f t="shared" si="47"/>
        <v>#DIV/0!</v>
      </c>
      <c r="AH52" s="6" t="e">
        <f t="shared" si="47"/>
        <v>#DIV/0!</v>
      </c>
      <c r="AI52" s="6">
        <f t="shared" si="47"/>
        <v>23.031399999999998</v>
      </c>
      <c r="AJ52" s="6" t="e">
        <f t="shared" si="47"/>
        <v>#DIV/0!</v>
      </c>
      <c r="AK52" s="6" t="e">
        <f t="shared" si="47"/>
        <v>#DIV/0!</v>
      </c>
      <c r="AL52" s="6" t="e">
        <f t="shared" si="47"/>
        <v>#DIV/0!</v>
      </c>
      <c r="AM52" s="6" t="e">
        <f t="shared" si="47"/>
        <v>#DIV/0!</v>
      </c>
      <c r="AN52" s="6" t="e">
        <f t="shared" si="47"/>
        <v>#DIV/0!</v>
      </c>
      <c r="AO52" s="6" t="e">
        <f t="shared" si="47"/>
        <v>#DIV/0!</v>
      </c>
      <c r="AP52" s="6" t="e">
        <f t="shared" si="47"/>
        <v>#DIV/0!</v>
      </c>
      <c r="AQ52" s="6" t="e">
        <f t="shared" si="47"/>
        <v>#DIV/0!</v>
      </c>
      <c r="AR52" s="6" t="e">
        <f t="shared" si="47"/>
        <v>#DIV/0!</v>
      </c>
      <c r="AS52" s="6">
        <f>+AS51/AS7</f>
        <v>22.729874274661512</v>
      </c>
    </row>
    <row r="53" spans="1:46" s="24" customFormat="1" x14ac:dyDescent="0.25">
      <c r="B53" s="62"/>
      <c r="C53" s="63"/>
      <c r="D53" s="63" t="s">
        <v>171</v>
      </c>
      <c r="E53" s="64">
        <f>+(E46+E47)-E51</f>
        <v>0</v>
      </c>
      <c r="F53" s="64"/>
      <c r="G53" s="64"/>
      <c r="H53" s="64"/>
      <c r="I53" s="64"/>
      <c r="J53" s="64"/>
      <c r="K53" s="64"/>
      <c r="L53" s="64">
        <f t="shared" ref="L53:P53" si="48">+(L46+L47+L48)-L51</f>
        <v>0</v>
      </c>
      <c r="M53" s="64">
        <f t="shared" si="48"/>
        <v>43.618479999999636</v>
      </c>
      <c r="N53" s="64">
        <f t="shared" si="48"/>
        <v>14.610200000000077</v>
      </c>
      <c r="O53" s="64">
        <f t="shared" si="48"/>
        <v>11.990199999999959</v>
      </c>
      <c r="P53" s="64">
        <f t="shared" si="48"/>
        <v>13.14020000000005</v>
      </c>
      <c r="Q53" s="64">
        <f>+(Q46+Q47+Q48)-Q51</f>
        <v>10.516160000000013</v>
      </c>
      <c r="R53" s="64">
        <f t="shared" ref="R53:AR53" si="49">+(R46+R47+R48)-R51</f>
        <v>31.208479999999781</v>
      </c>
      <c r="S53" s="64">
        <f t="shared" si="49"/>
        <v>-23.189600000000155</v>
      </c>
      <c r="T53" s="64">
        <f t="shared" si="49"/>
        <v>2.2031799999999748</v>
      </c>
      <c r="U53" s="64">
        <f t="shared" si="49"/>
        <v>5.3844400000002679</v>
      </c>
      <c r="V53" s="64">
        <f t="shared" si="49"/>
        <v>1.9561599999999544</v>
      </c>
      <c r="W53" s="64">
        <f t="shared" si="49"/>
        <v>1.6225319999998646</v>
      </c>
      <c r="X53" s="64">
        <f t="shared" si="49"/>
        <v>0.50850400000001628</v>
      </c>
      <c r="Y53" s="64">
        <f t="shared" si="49"/>
        <v>0</v>
      </c>
      <c r="Z53" s="64">
        <f t="shared" si="49"/>
        <v>3.6721199999999499</v>
      </c>
      <c r="AA53" s="64">
        <f t="shared" si="49"/>
        <v>0</v>
      </c>
      <c r="AB53" s="64">
        <f t="shared" si="49"/>
        <v>29.095100000000002</v>
      </c>
      <c r="AC53" s="64">
        <f t="shared" si="49"/>
        <v>0</v>
      </c>
      <c r="AD53" s="64">
        <f t="shared" si="49"/>
        <v>587.33510000000001</v>
      </c>
      <c r="AE53" s="64">
        <f t="shared" si="49"/>
        <v>0</v>
      </c>
      <c r="AF53" s="64">
        <f t="shared" si="49"/>
        <v>9.6180799999999635</v>
      </c>
      <c r="AG53" s="64">
        <f t="shared" si="49"/>
        <v>0</v>
      </c>
      <c r="AH53" s="64">
        <f t="shared" si="49"/>
        <v>0</v>
      </c>
      <c r="AI53" s="64">
        <f t="shared" si="49"/>
        <v>46.200400000000172</v>
      </c>
      <c r="AJ53" s="64">
        <f t="shared" si="49"/>
        <v>0</v>
      </c>
      <c r="AK53" s="64">
        <f t="shared" si="49"/>
        <v>0</v>
      </c>
      <c r="AL53" s="64">
        <f t="shared" si="49"/>
        <v>0</v>
      </c>
      <c r="AM53" s="64">
        <f t="shared" si="49"/>
        <v>0</v>
      </c>
      <c r="AN53" s="64">
        <f t="shared" si="49"/>
        <v>0</v>
      </c>
      <c r="AO53" s="64">
        <f t="shared" si="49"/>
        <v>0</v>
      </c>
      <c r="AP53" s="64">
        <f t="shared" si="49"/>
        <v>0</v>
      </c>
      <c r="AQ53" s="64">
        <f t="shared" si="49"/>
        <v>0</v>
      </c>
      <c r="AR53" s="64">
        <f t="shared" si="49"/>
        <v>0</v>
      </c>
      <c r="AS53" s="66">
        <f>SUM(E53:AR53)</f>
        <v>789.48973599999954</v>
      </c>
      <c r="AT53" s="25"/>
    </row>
    <row r="54" spans="1:46" s="24" customFormat="1" x14ac:dyDescent="0.25">
      <c r="B54" s="67"/>
      <c r="D54" s="27" t="s">
        <v>288</v>
      </c>
      <c r="E54" s="25"/>
      <c r="F54" s="25"/>
      <c r="G54" s="25"/>
      <c r="H54" s="25"/>
      <c r="I54" s="25"/>
      <c r="J54" s="25"/>
      <c r="K54" s="25"/>
      <c r="L54" s="25" t="e">
        <f>-L46/SUM(L46:L47)*L53</f>
        <v>#DIV/0!</v>
      </c>
      <c r="M54" s="25">
        <f>-M46/SUM(M46:M47)*M53</f>
        <v>-43.618479999999636</v>
      </c>
      <c r="N54" s="25">
        <f t="shared" ref="N54:T54" si="50">-N46/SUM(N46:N47)*N53</f>
        <v>-14.610200000000077</v>
      </c>
      <c r="O54" s="25">
        <f t="shared" si="50"/>
        <v>-11.990199999999959</v>
      </c>
      <c r="P54" s="25">
        <f t="shared" si="50"/>
        <v>-13.14020000000005</v>
      </c>
      <c r="Q54" s="25">
        <f t="shared" si="50"/>
        <v>-10.516160000000013</v>
      </c>
      <c r="R54" s="25">
        <f t="shared" si="50"/>
        <v>-31.208479999999781</v>
      </c>
      <c r="S54" s="25">
        <f t="shared" si="50"/>
        <v>9.2758400000000627</v>
      </c>
      <c r="T54" s="25">
        <f t="shared" si="50"/>
        <v>-1.9583822222221998</v>
      </c>
      <c r="U54" s="25">
        <f t="shared" ref="U54:AC54" si="51">-U46/SUM(U46:U47)*U53</f>
        <v>-1.9579781818182793</v>
      </c>
      <c r="V54" s="25">
        <f t="shared" si="51"/>
        <v>-1.9561599999999544</v>
      </c>
      <c r="W54" s="25">
        <f t="shared" si="51"/>
        <v>-0.78194313253005521</v>
      </c>
      <c r="X54" s="25">
        <f t="shared" si="51"/>
        <v>-0.50850400000001628</v>
      </c>
      <c r="Y54" s="25" t="e">
        <f t="shared" si="51"/>
        <v>#DIV/0!</v>
      </c>
      <c r="Z54" s="25">
        <f t="shared" si="51"/>
        <v>-3.6721199999999499</v>
      </c>
      <c r="AA54" s="25" t="e">
        <f t="shared" si="51"/>
        <v>#DIV/0!</v>
      </c>
      <c r="AB54" s="25">
        <f t="shared" si="51"/>
        <v>-29.095100000000002</v>
      </c>
      <c r="AC54" s="25" t="e">
        <f t="shared" si="51"/>
        <v>#DIV/0!</v>
      </c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68"/>
      <c r="AT54" s="25"/>
    </row>
    <row r="55" spans="1:46" s="24" customFormat="1" x14ac:dyDescent="0.25">
      <c r="B55" s="67"/>
      <c r="D55" s="27" t="s">
        <v>223</v>
      </c>
      <c r="E55" s="25"/>
      <c r="F55" s="25"/>
      <c r="G55" s="25"/>
      <c r="H55" s="25"/>
      <c r="I55" s="25"/>
      <c r="J55" s="25"/>
      <c r="K55" s="25"/>
      <c r="L55" s="25" t="e">
        <f>-+L47/SUM(L46:L47)*L53</f>
        <v>#DIV/0!</v>
      </c>
      <c r="M55" s="25">
        <f>-+M47/SUM(M46:M47)*M53</f>
        <v>0</v>
      </c>
      <c r="N55" s="25">
        <f t="shared" ref="N55:T55" si="52">-+N47/SUM(N46:N47)*N53</f>
        <v>0</v>
      </c>
      <c r="O55" s="25">
        <f t="shared" si="52"/>
        <v>0</v>
      </c>
      <c r="P55" s="25">
        <f t="shared" si="52"/>
        <v>0</v>
      </c>
      <c r="Q55" s="25">
        <f t="shared" si="52"/>
        <v>0</v>
      </c>
      <c r="R55" s="25">
        <f t="shared" si="52"/>
        <v>0</v>
      </c>
      <c r="S55" s="25">
        <f t="shared" si="52"/>
        <v>13.913760000000096</v>
      </c>
      <c r="T55" s="25">
        <f t="shared" si="52"/>
        <v>-0.24479777777777509</v>
      </c>
      <c r="U55" s="25">
        <f t="shared" ref="U55:AC55" si="53">-+U47/SUM(U46:U47)*U53</f>
        <v>-3.426461818181989</v>
      </c>
      <c r="V55" s="25">
        <f t="shared" si="53"/>
        <v>0</v>
      </c>
      <c r="W55" s="25">
        <f t="shared" si="53"/>
        <v>-0.84058886746980943</v>
      </c>
      <c r="X55" s="25">
        <f t="shared" si="53"/>
        <v>0</v>
      </c>
      <c r="Y55" s="25" t="e">
        <f t="shared" si="53"/>
        <v>#DIV/0!</v>
      </c>
      <c r="Z55" s="25">
        <f t="shared" si="53"/>
        <v>0</v>
      </c>
      <c r="AA55" s="25" t="e">
        <f t="shared" si="53"/>
        <v>#DIV/0!</v>
      </c>
      <c r="AB55" s="25">
        <f t="shared" si="53"/>
        <v>0</v>
      </c>
      <c r="AC55" s="25" t="e">
        <f t="shared" si="53"/>
        <v>#DIV/0!</v>
      </c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68"/>
      <c r="AT55" s="25"/>
    </row>
    <row r="56" spans="1:46" x14ac:dyDescent="0.25">
      <c r="B56" s="74"/>
      <c r="C56" s="75"/>
      <c r="D56" s="78" t="s">
        <v>226</v>
      </c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7"/>
    </row>
    <row r="57" spans="1:46" x14ac:dyDescent="0.25">
      <c r="B57" s="2"/>
      <c r="D57" s="27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AS57" s="6"/>
    </row>
    <row r="58" spans="1:46" x14ac:dyDescent="0.25">
      <c r="B58" s="2" t="s">
        <v>115</v>
      </c>
      <c r="E58" s="1">
        <f>+E51</f>
        <v>0</v>
      </c>
      <c r="F58" s="1"/>
      <c r="G58" s="1"/>
      <c r="H58" s="1"/>
      <c r="I58" s="1"/>
      <c r="J58" s="1"/>
      <c r="K58" s="1"/>
      <c r="L58" s="1">
        <f>+E58+L51</f>
        <v>0</v>
      </c>
      <c r="M58" s="1">
        <f>+L58+M51</f>
        <v>2775.59</v>
      </c>
      <c r="N58" s="1">
        <f>+M58+N51</f>
        <v>3935.65</v>
      </c>
      <c r="O58" s="1">
        <f t="shared" ref="O58:T58" si="54">+N58+O51</f>
        <v>5098.33</v>
      </c>
      <c r="P58" s="1">
        <f t="shared" si="54"/>
        <v>6259.86</v>
      </c>
      <c r="Q58" s="1">
        <f t="shared" si="54"/>
        <v>7189.08</v>
      </c>
      <c r="R58" s="1">
        <f t="shared" si="54"/>
        <v>9977.08</v>
      </c>
      <c r="S58" s="1">
        <f t="shared" si="54"/>
        <v>12349.61</v>
      </c>
      <c r="T58" s="1">
        <f t="shared" si="54"/>
        <v>13404.61</v>
      </c>
      <c r="U58" s="1">
        <f t="shared" ref="U58:AQ58" si="55">+T58+U51</f>
        <v>15983.5</v>
      </c>
      <c r="V58" s="1">
        <f t="shared" si="55"/>
        <v>16921.28</v>
      </c>
      <c r="W58" s="1">
        <f t="shared" si="55"/>
        <v>18869.61</v>
      </c>
      <c r="X58" s="1">
        <f t="shared" si="55"/>
        <v>19479.93</v>
      </c>
      <c r="Y58" s="1">
        <f t="shared" si="55"/>
        <v>19479.93</v>
      </c>
      <c r="Z58" s="1">
        <f t="shared" si="55"/>
        <v>20181.060000000001</v>
      </c>
      <c r="AA58" s="1">
        <f t="shared" si="55"/>
        <v>20181.060000000001</v>
      </c>
      <c r="AB58" s="1">
        <f t="shared" si="55"/>
        <v>20739.300000000003</v>
      </c>
      <c r="AC58" s="1">
        <f t="shared" si="55"/>
        <v>20739.300000000003</v>
      </c>
      <c r="AD58" s="1">
        <f t="shared" si="55"/>
        <v>20739.300000000003</v>
      </c>
      <c r="AE58" s="1">
        <f t="shared" si="55"/>
        <v>20739.300000000003</v>
      </c>
      <c r="AF58" s="1">
        <f t="shared" si="55"/>
        <v>21199.550000000003</v>
      </c>
      <c r="AG58" s="1">
        <f t="shared" si="55"/>
        <v>21199.550000000003</v>
      </c>
      <c r="AH58" s="1">
        <f t="shared" si="55"/>
        <v>21199.550000000003</v>
      </c>
      <c r="AI58" s="1">
        <f t="shared" si="55"/>
        <v>23502.690000000002</v>
      </c>
      <c r="AJ58" s="1">
        <f t="shared" si="55"/>
        <v>23502.690000000002</v>
      </c>
      <c r="AK58" s="1">
        <f t="shared" si="55"/>
        <v>23502.690000000002</v>
      </c>
      <c r="AL58" s="1">
        <f t="shared" si="55"/>
        <v>23502.690000000002</v>
      </c>
      <c r="AM58" s="1">
        <f t="shared" si="55"/>
        <v>23502.690000000002</v>
      </c>
      <c r="AN58" s="1">
        <f t="shared" si="55"/>
        <v>23502.690000000002</v>
      </c>
      <c r="AO58" s="1">
        <f t="shared" si="55"/>
        <v>23502.690000000002</v>
      </c>
      <c r="AP58" s="1">
        <f t="shared" si="55"/>
        <v>23502.690000000002</v>
      </c>
      <c r="AQ58" s="1">
        <f t="shared" si="55"/>
        <v>23502.690000000002</v>
      </c>
      <c r="AS58" s="6"/>
    </row>
    <row r="59" spans="1:46" x14ac:dyDescent="0.25">
      <c r="B59" s="2" t="s">
        <v>116</v>
      </c>
      <c r="E59" s="1">
        <f>+E7</f>
        <v>0</v>
      </c>
      <c r="F59" s="1"/>
      <c r="G59" s="1"/>
      <c r="H59" s="1"/>
      <c r="I59" s="1"/>
      <c r="J59" s="1"/>
      <c r="K59" s="1"/>
      <c r="L59" s="1">
        <f>+E59+L7</f>
        <v>0</v>
      </c>
      <c r="M59" s="1">
        <f>+L59+M7</f>
        <v>120</v>
      </c>
      <c r="N59" s="1">
        <f>+M59+N7</f>
        <v>170</v>
      </c>
      <c r="O59" s="1">
        <f t="shared" ref="O59:T59" si="56">+N59+O7</f>
        <v>220</v>
      </c>
      <c r="P59" s="1">
        <f t="shared" si="56"/>
        <v>270</v>
      </c>
      <c r="Q59" s="1">
        <f t="shared" si="56"/>
        <v>310</v>
      </c>
      <c r="R59" s="1">
        <f t="shared" si="56"/>
        <v>430</v>
      </c>
      <c r="S59" s="1">
        <f t="shared" si="56"/>
        <v>530</v>
      </c>
      <c r="T59" s="1">
        <f t="shared" si="56"/>
        <v>575</v>
      </c>
      <c r="U59" s="1">
        <f t="shared" ref="U59:AQ59" si="57">+T59+U7</f>
        <v>685</v>
      </c>
      <c r="V59" s="1">
        <f t="shared" si="57"/>
        <v>725</v>
      </c>
      <c r="W59" s="1">
        <f t="shared" si="57"/>
        <v>808</v>
      </c>
      <c r="X59" s="1">
        <f t="shared" si="57"/>
        <v>834</v>
      </c>
      <c r="Y59" s="1">
        <f t="shared" si="57"/>
        <v>834</v>
      </c>
      <c r="Z59" s="1">
        <f t="shared" si="57"/>
        <v>864</v>
      </c>
      <c r="AA59" s="1">
        <f t="shared" si="57"/>
        <v>864</v>
      </c>
      <c r="AB59" s="1">
        <f t="shared" si="57"/>
        <v>889</v>
      </c>
      <c r="AC59" s="1">
        <f t="shared" si="57"/>
        <v>889</v>
      </c>
      <c r="AD59" s="1">
        <f t="shared" si="57"/>
        <v>914</v>
      </c>
      <c r="AE59" s="1">
        <f t="shared" si="57"/>
        <v>914</v>
      </c>
      <c r="AF59" s="1">
        <f t="shared" si="57"/>
        <v>934</v>
      </c>
      <c r="AG59" s="1">
        <f t="shared" si="57"/>
        <v>934</v>
      </c>
      <c r="AH59" s="1">
        <f t="shared" si="57"/>
        <v>934</v>
      </c>
      <c r="AI59" s="1">
        <f t="shared" si="57"/>
        <v>1034</v>
      </c>
      <c r="AJ59" s="1">
        <f t="shared" si="57"/>
        <v>1034</v>
      </c>
      <c r="AK59" s="1">
        <f t="shared" si="57"/>
        <v>1034</v>
      </c>
      <c r="AL59" s="1">
        <f t="shared" si="57"/>
        <v>1034</v>
      </c>
      <c r="AM59" s="1">
        <f t="shared" si="57"/>
        <v>1034</v>
      </c>
      <c r="AN59" s="1">
        <f t="shared" si="57"/>
        <v>1034</v>
      </c>
      <c r="AO59" s="1">
        <f t="shared" si="57"/>
        <v>1034</v>
      </c>
      <c r="AP59" s="1">
        <f t="shared" si="57"/>
        <v>1034</v>
      </c>
      <c r="AQ59" s="1">
        <f t="shared" si="57"/>
        <v>1034</v>
      </c>
      <c r="AS59" s="6"/>
    </row>
    <row r="60" spans="1:46" x14ac:dyDescent="0.25">
      <c r="B60" s="2" t="s">
        <v>117</v>
      </c>
      <c r="E60" s="6" t="e">
        <f>+E58/E59</f>
        <v>#DIV/0!</v>
      </c>
      <c r="F60" s="6"/>
      <c r="G60" s="6"/>
      <c r="H60" s="6"/>
      <c r="I60" s="6"/>
      <c r="J60" s="6"/>
      <c r="K60" s="6"/>
      <c r="L60" s="6" t="e">
        <f>+L58/L59</f>
        <v>#DIV/0!</v>
      </c>
      <c r="M60" s="6">
        <f>+M58/M59</f>
        <v>23.129916666666666</v>
      </c>
      <c r="N60" s="6">
        <f t="shared" ref="N60:T60" si="58">+N58/N59</f>
        <v>23.150882352941178</v>
      </c>
      <c r="O60" s="6">
        <f t="shared" si="58"/>
        <v>23.174227272727272</v>
      </c>
      <c r="P60" s="6">
        <f t="shared" si="58"/>
        <v>23.184666666666665</v>
      </c>
      <c r="Q60" s="6">
        <f t="shared" si="58"/>
        <v>23.19058064516129</v>
      </c>
      <c r="R60" s="6">
        <f t="shared" si="58"/>
        <v>23.202511627906976</v>
      </c>
      <c r="S60" s="6">
        <f t="shared" si="58"/>
        <v>23.301150943396227</v>
      </c>
      <c r="T60" s="6">
        <f t="shared" si="58"/>
        <v>23.312365217391307</v>
      </c>
      <c r="U60" s="6">
        <f t="shared" ref="U60:AD60" si="59">+U58/U59</f>
        <v>23.333576642335768</v>
      </c>
      <c r="V60" s="6">
        <f t="shared" si="59"/>
        <v>23.339696551724135</v>
      </c>
      <c r="W60" s="6">
        <f t="shared" si="59"/>
        <v>23.353477722772279</v>
      </c>
      <c r="X60" s="6">
        <f t="shared" si="59"/>
        <v>23.357230215827339</v>
      </c>
      <c r="Y60" s="6">
        <f t="shared" si="59"/>
        <v>23.357230215827339</v>
      </c>
      <c r="Z60" s="6">
        <f t="shared" si="59"/>
        <v>23.357708333333335</v>
      </c>
      <c r="AA60" s="6">
        <f t="shared" si="59"/>
        <v>23.357708333333335</v>
      </c>
      <c r="AB60" s="6">
        <f t="shared" si="59"/>
        <v>23.328796400449946</v>
      </c>
      <c r="AC60" s="6">
        <f t="shared" si="59"/>
        <v>23.328796400449946</v>
      </c>
      <c r="AD60" s="6">
        <f t="shared" si="59"/>
        <v>22.690700218818385</v>
      </c>
      <c r="AE60" s="6">
        <f t="shared" ref="AE60:AJ60" si="60">+AE58/AE59</f>
        <v>22.690700218818385</v>
      </c>
      <c r="AF60" s="6">
        <f t="shared" si="60"/>
        <v>22.697591006423988</v>
      </c>
      <c r="AG60" s="6">
        <f t="shared" si="60"/>
        <v>22.697591006423988</v>
      </c>
      <c r="AH60" s="6">
        <f t="shared" si="60"/>
        <v>22.697591006423988</v>
      </c>
      <c r="AI60" s="6">
        <f t="shared" si="60"/>
        <v>22.729874274661512</v>
      </c>
      <c r="AJ60" s="6">
        <f t="shared" si="60"/>
        <v>22.729874274661512</v>
      </c>
      <c r="AK60" s="6">
        <f t="shared" ref="AK60:AQ60" si="61">+AK58/AK59</f>
        <v>22.729874274661512</v>
      </c>
      <c r="AL60" s="6">
        <f t="shared" si="61"/>
        <v>22.729874274661512</v>
      </c>
      <c r="AM60" s="6">
        <f t="shared" si="61"/>
        <v>22.729874274661512</v>
      </c>
      <c r="AN60" s="6">
        <f t="shared" si="61"/>
        <v>22.729874274661512</v>
      </c>
      <c r="AO60" s="6">
        <f t="shared" si="61"/>
        <v>22.729874274661512</v>
      </c>
      <c r="AP60" s="6">
        <f t="shared" si="61"/>
        <v>22.729874274661512</v>
      </c>
      <c r="AQ60" s="6">
        <f t="shared" si="61"/>
        <v>22.729874274661512</v>
      </c>
    </row>
    <row r="69" spans="1:45" x14ac:dyDescent="0.25">
      <c r="A69" s="122"/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O69" s="123"/>
      <c r="AP69" s="123"/>
      <c r="AQ69" s="123"/>
      <c r="AR69" s="123"/>
      <c r="AS69" s="124"/>
    </row>
    <row r="70" spans="1:45" x14ac:dyDescent="0.25">
      <c r="A70" s="125" t="s">
        <v>593</v>
      </c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126"/>
      <c r="AH70" s="126"/>
      <c r="AI70" s="126"/>
      <c r="AJ70" s="126"/>
      <c r="AK70" s="126"/>
      <c r="AL70" s="126"/>
      <c r="AM70" s="126"/>
      <c r="AN70" s="126"/>
      <c r="AO70" s="126"/>
      <c r="AP70" s="126"/>
      <c r="AQ70" s="126"/>
      <c r="AR70" s="126"/>
      <c r="AS70" s="127"/>
    </row>
    <row r="71" spans="1:45" x14ac:dyDescent="0.25">
      <c r="A71" s="125"/>
      <c r="B71" s="128" t="s">
        <v>594</v>
      </c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35">
        <f>+Daily!L14</f>
        <v>120</v>
      </c>
      <c r="N71" s="135">
        <f>+Daily!M14</f>
        <v>50</v>
      </c>
      <c r="O71" s="135">
        <f>+Daily!N14</f>
        <v>50</v>
      </c>
      <c r="P71" s="135">
        <f>+Daily!O14</f>
        <v>50</v>
      </c>
      <c r="Q71" s="135">
        <f>+Daily!P14</f>
        <v>40</v>
      </c>
      <c r="R71" s="135">
        <f>+Daily!Q14</f>
        <v>120</v>
      </c>
      <c r="S71" s="135">
        <f>+Daily!R14</f>
        <v>100</v>
      </c>
      <c r="T71" s="135">
        <f>+Daily!S14</f>
        <v>45</v>
      </c>
      <c r="U71" s="135">
        <f>+Daily!T14</f>
        <v>110</v>
      </c>
      <c r="V71" s="135">
        <f>+Daily!U14</f>
        <v>40</v>
      </c>
      <c r="W71" s="135">
        <f>+Daily!V14</f>
        <v>83</v>
      </c>
      <c r="X71" s="135">
        <f>+Daily!W14</f>
        <v>26</v>
      </c>
      <c r="Y71" s="135">
        <f>+Daily!X14</f>
        <v>0</v>
      </c>
      <c r="Z71" s="135">
        <f>+Daily!Y14</f>
        <v>30</v>
      </c>
      <c r="AA71" s="135">
        <f>+Daily!Z14</f>
        <v>0</v>
      </c>
      <c r="AB71" s="135">
        <f>+Daily!AA14</f>
        <v>25</v>
      </c>
      <c r="AC71" s="135">
        <f>+Daily!AB14</f>
        <v>0</v>
      </c>
      <c r="AD71" s="135">
        <f>+Daily!AC14</f>
        <v>25</v>
      </c>
      <c r="AE71" s="135">
        <f>+Daily!AD14</f>
        <v>0</v>
      </c>
      <c r="AF71" s="135">
        <f>+Daily!AE14</f>
        <v>20</v>
      </c>
      <c r="AG71" s="135">
        <f>+Daily!AF14</f>
        <v>0</v>
      </c>
      <c r="AH71" s="135">
        <f>+Daily!AG14</f>
        <v>0</v>
      </c>
      <c r="AI71" s="135">
        <f>+Daily!AH14</f>
        <v>100</v>
      </c>
      <c r="AJ71" s="135">
        <f>+Daily!AI14</f>
        <v>0</v>
      </c>
      <c r="AK71" s="135">
        <f>+Daily!AJ14</f>
        <v>0</v>
      </c>
      <c r="AL71" s="135">
        <f>+Daily!AK14</f>
        <v>0</v>
      </c>
      <c r="AM71" s="126"/>
      <c r="AN71" s="126"/>
      <c r="AO71" s="126"/>
      <c r="AP71" s="126"/>
      <c r="AQ71" s="126"/>
      <c r="AR71" s="126"/>
      <c r="AS71" s="127"/>
    </row>
    <row r="72" spans="1:45" x14ac:dyDescent="0.25">
      <c r="A72" s="125"/>
      <c r="B72" s="128" t="s">
        <v>595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  <c r="AN72" s="126"/>
      <c r="AO72" s="126"/>
      <c r="AP72" s="126"/>
      <c r="AQ72" s="126"/>
      <c r="AR72" s="126"/>
      <c r="AS72" s="127"/>
    </row>
    <row r="73" spans="1:45" x14ac:dyDescent="0.25">
      <c r="A73" s="125"/>
      <c r="B73" s="126" t="s">
        <v>695</v>
      </c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126"/>
      <c r="AH73" s="126"/>
      <c r="AI73" s="126"/>
      <c r="AJ73" s="126"/>
      <c r="AK73" s="126"/>
      <c r="AL73" s="126"/>
      <c r="AM73" s="126"/>
      <c r="AN73" s="126"/>
      <c r="AO73" s="126"/>
      <c r="AP73" s="126"/>
      <c r="AQ73" s="126"/>
      <c r="AR73" s="126"/>
      <c r="AS73" s="127"/>
    </row>
    <row r="74" spans="1:45" x14ac:dyDescent="0.25">
      <c r="A74" s="125"/>
      <c r="B74" s="126" t="s">
        <v>596</v>
      </c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6"/>
      <c r="AL74" s="126"/>
      <c r="AM74" s="126"/>
      <c r="AN74" s="126"/>
      <c r="AO74" s="126"/>
      <c r="AP74" s="126"/>
      <c r="AQ74" s="126"/>
      <c r="AR74" s="126"/>
      <c r="AS74" s="127"/>
    </row>
    <row r="75" spans="1:45" x14ac:dyDescent="0.25">
      <c r="A75" s="125"/>
      <c r="B75" s="126" t="s">
        <v>597</v>
      </c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>
        <v>20.36</v>
      </c>
      <c r="N75" s="126">
        <v>20.36</v>
      </c>
      <c r="O75" s="126">
        <v>20.36</v>
      </c>
      <c r="P75" s="126">
        <v>20.36</v>
      </c>
      <c r="Q75" s="126">
        <v>20.36</v>
      </c>
      <c r="R75" s="126">
        <v>20.36</v>
      </c>
      <c r="S75" s="126">
        <v>20.36</v>
      </c>
      <c r="T75" s="126">
        <v>20.36</v>
      </c>
      <c r="U75" s="126">
        <v>20.36</v>
      </c>
      <c r="V75" s="126">
        <v>20.36</v>
      </c>
      <c r="W75" s="126">
        <v>20.36</v>
      </c>
      <c r="X75" s="126">
        <v>20.36</v>
      </c>
      <c r="Y75" s="126">
        <v>20.36</v>
      </c>
      <c r="Z75" s="126">
        <v>20.36</v>
      </c>
      <c r="AA75" s="126">
        <v>20.36</v>
      </c>
      <c r="AB75" s="126">
        <v>20.36</v>
      </c>
      <c r="AC75" s="126">
        <v>20.36</v>
      </c>
      <c r="AD75" s="126">
        <v>20.36</v>
      </c>
      <c r="AE75" s="126">
        <v>20.36</v>
      </c>
      <c r="AF75" s="126">
        <v>20.36</v>
      </c>
      <c r="AG75" s="126">
        <v>20.36</v>
      </c>
      <c r="AH75" s="126">
        <v>20.36</v>
      </c>
      <c r="AI75" s="126">
        <v>20.36</v>
      </c>
      <c r="AJ75" s="126">
        <v>20.36</v>
      </c>
      <c r="AK75" s="126">
        <v>20.36</v>
      </c>
      <c r="AL75" s="126">
        <v>20.36</v>
      </c>
      <c r="AM75" s="126"/>
      <c r="AN75" s="126"/>
      <c r="AO75" s="126"/>
      <c r="AP75" s="126"/>
      <c r="AQ75" s="126"/>
      <c r="AR75" s="126"/>
      <c r="AS75" s="127"/>
    </row>
    <row r="76" spans="1:45" x14ac:dyDescent="0.25">
      <c r="A76" s="125"/>
      <c r="B76" s="126" t="s">
        <v>692</v>
      </c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9">
        <f>+(M75*M71)*M77</f>
        <v>376.00848000000002</v>
      </c>
      <c r="N76" s="129">
        <f t="shared" ref="N76:AL76" si="62">+(N75*N71)*N77</f>
        <v>156.67020000000002</v>
      </c>
      <c r="O76" s="129">
        <f t="shared" si="62"/>
        <v>156.67020000000002</v>
      </c>
      <c r="P76" s="129">
        <f t="shared" si="62"/>
        <v>156.67020000000002</v>
      </c>
      <c r="Q76" s="129">
        <f t="shared" si="62"/>
        <v>125.33616000000001</v>
      </c>
      <c r="R76" s="129">
        <f t="shared" si="62"/>
        <v>376.00848000000002</v>
      </c>
      <c r="S76" s="129">
        <f t="shared" si="62"/>
        <v>313.34040000000005</v>
      </c>
      <c r="T76" s="129">
        <f t="shared" si="62"/>
        <v>141.00317999999999</v>
      </c>
      <c r="U76" s="129">
        <f t="shared" si="62"/>
        <v>344.67444</v>
      </c>
      <c r="V76" s="129">
        <f t="shared" si="62"/>
        <v>125.33616000000001</v>
      </c>
      <c r="W76" s="129">
        <f t="shared" si="62"/>
        <v>260.07253200000002</v>
      </c>
      <c r="X76" s="129">
        <f t="shared" si="62"/>
        <v>81.46850400000001</v>
      </c>
      <c r="Y76" s="129">
        <f t="shared" si="62"/>
        <v>0</v>
      </c>
      <c r="Z76" s="129">
        <f t="shared" si="62"/>
        <v>94.002120000000005</v>
      </c>
      <c r="AA76" s="129">
        <f t="shared" si="62"/>
        <v>0</v>
      </c>
      <c r="AB76" s="129">
        <f t="shared" si="62"/>
        <v>78.335100000000011</v>
      </c>
      <c r="AC76" s="129">
        <f t="shared" si="62"/>
        <v>0</v>
      </c>
      <c r="AD76" s="129">
        <f t="shared" si="62"/>
        <v>78.335100000000011</v>
      </c>
      <c r="AE76" s="129">
        <f t="shared" si="62"/>
        <v>0</v>
      </c>
      <c r="AF76" s="129">
        <f t="shared" si="62"/>
        <v>62.668080000000003</v>
      </c>
      <c r="AG76" s="129">
        <f t="shared" si="62"/>
        <v>0</v>
      </c>
      <c r="AH76" s="129">
        <f t="shared" si="62"/>
        <v>0</v>
      </c>
      <c r="AI76" s="129">
        <f t="shared" si="62"/>
        <v>313.34040000000005</v>
      </c>
      <c r="AJ76" s="129">
        <f t="shared" si="62"/>
        <v>0</v>
      </c>
      <c r="AK76" s="129">
        <f t="shared" si="62"/>
        <v>0</v>
      </c>
      <c r="AL76" s="129">
        <f t="shared" si="62"/>
        <v>0</v>
      </c>
      <c r="AM76" s="126"/>
      <c r="AN76" s="126"/>
      <c r="AO76" s="126"/>
      <c r="AP76" s="126"/>
      <c r="AQ76" s="126"/>
      <c r="AR76" s="126"/>
      <c r="AS76" s="127"/>
    </row>
    <row r="77" spans="1:45" x14ac:dyDescent="0.25">
      <c r="A77" s="125"/>
      <c r="B77" s="126" t="s">
        <v>598</v>
      </c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>
        <v>0.15390000000000001</v>
      </c>
      <c r="N77" s="126">
        <v>0.15390000000000001</v>
      </c>
      <c r="O77" s="126">
        <v>0.15390000000000001</v>
      </c>
      <c r="P77" s="126">
        <v>0.15390000000000001</v>
      </c>
      <c r="Q77" s="126">
        <v>0.15390000000000001</v>
      </c>
      <c r="R77" s="126">
        <v>0.15390000000000001</v>
      </c>
      <c r="S77" s="126">
        <v>0.15390000000000001</v>
      </c>
      <c r="T77" s="126">
        <v>0.15390000000000001</v>
      </c>
      <c r="U77" s="126">
        <v>0.15390000000000001</v>
      </c>
      <c r="V77" s="126">
        <v>0.15390000000000001</v>
      </c>
      <c r="W77" s="126">
        <v>0.15390000000000001</v>
      </c>
      <c r="X77" s="126">
        <v>0.15390000000000001</v>
      </c>
      <c r="Y77" s="126">
        <v>0.15390000000000001</v>
      </c>
      <c r="Z77" s="126">
        <v>0.15390000000000001</v>
      </c>
      <c r="AA77" s="126">
        <v>0.15390000000000001</v>
      </c>
      <c r="AB77" s="126">
        <v>0.15390000000000001</v>
      </c>
      <c r="AC77" s="126">
        <v>0.15390000000000001</v>
      </c>
      <c r="AD77" s="126">
        <v>0.15390000000000001</v>
      </c>
      <c r="AE77" s="126">
        <v>0.15390000000000001</v>
      </c>
      <c r="AF77" s="126">
        <v>0.15390000000000001</v>
      </c>
      <c r="AG77" s="126">
        <v>0.15390000000000001</v>
      </c>
      <c r="AH77" s="126">
        <v>0.15390000000000001</v>
      </c>
      <c r="AI77" s="126">
        <v>0.15390000000000001</v>
      </c>
      <c r="AJ77" s="126">
        <v>0.15390000000000001</v>
      </c>
      <c r="AK77" s="126">
        <v>0.15390000000000001</v>
      </c>
      <c r="AL77" s="126">
        <v>0.15390000000000001</v>
      </c>
      <c r="AM77" s="126"/>
      <c r="AN77" s="126"/>
      <c r="AO77" s="126"/>
      <c r="AP77" s="126"/>
      <c r="AQ77" s="126"/>
      <c r="AR77" s="126"/>
      <c r="AS77" s="127"/>
    </row>
    <row r="78" spans="1:45" x14ac:dyDescent="0.25">
      <c r="A78" s="125"/>
      <c r="B78" s="126" t="s">
        <v>599</v>
      </c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9">
        <f>+(M71*M75)+M76</f>
        <v>2819.2084799999998</v>
      </c>
      <c r="N78" s="129">
        <f t="shared" ref="N78:AL78" si="63">+(N71*N75)+N76</f>
        <v>1174.6702</v>
      </c>
      <c r="O78" s="129">
        <f t="shared" si="63"/>
        <v>1174.6702</v>
      </c>
      <c r="P78" s="129">
        <f t="shared" si="63"/>
        <v>1174.6702</v>
      </c>
      <c r="Q78" s="129">
        <f t="shared" si="63"/>
        <v>939.73615999999993</v>
      </c>
      <c r="R78" s="129">
        <f t="shared" si="63"/>
        <v>2819.2084799999998</v>
      </c>
      <c r="S78" s="129">
        <f t="shared" si="63"/>
        <v>2349.3404</v>
      </c>
      <c r="T78" s="129">
        <f t="shared" si="63"/>
        <v>1057.20318</v>
      </c>
      <c r="U78" s="129">
        <f t="shared" si="63"/>
        <v>2584.2744400000001</v>
      </c>
      <c r="V78" s="129">
        <f t="shared" si="63"/>
        <v>939.73615999999993</v>
      </c>
      <c r="W78" s="129">
        <f t="shared" si="63"/>
        <v>1949.9525319999998</v>
      </c>
      <c r="X78" s="129">
        <f t="shared" si="63"/>
        <v>610.82850400000007</v>
      </c>
      <c r="Y78" s="129">
        <f t="shared" si="63"/>
        <v>0</v>
      </c>
      <c r="Z78" s="129">
        <f t="shared" si="63"/>
        <v>704.80211999999995</v>
      </c>
      <c r="AA78" s="129">
        <f t="shared" si="63"/>
        <v>0</v>
      </c>
      <c r="AB78" s="129">
        <f t="shared" si="63"/>
        <v>587.33510000000001</v>
      </c>
      <c r="AC78" s="129">
        <f t="shared" si="63"/>
        <v>0</v>
      </c>
      <c r="AD78" s="129">
        <f t="shared" si="63"/>
        <v>587.33510000000001</v>
      </c>
      <c r="AE78" s="129">
        <f t="shared" si="63"/>
        <v>0</v>
      </c>
      <c r="AF78" s="129">
        <f t="shared" si="63"/>
        <v>469.86807999999996</v>
      </c>
      <c r="AG78" s="129">
        <f t="shared" si="63"/>
        <v>0</v>
      </c>
      <c r="AH78" s="129">
        <f t="shared" si="63"/>
        <v>0</v>
      </c>
      <c r="AI78" s="129">
        <f t="shared" si="63"/>
        <v>2349.3404</v>
      </c>
      <c r="AJ78" s="129">
        <f t="shared" si="63"/>
        <v>0</v>
      </c>
      <c r="AK78" s="129">
        <f t="shared" si="63"/>
        <v>0</v>
      </c>
      <c r="AL78" s="129">
        <f t="shared" si="63"/>
        <v>0</v>
      </c>
      <c r="AM78" s="126"/>
      <c r="AN78" s="126"/>
      <c r="AO78" s="126"/>
      <c r="AP78" s="126"/>
      <c r="AQ78" s="126"/>
      <c r="AR78" s="126"/>
      <c r="AS78" s="127"/>
    </row>
    <row r="79" spans="1:45" x14ac:dyDescent="0.25">
      <c r="A79" s="125"/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7"/>
    </row>
    <row r="80" spans="1:45" x14ac:dyDescent="0.25">
      <c r="A80" s="125"/>
      <c r="B80" s="126" t="s">
        <v>288</v>
      </c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9">
        <f>+M78</f>
        <v>2819.2084799999998</v>
      </c>
      <c r="N80" s="129">
        <f>+N78</f>
        <v>1174.6702</v>
      </c>
      <c r="O80" s="129">
        <f t="shared" ref="O80:R80" si="64">+O78</f>
        <v>1174.6702</v>
      </c>
      <c r="P80" s="129">
        <f t="shared" si="64"/>
        <v>1174.6702</v>
      </c>
      <c r="Q80" s="129">
        <f t="shared" si="64"/>
        <v>939.73615999999993</v>
      </c>
      <c r="R80" s="129">
        <f t="shared" si="64"/>
        <v>2819.2084799999998</v>
      </c>
      <c r="S80" s="129">
        <f>+S78/S71*40</f>
        <v>939.73616000000004</v>
      </c>
      <c r="T80" s="129">
        <f t="shared" ref="T80:X80" si="65">+T78/T71*40</f>
        <v>939.73615999999993</v>
      </c>
      <c r="U80" s="129">
        <f t="shared" si="65"/>
        <v>939.73616000000004</v>
      </c>
      <c r="V80" s="129">
        <f t="shared" si="65"/>
        <v>939.73615999999993</v>
      </c>
      <c r="W80" s="129">
        <f t="shared" si="65"/>
        <v>939.73615999999993</v>
      </c>
      <c r="X80" s="129">
        <f t="shared" si="65"/>
        <v>939.73616000000004</v>
      </c>
      <c r="Y80" s="129">
        <f t="shared" ref="Y80:AK80" si="66">+Y78</f>
        <v>0</v>
      </c>
      <c r="Z80" s="129">
        <f t="shared" si="66"/>
        <v>704.80211999999995</v>
      </c>
      <c r="AA80" s="129">
        <f t="shared" si="66"/>
        <v>0</v>
      </c>
      <c r="AB80" s="129">
        <f t="shared" si="66"/>
        <v>587.33510000000001</v>
      </c>
      <c r="AC80" s="129">
        <f t="shared" si="66"/>
        <v>0</v>
      </c>
      <c r="AD80" s="129">
        <f t="shared" si="66"/>
        <v>587.33510000000001</v>
      </c>
      <c r="AE80" s="129">
        <f t="shared" si="66"/>
        <v>0</v>
      </c>
      <c r="AF80" s="129">
        <f t="shared" si="66"/>
        <v>469.86807999999996</v>
      </c>
      <c r="AG80" s="129">
        <f t="shared" si="66"/>
        <v>0</v>
      </c>
      <c r="AH80" s="129">
        <f t="shared" si="66"/>
        <v>0</v>
      </c>
      <c r="AI80" s="129">
        <f t="shared" si="66"/>
        <v>2349.3404</v>
      </c>
      <c r="AJ80" s="129">
        <f t="shared" si="66"/>
        <v>0</v>
      </c>
      <c r="AK80" s="129">
        <f t="shared" si="66"/>
        <v>0</v>
      </c>
      <c r="AL80" s="129"/>
      <c r="AM80" s="129"/>
      <c r="AN80" s="126"/>
      <c r="AO80" s="126"/>
      <c r="AP80" s="126"/>
      <c r="AQ80" s="126"/>
      <c r="AR80" s="126"/>
      <c r="AS80" s="127"/>
    </row>
    <row r="81" spans="1:45" x14ac:dyDescent="0.25">
      <c r="A81" s="125"/>
      <c r="B81" s="126" t="s">
        <v>223</v>
      </c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>
        <v>0</v>
      </c>
      <c r="N81" s="126">
        <v>0</v>
      </c>
      <c r="O81" s="126">
        <v>0</v>
      </c>
      <c r="P81" s="126">
        <v>0</v>
      </c>
      <c r="Q81" s="126">
        <v>0</v>
      </c>
      <c r="R81" s="126">
        <v>0</v>
      </c>
      <c r="S81" s="129">
        <f>+S78-S80</f>
        <v>1409.6042400000001</v>
      </c>
      <c r="T81" s="129">
        <f t="shared" ref="T81:W81" si="67">+T78-T80</f>
        <v>117.46702000000005</v>
      </c>
      <c r="U81" s="129">
        <f t="shared" si="67"/>
        <v>1644.5382800000002</v>
      </c>
      <c r="V81" s="129">
        <f t="shared" si="67"/>
        <v>0</v>
      </c>
      <c r="W81" s="129">
        <f t="shared" si="67"/>
        <v>1010.2163719999999</v>
      </c>
      <c r="X81" s="129">
        <v>0</v>
      </c>
      <c r="Y81" s="129">
        <v>0</v>
      </c>
      <c r="Z81" s="129">
        <v>0</v>
      </c>
      <c r="AA81" s="129">
        <v>0</v>
      </c>
      <c r="AB81" s="129">
        <v>0</v>
      </c>
      <c r="AC81" s="129">
        <v>0</v>
      </c>
      <c r="AD81" s="129">
        <v>0</v>
      </c>
      <c r="AE81" s="129">
        <v>0</v>
      </c>
      <c r="AF81" s="129">
        <v>0</v>
      </c>
      <c r="AG81" s="129">
        <v>0</v>
      </c>
      <c r="AH81" s="129">
        <v>0</v>
      </c>
      <c r="AI81" s="129">
        <v>0</v>
      </c>
      <c r="AJ81" s="129">
        <v>0</v>
      </c>
      <c r="AK81" s="129">
        <v>0</v>
      </c>
      <c r="AL81" s="129"/>
      <c r="AM81" s="129"/>
      <c r="AN81" s="126"/>
      <c r="AO81" s="126"/>
      <c r="AP81" s="126"/>
      <c r="AQ81" s="126"/>
      <c r="AR81" s="126"/>
      <c r="AS81" s="127"/>
    </row>
    <row r="82" spans="1:45" x14ac:dyDescent="0.25">
      <c r="A82" s="125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>
        <f>+M81+M80</f>
        <v>2819.2084799999998</v>
      </c>
      <c r="N82" s="126">
        <f t="shared" ref="N82:AL82" si="68">+N81+N80</f>
        <v>1174.6702</v>
      </c>
      <c r="O82" s="126">
        <f t="shared" si="68"/>
        <v>1174.6702</v>
      </c>
      <c r="P82" s="126">
        <f t="shared" si="68"/>
        <v>1174.6702</v>
      </c>
      <c r="Q82" s="126">
        <f t="shared" si="68"/>
        <v>939.73615999999993</v>
      </c>
      <c r="R82" s="126">
        <f t="shared" si="68"/>
        <v>2819.2084799999998</v>
      </c>
      <c r="S82" s="129">
        <f t="shared" si="68"/>
        <v>2349.3404</v>
      </c>
      <c r="T82" s="129">
        <f t="shared" si="68"/>
        <v>1057.20318</v>
      </c>
      <c r="U82" s="129">
        <f t="shared" si="68"/>
        <v>2584.2744400000001</v>
      </c>
      <c r="V82" s="129">
        <f t="shared" si="68"/>
        <v>939.73615999999993</v>
      </c>
      <c r="W82" s="129">
        <f t="shared" si="68"/>
        <v>1949.9525319999998</v>
      </c>
      <c r="X82" s="129">
        <f t="shared" si="68"/>
        <v>939.73616000000004</v>
      </c>
      <c r="Y82" s="129">
        <f t="shared" ref="Y82:AK82" si="69">+Y81+Y80</f>
        <v>0</v>
      </c>
      <c r="Z82" s="129">
        <f t="shared" si="69"/>
        <v>704.80211999999995</v>
      </c>
      <c r="AA82" s="129">
        <f t="shared" si="69"/>
        <v>0</v>
      </c>
      <c r="AB82" s="129">
        <f t="shared" si="69"/>
        <v>587.33510000000001</v>
      </c>
      <c r="AC82" s="129">
        <f t="shared" si="69"/>
        <v>0</v>
      </c>
      <c r="AD82" s="129">
        <f t="shared" si="69"/>
        <v>587.33510000000001</v>
      </c>
      <c r="AE82" s="129">
        <f t="shared" si="69"/>
        <v>0</v>
      </c>
      <c r="AF82" s="129">
        <f t="shared" si="69"/>
        <v>469.86807999999996</v>
      </c>
      <c r="AG82" s="129">
        <f t="shared" si="69"/>
        <v>0</v>
      </c>
      <c r="AH82" s="129">
        <f t="shared" si="69"/>
        <v>0</v>
      </c>
      <c r="AI82" s="129">
        <f t="shared" si="69"/>
        <v>2349.3404</v>
      </c>
      <c r="AJ82" s="129">
        <f t="shared" si="69"/>
        <v>0</v>
      </c>
      <c r="AK82" s="129">
        <f t="shared" si="69"/>
        <v>0</v>
      </c>
      <c r="AL82" s="129">
        <f t="shared" si="68"/>
        <v>0</v>
      </c>
      <c r="AM82" s="129"/>
      <c r="AN82" s="126"/>
      <c r="AO82" s="126"/>
      <c r="AP82" s="126"/>
      <c r="AQ82" s="126"/>
      <c r="AR82" s="126"/>
      <c r="AS82" s="127"/>
    </row>
    <row r="83" spans="1:45" x14ac:dyDescent="0.25">
      <c r="A83" s="125"/>
      <c r="B83" s="126" t="s">
        <v>352</v>
      </c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9">
        <f>IF(M78=0,0,+M78/M82*M80)</f>
        <v>2819.2084799999998</v>
      </c>
      <c r="N83" s="129">
        <f t="shared" ref="N83:AL83" si="70">IF(N78=0,0,+N78/N82*N80)</f>
        <v>1174.6702</v>
      </c>
      <c r="O83" s="129">
        <f t="shared" si="70"/>
        <v>1174.6702</v>
      </c>
      <c r="P83" s="129">
        <f t="shared" si="70"/>
        <v>1174.6702</v>
      </c>
      <c r="Q83" s="129">
        <f t="shared" si="70"/>
        <v>939.73615999999993</v>
      </c>
      <c r="R83" s="129">
        <f t="shared" si="70"/>
        <v>2819.2084799999998</v>
      </c>
      <c r="S83" s="129">
        <f t="shared" si="70"/>
        <v>939.73616000000004</v>
      </c>
      <c r="T83" s="129">
        <f t="shared" si="70"/>
        <v>939.73615999999993</v>
      </c>
      <c r="U83" s="129">
        <f t="shared" si="70"/>
        <v>939.73616000000004</v>
      </c>
      <c r="V83" s="129">
        <f t="shared" si="70"/>
        <v>939.73615999999993</v>
      </c>
      <c r="W83" s="129">
        <f t="shared" si="70"/>
        <v>939.73615999999993</v>
      </c>
      <c r="X83" s="129">
        <f t="shared" si="70"/>
        <v>610.82850400000007</v>
      </c>
      <c r="Y83" s="129">
        <f t="shared" si="70"/>
        <v>0</v>
      </c>
      <c r="Z83" s="129">
        <f t="shared" si="70"/>
        <v>704.80211999999995</v>
      </c>
      <c r="AA83" s="129">
        <f t="shared" si="70"/>
        <v>0</v>
      </c>
      <c r="AB83" s="129">
        <f t="shared" si="70"/>
        <v>587.33510000000001</v>
      </c>
      <c r="AC83" s="129">
        <f t="shared" si="70"/>
        <v>0</v>
      </c>
      <c r="AD83" s="129">
        <f t="shared" si="70"/>
        <v>587.33510000000001</v>
      </c>
      <c r="AE83" s="129">
        <f t="shared" si="70"/>
        <v>0</v>
      </c>
      <c r="AF83" s="129">
        <f t="shared" si="70"/>
        <v>469.86807999999996</v>
      </c>
      <c r="AG83" s="129">
        <f t="shared" si="70"/>
        <v>0</v>
      </c>
      <c r="AH83" s="129">
        <f t="shared" si="70"/>
        <v>0</v>
      </c>
      <c r="AI83" s="129">
        <f t="shared" si="70"/>
        <v>2349.3404</v>
      </c>
      <c r="AJ83" s="129">
        <f t="shared" si="70"/>
        <v>0</v>
      </c>
      <c r="AK83" s="129">
        <f t="shared" si="70"/>
        <v>0</v>
      </c>
      <c r="AL83" s="129">
        <f t="shared" si="70"/>
        <v>0</v>
      </c>
      <c r="AM83" s="126"/>
      <c r="AN83" s="126"/>
      <c r="AO83" s="126"/>
      <c r="AP83" s="126"/>
      <c r="AQ83" s="126"/>
      <c r="AR83" s="126"/>
      <c r="AS83" s="127"/>
    </row>
    <row r="84" spans="1:45" x14ac:dyDescent="0.25">
      <c r="A84" s="125"/>
      <c r="B84" s="126" t="s">
        <v>353</v>
      </c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9">
        <f>IF(M78=0,0,+M78/M82*M81)</f>
        <v>0</v>
      </c>
      <c r="N84" s="129">
        <f t="shared" ref="N84:AL84" si="71">IF(N78=0,0,+N78/N82*N81)</f>
        <v>0</v>
      </c>
      <c r="O84" s="129">
        <f t="shared" si="71"/>
        <v>0</v>
      </c>
      <c r="P84" s="129">
        <f t="shared" si="71"/>
        <v>0</v>
      </c>
      <c r="Q84" s="129">
        <f t="shared" si="71"/>
        <v>0</v>
      </c>
      <c r="R84" s="129">
        <f t="shared" si="71"/>
        <v>0</v>
      </c>
      <c r="S84" s="129">
        <f t="shared" si="71"/>
        <v>1409.6042400000001</v>
      </c>
      <c r="T84" s="129">
        <f t="shared" si="71"/>
        <v>117.46702000000005</v>
      </c>
      <c r="U84" s="129">
        <f t="shared" si="71"/>
        <v>1644.5382800000002</v>
      </c>
      <c r="V84" s="129">
        <f t="shared" si="71"/>
        <v>0</v>
      </c>
      <c r="W84" s="129">
        <f t="shared" si="71"/>
        <v>1010.2163719999999</v>
      </c>
      <c r="X84" s="129">
        <f t="shared" si="71"/>
        <v>0</v>
      </c>
      <c r="Y84" s="129">
        <f t="shared" si="71"/>
        <v>0</v>
      </c>
      <c r="Z84" s="129">
        <f t="shared" si="71"/>
        <v>0</v>
      </c>
      <c r="AA84" s="129">
        <f t="shared" si="71"/>
        <v>0</v>
      </c>
      <c r="AB84" s="129">
        <f t="shared" si="71"/>
        <v>0</v>
      </c>
      <c r="AC84" s="129">
        <f t="shared" si="71"/>
        <v>0</v>
      </c>
      <c r="AD84" s="129">
        <f t="shared" si="71"/>
        <v>0</v>
      </c>
      <c r="AE84" s="129">
        <f t="shared" si="71"/>
        <v>0</v>
      </c>
      <c r="AF84" s="129">
        <f t="shared" si="71"/>
        <v>0</v>
      </c>
      <c r="AG84" s="129">
        <f t="shared" si="71"/>
        <v>0</v>
      </c>
      <c r="AH84" s="129">
        <f t="shared" si="71"/>
        <v>0</v>
      </c>
      <c r="AI84" s="129">
        <f t="shared" si="71"/>
        <v>0</v>
      </c>
      <c r="AJ84" s="129">
        <f t="shared" si="71"/>
        <v>0</v>
      </c>
      <c r="AK84" s="129">
        <f t="shared" si="71"/>
        <v>0</v>
      </c>
      <c r="AL84" s="129">
        <f t="shared" si="71"/>
        <v>0</v>
      </c>
      <c r="AM84" s="126"/>
      <c r="AN84" s="126"/>
      <c r="AO84" s="126"/>
      <c r="AP84" s="126"/>
      <c r="AQ84" s="126"/>
      <c r="AR84" s="126"/>
      <c r="AS84" s="127"/>
    </row>
    <row r="85" spans="1:45" x14ac:dyDescent="0.25">
      <c r="A85" s="130"/>
      <c r="B85" s="131"/>
      <c r="C85" s="131"/>
      <c r="D85" s="131"/>
      <c r="E85" s="131"/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  <c r="AA85" s="131"/>
      <c r="AB85" s="131"/>
      <c r="AC85" s="131"/>
      <c r="AD85" s="131"/>
      <c r="AE85" s="131"/>
      <c r="AF85" s="131"/>
      <c r="AG85" s="131"/>
      <c r="AH85" s="131"/>
      <c r="AI85" s="131"/>
      <c r="AJ85" s="131"/>
      <c r="AK85" s="131"/>
      <c r="AL85" s="131"/>
      <c r="AM85" s="131"/>
      <c r="AN85" s="131"/>
      <c r="AO85" s="131"/>
      <c r="AP85" s="131"/>
      <c r="AQ85" s="131"/>
      <c r="AR85" s="131"/>
      <c r="AS85" s="132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R59"/>
  <sheetViews>
    <sheetView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C1" sqref="C1:AO1"/>
    </sheetView>
  </sheetViews>
  <sheetFormatPr defaultRowHeight="15" x14ac:dyDescent="0.25"/>
  <cols>
    <col min="1" max="1" width="3.5703125" customWidth="1"/>
    <col min="2" max="2" width="20.5703125" customWidth="1"/>
    <col min="3" max="43" width="9.140625" style="1"/>
  </cols>
  <sheetData>
    <row r="1" spans="1:44" x14ac:dyDescent="0.25">
      <c r="B1" s="2"/>
      <c r="C1" s="142">
        <v>45292</v>
      </c>
      <c r="D1" s="142">
        <v>45292</v>
      </c>
      <c r="E1" s="142">
        <v>45292</v>
      </c>
      <c r="F1" s="142">
        <v>45292</v>
      </c>
      <c r="G1" s="142">
        <v>45292</v>
      </c>
      <c r="H1" s="142">
        <v>45323</v>
      </c>
      <c r="I1" s="142">
        <v>45323</v>
      </c>
      <c r="J1" s="142">
        <v>45323</v>
      </c>
      <c r="K1" s="142">
        <v>45323</v>
      </c>
      <c r="L1" s="142">
        <v>45352</v>
      </c>
      <c r="M1" s="142">
        <v>45352</v>
      </c>
      <c r="N1" s="142">
        <v>45352</v>
      </c>
      <c r="O1" s="142">
        <v>45352</v>
      </c>
      <c r="P1" s="142">
        <v>45383</v>
      </c>
      <c r="Q1" s="142">
        <v>45383</v>
      </c>
      <c r="R1" s="142">
        <v>45383</v>
      </c>
      <c r="S1" s="142">
        <v>45383</v>
      </c>
      <c r="T1" s="142">
        <v>45413</v>
      </c>
      <c r="U1" s="142">
        <v>45413</v>
      </c>
      <c r="V1" s="142">
        <v>45413</v>
      </c>
      <c r="W1" s="142">
        <v>45413</v>
      </c>
      <c r="X1" s="142">
        <v>45413</v>
      </c>
      <c r="Y1" s="142">
        <v>45444</v>
      </c>
      <c r="Z1" s="142">
        <v>45444</v>
      </c>
      <c r="AA1" s="142">
        <v>45444</v>
      </c>
      <c r="AB1" s="142">
        <v>45444</v>
      </c>
      <c r="AC1" s="142">
        <v>45474</v>
      </c>
      <c r="AD1" s="142">
        <v>45474</v>
      </c>
      <c r="AE1" s="142">
        <v>45474</v>
      </c>
      <c r="AF1" s="142">
        <v>45474</v>
      </c>
      <c r="AG1" s="142">
        <v>45474</v>
      </c>
      <c r="AH1" s="142">
        <v>45505</v>
      </c>
      <c r="AI1" s="142">
        <v>45505</v>
      </c>
      <c r="AJ1" s="142">
        <v>45505</v>
      </c>
      <c r="AK1" s="142">
        <v>45505</v>
      </c>
      <c r="AL1" s="142">
        <v>45536</v>
      </c>
      <c r="AM1" s="142">
        <v>45536</v>
      </c>
      <c r="AN1" s="142">
        <v>45536</v>
      </c>
      <c r="AO1" s="142">
        <v>45536</v>
      </c>
      <c r="AP1" s="4" t="s">
        <v>282</v>
      </c>
      <c r="AR1" s="1"/>
    </row>
    <row r="2" spans="1:44" x14ac:dyDescent="0.25">
      <c r="B2" s="2"/>
      <c r="C2" s="4" t="s">
        <v>491</v>
      </c>
      <c r="D2" s="4" t="s">
        <v>492</v>
      </c>
      <c r="E2" s="4" t="s">
        <v>493</v>
      </c>
      <c r="F2" s="4" t="s">
        <v>494</v>
      </c>
      <c r="G2" s="4" t="s">
        <v>495</v>
      </c>
      <c r="H2" s="4" t="s">
        <v>496</v>
      </c>
      <c r="I2" s="4" t="s">
        <v>263</v>
      </c>
      <c r="J2" s="4" t="s">
        <v>264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54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55</v>
      </c>
      <c r="AK2" s="4" t="s">
        <v>56</v>
      </c>
      <c r="AL2" s="4" t="s">
        <v>57</v>
      </c>
      <c r="AM2" s="4" t="s">
        <v>58</v>
      </c>
      <c r="AN2" s="4" t="s">
        <v>59</v>
      </c>
      <c r="AO2" s="4" t="s">
        <v>60</v>
      </c>
      <c r="AP2" s="4" t="s">
        <v>61</v>
      </c>
      <c r="AQ2" s="4" t="s">
        <v>2</v>
      </c>
      <c r="AR2" s="1"/>
    </row>
    <row r="3" spans="1:44" x14ac:dyDescent="0.25">
      <c r="A3" t="s">
        <v>545</v>
      </c>
      <c r="B3" s="2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1"/>
    </row>
    <row r="4" spans="1:44" x14ac:dyDescent="0.25">
      <c r="B4" t="s">
        <v>535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1"/>
    </row>
    <row r="5" spans="1:44" x14ac:dyDescent="0.25">
      <c r="B5" t="s">
        <v>194</v>
      </c>
      <c r="C5" s="4">
        <f>+Transport!E8</f>
        <v>0</v>
      </c>
      <c r="D5" s="4">
        <f>+Transport!F8</f>
        <v>0</v>
      </c>
      <c r="E5" s="4">
        <f>+Transport!G8</f>
        <v>0</v>
      </c>
      <c r="F5" s="4">
        <f>+Transport!H8</f>
        <v>163</v>
      </c>
      <c r="G5" s="4">
        <f>+Transport!I8</f>
        <v>0</v>
      </c>
      <c r="H5" s="4">
        <f>+Transport!J8</f>
        <v>0</v>
      </c>
      <c r="I5" s="4">
        <f>+Transport!K8</f>
        <v>40</v>
      </c>
      <c r="J5" s="4">
        <f>+Transport!L8</f>
        <v>75</v>
      </c>
      <c r="K5" s="4">
        <f>+Transport!M8</f>
        <v>326</v>
      </c>
      <c r="L5" s="4">
        <f>+Transport!N8</f>
        <v>206</v>
      </c>
      <c r="M5" s="4">
        <f>+Transport!O8</f>
        <v>216</v>
      </c>
      <c r="N5" s="4">
        <f>+Transport!P8</f>
        <v>290</v>
      </c>
      <c r="O5" s="4">
        <f>+Transport!Q8</f>
        <v>250</v>
      </c>
      <c r="P5" s="4">
        <f>+Transport!R8</f>
        <v>696</v>
      </c>
      <c r="Q5" s="4">
        <f>+Transport!S8</f>
        <v>725</v>
      </c>
      <c r="R5" s="4">
        <f>+Transport!T8</f>
        <v>620</v>
      </c>
      <c r="S5" s="4">
        <f>+Transport!U8</f>
        <v>603</v>
      </c>
      <c r="T5" s="4">
        <f>+Transport!V8</f>
        <v>732</v>
      </c>
      <c r="U5" s="4">
        <f>+Transport!W8</f>
        <v>337</v>
      </c>
      <c r="V5" s="4">
        <f>+Transport!X8</f>
        <v>573</v>
      </c>
      <c r="W5" s="4">
        <f>+Transport!Y8</f>
        <v>486</v>
      </c>
      <c r="X5" s="4">
        <f>+Transport!Z8</f>
        <v>590</v>
      </c>
      <c r="Y5" s="4">
        <f>+Transport!AA8</f>
        <v>205</v>
      </c>
      <c r="Z5" s="4">
        <f>+Transport!AB8</f>
        <v>172</v>
      </c>
      <c r="AA5" s="4">
        <f>+Transport!AC8</f>
        <v>142</v>
      </c>
      <c r="AB5" s="4">
        <f>+Transport!AD8</f>
        <v>54</v>
      </c>
      <c r="AC5" s="4">
        <f>+Transport!AE8</f>
        <v>122</v>
      </c>
      <c r="AD5" s="4">
        <f>+Transport!AF8</f>
        <v>21</v>
      </c>
      <c r="AE5" s="4">
        <f>+Transport!AG8</f>
        <v>10</v>
      </c>
      <c r="AF5" s="4">
        <f>+Transport!AH8</f>
        <v>0</v>
      </c>
      <c r="AG5" s="4">
        <f>+Transport!AI8</f>
        <v>129</v>
      </c>
      <c r="AH5" s="4">
        <f>+Transport!AJ8</f>
        <v>20</v>
      </c>
      <c r="AI5" s="4">
        <f>+Transport!AK8</f>
        <v>0</v>
      </c>
      <c r="AJ5" s="4">
        <f>+Transport!AL8</f>
        <v>0</v>
      </c>
      <c r="AK5" s="4">
        <f>+Transport!AM8</f>
        <v>0</v>
      </c>
      <c r="AL5" s="4">
        <f>+Transport!AN8</f>
        <v>0</v>
      </c>
      <c r="AM5" s="4">
        <f>+Transport!AO8</f>
        <v>0</v>
      </c>
      <c r="AN5" s="4">
        <f>+Transport!AP8</f>
        <v>0</v>
      </c>
      <c r="AO5" s="4">
        <f>+Transport!AQ8</f>
        <v>0</v>
      </c>
      <c r="AP5" s="4">
        <f>+Transport!AR8</f>
        <v>0</v>
      </c>
      <c r="AQ5" s="4"/>
      <c r="AR5" s="1"/>
    </row>
    <row r="6" spans="1:44" x14ac:dyDescent="0.25">
      <c r="B6" t="s">
        <v>515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1"/>
    </row>
    <row r="7" spans="1:44" x14ac:dyDescent="0.2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1"/>
    </row>
    <row r="8" spans="1:44" x14ac:dyDescent="0.25">
      <c r="A8" t="s">
        <v>512</v>
      </c>
      <c r="C8" s="1">
        <f>SUM(C4:C7)</f>
        <v>0</v>
      </c>
      <c r="D8" s="1">
        <f t="shared" ref="D8:Z8" si="0">SUM(D4:D7)</f>
        <v>0</v>
      </c>
      <c r="E8" s="1">
        <f t="shared" si="0"/>
        <v>0</v>
      </c>
      <c r="F8" s="1">
        <f t="shared" si="0"/>
        <v>163</v>
      </c>
      <c r="G8" s="1">
        <f t="shared" si="0"/>
        <v>0</v>
      </c>
      <c r="H8" s="1">
        <f t="shared" si="0"/>
        <v>0</v>
      </c>
      <c r="I8" s="1">
        <f t="shared" si="0"/>
        <v>40</v>
      </c>
      <c r="J8" s="1">
        <f t="shared" si="0"/>
        <v>75</v>
      </c>
      <c r="K8" s="1">
        <f t="shared" si="0"/>
        <v>326</v>
      </c>
      <c r="L8" s="1">
        <f t="shared" si="0"/>
        <v>206</v>
      </c>
      <c r="M8" s="1">
        <f t="shared" si="0"/>
        <v>216</v>
      </c>
      <c r="N8" s="1">
        <f t="shared" si="0"/>
        <v>290</v>
      </c>
      <c r="O8" s="1">
        <f t="shared" si="0"/>
        <v>250</v>
      </c>
      <c r="P8" s="1">
        <f t="shared" si="0"/>
        <v>696</v>
      </c>
      <c r="Q8" s="1">
        <f t="shared" si="0"/>
        <v>725</v>
      </c>
      <c r="R8" s="1">
        <f t="shared" si="0"/>
        <v>620</v>
      </c>
      <c r="S8" s="1">
        <f t="shared" si="0"/>
        <v>603</v>
      </c>
      <c r="T8" s="1">
        <f t="shared" si="0"/>
        <v>732</v>
      </c>
      <c r="U8" s="1">
        <f t="shared" si="0"/>
        <v>337</v>
      </c>
      <c r="V8" s="1">
        <f t="shared" si="0"/>
        <v>573</v>
      </c>
      <c r="W8" s="1">
        <f t="shared" si="0"/>
        <v>486</v>
      </c>
      <c r="X8" s="1">
        <f t="shared" si="0"/>
        <v>590</v>
      </c>
      <c r="Y8" s="1">
        <f t="shared" si="0"/>
        <v>205</v>
      </c>
      <c r="Z8" s="1">
        <f t="shared" si="0"/>
        <v>172</v>
      </c>
    </row>
    <row r="10" spans="1:44" x14ac:dyDescent="0.25">
      <c r="A10" t="s">
        <v>536</v>
      </c>
    </row>
    <row r="11" spans="1:44" x14ac:dyDescent="0.25">
      <c r="B11" t="s">
        <v>96</v>
      </c>
    </row>
    <row r="12" spans="1:44" x14ac:dyDescent="0.25">
      <c r="B12" t="s">
        <v>329</v>
      </c>
    </row>
    <row r="13" spans="1:44" x14ac:dyDescent="0.25">
      <c r="B13" t="s">
        <v>513</v>
      </c>
    </row>
    <row r="14" spans="1:44" x14ac:dyDescent="0.25">
      <c r="B14" t="s">
        <v>514</v>
      </c>
    </row>
    <row r="15" spans="1:44" x14ac:dyDescent="0.25">
      <c r="A15" t="s">
        <v>518</v>
      </c>
    </row>
    <row r="16" spans="1:44" x14ac:dyDescent="0.25">
      <c r="B16" t="s">
        <v>96</v>
      </c>
      <c r="C16" s="1">
        <f>IF(C4=0,0,+PassVol!D76)</f>
        <v>0</v>
      </c>
      <c r="D16" s="1">
        <f>IF(D4=0,0,+PassVol!E76)</f>
        <v>0</v>
      </c>
      <c r="E16" s="1">
        <f>IF(E4=0,0,+PassVol!F76)</f>
        <v>0</v>
      </c>
      <c r="F16" s="1">
        <f>IF(F4=0,0,+PassVol!G76)</f>
        <v>0</v>
      </c>
      <c r="G16" s="1">
        <f>IF(G4=0,0,+PassVol!H76)</f>
        <v>0</v>
      </c>
      <c r="H16" s="1">
        <f>IF(H4=0,0,+PassVol!I76)</f>
        <v>0</v>
      </c>
      <c r="I16" s="1">
        <f>IF(I4=0,0,+PassVol!J76)</f>
        <v>0</v>
      </c>
      <c r="J16" s="1">
        <f>IF(J4=0,0,+PassVol!K76)</f>
        <v>0</v>
      </c>
      <c r="K16" s="1">
        <f>IF(K4=0,0,+PassVol!L76)</f>
        <v>0</v>
      </c>
      <c r="L16" s="1">
        <f>IF(L4=0,0,+PassVol!M76)</f>
        <v>0</v>
      </c>
      <c r="M16" s="1">
        <f>IF(M4=0,0,+PassVol!N76)</f>
        <v>0</v>
      </c>
      <c r="N16" s="1">
        <f>IF(N4=0,0,+PassVol!O76)</f>
        <v>0</v>
      </c>
      <c r="O16" s="1">
        <f>IF(O4=0,0,+PassVol!P76)</f>
        <v>0</v>
      </c>
      <c r="P16" s="1">
        <f>IF(P4=0,0,+PassVol!Q76)</f>
        <v>0</v>
      </c>
      <c r="Q16" s="1">
        <f>IF(Q4=0,0,+PassVol!R76)</f>
        <v>0</v>
      </c>
      <c r="R16" s="1">
        <f>IF(R4=0,0,+PassVol!S76)</f>
        <v>0</v>
      </c>
      <c r="S16" s="1">
        <f>IF(S4=0,0,+PassVol!T76)</f>
        <v>0</v>
      </c>
      <c r="T16" s="1">
        <f t="shared" ref="T16:Y16" si="1">+T11</f>
        <v>0</v>
      </c>
      <c r="U16" s="1">
        <f t="shared" si="1"/>
        <v>0</v>
      </c>
      <c r="V16" s="1">
        <f t="shared" si="1"/>
        <v>0</v>
      </c>
      <c r="W16" s="1">
        <f t="shared" si="1"/>
        <v>0</v>
      </c>
      <c r="X16" s="1">
        <f t="shared" si="1"/>
        <v>0</v>
      </c>
      <c r="Y16" s="1">
        <f t="shared" si="1"/>
        <v>0</v>
      </c>
    </row>
    <row r="17" spans="1:25" x14ac:dyDescent="0.25">
      <c r="B17" t="s">
        <v>329</v>
      </c>
      <c r="K17" s="1">
        <f>IF(K5=0,0,+PassVol!L77)</f>
        <v>240</v>
      </c>
      <c r="L17" s="1">
        <f>IF(L5=0,0,+PassVol!M77)</f>
        <v>27</v>
      </c>
      <c r="M17" s="1">
        <f>IF(M5=0,0,+PassVol!N77)</f>
        <v>69</v>
      </c>
      <c r="N17" s="1">
        <f>IF(N5=0,0,+PassVol!O77)</f>
        <v>129</v>
      </c>
      <c r="O17" s="1">
        <f>IF(O5=0,0,+PassVol!P77)</f>
        <v>270</v>
      </c>
      <c r="P17" s="1">
        <f>IF(P5=0,0,+PassVol!Q77)</f>
        <v>195</v>
      </c>
      <c r="Q17" s="1">
        <f>IF(Q5=0,0,+PassVol!R77)</f>
        <v>180</v>
      </c>
      <c r="R17" s="1">
        <f>IF(R5=0,0,+PassVol!S77)</f>
        <v>201</v>
      </c>
      <c r="S17" s="1">
        <f>IF(S5=0,0,+PassVol!T77)</f>
        <v>300</v>
      </c>
      <c r="T17" s="1">
        <f t="shared" ref="T17:U19" si="2">+T12</f>
        <v>0</v>
      </c>
      <c r="U17" s="1">
        <f t="shared" si="2"/>
        <v>0</v>
      </c>
      <c r="V17" s="1">
        <f t="shared" ref="V17:W17" si="3">+V12</f>
        <v>0</v>
      </c>
      <c r="W17" s="1">
        <f t="shared" si="3"/>
        <v>0</v>
      </c>
      <c r="X17" s="1">
        <f t="shared" ref="X17:Y17" si="4">+X12</f>
        <v>0</v>
      </c>
      <c r="Y17" s="1">
        <f t="shared" si="4"/>
        <v>0</v>
      </c>
    </row>
    <row r="18" spans="1:25" x14ac:dyDescent="0.25">
      <c r="B18" t="s">
        <v>513</v>
      </c>
      <c r="C18" s="1">
        <f>IF(C4=0,0,+PassVol!D200)</f>
        <v>0</v>
      </c>
      <c r="D18" s="1">
        <f>IF(D4=0,0,+PassVol!E200)</f>
        <v>0</v>
      </c>
      <c r="E18" s="1">
        <f>IF(E4=0,0,+PassVol!F200)</f>
        <v>0</v>
      </c>
      <c r="F18" s="1">
        <f>IF(F4=0,0,+PassVol!G200)</f>
        <v>0</v>
      </c>
      <c r="G18" s="1">
        <f>IF(G4=0,0,+PassVol!H200)</f>
        <v>0</v>
      </c>
      <c r="H18" s="1">
        <f>IF(H4=0,0,+PassVol!I200)</f>
        <v>0</v>
      </c>
      <c r="I18" s="1">
        <f>IF(I4=0,0,+PassVol!J200)</f>
        <v>0</v>
      </c>
      <c r="J18" s="1">
        <f>IF(J4=0,0,+PassVol!K200)</f>
        <v>0</v>
      </c>
      <c r="K18" s="1">
        <f>IF(K4=0,0,+PassVol!L200)</f>
        <v>0</v>
      </c>
      <c r="L18" s="1">
        <f>IF(L4=0,0,+PassVol!M200)</f>
        <v>0</v>
      </c>
      <c r="M18" s="1">
        <f>IF(M4=0,0,+PassVol!N200)</f>
        <v>0</v>
      </c>
      <c r="N18" s="1">
        <f>IF(N4=0,0,+PassVol!O200)</f>
        <v>0</v>
      </c>
      <c r="O18" s="1">
        <f>IF(O4=0,0,+PassVol!P200)</f>
        <v>0</v>
      </c>
      <c r="P18" s="1">
        <f>IF(P4=0,0,+PassVol!Q200)</f>
        <v>0</v>
      </c>
      <c r="Q18" s="1">
        <f>IF(Q4=0,0,+PassVol!R200)</f>
        <v>0</v>
      </c>
      <c r="R18" s="1">
        <f>IF(R4=0,0,+PassVol!S200)</f>
        <v>0</v>
      </c>
      <c r="S18" s="1">
        <f>IF(S4=0,0,+PassVol!T200)</f>
        <v>0</v>
      </c>
      <c r="T18" s="1">
        <f t="shared" si="2"/>
        <v>0</v>
      </c>
      <c r="U18" s="1">
        <f t="shared" si="2"/>
        <v>0</v>
      </c>
      <c r="V18" s="1">
        <f t="shared" ref="V18:W18" si="5">+V13</f>
        <v>0</v>
      </c>
      <c r="W18" s="1">
        <f t="shared" si="5"/>
        <v>0</v>
      </c>
      <c r="X18" s="1">
        <f t="shared" ref="X18:Y18" si="6">+X13</f>
        <v>0</v>
      </c>
      <c r="Y18" s="1">
        <f t="shared" si="6"/>
        <v>0</v>
      </c>
    </row>
    <row r="19" spans="1:25" x14ac:dyDescent="0.25">
      <c r="B19" t="s">
        <v>514</v>
      </c>
      <c r="C19" s="1">
        <f>IF(C4=0,0,+PassVol!D224)</f>
        <v>0</v>
      </c>
      <c r="D19" s="1">
        <f>IF(D4=0,0,+PassVol!E224)</f>
        <v>0</v>
      </c>
      <c r="E19" s="1">
        <f>IF(E4=0,0,+PassVol!F224)</f>
        <v>0</v>
      </c>
      <c r="F19" s="1">
        <f>IF(F4=0,0,+PassVol!G224)</f>
        <v>0</v>
      </c>
      <c r="G19" s="1">
        <f>IF(G4=0,0,+PassVol!H224)</f>
        <v>0</v>
      </c>
      <c r="H19" s="1">
        <f>IF(H4=0,0,+PassVol!I224)</f>
        <v>0</v>
      </c>
      <c r="I19" s="1">
        <f>IF(I4=0,0,+PassVol!J224)</f>
        <v>0</v>
      </c>
      <c r="J19" s="1">
        <f>IF(J4=0,0,+PassVol!K224)</f>
        <v>0</v>
      </c>
      <c r="K19" s="1">
        <f>IF(K4=0,0,+PassVol!L224)</f>
        <v>0</v>
      </c>
      <c r="L19" s="1">
        <f>IF(L4=0,0,+PassVol!M224)</f>
        <v>0</v>
      </c>
      <c r="M19" s="1">
        <f>IF(M7=0,0,+PassVol!N79)</f>
        <v>0</v>
      </c>
      <c r="N19" s="1">
        <f>IF(N7=0,0,+PassVol!O79)</f>
        <v>0</v>
      </c>
      <c r="O19" s="1">
        <f>IF(O7=0,0,+PassVol!P79)</f>
        <v>0</v>
      </c>
      <c r="P19" s="1">
        <f>IF(P7=0,0,+PassVol!Q79)</f>
        <v>0</v>
      </c>
      <c r="Q19" s="1">
        <f>IF(Q7=0,0,+PassVol!R79)</f>
        <v>0</v>
      </c>
      <c r="R19" s="1">
        <f>IF(R7=0,0,+PassVol!S79)</f>
        <v>0</v>
      </c>
      <c r="S19" s="1">
        <f>IF(S7=0,0,+PassVol!T79)</f>
        <v>0</v>
      </c>
      <c r="T19" s="1">
        <f t="shared" si="2"/>
        <v>0</v>
      </c>
      <c r="U19" s="1">
        <f t="shared" si="2"/>
        <v>0</v>
      </c>
      <c r="V19" s="1">
        <f t="shared" ref="V19:W19" si="7">+V14</f>
        <v>0</v>
      </c>
      <c r="W19" s="1">
        <f t="shared" si="7"/>
        <v>0</v>
      </c>
      <c r="X19" s="1">
        <f t="shared" ref="X19:Y19" si="8">+X14</f>
        <v>0</v>
      </c>
      <c r="Y19" s="1">
        <f t="shared" si="8"/>
        <v>0</v>
      </c>
    </row>
    <row r="21" spans="1:25" x14ac:dyDescent="0.25">
      <c r="A21" t="s">
        <v>519</v>
      </c>
    </row>
    <row r="22" spans="1:25" x14ac:dyDescent="0.25">
      <c r="B22" t="s">
        <v>96</v>
      </c>
      <c r="C22" s="1">
        <f>+C16</f>
        <v>0</v>
      </c>
      <c r="D22" s="1">
        <f t="shared" ref="D22:N22" si="9">+D16</f>
        <v>0</v>
      </c>
      <c r="E22" s="1">
        <f t="shared" si="9"/>
        <v>0</v>
      </c>
      <c r="F22" s="1">
        <f t="shared" si="9"/>
        <v>0</v>
      </c>
      <c r="G22" s="1">
        <f t="shared" si="9"/>
        <v>0</v>
      </c>
      <c r="H22" s="1">
        <f t="shared" si="9"/>
        <v>0</v>
      </c>
      <c r="I22" s="1">
        <f t="shared" si="9"/>
        <v>0</v>
      </c>
      <c r="J22" s="1">
        <f t="shared" si="9"/>
        <v>0</v>
      </c>
      <c r="K22" s="1">
        <f t="shared" si="9"/>
        <v>0</v>
      </c>
      <c r="L22" s="1">
        <f t="shared" si="9"/>
        <v>0</v>
      </c>
      <c r="M22" s="1">
        <f t="shared" si="9"/>
        <v>0</v>
      </c>
      <c r="N22" s="1">
        <f t="shared" si="9"/>
        <v>0</v>
      </c>
      <c r="O22" s="1">
        <f t="shared" ref="O22:P22" si="10">+O16</f>
        <v>0</v>
      </c>
      <c r="P22" s="1">
        <f t="shared" si="10"/>
        <v>0</v>
      </c>
      <c r="Q22" s="1">
        <f t="shared" ref="Q22:R22" si="11">+Q16</f>
        <v>0</v>
      </c>
      <c r="R22" s="1">
        <f t="shared" si="11"/>
        <v>0</v>
      </c>
      <c r="S22" s="1">
        <f t="shared" ref="S22:U22" si="12">+S16</f>
        <v>0</v>
      </c>
      <c r="T22" s="1">
        <f t="shared" si="12"/>
        <v>0</v>
      </c>
      <c r="U22" s="1">
        <f t="shared" si="12"/>
        <v>0</v>
      </c>
      <c r="V22" s="1">
        <f t="shared" ref="V22:W22" si="13">+V16</f>
        <v>0</v>
      </c>
      <c r="W22" s="1">
        <f t="shared" si="13"/>
        <v>0</v>
      </c>
      <c r="X22" s="1">
        <f t="shared" ref="X22:Y22" si="14">+X16</f>
        <v>0</v>
      </c>
      <c r="Y22" s="1">
        <f t="shared" si="14"/>
        <v>0</v>
      </c>
    </row>
    <row r="23" spans="1:25" x14ac:dyDescent="0.25">
      <c r="B23" t="s">
        <v>329</v>
      </c>
      <c r="C23" s="1">
        <f>+C17</f>
        <v>0</v>
      </c>
      <c r="D23" s="1">
        <f t="shared" ref="D23:N23" si="15">+D17</f>
        <v>0</v>
      </c>
      <c r="E23" s="1">
        <f t="shared" si="15"/>
        <v>0</v>
      </c>
      <c r="F23" s="1">
        <f t="shared" si="15"/>
        <v>0</v>
      </c>
      <c r="G23" s="1">
        <f t="shared" si="15"/>
        <v>0</v>
      </c>
      <c r="H23" s="1">
        <f t="shared" si="15"/>
        <v>0</v>
      </c>
      <c r="I23" s="1">
        <f t="shared" si="15"/>
        <v>0</v>
      </c>
      <c r="J23" s="1">
        <f t="shared" si="15"/>
        <v>0</v>
      </c>
      <c r="K23" s="1">
        <f t="shared" si="15"/>
        <v>240</v>
      </c>
      <c r="L23" s="1">
        <f t="shared" si="15"/>
        <v>27</v>
      </c>
      <c r="M23" s="1">
        <f t="shared" si="15"/>
        <v>69</v>
      </c>
      <c r="N23" s="1">
        <f t="shared" si="15"/>
        <v>129</v>
      </c>
      <c r="O23" s="1">
        <f t="shared" ref="O23:P23" si="16">+O17</f>
        <v>270</v>
      </c>
      <c r="P23" s="1">
        <f t="shared" si="16"/>
        <v>195</v>
      </c>
      <c r="Q23" s="1">
        <f t="shared" ref="Q23:R23" si="17">+Q17</f>
        <v>180</v>
      </c>
      <c r="R23" s="1">
        <f t="shared" si="17"/>
        <v>201</v>
      </c>
      <c r="S23" s="1">
        <f t="shared" ref="S23:U23" si="18">+S17</f>
        <v>300</v>
      </c>
      <c r="T23" s="1">
        <f t="shared" si="18"/>
        <v>0</v>
      </c>
      <c r="U23" s="1">
        <f t="shared" si="18"/>
        <v>0</v>
      </c>
      <c r="V23" s="1">
        <f t="shared" ref="V23:W23" si="19">+V17</f>
        <v>0</v>
      </c>
      <c r="W23" s="1">
        <f t="shared" si="19"/>
        <v>0</v>
      </c>
      <c r="X23" s="1">
        <f t="shared" ref="X23:Y23" si="20">+X17</f>
        <v>0</v>
      </c>
      <c r="Y23" s="1">
        <f t="shared" si="20"/>
        <v>0</v>
      </c>
    </row>
    <row r="24" spans="1:25" x14ac:dyDescent="0.25">
      <c r="B24" t="s">
        <v>183</v>
      </c>
      <c r="C24" s="1">
        <f>+C18+C19</f>
        <v>0</v>
      </c>
      <c r="D24" s="1">
        <f t="shared" ref="D24:N24" si="21">+D18+D19</f>
        <v>0</v>
      </c>
      <c r="E24" s="1">
        <f t="shared" si="21"/>
        <v>0</v>
      </c>
      <c r="F24" s="1">
        <f t="shared" si="21"/>
        <v>0</v>
      </c>
      <c r="G24" s="1">
        <f t="shared" si="21"/>
        <v>0</v>
      </c>
      <c r="H24" s="1">
        <f t="shared" si="21"/>
        <v>0</v>
      </c>
      <c r="I24" s="1">
        <f t="shared" si="21"/>
        <v>0</v>
      </c>
      <c r="J24" s="1">
        <f t="shared" si="21"/>
        <v>0</v>
      </c>
      <c r="K24" s="1">
        <f t="shared" si="21"/>
        <v>0</v>
      </c>
      <c r="L24" s="1">
        <f t="shared" si="21"/>
        <v>0</v>
      </c>
      <c r="M24" s="1">
        <f t="shared" si="21"/>
        <v>0</v>
      </c>
      <c r="N24" s="1">
        <f t="shared" si="21"/>
        <v>0</v>
      </c>
      <c r="O24" s="1">
        <f t="shared" ref="O24:P24" si="22">+O18+O19</f>
        <v>0</v>
      </c>
      <c r="P24" s="1">
        <f t="shared" si="22"/>
        <v>0</v>
      </c>
      <c r="Q24" s="1">
        <f t="shared" ref="Q24:R24" si="23">+Q18+Q19</f>
        <v>0</v>
      </c>
      <c r="R24" s="1">
        <f t="shared" si="23"/>
        <v>0</v>
      </c>
      <c r="S24" s="1">
        <f t="shared" ref="S24:U24" si="24">+S18+S19</f>
        <v>0</v>
      </c>
      <c r="T24" s="1">
        <f t="shared" si="24"/>
        <v>0</v>
      </c>
      <c r="U24" s="1">
        <f t="shared" si="24"/>
        <v>0</v>
      </c>
      <c r="V24" s="1">
        <f t="shared" ref="V24:W24" si="25">+V18+V19</f>
        <v>0</v>
      </c>
      <c r="W24" s="1">
        <f t="shared" si="25"/>
        <v>0</v>
      </c>
      <c r="X24" s="1">
        <f t="shared" ref="X24:Y24" si="26">+X18+X19</f>
        <v>0</v>
      </c>
      <c r="Y24" s="1">
        <f t="shared" si="26"/>
        <v>0</v>
      </c>
    </row>
    <row r="26" spans="1:25" x14ac:dyDescent="0.25">
      <c r="B26" t="s">
        <v>538</v>
      </c>
    </row>
    <row r="27" spans="1:25" x14ac:dyDescent="0.25">
      <c r="B27" t="s">
        <v>540</v>
      </c>
    </row>
    <row r="29" spans="1:25" x14ac:dyDescent="0.25">
      <c r="A29" t="s">
        <v>529</v>
      </c>
    </row>
    <row r="30" spans="1:25" x14ac:dyDescent="0.25">
      <c r="B30" t="s">
        <v>96</v>
      </c>
      <c r="C30" s="1">
        <f>IF(C4=0,0,+C16/54)</f>
        <v>0</v>
      </c>
      <c r="D30" s="1">
        <f t="shared" ref="D30:F30" si="27">IF(D4=0,0,+D16/54)</f>
        <v>0</v>
      </c>
      <c r="E30" s="1">
        <f t="shared" si="27"/>
        <v>0</v>
      </c>
      <c r="F30" s="1">
        <f t="shared" si="27"/>
        <v>0</v>
      </c>
      <c r="G30" s="1">
        <f>IF(G4=0,0,+G16/54)</f>
        <v>0</v>
      </c>
      <c r="H30" s="1">
        <f>IF(H4=0,0,+H16/54)</f>
        <v>0</v>
      </c>
      <c r="I30" s="1">
        <f t="shared" ref="I30:J30" si="28">IF(I4=0,0,+I16/54)</f>
        <v>0</v>
      </c>
      <c r="J30" s="1">
        <f t="shared" si="28"/>
        <v>0</v>
      </c>
      <c r="K30" s="1">
        <f t="shared" ref="K30" si="29">IF(K4=0,0,+K16/54)</f>
        <v>0</v>
      </c>
      <c r="L30" s="1">
        <f>IF(L4=0,0,+L16/54)</f>
        <v>0</v>
      </c>
      <c r="M30" s="1">
        <f t="shared" ref="M30:N30" si="30">IF(M4=0,0,+M16/54)</f>
        <v>0</v>
      </c>
      <c r="N30" s="1">
        <f t="shared" si="30"/>
        <v>0</v>
      </c>
      <c r="O30" s="1">
        <f>IF(O8=0,0,+O16/54)</f>
        <v>0</v>
      </c>
      <c r="P30" s="1">
        <f>IF(P8=0,0,+P16/54)</f>
        <v>0</v>
      </c>
      <c r="Q30" s="1">
        <f>IF(Q8=0,0,+Q16/54)</f>
        <v>0</v>
      </c>
      <c r="R30" s="1">
        <f>IF(R8=0,0,+R16/54)</f>
        <v>0</v>
      </c>
      <c r="S30" s="1">
        <f>IF(S8=0,0,+S16/54)</f>
        <v>0</v>
      </c>
      <c r="T30" s="1">
        <f t="shared" ref="T30:U30" si="31">IF(T8=0,0,+T16/54)</f>
        <v>0</v>
      </c>
      <c r="U30" s="1">
        <f t="shared" si="31"/>
        <v>0</v>
      </c>
      <c r="V30" s="1">
        <f t="shared" ref="V30:W30" si="32">IF(V8=0,0,+V16/54)</f>
        <v>0</v>
      </c>
      <c r="W30" s="1">
        <f t="shared" si="32"/>
        <v>0</v>
      </c>
      <c r="X30" s="1">
        <f t="shared" ref="X30:Y30" si="33">IF(X8=0,0,+X16/54)</f>
        <v>0</v>
      </c>
      <c r="Y30" s="1">
        <f t="shared" si="33"/>
        <v>0</v>
      </c>
    </row>
    <row r="31" spans="1:25" x14ac:dyDescent="0.25">
      <c r="B31" t="s">
        <v>329</v>
      </c>
      <c r="C31" s="1">
        <f>+C4-C30-C32-C33</f>
        <v>0</v>
      </c>
      <c r="D31" s="1">
        <f t="shared" ref="D31:E31" si="34">+D4-D30-D32-D33</f>
        <v>0</v>
      </c>
      <c r="E31" s="1">
        <f t="shared" si="34"/>
        <v>0</v>
      </c>
      <c r="F31" s="1">
        <v>0</v>
      </c>
      <c r="G31" s="1">
        <v>0</v>
      </c>
      <c r="H31" s="1">
        <v>0</v>
      </c>
      <c r="I31" s="1">
        <v>0</v>
      </c>
      <c r="J31" s="1">
        <f>+J8-J30-J32-J33</f>
        <v>-28</v>
      </c>
      <c r="K31" s="1">
        <f t="shared" ref="K31" si="35">+K4-K30-K32-K33</f>
        <v>-44</v>
      </c>
      <c r="L31" s="1">
        <f>+L4-L30-L32-L33</f>
        <v>-1904</v>
      </c>
      <c r="M31" s="1">
        <f>+M4-M30-M32-M33</f>
        <v>-1625</v>
      </c>
      <c r="N31" s="1">
        <f>+N4-N30-N32-N33</f>
        <v>-1465</v>
      </c>
      <c r="O31" s="1">
        <f>+O8-O30-O32-O33</f>
        <v>-1132.5</v>
      </c>
      <c r="P31" s="1">
        <f>+P8-P30-P32-P33</f>
        <v>-2142</v>
      </c>
      <c r="Q31" s="1">
        <f>+Q8-Q30-Q32-Q33</f>
        <v>-1658.5</v>
      </c>
      <c r="R31" s="1">
        <f>+R8-R30-R32-R33</f>
        <v>-2159</v>
      </c>
      <c r="S31" s="1">
        <f>+S8-S30-S32-S33</f>
        <v>-2050</v>
      </c>
      <c r="T31" s="1">
        <f t="shared" ref="T31:U31" si="36">+T8-T30-T32-T33</f>
        <v>-2176.5</v>
      </c>
      <c r="U31" s="1">
        <f t="shared" si="36"/>
        <v>-1295</v>
      </c>
      <c r="V31" s="1">
        <f t="shared" ref="V31:W31" si="37">+V8-V30-V32-V33</f>
        <v>-1282</v>
      </c>
      <c r="W31" s="1">
        <f t="shared" si="37"/>
        <v>-1859</v>
      </c>
      <c r="X31" s="1">
        <f t="shared" ref="X31:Y31" si="38">+X8-X30-X32-X33</f>
        <v>-1248.5</v>
      </c>
      <c r="Y31" s="1">
        <f t="shared" si="38"/>
        <v>-1101</v>
      </c>
    </row>
    <row r="32" spans="1:25" x14ac:dyDescent="0.25">
      <c r="B32" t="s">
        <v>513</v>
      </c>
      <c r="C32" s="1">
        <f>IF(C4=0,0,+C18/35)</f>
        <v>0</v>
      </c>
      <c r="D32" s="1">
        <f t="shared" ref="D32:E32" si="39">IF(D4=0,0,+D18/35)</f>
        <v>0</v>
      </c>
      <c r="E32" s="1">
        <f t="shared" si="39"/>
        <v>0</v>
      </c>
      <c r="F32" s="1">
        <v>177</v>
      </c>
      <c r="G32" s="1">
        <f>+PassVol!H536/2</f>
        <v>0</v>
      </c>
      <c r="H32" s="1">
        <v>0</v>
      </c>
      <c r="I32" s="1">
        <v>16</v>
      </c>
      <c r="J32" s="1">
        <v>103</v>
      </c>
      <c r="K32" s="1">
        <f>+PassVol!L536/2</f>
        <v>44</v>
      </c>
      <c r="L32" s="1">
        <f>+PassVol!M536/2</f>
        <v>1904</v>
      </c>
      <c r="M32" s="1">
        <f>+PassVol!N536/2</f>
        <v>1625</v>
      </c>
      <c r="N32" s="1">
        <f>+PassVol!O536/2</f>
        <v>1465</v>
      </c>
      <c r="O32" s="1">
        <f>+PassVol!P536/2</f>
        <v>1382.5</v>
      </c>
      <c r="P32" s="1">
        <f>+PassVol!Q536/2</f>
        <v>2838</v>
      </c>
      <c r="Q32" s="1">
        <f>+PassVol!R536/2</f>
        <v>2383.5</v>
      </c>
      <c r="R32" s="1">
        <f>+PassVol!S536/2</f>
        <v>2779</v>
      </c>
      <c r="S32" s="1">
        <f>+PassVol!T536/2</f>
        <v>2653</v>
      </c>
      <c r="T32" s="1">
        <f>+PassVol!U536/2</f>
        <v>2908.5</v>
      </c>
      <c r="U32" s="1">
        <f>+PassVol!V536/2</f>
        <v>1632</v>
      </c>
      <c r="V32" s="1">
        <f>+PassVol!W536/2</f>
        <v>1855</v>
      </c>
      <c r="W32" s="1">
        <f>+PassVol!X536/2</f>
        <v>2345</v>
      </c>
      <c r="X32" s="1">
        <f>+PassVol!Y536/2</f>
        <v>1838.5</v>
      </c>
      <c r="Y32" s="1">
        <f>+PassVol!Z536/2</f>
        <v>1306</v>
      </c>
    </row>
    <row r="33" spans="1:37" x14ac:dyDescent="0.25">
      <c r="B33" t="s">
        <v>514</v>
      </c>
      <c r="C33" s="1">
        <f>IF(C4=0,0,+C19/30)</f>
        <v>0</v>
      </c>
      <c r="D33" s="1">
        <f t="shared" ref="D33:F33" si="40">IF(D4=0,0,+D19/30)</f>
        <v>0</v>
      </c>
      <c r="E33" s="1">
        <f t="shared" si="40"/>
        <v>0</v>
      </c>
      <c r="F33" s="1">
        <f t="shared" si="40"/>
        <v>0</v>
      </c>
      <c r="G33" s="1">
        <f>IF(G4=0,0,+G19/30)</f>
        <v>0</v>
      </c>
      <c r="H33" s="1">
        <f>IF(H4=0,0,+H19/30)</f>
        <v>0</v>
      </c>
      <c r="I33" s="1">
        <f t="shared" ref="I33:J33" si="41">IF(I4=0,0,+I19/30)</f>
        <v>0</v>
      </c>
      <c r="J33" s="1">
        <f t="shared" si="41"/>
        <v>0</v>
      </c>
      <c r="K33" s="1">
        <f t="shared" ref="K33" si="42">IF(K4=0,0,+K19/30)</f>
        <v>0</v>
      </c>
      <c r="L33" s="1">
        <f>IF(L4=0,0,+L19/30)</f>
        <v>0</v>
      </c>
      <c r="M33" s="1">
        <f>IF(M4=0,0,+M19/30)</f>
        <v>0</v>
      </c>
      <c r="N33" s="1">
        <f>IF(N4=0,0,+N19/30)</f>
        <v>0</v>
      </c>
      <c r="O33" s="1">
        <f>IF(O8=0,0,+O19/30)</f>
        <v>0</v>
      </c>
      <c r="P33" s="1">
        <f>IF(P8=0,0,+P19/30)</f>
        <v>0</v>
      </c>
      <c r="Q33" s="1">
        <f>IF(Q8=0,0,+Q19/30)</f>
        <v>0</v>
      </c>
      <c r="R33" s="1">
        <f>IF(R8=0,0,+R19/30)</f>
        <v>0</v>
      </c>
      <c r="S33" s="1">
        <f>IF(S8=0,0,+S19/30)</f>
        <v>0</v>
      </c>
      <c r="T33" s="1">
        <f t="shared" ref="T33:U33" si="43">IF(T8=0,0,+T19/30)</f>
        <v>0</v>
      </c>
      <c r="U33" s="1">
        <f t="shared" si="43"/>
        <v>0</v>
      </c>
      <c r="V33" s="1">
        <f t="shared" ref="V33:W33" si="44">IF(V8=0,0,+V19/30)</f>
        <v>0</v>
      </c>
      <c r="W33" s="1">
        <f t="shared" si="44"/>
        <v>0</v>
      </c>
      <c r="X33" s="1">
        <f t="shared" ref="X33:Y33" si="45">IF(X8=0,0,+X19/30)</f>
        <v>0</v>
      </c>
      <c r="Y33" s="1">
        <f t="shared" si="45"/>
        <v>0</v>
      </c>
    </row>
    <row r="34" spans="1:37" x14ac:dyDescent="0.25">
      <c r="B34" t="s">
        <v>528</v>
      </c>
    </row>
    <row r="36" spans="1:37" x14ac:dyDescent="0.25">
      <c r="A36" t="s">
        <v>517</v>
      </c>
    </row>
    <row r="37" spans="1:37" x14ac:dyDescent="0.25">
      <c r="B37" t="s">
        <v>96</v>
      </c>
      <c r="C37" s="1">
        <f>+C30</f>
        <v>0</v>
      </c>
      <c r="D37" s="1">
        <f t="shared" ref="D37:N37" si="46">+D30</f>
        <v>0</v>
      </c>
      <c r="E37" s="1">
        <f t="shared" si="46"/>
        <v>0</v>
      </c>
      <c r="F37" s="1">
        <f t="shared" si="46"/>
        <v>0</v>
      </c>
      <c r="G37" s="1">
        <f t="shared" si="46"/>
        <v>0</v>
      </c>
      <c r="H37" s="1">
        <f t="shared" si="46"/>
        <v>0</v>
      </c>
      <c r="I37" s="1">
        <f t="shared" si="46"/>
        <v>0</v>
      </c>
      <c r="J37" s="1">
        <f t="shared" si="46"/>
        <v>0</v>
      </c>
      <c r="K37" s="1">
        <f t="shared" si="46"/>
        <v>0</v>
      </c>
      <c r="L37" s="1">
        <f t="shared" si="46"/>
        <v>0</v>
      </c>
      <c r="M37" s="1">
        <f t="shared" si="46"/>
        <v>0</v>
      </c>
      <c r="N37" s="1">
        <f t="shared" si="46"/>
        <v>0</v>
      </c>
      <c r="O37" s="1">
        <f t="shared" ref="O37:P37" si="47">+O30</f>
        <v>0</v>
      </c>
      <c r="P37" s="1">
        <f t="shared" si="47"/>
        <v>0</v>
      </c>
      <c r="Q37" s="1">
        <f t="shared" ref="Q37:R37" si="48">+Q30</f>
        <v>0</v>
      </c>
      <c r="R37" s="1">
        <f t="shared" si="48"/>
        <v>0</v>
      </c>
      <c r="S37" s="1">
        <f t="shared" ref="S37:U37" si="49">+S30</f>
        <v>0</v>
      </c>
      <c r="T37" s="1">
        <f t="shared" si="49"/>
        <v>0</v>
      </c>
      <c r="U37" s="1">
        <f t="shared" si="49"/>
        <v>0</v>
      </c>
      <c r="V37" s="1">
        <f t="shared" ref="V37:W37" si="50">+V30</f>
        <v>0</v>
      </c>
      <c r="W37" s="1">
        <f t="shared" si="50"/>
        <v>0</v>
      </c>
      <c r="X37" s="1">
        <f t="shared" ref="X37:Y37" si="51">+X30</f>
        <v>0</v>
      </c>
      <c r="Y37" s="1">
        <f t="shared" si="51"/>
        <v>0</v>
      </c>
    </row>
    <row r="38" spans="1:37" x14ac:dyDescent="0.25">
      <c r="B38" t="s">
        <v>329</v>
      </c>
      <c r="C38" s="1">
        <f>+C31</f>
        <v>0</v>
      </c>
      <c r="D38" s="1">
        <f t="shared" ref="D38:N38" si="52">+D31</f>
        <v>0</v>
      </c>
      <c r="E38" s="1">
        <f t="shared" si="52"/>
        <v>0</v>
      </c>
      <c r="F38" s="1">
        <v>0</v>
      </c>
      <c r="G38" s="1">
        <f t="shared" si="52"/>
        <v>0</v>
      </c>
      <c r="H38" s="1">
        <f t="shared" si="52"/>
        <v>0</v>
      </c>
      <c r="I38" s="1">
        <f t="shared" si="52"/>
        <v>0</v>
      </c>
      <c r="J38" s="1">
        <f t="shared" si="52"/>
        <v>-28</v>
      </c>
      <c r="K38" s="1">
        <f t="shared" si="52"/>
        <v>-44</v>
      </c>
      <c r="L38" s="1">
        <f t="shared" si="52"/>
        <v>-1904</v>
      </c>
      <c r="M38" s="1">
        <f t="shared" si="52"/>
        <v>-1625</v>
      </c>
      <c r="N38" s="1">
        <f t="shared" si="52"/>
        <v>-1465</v>
      </c>
      <c r="O38" s="1">
        <f t="shared" ref="O38:P38" si="53">+O31</f>
        <v>-1132.5</v>
      </c>
      <c r="P38" s="1">
        <f t="shared" si="53"/>
        <v>-2142</v>
      </c>
      <c r="Q38" s="1">
        <f t="shared" ref="Q38:R38" si="54">+Q31</f>
        <v>-1658.5</v>
      </c>
      <c r="R38" s="1">
        <f t="shared" si="54"/>
        <v>-2159</v>
      </c>
      <c r="S38" s="1">
        <f t="shared" ref="S38:U38" si="55">+S31</f>
        <v>-2050</v>
      </c>
      <c r="T38" s="1">
        <f t="shared" si="55"/>
        <v>-2176.5</v>
      </c>
      <c r="U38" s="1">
        <f t="shared" si="55"/>
        <v>-1295</v>
      </c>
      <c r="V38" s="1">
        <f t="shared" ref="V38:W38" si="56">+V31</f>
        <v>-1282</v>
      </c>
      <c r="W38" s="1">
        <f t="shared" si="56"/>
        <v>-1859</v>
      </c>
      <c r="X38" s="1">
        <f t="shared" ref="X38:Y38" si="57">+X31</f>
        <v>-1248.5</v>
      </c>
      <c r="Y38" s="1">
        <f t="shared" si="57"/>
        <v>-1101</v>
      </c>
    </row>
    <row r="39" spans="1:37" x14ac:dyDescent="0.25">
      <c r="B39" t="s">
        <v>183</v>
      </c>
      <c r="C39" s="1">
        <f>+C32+C33</f>
        <v>0</v>
      </c>
      <c r="D39" s="1">
        <f t="shared" ref="D39:N39" si="58">+D32+D33</f>
        <v>0</v>
      </c>
      <c r="E39" s="1">
        <f t="shared" si="58"/>
        <v>0</v>
      </c>
      <c r="F39" s="1">
        <f t="shared" si="58"/>
        <v>177</v>
      </c>
      <c r="G39" s="1">
        <f t="shared" si="58"/>
        <v>0</v>
      </c>
      <c r="H39" s="1">
        <f t="shared" si="58"/>
        <v>0</v>
      </c>
      <c r="I39" s="1">
        <f t="shared" si="58"/>
        <v>16</v>
      </c>
      <c r="J39" s="1">
        <f t="shared" si="58"/>
        <v>103</v>
      </c>
      <c r="K39" s="1">
        <f t="shared" si="58"/>
        <v>44</v>
      </c>
      <c r="L39" s="1">
        <f t="shared" si="58"/>
        <v>1904</v>
      </c>
      <c r="M39" s="1">
        <f t="shared" si="58"/>
        <v>1625</v>
      </c>
      <c r="N39" s="1">
        <f t="shared" si="58"/>
        <v>1465</v>
      </c>
      <c r="O39" s="1">
        <f t="shared" ref="O39:P39" si="59">+O32+O33</f>
        <v>1382.5</v>
      </c>
      <c r="P39" s="1">
        <f t="shared" si="59"/>
        <v>2838</v>
      </c>
      <c r="Q39" s="1">
        <f t="shared" ref="Q39:R39" si="60">+Q32+Q33</f>
        <v>2383.5</v>
      </c>
      <c r="R39" s="1">
        <f t="shared" si="60"/>
        <v>2779</v>
      </c>
      <c r="S39" s="1">
        <f t="shared" ref="S39:U39" si="61">+S32+S33</f>
        <v>2653</v>
      </c>
      <c r="T39" s="1">
        <f t="shared" si="61"/>
        <v>2908.5</v>
      </c>
      <c r="U39" s="1">
        <f t="shared" si="61"/>
        <v>1632</v>
      </c>
      <c r="V39" s="1">
        <f t="shared" ref="V39:W39" si="62">+V32+V33</f>
        <v>1855</v>
      </c>
      <c r="W39" s="1">
        <f t="shared" si="62"/>
        <v>2345</v>
      </c>
      <c r="X39" s="1">
        <f t="shared" ref="X39:Y39" si="63">+X32+X33</f>
        <v>1838.5</v>
      </c>
      <c r="Y39" s="1">
        <f t="shared" si="63"/>
        <v>1306</v>
      </c>
    </row>
    <row r="41" spans="1:37" x14ac:dyDescent="0.25">
      <c r="A41" t="s">
        <v>584</v>
      </c>
    </row>
    <row r="42" spans="1:37" x14ac:dyDescent="0.25">
      <c r="B42" t="s">
        <v>96</v>
      </c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</row>
    <row r="43" spans="1:37" x14ac:dyDescent="0.25">
      <c r="B43" t="s">
        <v>329</v>
      </c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</row>
    <row r="44" spans="1:37" x14ac:dyDescent="0.25">
      <c r="B44" t="s">
        <v>183</v>
      </c>
      <c r="C44" s="119"/>
      <c r="D44" s="119"/>
      <c r="E44" s="119"/>
      <c r="F44" s="119">
        <v>1</v>
      </c>
      <c r="G44" s="119">
        <v>1</v>
      </c>
      <c r="H44" s="119">
        <v>1</v>
      </c>
      <c r="I44" s="119">
        <v>1</v>
      </c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</row>
    <row r="45" spans="1:37" x14ac:dyDescent="0.25"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</row>
    <row r="46" spans="1:37" x14ac:dyDescent="0.25">
      <c r="B46" t="s">
        <v>687</v>
      </c>
      <c r="C46" s="6">
        <v>48.65</v>
      </c>
      <c r="D46" s="6">
        <v>48.65</v>
      </c>
      <c r="E46" s="6">
        <v>48.65</v>
      </c>
      <c r="F46" s="6">
        <v>48.65</v>
      </c>
      <c r="G46" s="6">
        <v>48.65</v>
      </c>
      <c r="H46" s="6">
        <v>48.65</v>
      </c>
      <c r="I46" s="6">
        <v>48.65</v>
      </c>
      <c r="J46" s="6">
        <v>48.65</v>
      </c>
      <c r="K46" s="6">
        <v>48.65</v>
      </c>
      <c r="L46" s="6">
        <v>48.65</v>
      </c>
      <c r="M46" s="6">
        <v>48.65</v>
      </c>
      <c r="N46" s="6">
        <v>48.65</v>
      </c>
      <c r="O46" s="6">
        <v>48.65</v>
      </c>
      <c r="P46" s="6">
        <v>48.65</v>
      </c>
      <c r="Q46" s="6">
        <v>48.65</v>
      </c>
      <c r="R46" s="6">
        <v>48.65</v>
      </c>
      <c r="S46" s="6">
        <v>48.65</v>
      </c>
      <c r="T46" s="6">
        <v>48.65</v>
      </c>
      <c r="U46" s="6">
        <v>48.65</v>
      </c>
      <c r="V46" s="6">
        <v>48.65</v>
      </c>
      <c r="W46" s="6">
        <v>48.65</v>
      </c>
      <c r="X46" s="6">
        <v>48.65</v>
      </c>
      <c r="Y46" s="6">
        <v>48.65</v>
      </c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</row>
    <row r="47" spans="1:37" x14ac:dyDescent="0.25">
      <c r="B47" t="s">
        <v>688</v>
      </c>
      <c r="C47" s="119">
        <v>0.15</v>
      </c>
      <c r="D47" s="119">
        <v>0.15</v>
      </c>
      <c r="E47" s="119">
        <v>0.15</v>
      </c>
      <c r="F47" s="119">
        <v>0.15</v>
      </c>
      <c r="G47" s="119">
        <v>0.15</v>
      </c>
      <c r="H47" s="119">
        <v>0.15</v>
      </c>
      <c r="I47" s="119">
        <v>0.15</v>
      </c>
      <c r="J47" s="119">
        <v>0.15</v>
      </c>
      <c r="K47" s="119">
        <v>0.15</v>
      </c>
      <c r="L47" s="119">
        <v>0.15</v>
      </c>
      <c r="M47" s="119">
        <v>0.15</v>
      </c>
      <c r="N47" s="119">
        <v>0.15</v>
      </c>
      <c r="O47" s="119">
        <v>0.15</v>
      </c>
      <c r="P47" s="119">
        <v>0.15</v>
      </c>
      <c r="Q47" s="119">
        <v>0.15</v>
      </c>
      <c r="R47" s="119">
        <v>0.15</v>
      </c>
      <c r="S47" s="119">
        <v>0.15</v>
      </c>
      <c r="T47" s="119">
        <v>0.15</v>
      </c>
      <c r="U47" s="119">
        <v>0.15</v>
      </c>
      <c r="V47" s="119">
        <v>0.15</v>
      </c>
      <c r="W47" s="119">
        <v>0.15</v>
      </c>
      <c r="X47" s="119">
        <v>0.15</v>
      </c>
      <c r="Y47" s="119">
        <v>0.15</v>
      </c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</row>
    <row r="48" spans="1:37" x14ac:dyDescent="0.25">
      <c r="B48" t="s">
        <v>689</v>
      </c>
      <c r="C48" s="1">
        <f>+C46+(C46*C47)</f>
        <v>55.947499999999998</v>
      </c>
      <c r="D48" s="1">
        <f t="shared" ref="D48:Y48" si="64">+D46+(D46*D47)</f>
        <v>55.947499999999998</v>
      </c>
      <c r="E48" s="1">
        <f t="shared" si="64"/>
        <v>55.947499999999998</v>
      </c>
      <c r="F48" s="1">
        <f t="shared" si="64"/>
        <v>55.947499999999998</v>
      </c>
      <c r="G48" s="1">
        <f t="shared" si="64"/>
        <v>55.947499999999998</v>
      </c>
      <c r="H48" s="1">
        <f t="shared" si="64"/>
        <v>55.947499999999998</v>
      </c>
      <c r="I48" s="1">
        <f t="shared" si="64"/>
        <v>55.947499999999998</v>
      </c>
      <c r="J48" s="1">
        <f t="shared" si="64"/>
        <v>55.947499999999998</v>
      </c>
      <c r="K48" s="1">
        <f t="shared" si="64"/>
        <v>55.947499999999998</v>
      </c>
      <c r="L48" s="1">
        <f t="shared" si="64"/>
        <v>55.947499999999998</v>
      </c>
      <c r="M48" s="1">
        <f t="shared" si="64"/>
        <v>55.947499999999998</v>
      </c>
      <c r="N48" s="1">
        <f t="shared" si="64"/>
        <v>55.947499999999998</v>
      </c>
      <c r="O48" s="1">
        <f t="shared" si="64"/>
        <v>55.947499999999998</v>
      </c>
      <c r="P48" s="1">
        <f t="shared" si="64"/>
        <v>55.947499999999998</v>
      </c>
      <c r="Q48" s="1">
        <f t="shared" si="64"/>
        <v>55.947499999999998</v>
      </c>
      <c r="R48" s="1">
        <f t="shared" si="64"/>
        <v>55.947499999999998</v>
      </c>
      <c r="S48" s="1">
        <f t="shared" si="64"/>
        <v>55.947499999999998</v>
      </c>
      <c r="T48" s="1">
        <f t="shared" si="64"/>
        <v>55.947499999999998</v>
      </c>
      <c r="U48" s="1">
        <f t="shared" si="64"/>
        <v>55.947499999999998</v>
      </c>
      <c r="V48" s="1">
        <f t="shared" si="64"/>
        <v>55.947499999999998</v>
      </c>
      <c r="W48" s="1">
        <f t="shared" si="64"/>
        <v>55.947499999999998</v>
      </c>
      <c r="X48" s="1">
        <f t="shared" si="64"/>
        <v>55.947499999999998</v>
      </c>
      <c r="Y48" s="1">
        <f t="shared" si="64"/>
        <v>55.947499999999998</v>
      </c>
    </row>
    <row r="49" spans="1:26" x14ac:dyDescent="0.25">
      <c r="A49" t="s">
        <v>587</v>
      </c>
      <c r="C49" s="1">
        <f>+C48</f>
        <v>55.947499999999998</v>
      </c>
      <c r="D49" s="1">
        <f t="shared" ref="D49:Y49" si="65">+D48</f>
        <v>55.947499999999998</v>
      </c>
      <c r="E49" s="1">
        <f t="shared" si="65"/>
        <v>55.947499999999998</v>
      </c>
      <c r="F49" s="1">
        <f t="shared" si="65"/>
        <v>55.947499999999998</v>
      </c>
      <c r="G49" s="1">
        <f t="shared" si="65"/>
        <v>55.947499999999998</v>
      </c>
      <c r="H49" s="1">
        <f t="shared" si="65"/>
        <v>55.947499999999998</v>
      </c>
      <c r="I49" s="1">
        <f t="shared" si="65"/>
        <v>55.947499999999998</v>
      </c>
      <c r="J49" s="1">
        <f t="shared" si="65"/>
        <v>55.947499999999998</v>
      </c>
      <c r="K49" s="1">
        <f t="shared" si="65"/>
        <v>55.947499999999998</v>
      </c>
      <c r="L49" s="1">
        <f t="shared" si="65"/>
        <v>55.947499999999998</v>
      </c>
      <c r="M49" s="1">
        <f t="shared" si="65"/>
        <v>55.947499999999998</v>
      </c>
      <c r="N49" s="1">
        <f t="shared" si="65"/>
        <v>55.947499999999998</v>
      </c>
      <c r="O49" s="1">
        <f t="shared" si="65"/>
        <v>55.947499999999998</v>
      </c>
      <c r="P49" s="1">
        <f t="shared" si="65"/>
        <v>55.947499999999998</v>
      </c>
      <c r="Q49" s="1">
        <f t="shared" si="65"/>
        <v>55.947499999999998</v>
      </c>
      <c r="R49" s="1">
        <f t="shared" si="65"/>
        <v>55.947499999999998</v>
      </c>
      <c r="S49" s="1">
        <f t="shared" si="65"/>
        <v>55.947499999999998</v>
      </c>
      <c r="T49" s="1">
        <f t="shared" si="65"/>
        <v>55.947499999999998</v>
      </c>
      <c r="U49" s="1">
        <f t="shared" si="65"/>
        <v>55.947499999999998</v>
      </c>
      <c r="V49" s="1">
        <f t="shared" si="65"/>
        <v>55.947499999999998</v>
      </c>
      <c r="W49" s="1">
        <f t="shared" si="65"/>
        <v>55.947499999999998</v>
      </c>
      <c r="X49" s="1">
        <f t="shared" si="65"/>
        <v>55.947499999999998</v>
      </c>
      <c r="Y49" s="1">
        <f t="shared" si="65"/>
        <v>55.947499999999998</v>
      </c>
    </row>
    <row r="50" spans="1:26" x14ac:dyDescent="0.25">
      <c r="B50" t="s">
        <v>96</v>
      </c>
      <c r="C50" s="1">
        <f>+C37*C49</f>
        <v>0</v>
      </c>
      <c r="D50" s="1">
        <f>+D37*D49</f>
        <v>0</v>
      </c>
      <c r="E50" s="1">
        <f>+E37*E49</f>
        <v>0</v>
      </c>
      <c r="F50" s="1">
        <f>+F$49*F$8*F42</f>
        <v>0</v>
      </c>
      <c r="G50" s="1">
        <f t="shared" ref="G50:Y50" si="66">+G37*G49</f>
        <v>0</v>
      </c>
      <c r="H50" s="1">
        <f t="shared" si="66"/>
        <v>0</v>
      </c>
      <c r="I50" s="1">
        <f t="shared" si="66"/>
        <v>0</v>
      </c>
      <c r="J50" s="1">
        <f t="shared" si="66"/>
        <v>0</v>
      </c>
      <c r="K50" s="1">
        <f t="shared" si="66"/>
        <v>0</v>
      </c>
      <c r="L50" s="1">
        <f t="shared" si="66"/>
        <v>0</v>
      </c>
      <c r="M50" s="1">
        <f t="shared" si="66"/>
        <v>0</v>
      </c>
      <c r="N50" s="1">
        <f t="shared" si="66"/>
        <v>0</v>
      </c>
      <c r="O50" s="1">
        <f t="shared" si="66"/>
        <v>0</v>
      </c>
      <c r="P50" s="1">
        <f t="shared" si="66"/>
        <v>0</v>
      </c>
      <c r="Q50" s="1">
        <f t="shared" si="66"/>
        <v>0</v>
      </c>
      <c r="R50" s="1">
        <f t="shared" si="66"/>
        <v>0</v>
      </c>
      <c r="S50" s="1">
        <f t="shared" si="66"/>
        <v>0</v>
      </c>
      <c r="T50" s="1">
        <f t="shared" si="66"/>
        <v>0</v>
      </c>
      <c r="U50" s="1">
        <f t="shared" si="66"/>
        <v>0</v>
      </c>
      <c r="V50" s="1">
        <f t="shared" si="66"/>
        <v>0</v>
      </c>
      <c r="W50" s="1">
        <f t="shared" si="66"/>
        <v>0</v>
      </c>
      <c r="X50" s="1">
        <f t="shared" si="66"/>
        <v>0</v>
      </c>
      <c r="Y50" s="1">
        <f t="shared" si="66"/>
        <v>0</v>
      </c>
    </row>
    <row r="51" spans="1:26" x14ac:dyDescent="0.25">
      <c r="B51" t="s">
        <v>329</v>
      </c>
      <c r="C51" s="1">
        <f>+C38*C49</f>
        <v>0</v>
      </c>
      <c r="D51" s="1">
        <f>+D38*D49</f>
        <v>0</v>
      </c>
      <c r="E51" s="1">
        <f>+E38*E49</f>
        <v>0</v>
      </c>
      <c r="F51" s="1">
        <f>+F$49*F$8*F43</f>
        <v>0</v>
      </c>
      <c r="G51" s="1">
        <f t="shared" ref="G51:Y51" si="67">+G38*G49</f>
        <v>0</v>
      </c>
      <c r="H51" s="1">
        <f t="shared" si="67"/>
        <v>0</v>
      </c>
      <c r="I51" s="1">
        <f t="shared" si="67"/>
        <v>0</v>
      </c>
      <c r="J51" s="1">
        <f t="shared" si="67"/>
        <v>-1566.53</v>
      </c>
      <c r="K51" s="1">
        <f t="shared" si="67"/>
        <v>-2461.69</v>
      </c>
      <c r="L51" s="1">
        <f t="shared" si="67"/>
        <v>-106524.04</v>
      </c>
      <c r="M51" s="1">
        <f t="shared" si="67"/>
        <v>-90914.6875</v>
      </c>
      <c r="N51" s="1">
        <f t="shared" si="67"/>
        <v>-81963.087499999994</v>
      </c>
      <c r="O51" s="1">
        <f t="shared" si="67"/>
        <v>-63360.543749999997</v>
      </c>
      <c r="P51" s="1">
        <f t="shared" si="67"/>
        <v>-119839.545</v>
      </c>
      <c r="Q51" s="1">
        <f t="shared" si="67"/>
        <v>-92788.928749999992</v>
      </c>
      <c r="R51" s="1">
        <f t="shared" si="67"/>
        <v>-120790.6525</v>
      </c>
      <c r="S51" s="1">
        <f t="shared" si="67"/>
        <v>-114692.375</v>
      </c>
      <c r="T51" s="1">
        <f t="shared" si="67"/>
        <v>-121769.73375</v>
      </c>
      <c r="U51" s="1">
        <f t="shared" si="67"/>
        <v>-72452.012499999997</v>
      </c>
      <c r="V51" s="1">
        <f t="shared" si="67"/>
        <v>-71724.694999999992</v>
      </c>
      <c r="W51" s="1">
        <f t="shared" si="67"/>
        <v>-104006.4025</v>
      </c>
      <c r="X51" s="1">
        <f t="shared" si="67"/>
        <v>-69850.453750000001</v>
      </c>
      <c r="Y51" s="1">
        <f t="shared" si="67"/>
        <v>-61598.197499999995</v>
      </c>
      <c r="Z51" s="1">
        <f>+Z8*Z49</f>
        <v>0</v>
      </c>
    </row>
    <row r="52" spans="1:26" x14ac:dyDescent="0.25">
      <c r="B52" t="s">
        <v>183</v>
      </c>
      <c r="C52" s="1">
        <f>+C39*C49</f>
        <v>0</v>
      </c>
      <c r="D52" s="1">
        <f>+D39*D49</f>
        <v>0</v>
      </c>
      <c r="E52" s="1">
        <f>+E39*E49</f>
        <v>0</v>
      </c>
      <c r="F52" s="1">
        <f>+F$49*F$8*F44</f>
        <v>9119.4424999999992</v>
      </c>
      <c r="G52" s="1">
        <f>+G$49*G$8*G44</f>
        <v>0</v>
      </c>
      <c r="H52" s="1">
        <f>+H$49*H$8*H44</f>
        <v>0</v>
      </c>
      <c r="I52" s="1">
        <f>+I$49*I$8*I44</f>
        <v>2237.9</v>
      </c>
      <c r="J52" s="1">
        <f t="shared" ref="J52:Y52" si="68">+J39*J49</f>
        <v>5762.5924999999997</v>
      </c>
      <c r="K52" s="1">
        <f t="shared" si="68"/>
        <v>2461.69</v>
      </c>
      <c r="L52" s="1">
        <f t="shared" si="68"/>
        <v>106524.04</v>
      </c>
      <c r="M52" s="1">
        <f t="shared" si="68"/>
        <v>90914.6875</v>
      </c>
      <c r="N52" s="1">
        <f t="shared" si="68"/>
        <v>81963.087499999994</v>
      </c>
      <c r="O52" s="1">
        <f t="shared" si="68"/>
        <v>77347.418749999997</v>
      </c>
      <c r="P52" s="1">
        <f t="shared" si="68"/>
        <v>158779.005</v>
      </c>
      <c r="Q52" s="1">
        <f t="shared" si="68"/>
        <v>133350.86624999999</v>
      </c>
      <c r="R52" s="1">
        <f t="shared" si="68"/>
        <v>155478.10250000001</v>
      </c>
      <c r="S52" s="1">
        <f t="shared" si="68"/>
        <v>148428.7175</v>
      </c>
      <c r="T52" s="1">
        <f t="shared" si="68"/>
        <v>162723.30374999999</v>
      </c>
      <c r="U52" s="1">
        <f t="shared" si="68"/>
        <v>91306.319999999992</v>
      </c>
      <c r="V52" s="1">
        <f t="shared" si="68"/>
        <v>103782.6125</v>
      </c>
      <c r="W52" s="1">
        <f t="shared" si="68"/>
        <v>131196.88749999998</v>
      </c>
      <c r="X52" s="1">
        <f t="shared" si="68"/>
        <v>102859.47874999999</v>
      </c>
      <c r="Y52" s="1">
        <f t="shared" si="68"/>
        <v>73067.434999999998</v>
      </c>
    </row>
    <row r="54" spans="1:26" x14ac:dyDescent="0.25">
      <c r="A54" t="s">
        <v>516</v>
      </c>
    </row>
    <row r="55" spans="1:26" x14ac:dyDescent="0.25">
      <c r="B55" t="s">
        <v>96</v>
      </c>
      <c r="C55" s="1">
        <f>+C22/3</f>
        <v>0</v>
      </c>
      <c r="D55" s="1">
        <f t="shared" ref="D55:N55" si="69">+D22/3</f>
        <v>0</v>
      </c>
      <c r="E55" s="1">
        <f t="shared" si="69"/>
        <v>0</v>
      </c>
      <c r="F55" s="1">
        <f t="shared" si="69"/>
        <v>0</v>
      </c>
      <c r="G55" s="1">
        <f t="shared" si="69"/>
        <v>0</v>
      </c>
      <c r="H55" s="1">
        <f t="shared" si="69"/>
        <v>0</v>
      </c>
      <c r="I55" s="1">
        <f t="shared" si="69"/>
        <v>0</v>
      </c>
      <c r="J55" s="1">
        <f t="shared" si="69"/>
        <v>0</v>
      </c>
      <c r="K55" s="1">
        <f t="shared" si="69"/>
        <v>0</v>
      </c>
      <c r="L55" s="1">
        <f t="shared" si="69"/>
        <v>0</v>
      </c>
      <c r="M55" s="1">
        <f t="shared" si="69"/>
        <v>0</v>
      </c>
      <c r="N55" s="1">
        <f t="shared" si="69"/>
        <v>0</v>
      </c>
      <c r="O55" s="1">
        <f t="shared" ref="O55:P55" si="70">+O22/3</f>
        <v>0</v>
      </c>
      <c r="P55" s="1">
        <f t="shared" si="70"/>
        <v>0</v>
      </c>
      <c r="Q55" s="1">
        <f t="shared" ref="Q55:R55" si="71">+Q22/3</f>
        <v>0</v>
      </c>
      <c r="R55" s="1">
        <f t="shared" si="71"/>
        <v>0</v>
      </c>
      <c r="S55" s="1">
        <f t="shared" ref="S55:U55" si="72">+S22/3</f>
        <v>0</v>
      </c>
      <c r="T55" s="1">
        <f t="shared" si="72"/>
        <v>0</v>
      </c>
      <c r="U55" s="1">
        <f t="shared" si="72"/>
        <v>0</v>
      </c>
      <c r="V55" s="1">
        <f t="shared" ref="V55:W55" si="73">+V22/3</f>
        <v>0</v>
      </c>
      <c r="W55" s="1">
        <f t="shared" si="73"/>
        <v>0</v>
      </c>
      <c r="X55" s="1">
        <f t="shared" ref="X55:Y55" si="74">+X22/3</f>
        <v>0</v>
      </c>
      <c r="Y55" s="1">
        <f t="shared" si="74"/>
        <v>0</v>
      </c>
    </row>
    <row r="56" spans="1:26" x14ac:dyDescent="0.25">
      <c r="B56" t="s">
        <v>329</v>
      </c>
      <c r="C56" s="1">
        <f>(+C23-C26-C27)/2</f>
        <v>0</v>
      </c>
      <c r="D56" s="1">
        <f t="shared" ref="D56:S56" si="75">(+D23-D26-D27)/2</f>
        <v>0</v>
      </c>
      <c r="E56" s="1">
        <f t="shared" si="75"/>
        <v>0</v>
      </c>
      <c r="F56" s="1">
        <f t="shared" si="75"/>
        <v>0</v>
      </c>
      <c r="G56" s="1">
        <f t="shared" si="75"/>
        <v>0</v>
      </c>
      <c r="H56" s="1">
        <f t="shared" si="75"/>
        <v>0</v>
      </c>
      <c r="I56" s="1">
        <f t="shared" si="75"/>
        <v>0</v>
      </c>
      <c r="J56" s="1">
        <f t="shared" si="75"/>
        <v>0</v>
      </c>
      <c r="K56" s="1">
        <f t="shared" si="75"/>
        <v>120</v>
      </c>
      <c r="L56" s="1">
        <f t="shared" si="75"/>
        <v>13.5</v>
      </c>
      <c r="M56" s="1">
        <f>(+M23-M26-M27)/2</f>
        <v>34.5</v>
      </c>
      <c r="N56" s="1">
        <f t="shared" si="75"/>
        <v>64.5</v>
      </c>
      <c r="O56" s="1">
        <f t="shared" si="75"/>
        <v>135</v>
      </c>
      <c r="P56" s="1">
        <f t="shared" si="75"/>
        <v>97.5</v>
      </c>
      <c r="Q56" s="1">
        <f t="shared" si="75"/>
        <v>90</v>
      </c>
      <c r="R56" s="1">
        <f>(+R23-R26-R27)/2</f>
        <v>100.5</v>
      </c>
      <c r="S56" s="1">
        <f t="shared" si="75"/>
        <v>150</v>
      </c>
      <c r="T56" s="1">
        <f>(+T23-T26-T27)/2</f>
        <v>0</v>
      </c>
      <c r="U56" s="1">
        <f t="shared" ref="U56:X56" si="76">(+U23-U26-U27)/2</f>
        <v>0</v>
      </c>
      <c r="V56" s="1">
        <f t="shared" si="76"/>
        <v>0</v>
      </c>
      <c r="W56" s="1">
        <f>(+W23-W26-W27)/2</f>
        <v>0</v>
      </c>
      <c r="X56" s="1">
        <f t="shared" si="76"/>
        <v>0</v>
      </c>
      <c r="Y56" s="1">
        <f t="shared" ref="Y56" si="77">(+Y23-Y26-Y27)/2</f>
        <v>0</v>
      </c>
    </row>
    <row r="57" spans="1:26" x14ac:dyDescent="0.25">
      <c r="B57" t="s">
        <v>183</v>
      </c>
      <c r="C57" s="1">
        <f>+C24/2</f>
        <v>0</v>
      </c>
      <c r="D57" s="1">
        <f t="shared" ref="D57:N57" si="78">+D24/2</f>
        <v>0</v>
      </c>
      <c r="E57" s="1">
        <f t="shared" si="78"/>
        <v>0</v>
      </c>
      <c r="F57" s="1">
        <f>+F39/2</f>
        <v>88.5</v>
      </c>
      <c r="G57" s="1">
        <f t="shared" ref="G57:I57" si="79">+G39/2</f>
        <v>0</v>
      </c>
      <c r="H57" s="1">
        <f t="shared" si="79"/>
        <v>0</v>
      </c>
      <c r="I57" s="1">
        <f t="shared" si="79"/>
        <v>8</v>
      </c>
      <c r="J57" s="1">
        <v>103</v>
      </c>
      <c r="K57" s="1">
        <f t="shared" si="78"/>
        <v>0</v>
      </c>
      <c r="L57" s="1">
        <f t="shared" si="78"/>
        <v>0</v>
      </c>
      <c r="M57" s="1">
        <f t="shared" si="78"/>
        <v>0</v>
      </c>
      <c r="N57" s="1">
        <f t="shared" si="78"/>
        <v>0</v>
      </c>
      <c r="O57" s="1">
        <f t="shared" ref="O57:P57" si="80">+O24/2</f>
        <v>0</v>
      </c>
      <c r="P57" s="1">
        <f t="shared" si="80"/>
        <v>0</v>
      </c>
      <c r="Q57" s="1">
        <f t="shared" ref="Q57:R57" si="81">+Q24/2</f>
        <v>0</v>
      </c>
      <c r="R57" s="1">
        <f t="shared" si="81"/>
        <v>0</v>
      </c>
      <c r="S57" s="1">
        <f t="shared" ref="S57:U57" si="82">+S24/2</f>
        <v>0</v>
      </c>
      <c r="T57" s="1">
        <f t="shared" si="82"/>
        <v>0</v>
      </c>
      <c r="U57" s="1">
        <f t="shared" si="82"/>
        <v>0</v>
      </c>
      <c r="V57" s="1">
        <f t="shared" ref="V57:W57" si="83">+V24/2</f>
        <v>0</v>
      </c>
      <c r="W57" s="1">
        <f t="shared" si="83"/>
        <v>0</v>
      </c>
      <c r="X57" s="1">
        <f t="shared" ref="X57:Y57" si="84">+X24/2</f>
        <v>0</v>
      </c>
      <c r="Y57" s="1">
        <f t="shared" si="84"/>
        <v>0</v>
      </c>
    </row>
    <row r="58" spans="1:26" x14ac:dyDescent="0.25">
      <c r="X58" s="1" t="s">
        <v>543</v>
      </c>
      <c r="Z58" s="1" t="s">
        <v>543</v>
      </c>
    </row>
    <row r="59" spans="1:26" x14ac:dyDescent="0.25">
      <c r="X59" s="1" t="s">
        <v>544</v>
      </c>
      <c r="Z59" s="1" t="s">
        <v>544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02"/>
  <sheetViews>
    <sheetView workbookViewId="0">
      <pane xSplit="3" ySplit="2" topLeftCell="D21" activePane="bottomRight" state="frozen"/>
      <selection pane="topRight" activeCell="D1" sqref="D1"/>
      <selection pane="bottomLeft" activeCell="A3" sqref="A3"/>
      <selection pane="bottomRight" activeCell="J30" sqref="J30"/>
    </sheetView>
  </sheetViews>
  <sheetFormatPr defaultRowHeight="15" x14ac:dyDescent="0.25"/>
  <cols>
    <col min="1" max="1" width="3.42578125" style="2" customWidth="1"/>
    <col min="2" max="2" width="5.42578125" style="2" customWidth="1"/>
    <col min="3" max="3" width="28.85546875" customWidth="1"/>
    <col min="4" max="43" width="9.140625" style="1" customWidth="1"/>
    <col min="44" max="44" width="9.140625" style="3" customWidth="1"/>
    <col min="46" max="46" width="9.5703125" customWidth="1"/>
  </cols>
  <sheetData>
    <row r="1" spans="1:46" x14ac:dyDescent="0.25">
      <c r="A1" s="2" t="s">
        <v>372</v>
      </c>
      <c r="D1" s="142">
        <v>45292</v>
      </c>
      <c r="E1" s="142">
        <v>45292</v>
      </c>
      <c r="F1" s="142">
        <v>45292</v>
      </c>
      <c r="G1" s="142">
        <v>45292</v>
      </c>
      <c r="H1" s="142">
        <v>45292</v>
      </c>
      <c r="I1" s="142">
        <v>45323</v>
      </c>
      <c r="J1" s="142">
        <v>45323</v>
      </c>
      <c r="K1" s="142">
        <v>45323</v>
      </c>
      <c r="L1" s="142">
        <v>45323</v>
      </c>
      <c r="M1" s="142">
        <v>45352</v>
      </c>
      <c r="N1" s="142">
        <v>45352</v>
      </c>
      <c r="O1" s="142">
        <v>45352</v>
      </c>
      <c r="P1" s="142">
        <v>45352</v>
      </c>
      <c r="Q1" s="142">
        <v>45383</v>
      </c>
      <c r="R1" s="142">
        <v>45383</v>
      </c>
      <c r="S1" s="142">
        <v>45383</v>
      </c>
      <c r="T1" s="142">
        <v>45383</v>
      </c>
      <c r="U1" s="142">
        <v>45413</v>
      </c>
      <c r="V1" s="142">
        <v>45413</v>
      </c>
      <c r="W1" s="142">
        <v>45413</v>
      </c>
      <c r="X1" s="142">
        <v>45413</v>
      </c>
      <c r="Y1" s="142">
        <v>45413</v>
      </c>
      <c r="Z1" s="142">
        <v>45444</v>
      </c>
      <c r="AA1" s="142">
        <v>45444</v>
      </c>
      <c r="AB1" s="142">
        <v>45444</v>
      </c>
      <c r="AC1" s="142">
        <v>45444</v>
      </c>
      <c r="AD1" s="142">
        <v>45474</v>
      </c>
      <c r="AE1" s="142">
        <v>45474</v>
      </c>
      <c r="AF1" s="142">
        <v>45474</v>
      </c>
      <c r="AG1" s="142">
        <v>45474</v>
      </c>
      <c r="AH1" s="142">
        <v>45474</v>
      </c>
      <c r="AI1" s="142">
        <v>45505</v>
      </c>
      <c r="AJ1" s="142">
        <v>45505</v>
      </c>
      <c r="AK1" s="142">
        <v>45505</v>
      </c>
      <c r="AL1" s="142">
        <v>45505</v>
      </c>
      <c r="AM1" s="142">
        <v>45536</v>
      </c>
      <c r="AN1" s="142">
        <v>45536</v>
      </c>
      <c r="AO1" s="142">
        <v>45536</v>
      </c>
      <c r="AP1" s="142">
        <v>45536</v>
      </c>
      <c r="AQ1" s="13" t="s">
        <v>282</v>
      </c>
      <c r="AR1" s="52"/>
      <c r="AT1" s="4" t="s">
        <v>767</v>
      </c>
    </row>
    <row r="2" spans="1:46" x14ac:dyDescent="0.25">
      <c r="D2" s="13" t="s">
        <v>491</v>
      </c>
      <c r="E2" s="13" t="s">
        <v>492</v>
      </c>
      <c r="F2" s="13" t="s">
        <v>493</v>
      </c>
      <c r="G2" s="13" t="s">
        <v>494</v>
      </c>
      <c r="H2" s="13" t="s">
        <v>495</v>
      </c>
      <c r="I2" s="13" t="s">
        <v>496</v>
      </c>
      <c r="J2" s="13" t="s">
        <v>263</v>
      </c>
      <c r="K2" s="13" t="s">
        <v>264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3" t="s">
        <v>54</v>
      </c>
      <c r="V2" s="13" t="s">
        <v>20</v>
      </c>
      <c r="W2" s="13" t="s">
        <v>21</v>
      </c>
      <c r="X2" s="13" t="s">
        <v>22</v>
      </c>
      <c r="Y2" s="13" t="s">
        <v>23</v>
      </c>
      <c r="Z2" s="13" t="s">
        <v>24</v>
      </c>
      <c r="AA2" s="13" t="s">
        <v>25</v>
      </c>
      <c r="AB2" s="13" t="s">
        <v>26</v>
      </c>
      <c r="AC2" s="13" t="s">
        <v>27</v>
      </c>
      <c r="AD2" s="13" t="s">
        <v>28</v>
      </c>
      <c r="AE2" s="13" t="s">
        <v>29</v>
      </c>
      <c r="AF2" s="13" t="s">
        <v>30</v>
      </c>
      <c r="AG2" s="13" t="s">
        <v>31</v>
      </c>
      <c r="AH2" s="13" t="s">
        <v>32</v>
      </c>
      <c r="AI2" s="13" t="s">
        <v>33</v>
      </c>
      <c r="AJ2" s="13" t="s">
        <v>34</v>
      </c>
      <c r="AK2" s="13" t="s">
        <v>55</v>
      </c>
      <c r="AL2" s="13" t="s">
        <v>56</v>
      </c>
      <c r="AM2" s="13" t="s">
        <v>57</v>
      </c>
      <c r="AN2" s="13" t="s">
        <v>58</v>
      </c>
      <c r="AO2" s="13" t="s">
        <v>59</v>
      </c>
      <c r="AP2" s="13" t="s">
        <v>60</v>
      </c>
      <c r="AQ2" s="4" t="s">
        <v>61</v>
      </c>
      <c r="AR2" s="52" t="s">
        <v>2</v>
      </c>
      <c r="AT2" s="4" t="s">
        <v>88</v>
      </c>
    </row>
    <row r="3" spans="1:46" x14ac:dyDescent="0.25">
      <c r="A3" s="2" t="s">
        <v>1</v>
      </c>
    </row>
    <row r="4" spans="1:46" x14ac:dyDescent="0.25">
      <c r="B4"/>
      <c r="C4" t="s">
        <v>190</v>
      </c>
      <c r="D4" s="1">
        <f>+'PassRev Strip'!D120</f>
        <v>0</v>
      </c>
      <c r="E4" s="1">
        <f>+'PassRev Strip'!E120</f>
        <v>0</v>
      </c>
      <c r="F4" s="1">
        <f>+'PassRev Strip'!F120</f>
        <v>0</v>
      </c>
      <c r="G4" s="1">
        <f>+'PassRev Strip'!G120</f>
        <v>0</v>
      </c>
      <c r="H4" s="1">
        <f>+'PassRev Strip'!H120</f>
        <v>0</v>
      </c>
      <c r="I4" s="1">
        <f>+'PassRev Strip'!I120</f>
        <v>0</v>
      </c>
      <c r="J4" s="1">
        <f>+'PassRev Strip'!J120</f>
        <v>0</v>
      </c>
      <c r="K4" s="1">
        <f>+'PassRev Strip'!K120</f>
        <v>0</v>
      </c>
      <c r="L4" s="1">
        <f>+'PassRev Strip'!L120</f>
        <v>30526.35</v>
      </c>
      <c r="M4" s="1">
        <f>+'PassRev Strip'!M120</f>
        <v>174.84</v>
      </c>
      <c r="N4" s="1">
        <f>+'PassRev Strip'!N120</f>
        <v>3292.56</v>
      </c>
      <c r="O4" s="1">
        <f>+'PassRev Strip'!O120</f>
        <v>18316.95</v>
      </c>
      <c r="P4" s="1">
        <f>+'PassRev Strip'!P120</f>
        <v>9185.880000000001</v>
      </c>
      <c r="Q4" s="1">
        <f>+'PassRev Strip'!Q120</f>
        <v>24212.909999999996</v>
      </c>
      <c r="R4" s="1">
        <f>+'PassRev Strip'!R120</f>
        <v>31924.140000000003</v>
      </c>
      <c r="S4" s="1">
        <f>+'PassRev Strip'!S120</f>
        <v>20138.37</v>
      </c>
      <c r="T4" s="1">
        <f>+'PassRev Strip'!T120</f>
        <v>18397.8</v>
      </c>
      <c r="U4" s="1">
        <f>+'PassRev Strip'!U120</f>
        <v>27420.03</v>
      </c>
      <c r="V4" s="1">
        <f>+'PassRev Strip'!V120</f>
        <v>16764.3</v>
      </c>
      <c r="W4" s="1">
        <f>+'PassRev Strip'!W120</f>
        <v>20577.240000000002</v>
      </c>
      <c r="X4" s="1">
        <f>+'PassRev Strip'!X120</f>
        <v>17906.22</v>
      </c>
      <c r="Y4" s="1">
        <f>+'PassRev Strip'!Y120</f>
        <v>4879.8</v>
      </c>
      <c r="Z4" s="1">
        <f>+'PassRev Strip'!Z120</f>
        <v>6440.0399999999991</v>
      </c>
      <c r="AA4" s="1">
        <f>+'PassRev Strip'!AA120</f>
        <v>2400.48</v>
      </c>
      <c r="AB4" s="1">
        <f>+'PassRev Strip'!AB120</f>
        <v>4297.68</v>
      </c>
      <c r="AC4" s="1">
        <f>+'PassRev Strip'!AC120</f>
        <v>1635.6</v>
      </c>
      <c r="AD4" s="1">
        <f>+'PassRev Strip'!AD120</f>
        <v>400.44</v>
      </c>
      <c r="AE4" s="1">
        <f>+'PassRev Strip'!AE120</f>
        <v>1497.42</v>
      </c>
      <c r="AF4" s="1">
        <f>+'PassRev Strip'!AF120</f>
        <v>626.04</v>
      </c>
      <c r="AG4" s="1">
        <f>+'PassRev Strip'!AG120</f>
        <v>153.69</v>
      </c>
      <c r="AH4" s="1">
        <f>+'PassRev Strip'!AH120</f>
        <v>9530.19</v>
      </c>
      <c r="AI4" s="1">
        <f>+'PassRev Strip'!AI120</f>
        <v>4107.3300000000008</v>
      </c>
      <c r="AJ4" s="1">
        <f>+'PassRev Strip'!AJ120</f>
        <v>3633.5699999999997</v>
      </c>
      <c r="AK4" s="1">
        <f>+'PassRev Strip'!AK120</f>
        <v>1429.74</v>
      </c>
      <c r="AL4" s="1">
        <f>+'PassRev Strip'!AL120</f>
        <v>2045.32</v>
      </c>
      <c r="AM4" s="1">
        <f>+'PassRev Strip'!AM120</f>
        <v>338.4</v>
      </c>
      <c r="AN4" s="1">
        <f>+'PassRev Strip'!AN120</f>
        <v>0</v>
      </c>
      <c r="AO4" s="1">
        <f>+'PassRev Strip'!AO120</f>
        <v>0</v>
      </c>
      <c r="AP4" s="1">
        <f>+'PassRev Strip'!AP120</f>
        <v>0</v>
      </c>
      <c r="AQ4" s="1">
        <f>+'PassRev Strip'!AQ120</f>
        <v>0</v>
      </c>
      <c r="AR4" s="3">
        <f>SUM(D4:AQ4)</f>
        <v>282253.33</v>
      </c>
      <c r="AT4" s="1">
        <f>SUM(D4:AP4)</f>
        <v>282253.33</v>
      </c>
    </row>
    <row r="5" spans="1:46" x14ac:dyDescent="0.25">
      <c r="B5"/>
      <c r="C5" t="s">
        <v>424</v>
      </c>
      <c r="D5" s="1">
        <f>+'PassRev Strip'!D121</f>
        <v>0</v>
      </c>
      <c r="E5" s="1">
        <f>+'PassRev Strip'!E121</f>
        <v>0</v>
      </c>
      <c r="F5" s="1">
        <f>+'PassRev Strip'!F121</f>
        <v>0</v>
      </c>
      <c r="G5" s="1">
        <f>+'PassRev Strip'!G121</f>
        <v>0</v>
      </c>
      <c r="H5" s="1">
        <f>+'PassRev Strip'!H121</f>
        <v>0</v>
      </c>
      <c r="I5" s="1">
        <f>+'PassRev Strip'!I121</f>
        <v>0</v>
      </c>
      <c r="J5" s="1">
        <f>+'PassRev Strip'!J121</f>
        <v>0</v>
      </c>
      <c r="K5" s="1">
        <f>+'PassRev Strip'!K121</f>
        <v>0</v>
      </c>
      <c r="L5" s="1">
        <f>+'PassRev Strip'!L121</f>
        <v>3199.6800000000003</v>
      </c>
      <c r="M5" s="1">
        <f>+'PassRev Strip'!M121</f>
        <v>4702.8600000000006</v>
      </c>
      <c r="N5" s="1">
        <f>+'PassRev Strip'!N121</f>
        <v>4893.66</v>
      </c>
      <c r="O5" s="1">
        <f>+'PassRev Strip'!O121</f>
        <v>5684.76</v>
      </c>
      <c r="P5" s="1">
        <f>+'PassRev Strip'!P121</f>
        <v>10118.84</v>
      </c>
      <c r="Q5" s="1">
        <f>+'PassRev Strip'!Q121</f>
        <v>6237.24</v>
      </c>
      <c r="R5" s="1">
        <f>+'PassRev Strip'!R121</f>
        <v>7189.92</v>
      </c>
      <c r="S5" s="1">
        <f>+'PassRev Strip'!S121</f>
        <v>6026.9400000000005</v>
      </c>
      <c r="T5" s="1">
        <f>+'PassRev Strip'!T121</f>
        <v>9736.98</v>
      </c>
      <c r="U5" s="1">
        <f>+'PassRev Strip'!U121</f>
        <v>11494.4</v>
      </c>
      <c r="V5" s="1">
        <f>+'PassRev Strip'!V121</f>
        <v>9459.0600000000013</v>
      </c>
      <c r="W5" s="1">
        <f>+'PassRev Strip'!W121</f>
        <v>13544.1</v>
      </c>
      <c r="X5" s="1">
        <f>+'PassRev Strip'!X121</f>
        <v>8003.22</v>
      </c>
      <c r="Y5" s="1">
        <f>+'PassRev Strip'!Y121</f>
        <v>3659.9399999999996</v>
      </c>
      <c r="Z5" s="1">
        <f>+'PassRev Strip'!Z121</f>
        <v>2911.32</v>
      </c>
      <c r="AA5" s="1">
        <f>+'PassRev Strip'!AA121</f>
        <v>1395.18</v>
      </c>
      <c r="AB5" s="1">
        <f>+'PassRev Strip'!AB121</f>
        <v>1869.3</v>
      </c>
      <c r="AC5" s="1">
        <f>+'PassRev Strip'!AC121</f>
        <v>446.4</v>
      </c>
      <c r="AD5" s="1">
        <f>+'PassRev Strip'!AD121</f>
        <v>0</v>
      </c>
      <c r="AE5" s="1">
        <f>+'PassRev Strip'!AE121</f>
        <v>223.2</v>
      </c>
      <c r="AF5" s="1">
        <f>+'PassRev Strip'!AF121</f>
        <v>455.7</v>
      </c>
      <c r="AG5" s="1">
        <f>+'PassRev Strip'!AG121</f>
        <v>0</v>
      </c>
      <c r="AH5" s="1">
        <f>+'PassRev Strip'!AH121</f>
        <v>558</v>
      </c>
      <c r="AI5" s="1">
        <f>+'PassRev Strip'!AI121</f>
        <v>948.6</v>
      </c>
      <c r="AJ5" s="1">
        <f>+'PassRev Strip'!AJ121</f>
        <v>613.79999999999995</v>
      </c>
      <c r="AK5" s="1">
        <f>+'PassRev Strip'!AK121</f>
        <v>0</v>
      </c>
      <c r="AL5" s="1">
        <f>+'PassRev Strip'!AL121</f>
        <v>1367.1</v>
      </c>
      <c r="AM5" s="1">
        <f>+'PassRev Strip'!AM121</f>
        <v>0</v>
      </c>
      <c r="AN5" s="1">
        <f>+'PassRev Strip'!AN121</f>
        <v>-65.099999999999994</v>
      </c>
      <c r="AO5" s="1">
        <f>+'PassRev Strip'!AO121</f>
        <v>0</v>
      </c>
      <c r="AP5" s="1">
        <f>+'PassRev Strip'!AP121</f>
        <v>0</v>
      </c>
      <c r="AQ5" s="1">
        <f>+'PassRev Strip'!AQ121</f>
        <v>0</v>
      </c>
      <c r="AR5" s="3">
        <f t="shared" ref="AR5:AR23" si="0">SUM(D5:AQ5)</f>
        <v>114675.1</v>
      </c>
      <c r="AT5" s="1">
        <f t="shared" ref="AT5:AT24" si="1">SUM(D5:AP5)</f>
        <v>114675.1</v>
      </c>
    </row>
    <row r="6" spans="1:46" x14ac:dyDescent="0.25">
      <c r="B6"/>
      <c r="C6" t="s">
        <v>347</v>
      </c>
      <c r="D6" s="1">
        <f>+'PassRev Strip'!D122</f>
        <v>0</v>
      </c>
      <c r="E6" s="1">
        <f>+'PassRev Strip'!E122</f>
        <v>0</v>
      </c>
      <c r="F6" s="1">
        <f>+'PassRev Strip'!F122</f>
        <v>0</v>
      </c>
      <c r="G6" s="1">
        <f>+'PassRev Strip'!G122</f>
        <v>0</v>
      </c>
      <c r="H6" s="1">
        <f>+'PassRev Strip'!H122</f>
        <v>0</v>
      </c>
      <c r="I6" s="1">
        <f>+'PassRev Strip'!I122</f>
        <v>0</v>
      </c>
      <c r="J6" s="1">
        <f>+'PassRev Strip'!J122</f>
        <v>0</v>
      </c>
      <c r="K6" s="1">
        <f>+'PassRev Strip'!K122</f>
        <v>0</v>
      </c>
      <c r="L6" s="1">
        <f>+'PassRev Strip'!L122</f>
        <v>3455.28</v>
      </c>
      <c r="M6" s="1">
        <f>+'PassRev Strip'!M122</f>
        <v>3403.7</v>
      </c>
      <c r="N6" s="1">
        <f>+'PassRev Strip'!N122</f>
        <v>2498.04</v>
      </c>
      <c r="O6" s="1">
        <f>+'PassRev Strip'!O122</f>
        <v>3406.62</v>
      </c>
      <c r="P6" s="1">
        <f>+'PassRev Strip'!P122</f>
        <v>8073.54</v>
      </c>
      <c r="Q6" s="1">
        <f>+'PassRev Strip'!Q122</f>
        <v>3373.8</v>
      </c>
      <c r="R6" s="1">
        <f>+'PassRev Strip'!R122</f>
        <v>5141.16</v>
      </c>
      <c r="S6" s="1">
        <f>+'PassRev Strip'!S122</f>
        <v>5231.88</v>
      </c>
      <c r="T6" s="1">
        <f>+'PassRev Strip'!T122</f>
        <v>6075</v>
      </c>
      <c r="U6" s="1">
        <f>+'PassRev Strip'!U122</f>
        <v>6305.4</v>
      </c>
      <c r="V6" s="1">
        <f>+'PassRev Strip'!V122</f>
        <v>6133.5</v>
      </c>
      <c r="W6" s="1">
        <f>+'PassRev Strip'!W122</f>
        <v>7626.24</v>
      </c>
      <c r="X6" s="1">
        <f>+'PassRev Strip'!X122</f>
        <v>6361.2</v>
      </c>
      <c r="Y6" s="1">
        <f>+'PassRev Strip'!Y122</f>
        <v>1899.6599999999999</v>
      </c>
      <c r="Z6" s="1">
        <f>+'PassRev Strip'!Z122</f>
        <v>1688.04</v>
      </c>
      <c r="AA6" s="1">
        <f>+'PassRev Strip'!AA122</f>
        <v>502.2</v>
      </c>
      <c r="AB6" s="1">
        <f>+'PassRev Strip'!AB122</f>
        <v>446.4</v>
      </c>
      <c r="AC6" s="1">
        <f>+'PassRev Strip'!AC122</f>
        <v>139.5</v>
      </c>
      <c r="AD6" s="1">
        <f>+'PassRev Strip'!AD122</f>
        <v>83.7</v>
      </c>
      <c r="AE6" s="1">
        <f>+'PassRev Strip'!AE122</f>
        <v>0</v>
      </c>
      <c r="AF6" s="1">
        <f>+'PassRev Strip'!AF122</f>
        <v>530.1</v>
      </c>
      <c r="AG6" s="1">
        <f>+'PassRev Strip'!AG122</f>
        <v>362.7</v>
      </c>
      <c r="AH6" s="1">
        <f>+'PassRev Strip'!AH122</f>
        <v>279</v>
      </c>
      <c r="AI6" s="1">
        <f>+'PassRev Strip'!AI122</f>
        <v>195.3</v>
      </c>
      <c r="AJ6" s="1">
        <f>+'PassRev Strip'!AJ122</f>
        <v>446.4</v>
      </c>
      <c r="AK6" s="1">
        <f>+'PassRev Strip'!AK122</f>
        <v>83.7</v>
      </c>
      <c r="AL6" s="1">
        <f>+'PassRev Strip'!AL122</f>
        <v>279</v>
      </c>
      <c r="AM6" s="1">
        <f>+'PassRev Strip'!AM122</f>
        <v>0</v>
      </c>
      <c r="AN6" s="1">
        <f>+'PassRev Strip'!AN122</f>
        <v>279</v>
      </c>
      <c r="AO6" s="1">
        <f>+'PassRev Strip'!AO122</f>
        <v>0</v>
      </c>
      <c r="AP6" s="1">
        <f>+'PassRev Strip'!AP122</f>
        <v>0</v>
      </c>
      <c r="AQ6" s="1">
        <f>+'PassRev Strip'!AQ122</f>
        <v>0</v>
      </c>
      <c r="AR6" s="3">
        <f t="shared" si="0"/>
        <v>74300.059999999983</v>
      </c>
      <c r="AT6" s="1">
        <f t="shared" si="1"/>
        <v>74300.059999999983</v>
      </c>
    </row>
    <row r="7" spans="1:46" x14ac:dyDescent="0.25">
      <c r="B7"/>
      <c r="C7" t="s">
        <v>0</v>
      </c>
      <c r="D7" s="1">
        <f>+'PassRev Strip'!D123</f>
        <v>0</v>
      </c>
      <c r="E7" s="1">
        <f>+'PassRev Strip'!E123</f>
        <v>0</v>
      </c>
      <c r="F7" s="1">
        <f>+'PassRev Strip'!F123</f>
        <v>0</v>
      </c>
      <c r="G7" s="1">
        <f>+'PassRev Strip'!G123</f>
        <v>0</v>
      </c>
      <c r="H7" s="1">
        <f>+'PassRev Strip'!H123</f>
        <v>0</v>
      </c>
      <c r="I7" s="1">
        <f>+'PassRev Strip'!I123</f>
        <v>0</v>
      </c>
      <c r="J7" s="1">
        <f>+'PassRev Strip'!J123</f>
        <v>0</v>
      </c>
      <c r="K7" s="1">
        <f>+'PassRev Strip'!K123</f>
        <v>0</v>
      </c>
      <c r="L7" s="1">
        <f>+'PassRev Strip'!L123</f>
        <v>44069.760000000002</v>
      </c>
      <c r="M7" s="1">
        <f>+'PassRev Strip'!M123</f>
        <v>8880.24</v>
      </c>
      <c r="N7" s="1">
        <f>+'PassRev Strip'!N123</f>
        <v>17446.919999999998</v>
      </c>
      <c r="O7" s="1">
        <f>+'PassRev Strip'!O123</f>
        <v>29564.699999999997</v>
      </c>
      <c r="P7" s="1">
        <f>+'PassRev Strip'!P123</f>
        <v>23909.34</v>
      </c>
      <c r="Q7" s="1">
        <f>+'PassRev Strip'!Q123</f>
        <v>26936.16</v>
      </c>
      <c r="R7" s="1">
        <f>+'PassRev Strip'!R123</f>
        <v>27947.040000000001</v>
      </c>
      <c r="S7" s="1">
        <f>+'PassRev Strip'!S123</f>
        <v>22619.52</v>
      </c>
      <c r="T7" s="1">
        <f>+'PassRev Strip'!T123</f>
        <v>28661.279999999999</v>
      </c>
      <c r="U7" s="1">
        <f>+'PassRev Strip'!U123</f>
        <v>33401.040000000001</v>
      </c>
      <c r="V7" s="1">
        <f>+'PassRev Strip'!V123</f>
        <v>25297.5</v>
      </c>
      <c r="W7" s="1">
        <f>+'PassRev Strip'!W123</f>
        <v>29351.100000000002</v>
      </c>
      <c r="X7" s="1">
        <f>+'PassRev Strip'!X123</f>
        <v>38797.68</v>
      </c>
      <c r="Y7" s="1">
        <f>+'PassRev Strip'!Y123</f>
        <v>31520.28</v>
      </c>
      <c r="Z7" s="1">
        <f>+'PassRev Strip'!Z123</f>
        <v>22407.360000000001</v>
      </c>
      <c r="AA7" s="1">
        <f>+'PassRev Strip'!AA123</f>
        <v>21012.36</v>
      </c>
      <c r="AB7" s="1">
        <f>+'PassRev Strip'!AB123</f>
        <v>21536.9</v>
      </c>
      <c r="AC7" s="1">
        <f>+'PassRev Strip'!AC123</f>
        <v>10523.68</v>
      </c>
      <c r="AD7" s="1">
        <f>+'PassRev Strip'!AD123</f>
        <v>25442.880000000001</v>
      </c>
      <c r="AE7" s="1">
        <f>+'PassRev Strip'!AE123</f>
        <v>4920.4799999999996</v>
      </c>
      <c r="AF7" s="1">
        <f>+'PassRev Strip'!AF123</f>
        <v>2496.96</v>
      </c>
      <c r="AG7" s="1">
        <f>+'PassRev Strip'!AG123</f>
        <v>7164.48</v>
      </c>
      <c r="AH7" s="1">
        <f>+'PassRev Strip'!AH123</f>
        <v>18931.2</v>
      </c>
      <c r="AI7" s="1">
        <f>+'PassRev Strip'!AI123</f>
        <v>1028.1600000000001</v>
      </c>
      <c r="AJ7" s="1">
        <f>+'PassRev Strip'!AJ123</f>
        <v>0</v>
      </c>
      <c r="AK7" s="1">
        <f>+'PassRev Strip'!AK123</f>
        <v>9579.84</v>
      </c>
      <c r="AL7" s="1">
        <f>+'PassRev Strip'!AL123</f>
        <v>3231.36</v>
      </c>
      <c r="AM7" s="1">
        <f>+'PassRev Strip'!AM123</f>
        <v>3386.4</v>
      </c>
      <c r="AN7" s="1">
        <f>+'PassRev Strip'!AN123</f>
        <v>0</v>
      </c>
      <c r="AO7" s="1">
        <f>+'PassRev Strip'!AO123</f>
        <v>0</v>
      </c>
      <c r="AP7" s="1">
        <f>+'PassRev Strip'!AP123</f>
        <v>0</v>
      </c>
      <c r="AQ7" s="1">
        <f>+'PassRev Strip'!AQ123</f>
        <v>0</v>
      </c>
      <c r="AR7" s="3">
        <f t="shared" si="0"/>
        <v>540064.61999999988</v>
      </c>
      <c r="AT7" s="1">
        <f t="shared" si="1"/>
        <v>540064.61999999988</v>
      </c>
    </row>
    <row r="8" spans="1:46" x14ac:dyDescent="0.25">
      <c r="B8"/>
      <c r="C8" t="s">
        <v>354</v>
      </c>
      <c r="D8" s="1">
        <f>+'PassRev Strip'!D124</f>
        <v>0</v>
      </c>
      <c r="E8" s="1">
        <f>+'PassRev Strip'!E124</f>
        <v>0</v>
      </c>
      <c r="F8" s="1">
        <f>+'PassRev Strip'!F124</f>
        <v>0</v>
      </c>
      <c r="G8" s="1">
        <f>+'PassRev Strip'!G124</f>
        <v>0</v>
      </c>
      <c r="H8" s="1">
        <f>+'PassRev Strip'!H124</f>
        <v>0</v>
      </c>
      <c r="I8" s="1">
        <f>+'PassRev Strip'!I124</f>
        <v>0</v>
      </c>
      <c r="J8" s="1">
        <f>+'PassRev Strip'!J124</f>
        <v>0</v>
      </c>
      <c r="K8" s="1">
        <f>+'PassRev Strip'!K124</f>
        <v>0</v>
      </c>
      <c r="L8" s="1">
        <f>+'PassRev Strip'!L124</f>
        <v>2512.8000000000002</v>
      </c>
      <c r="M8" s="1">
        <f>+'PassRev Strip'!M124</f>
        <v>251.1</v>
      </c>
      <c r="N8" s="1">
        <f>+'PassRev Strip'!N124</f>
        <v>667.5</v>
      </c>
      <c r="O8" s="1">
        <f>+'PassRev Strip'!O124</f>
        <v>1220.76</v>
      </c>
      <c r="P8" s="1">
        <f>+'PassRev Strip'!P124</f>
        <v>2780.1600000000003</v>
      </c>
      <c r="Q8" s="1">
        <f>+'PassRev Strip'!Q124</f>
        <v>1636.8</v>
      </c>
      <c r="R8" s="1">
        <f>+'PassRev Strip'!R124</f>
        <v>1674</v>
      </c>
      <c r="S8" s="1">
        <f>+'PassRev Strip'!S124</f>
        <v>1911.42</v>
      </c>
      <c r="T8" s="1">
        <f>+'PassRev Strip'!T124</f>
        <v>3035.7</v>
      </c>
      <c r="U8" s="1">
        <f>+'PassRev Strip'!U124</f>
        <v>1329.9</v>
      </c>
      <c r="V8" s="1">
        <f>+'PassRev Strip'!V124</f>
        <v>722.3</v>
      </c>
      <c r="W8" s="1">
        <f>+'PassRev Strip'!W124</f>
        <v>1646.1</v>
      </c>
      <c r="X8" s="1">
        <f>+'PassRev Strip'!X124</f>
        <v>2148.3000000000002</v>
      </c>
      <c r="Y8" s="1">
        <f>+'PassRev Strip'!Y124</f>
        <v>781.2</v>
      </c>
      <c r="Z8" s="1">
        <f>+'PassRev Strip'!Z124</f>
        <v>799.80000000000007</v>
      </c>
      <c r="AA8" s="1">
        <f>+'PassRev Strip'!AA124</f>
        <v>753.3</v>
      </c>
      <c r="AB8" s="1">
        <f>+'PassRev Strip'!AB124</f>
        <v>502.2</v>
      </c>
      <c r="AC8" s="1">
        <f>+'PassRev Strip'!AC124</f>
        <v>279</v>
      </c>
      <c r="AD8" s="1">
        <f>+'PassRev Strip'!AD124</f>
        <v>0</v>
      </c>
      <c r="AE8" s="1">
        <f>+'PassRev Strip'!AE124</f>
        <v>0</v>
      </c>
      <c r="AF8" s="1">
        <f>+'PassRev Strip'!AF124</f>
        <v>0</v>
      </c>
      <c r="AG8" s="1">
        <f>+'PassRev Strip'!AG124</f>
        <v>0</v>
      </c>
      <c r="AH8" s="1">
        <f>+'PassRev Strip'!AH124</f>
        <v>1116</v>
      </c>
      <c r="AI8" s="1">
        <f>+'PassRev Strip'!AI124</f>
        <v>0</v>
      </c>
      <c r="AJ8" s="1">
        <f>+'PassRev Strip'!AJ124</f>
        <v>0</v>
      </c>
      <c r="AK8" s="1">
        <f>+'PassRev Strip'!AK124</f>
        <v>0</v>
      </c>
      <c r="AL8" s="1">
        <f>+'PassRev Strip'!AL124</f>
        <v>0</v>
      </c>
      <c r="AM8" s="1">
        <f>+'PassRev Strip'!AM124</f>
        <v>0</v>
      </c>
      <c r="AN8" s="1">
        <f>+'PassRev Strip'!AN124</f>
        <v>0</v>
      </c>
      <c r="AO8" s="1">
        <f>+'PassRev Strip'!AO124</f>
        <v>0</v>
      </c>
      <c r="AP8" s="1">
        <f>+'PassRev Strip'!AP124</f>
        <v>0</v>
      </c>
      <c r="AQ8" s="1">
        <f>+'PassRev Strip'!AQ124</f>
        <v>0</v>
      </c>
      <c r="AR8" s="3">
        <f t="shared" si="0"/>
        <v>25768.339999999997</v>
      </c>
      <c r="AT8" s="1">
        <f t="shared" si="1"/>
        <v>25768.339999999997</v>
      </c>
    </row>
    <row r="9" spans="1:46" x14ac:dyDescent="0.25">
      <c r="B9"/>
      <c r="C9" t="s">
        <v>265</v>
      </c>
      <c r="D9" s="1">
        <f>+'PassRev Strip'!D125</f>
        <v>0</v>
      </c>
      <c r="E9" s="1">
        <f>+'PassRev Strip'!E125</f>
        <v>0</v>
      </c>
      <c r="F9" s="1">
        <f>+'PassRev Strip'!F125</f>
        <v>0</v>
      </c>
      <c r="G9" s="1">
        <f>+'PassRev Strip'!G125</f>
        <v>0</v>
      </c>
      <c r="H9" s="1">
        <f>+'PassRev Strip'!H125</f>
        <v>0</v>
      </c>
      <c r="I9" s="1">
        <f>+'PassRev Strip'!I125</f>
        <v>0</v>
      </c>
      <c r="J9" s="1">
        <f>+'PassRev Strip'!J125</f>
        <v>0</v>
      </c>
      <c r="K9" s="1">
        <f>+'PassRev Strip'!K125</f>
        <v>0</v>
      </c>
      <c r="L9" s="1">
        <f>+'PassRev Strip'!L125</f>
        <v>4944.5399999999991</v>
      </c>
      <c r="M9" s="1">
        <f>+'PassRev Strip'!M125</f>
        <v>1323</v>
      </c>
      <c r="N9" s="1">
        <f>+'PassRev Strip'!N125</f>
        <v>1173.06</v>
      </c>
      <c r="O9" s="1">
        <f>+'PassRev Strip'!O125</f>
        <v>2169.7199999999998</v>
      </c>
      <c r="P9" s="1">
        <f>+'PassRev Strip'!P125</f>
        <v>5722.08</v>
      </c>
      <c r="Q9" s="1">
        <f>+'PassRev Strip'!Q125</f>
        <v>3087</v>
      </c>
      <c r="R9" s="1">
        <f>+'PassRev Strip'!R125</f>
        <v>2249.1</v>
      </c>
      <c r="S9" s="1">
        <f>+'PassRev Strip'!S125</f>
        <v>5230.26</v>
      </c>
      <c r="T9" s="1">
        <f>+'PassRev Strip'!T125</f>
        <v>3598.56</v>
      </c>
      <c r="U9" s="1">
        <f>+'PassRev Strip'!U125</f>
        <v>8379</v>
      </c>
      <c r="V9" s="1">
        <f>+'PassRev Strip'!V125</f>
        <v>5821.2000000000007</v>
      </c>
      <c r="W9" s="1">
        <f>+'PassRev Strip'!W125</f>
        <v>3369.24</v>
      </c>
      <c r="X9" s="1">
        <f>+'PassRev Strip'!X125</f>
        <v>6773.76</v>
      </c>
      <c r="Y9" s="1">
        <f>+'PassRev Strip'!Y125</f>
        <v>2028.6</v>
      </c>
      <c r="Z9" s="1">
        <f>+'PassRev Strip'!Z125</f>
        <v>-740.88</v>
      </c>
      <c r="AA9" s="1">
        <f>+'PassRev Strip'!AA125</f>
        <v>564.48</v>
      </c>
      <c r="AB9" s="1">
        <f>+'PassRev Strip'!AB125</f>
        <v>-26.46</v>
      </c>
      <c r="AC9" s="1">
        <f>+'PassRev Strip'!AC125</f>
        <v>0</v>
      </c>
      <c r="AD9" s="1">
        <f>+'PassRev Strip'!AD125</f>
        <v>0</v>
      </c>
      <c r="AE9" s="1">
        <f>+'PassRev Strip'!AE125</f>
        <v>0</v>
      </c>
      <c r="AF9" s="1">
        <f>+'PassRev Strip'!AF125</f>
        <v>0</v>
      </c>
      <c r="AG9" s="1">
        <f>+'PassRev Strip'!AG125</f>
        <v>0</v>
      </c>
      <c r="AH9" s="1">
        <f>+'PassRev Strip'!AH125</f>
        <v>2760.66</v>
      </c>
      <c r="AI9" s="1">
        <f>+'PassRev Strip'!AI125</f>
        <v>-17.64</v>
      </c>
      <c r="AJ9" s="1">
        <f>+'PassRev Strip'!AJ125</f>
        <v>0</v>
      </c>
      <c r="AK9" s="1">
        <f>+'PassRev Strip'!AK125</f>
        <v>740.88</v>
      </c>
      <c r="AL9" s="1">
        <f>+'PassRev Strip'!AL125</f>
        <v>-8.82</v>
      </c>
      <c r="AM9" s="1">
        <f>+'PassRev Strip'!AM125</f>
        <v>0</v>
      </c>
      <c r="AN9" s="1">
        <f>+'PassRev Strip'!AN125</f>
        <v>0</v>
      </c>
      <c r="AO9" s="1">
        <f>+'PassRev Strip'!AO125</f>
        <v>0</v>
      </c>
      <c r="AP9" s="1">
        <f>+'PassRev Strip'!AP125</f>
        <v>0</v>
      </c>
      <c r="AQ9" s="1">
        <f>+'PassRev Strip'!AQ125</f>
        <v>0</v>
      </c>
      <c r="AR9" s="3">
        <f t="shared" si="0"/>
        <v>59141.34</v>
      </c>
      <c r="AT9" s="1">
        <f t="shared" si="1"/>
        <v>59141.34</v>
      </c>
    </row>
    <row r="10" spans="1:46" x14ac:dyDescent="0.25">
      <c r="B10"/>
      <c r="C10" t="s">
        <v>191</v>
      </c>
      <c r="D10" s="1">
        <f>+'PassRev Strip'!D126</f>
        <v>0</v>
      </c>
      <c r="E10" s="1">
        <f>+'PassRev Strip'!E126</f>
        <v>0</v>
      </c>
      <c r="F10" s="1">
        <f>+'PassRev Strip'!F126</f>
        <v>0</v>
      </c>
      <c r="G10" s="1">
        <f>+'PassRev Strip'!G126</f>
        <v>0</v>
      </c>
      <c r="H10" s="1">
        <f>+'PassRev Strip'!H126</f>
        <v>0</v>
      </c>
      <c r="I10" s="1">
        <f>+'PassRev Strip'!I126</f>
        <v>0</v>
      </c>
      <c r="J10" s="1">
        <f>+'PassRev Strip'!J126</f>
        <v>0</v>
      </c>
      <c r="K10" s="1">
        <f>+'PassRev Strip'!K126</f>
        <v>0</v>
      </c>
      <c r="L10" s="1">
        <f>+'PassRev Strip'!L126</f>
        <v>0</v>
      </c>
      <c r="M10" s="1">
        <f>+'PassRev Strip'!M126</f>
        <v>23307</v>
      </c>
      <c r="N10" s="1">
        <f>+'PassRev Strip'!N126</f>
        <v>1465.2</v>
      </c>
      <c r="O10" s="1">
        <f>+'PassRev Strip'!O126</f>
        <v>5446.7</v>
      </c>
      <c r="P10" s="1">
        <f>+'PassRev Strip'!P126</f>
        <v>22267.08</v>
      </c>
      <c r="Q10" s="1">
        <f>+'PassRev Strip'!Q126</f>
        <v>5972.3600000000006</v>
      </c>
      <c r="R10" s="1">
        <f>+'PassRev Strip'!R126</f>
        <v>22245.899999999998</v>
      </c>
      <c r="S10" s="1">
        <f>+'PassRev Strip'!S126</f>
        <v>23996.219999999998</v>
      </c>
      <c r="T10" s="1">
        <f>+'PassRev Strip'!T126</f>
        <v>20495.650000000001</v>
      </c>
      <c r="U10" s="1">
        <f>+'PassRev Strip'!U126</f>
        <v>9253.5</v>
      </c>
      <c r="V10" s="1">
        <f>+'PassRev Strip'!V126</f>
        <v>83.7</v>
      </c>
      <c r="W10" s="1">
        <f>+'PassRev Strip'!W126</f>
        <v>11976.300000000001</v>
      </c>
      <c r="X10" s="1">
        <f>+'PassRev Strip'!X126</f>
        <v>8676.9</v>
      </c>
      <c r="Y10" s="1">
        <f>+'PassRev Strip'!Y126</f>
        <v>9039.6</v>
      </c>
      <c r="Z10" s="1">
        <f>+'PassRev Strip'!Z126</f>
        <v>7923.6</v>
      </c>
      <c r="AA10" s="1">
        <f>+'PassRev Strip'!AA126</f>
        <v>5533.5</v>
      </c>
      <c r="AB10" s="1">
        <f>+'PassRev Strip'!AB126</f>
        <v>4629.8499999999995</v>
      </c>
      <c r="AC10" s="1">
        <f>+'PassRev Strip'!AC126</f>
        <v>251.1</v>
      </c>
      <c r="AD10" s="1">
        <f>+'PassRev Strip'!AD126</f>
        <v>-27.9</v>
      </c>
      <c r="AE10" s="1">
        <f>+'PassRev Strip'!AE126</f>
        <v>-508.46000000000004</v>
      </c>
      <c r="AF10" s="1">
        <f>+'PassRev Strip'!AF126</f>
        <v>0</v>
      </c>
      <c r="AG10" s="1">
        <f>+'PassRev Strip'!AG126</f>
        <v>0</v>
      </c>
      <c r="AH10" s="1">
        <f>+'PassRev Strip'!AH126</f>
        <v>0</v>
      </c>
      <c r="AI10" s="1">
        <f>+'PassRev Strip'!AI126</f>
        <v>-111.6</v>
      </c>
      <c r="AJ10" s="1">
        <f>+'PassRev Strip'!AJ126</f>
        <v>0</v>
      </c>
      <c r="AK10" s="1">
        <f>+'PassRev Strip'!AK126</f>
        <v>0</v>
      </c>
      <c r="AL10" s="1">
        <f>+'PassRev Strip'!AL126</f>
        <v>223.2</v>
      </c>
      <c r="AM10" s="1">
        <f>+'PassRev Strip'!AM126</f>
        <v>474.3</v>
      </c>
      <c r="AN10" s="1">
        <f>+'PassRev Strip'!AN126</f>
        <v>660.25</v>
      </c>
      <c r="AO10" s="1">
        <f>+'PassRev Strip'!AO126</f>
        <v>-93</v>
      </c>
      <c r="AP10" s="1">
        <f>+'PassRev Strip'!AP126</f>
        <v>0</v>
      </c>
      <c r="AQ10" s="1">
        <f>+'PassRev Strip'!AQ126</f>
        <v>0</v>
      </c>
      <c r="AR10" s="3">
        <f t="shared" si="0"/>
        <v>183180.95000000004</v>
      </c>
      <c r="AT10" s="1">
        <f t="shared" si="1"/>
        <v>183180.95000000004</v>
      </c>
    </row>
    <row r="11" spans="1:46" x14ac:dyDescent="0.25">
      <c r="B11"/>
      <c r="C11" t="s">
        <v>549</v>
      </c>
      <c r="D11" s="1">
        <f>+'PassRev Strip'!D127</f>
        <v>0</v>
      </c>
      <c r="E11" s="1">
        <f>+'PassRev Strip'!E127</f>
        <v>0</v>
      </c>
      <c r="F11" s="1">
        <f>+'PassRev Strip'!F127</f>
        <v>0</v>
      </c>
      <c r="G11" s="1">
        <f>+'PassRev Strip'!G127</f>
        <v>0</v>
      </c>
      <c r="H11" s="1">
        <f>+'PassRev Strip'!H127</f>
        <v>0</v>
      </c>
      <c r="I11" s="1">
        <f>+'PassRev Strip'!I127</f>
        <v>0</v>
      </c>
      <c r="J11" s="1">
        <f>+'PassRev Strip'!J127</f>
        <v>0</v>
      </c>
      <c r="K11" s="1">
        <f>+'PassRev Strip'!K127</f>
        <v>0</v>
      </c>
      <c r="L11" s="1">
        <f>+'PassRev Strip'!L127</f>
        <v>0</v>
      </c>
      <c r="M11" s="1">
        <f>+'PassRev Strip'!M127</f>
        <v>0</v>
      </c>
      <c r="N11" s="1">
        <f>+'PassRev Strip'!N127</f>
        <v>0</v>
      </c>
      <c r="O11" s="1">
        <f>+'PassRev Strip'!O127</f>
        <v>0</v>
      </c>
      <c r="P11" s="1">
        <f>+'PassRev Strip'!P127</f>
        <v>0</v>
      </c>
      <c r="Q11" s="1">
        <f>+'PassRev Strip'!Q127</f>
        <v>0</v>
      </c>
      <c r="R11" s="1">
        <f>+'PassRev Strip'!R127</f>
        <v>0</v>
      </c>
      <c r="S11" s="1">
        <f>+'PassRev Strip'!S127</f>
        <v>0</v>
      </c>
      <c r="T11" s="1">
        <f>+'PassRev Strip'!T127</f>
        <v>0</v>
      </c>
      <c r="U11" s="1">
        <f>+'PassRev Strip'!U127</f>
        <v>0</v>
      </c>
      <c r="V11" s="1">
        <f>+'PassRev Strip'!V127</f>
        <v>0</v>
      </c>
      <c r="W11" s="1">
        <f>+'PassRev Strip'!W127</f>
        <v>0</v>
      </c>
      <c r="X11" s="1">
        <f>+'PassRev Strip'!X127</f>
        <v>0</v>
      </c>
      <c r="Y11" s="1">
        <f>+'PassRev Strip'!Y127</f>
        <v>0</v>
      </c>
      <c r="Z11" s="1">
        <f>+'PassRev Strip'!Z127</f>
        <v>0</v>
      </c>
      <c r="AA11" s="1">
        <f>+'PassRev Strip'!AA127</f>
        <v>0</v>
      </c>
      <c r="AB11" s="1">
        <f>+'PassRev Strip'!AB127</f>
        <v>0</v>
      </c>
      <c r="AC11" s="1">
        <f>+'PassRev Strip'!AC127</f>
        <v>0</v>
      </c>
      <c r="AD11" s="1">
        <f>+'PassRev Strip'!AD127</f>
        <v>0</v>
      </c>
      <c r="AE11" s="1">
        <f>+'PassRev Strip'!AE127</f>
        <v>0</v>
      </c>
      <c r="AF11" s="1">
        <f>+'PassRev Strip'!AF127</f>
        <v>0</v>
      </c>
      <c r="AG11" s="1">
        <f>+'PassRev Strip'!AG127</f>
        <v>0</v>
      </c>
      <c r="AH11" s="1">
        <f>+'PassRev Strip'!AH127</f>
        <v>0</v>
      </c>
      <c r="AI11" s="1">
        <f>+'PassRev Strip'!AI127</f>
        <v>0</v>
      </c>
      <c r="AJ11" s="1">
        <f>+'PassRev Strip'!AJ127</f>
        <v>0</v>
      </c>
      <c r="AK11" s="1">
        <f>+'PassRev Strip'!AK127</f>
        <v>0</v>
      </c>
      <c r="AL11" s="1">
        <f>+'PassRev Strip'!AL127</f>
        <v>0</v>
      </c>
      <c r="AM11" s="1">
        <f>+'PassRev Strip'!AM127</f>
        <v>0</v>
      </c>
      <c r="AN11" s="1">
        <f>+'PassRev Strip'!AN127</f>
        <v>0</v>
      </c>
      <c r="AO11" s="1">
        <f>+'PassRev Strip'!AO127</f>
        <v>0</v>
      </c>
      <c r="AP11" s="1">
        <f>+'PassRev Strip'!AP127</f>
        <v>0</v>
      </c>
      <c r="AQ11" s="1">
        <f>+'PassRev Strip'!AQ127</f>
        <v>0</v>
      </c>
      <c r="AR11" s="3">
        <f t="shared" si="0"/>
        <v>0</v>
      </c>
      <c r="AT11" s="1">
        <f t="shared" si="1"/>
        <v>0</v>
      </c>
    </row>
    <row r="12" spans="1:46" x14ac:dyDescent="0.25">
      <c r="B12"/>
      <c r="C12" t="s">
        <v>550</v>
      </c>
      <c r="D12" s="1">
        <f>+'PassRev Strip'!D128</f>
        <v>0</v>
      </c>
      <c r="E12" s="1">
        <f>+'PassRev Strip'!E128</f>
        <v>0</v>
      </c>
      <c r="F12" s="1">
        <f>+'PassRev Strip'!F128</f>
        <v>0</v>
      </c>
      <c r="G12" s="1">
        <f>+'PassRev Strip'!G128</f>
        <v>0</v>
      </c>
      <c r="H12" s="1">
        <f>+'PassRev Strip'!H128</f>
        <v>0</v>
      </c>
      <c r="I12" s="1">
        <f>+'PassRev Strip'!I128</f>
        <v>0</v>
      </c>
      <c r="J12" s="1">
        <f>+'PassRev Strip'!J128</f>
        <v>0</v>
      </c>
      <c r="K12" s="1">
        <f>+'PassRev Strip'!K128</f>
        <v>0</v>
      </c>
      <c r="L12" s="1">
        <f>+'PassRev Strip'!L128</f>
        <v>0</v>
      </c>
      <c r="M12" s="1">
        <f>+'PassRev Strip'!M128</f>
        <v>1785.6</v>
      </c>
      <c r="N12" s="1">
        <f>+'PassRev Strip'!N128</f>
        <v>-18.600000000000001</v>
      </c>
      <c r="O12" s="1">
        <f>+'PassRev Strip'!O128</f>
        <v>530.28</v>
      </c>
      <c r="P12" s="1">
        <f>+'PassRev Strip'!P128</f>
        <v>0</v>
      </c>
      <c r="Q12" s="1">
        <f>+'PassRev Strip'!Q128</f>
        <v>864.9</v>
      </c>
      <c r="R12" s="1">
        <f>+'PassRev Strip'!R128</f>
        <v>7440.4</v>
      </c>
      <c r="S12" s="1">
        <f>+'PassRev Strip'!S128</f>
        <v>10070.379999999999</v>
      </c>
      <c r="T12" s="1">
        <f>+'PassRev Strip'!T128</f>
        <v>0</v>
      </c>
      <c r="U12" s="1">
        <f>+'PassRev Strip'!U128</f>
        <v>3850.68</v>
      </c>
      <c r="V12" s="1">
        <f>+'PassRev Strip'!V128</f>
        <v>3811.5</v>
      </c>
      <c r="W12" s="1">
        <f>+'PassRev Strip'!W128</f>
        <v>1762.6799999999998</v>
      </c>
      <c r="X12" s="1">
        <f>+'PassRev Strip'!X128</f>
        <v>5157.5400000000009</v>
      </c>
      <c r="Y12" s="1">
        <f>+'PassRev Strip'!Y128</f>
        <v>2236.98</v>
      </c>
      <c r="Z12" s="1">
        <f>+'PassRev Strip'!Z128</f>
        <v>1106.76</v>
      </c>
      <c r="AA12" s="1">
        <f>+'PassRev Strip'!AA128</f>
        <v>1078.8</v>
      </c>
      <c r="AB12" s="1">
        <f>+'PassRev Strip'!AB128</f>
        <v>1887.9</v>
      </c>
      <c r="AC12" s="1">
        <f>+'PassRev Strip'!AC128</f>
        <v>1590.3</v>
      </c>
      <c r="AD12" s="1">
        <f>+'PassRev Strip'!AD128</f>
        <v>2985.2999999999997</v>
      </c>
      <c r="AE12" s="1">
        <f>+'PassRev Strip'!AE128</f>
        <v>1739.1</v>
      </c>
      <c r="AF12" s="1">
        <f>+'PassRev Strip'!AF128</f>
        <v>139.5</v>
      </c>
      <c r="AG12" s="1">
        <f>+'PassRev Strip'!AG128</f>
        <v>511.5</v>
      </c>
      <c r="AH12" s="1">
        <f>+'PassRev Strip'!AH128</f>
        <v>1395</v>
      </c>
      <c r="AI12" s="1">
        <f>+'PassRev Strip'!AI128</f>
        <v>1562.4</v>
      </c>
      <c r="AJ12" s="1">
        <f>+'PassRev Strip'!AJ128</f>
        <v>1776.3</v>
      </c>
      <c r="AK12" s="1">
        <f>+'PassRev Strip'!AK128</f>
        <v>1134.5999999999999</v>
      </c>
      <c r="AL12" s="1">
        <f>+'PassRev Strip'!AL128</f>
        <v>474.3</v>
      </c>
      <c r="AM12" s="1">
        <f>+'PassRev Strip'!AM128</f>
        <v>641.69999999999993</v>
      </c>
      <c r="AN12" s="1">
        <f>+'PassRev Strip'!AN128</f>
        <v>520.79999999999995</v>
      </c>
      <c r="AO12" s="1">
        <f>+'PassRev Strip'!AO128</f>
        <v>-83.7</v>
      </c>
      <c r="AP12" s="1">
        <f>+'PassRev Strip'!AP128</f>
        <v>0</v>
      </c>
      <c r="AQ12" s="1">
        <f>+'PassRev Strip'!AQ128</f>
        <v>0</v>
      </c>
      <c r="AR12" s="3">
        <f t="shared" si="0"/>
        <v>55952.900000000023</v>
      </c>
      <c r="AT12" s="1">
        <f t="shared" si="1"/>
        <v>55952.900000000023</v>
      </c>
    </row>
    <row r="13" spans="1:46" x14ac:dyDescent="0.25">
      <c r="B13"/>
      <c r="C13" t="s">
        <v>6</v>
      </c>
      <c r="D13" s="1">
        <f>+'PassRev Strip'!D129</f>
        <v>0</v>
      </c>
      <c r="E13" s="1">
        <f>+'PassRev Strip'!E129</f>
        <v>0</v>
      </c>
      <c r="F13" s="1">
        <f>+'PassRev Strip'!F129</f>
        <v>0</v>
      </c>
      <c r="G13" s="1">
        <f>+'PassRev Strip'!G129</f>
        <v>0</v>
      </c>
      <c r="H13" s="1">
        <f>+'PassRev Strip'!H129</f>
        <v>0</v>
      </c>
      <c r="I13" s="1">
        <f>+'PassRev Strip'!I129</f>
        <v>0</v>
      </c>
      <c r="J13" s="1">
        <f>+'PassRev Strip'!J129</f>
        <v>0</v>
      </c>
      <c r="K13" s="1">
        <f>+'PassRev Strip'!K129</f>
        <v>0</v>
      </c>
      <c r="L13" s="1">
        <f>+'PassRev Strip'!L129</f>
        <v>38966.400000000001</v>
      </c>
      <c r="M13" s="1">
        <f>+'PassRev Strip'!M129</f>
        <v>16236</v>
      </c>
      <c r="N13" s="1">
        <f>+'PassRev Strip'!N129</f>
        <v>16434.84</v>
      </c>
      <c r="O13" s="1">
        <f>+'PassRev Strip'!O129</f>
        <v>16236</v>
      </c>
      <c r="P13" s="1">
        <f>+'PassRev Strip'!P129</f>
        <v>12588.800000000001</v>
      </c>
      <c r="Q13" s="1">
        <f>+'PassRev Strip'!Q129</f>
        <v>38866.400000000001</v>
      </c>
      <c r="R13" s="1">
        <f>+'PassRev Strip'!R129</f>
        <v>12988.800000000001</v>
      </c>
      <c r="S13" s="1">
        <f>+'PassRev Strip'!S129</f>
        <v>14612.4</v>
      </c>
      <c r="T13" s="1">
        <f>+'PassRev Strip'!T129</f>
        <v>16184.16</v>
      </c>
      <c r="U13" s="1">
        <f>+'PassRev Strip'!U129</f>
        <v>11289.6</v>
      </c>
      <c r="V13" s="1">
        <f>+'PassRev Strip'!V129</f>
        <v>10039.68</v>
      </c>
      <c r="W13" s="1">
        <f>+'PassRev Strip'!W129</f>
        <v>8255.52</v>
      </c>
      <c r="X13" s="1">
        <f>+'PassRev Strip'!X129</f>
        <v>0</v>
      </c>
      <c r="Y13" s="1">
        <f>+'PassRev Strip'!Y129</f>
        <v>9084.6</v>
      </c>
      <c r="Z13" s="1">
        <f>+'PassRev Strip'!Z129</f>
        <v>-558.6</v>
      </c>
      <c r="AA13" s="1">
        <f>+'PassRev Strip'!AA129</f>
        <v>7644</v>
      </c>
      <c r="AB13" s="1">
        <f>+'PassRev Strip'!AB129</f>
        <v>0</v>
      </c>
      <c r="AC13" s="1">
        <f>+'PassRev Strip'!AC129</f>
        <v>7938</v>
      </c>
      <c r="AD13" s="1">
        <f>+'PassRev Strip'!AD129</f>
        <v>0</v>
      </c>
      <c r="AE13" s="1">
        <f>+'PassRev Strip'!AE129</f>
        <v>6350.4</v>
      </c>
      <c r="AF13" s="1">
        <f>+'PassRev Strip'!AF129</f>
        <v>-58.8</v>
      </c>
      <c r="AG13" s="1">
        <f>+'PassRev Strip'!AG129</f>
        <v>0</v>
      </c>
      <c r="AH13" s="1">
        <f>+'PassRev Strip'!AH129</f>
        <v>31752</v>
      </c>
      <c r="AI13" s="1">
        <f>+'PassRev Strip'!AI129</f>
        <v>0</v>
      </c>
      <c r="AJ13" s="1">
        <f>+'PassRev Strip'!AJ129</f>
        <v>0</v>
      </c>
      <c r="AK13" s="1">
        <f>+'PassRev Strip'!AK129</f>
        <v>0</v>
      </c>
      <c r="AL13" s="1">
        <f>+'PassRev Strip'!AL129</f>
        <v>0</v>
      </c>
      <c r="AM13" s="1">
        <f>+'PassRev Strip'!AM129</f>
        <v>0</v>
      </c>
      <c r="AN13" s="1">
        <f>+'PassRev Strip'!AN129</f>
        <v>0</v>
      </c>
      <c r="AO13" s="1">
        <f>+'PassRev Strip'!AO129</f>
        <v>0</v>
      </c>
      <c r="AP13" s="1">
        <f>+'PassRev Strip'!AP129</f>
        <v>0</v>
      </c>
      <c r="AQ13" s="1">
        <f>+'PassRev Strip'!AQ129</f>
        <v>0</v>
      </c>
      <c r="AR13" s="3">
        <f t="shared" ref="AR13:AR20" si="2">SUM(D13:AQ13)</f>
        <v>274850.19999999995</v>
      </c>
      <c r="AS13" s="1"/>
      <c r="AT13" s="1">
        <f t="shared" si="1"/>
        <v>274850.19999999995</v>
      </c>
    </row>
    <row r="14" spans="1:46" x14ac:dyDescent="0.25">
      <c r="B14"/>
      <c r="C14" t="s">
        <v>262</v>
      </c>
      <c r="D14" s="1">
        <f>+'PassRev Strip'!D130</f>
        <v>0</v>
      </c>
      <c r="E14" s="1">
        <f>+'PassRev Strip'!E130</f>
        <v>0</v>
      </c>
      <c r="F14" s="1">
        <f>+'PassRev Strip'!F130</f>
        <v>0</v>
      </c>
      <c r="G14" s="1">
        <f>+'PassRev Strip'!G130</f>
        <v>0</v>
      </c>
      <c r="H14" s="1">
        <f>+'PassRev Strip'!H130</f>
        <v>0</v>
      </c>
      <c r="I14" s="1">
        <f>+'PassRev Strip'!I130</f>
        <v>0</v>
      </c>
      <c r="J14" s="1">
        <f>+'PassRev Strip'!J130</f>
        <v>0</v>
      </c>
      <c r="K14" s="1">
        <f>+'PassRev Strip'!K130</f>
        <v>0</v>
      </c>
      <c r="L14" s="1">
        <f>+'PassRev Strip'!L130</f>
        <v>230.04000000000002</v>
      </c>
      <c r="M14" s="1">
        <f>+'PassRev Strip'!M130</f>
        <v>4863.6000000000004</v>
      </c>
      <c r="N14" s="1">
        <f>+'PassRev Strip'!N130</f>
        <v>3152.7</v>
      </c>
      <c r="O14" s="1">
        <f>+'PassRev Strip'!O130</f>
        <v>5982.66</v>
      </c>
      <c r="P14" s="1">
        <f>+'PassRev Strip'!P130</f>
        <v>5030.32</v>
      </c>
      <c r="Q14" s="1">
        <f>+'PassRev Strip'!Q130</f>
        <v>5022</v>
      </c>
      <c r="R14" s="1">
        <f>+'PassRev Strip'!R130</f>
        <v>3291.66</v>
      </c>
      <c r="S14" s="1">
        <f>+'PassRev Strip'!S130</f>
        <v>5508.51</v>
      </c>
      <c r="T14" s="1">
        <f>+'PassRev Strip'!T130</f>
        <v>2851.7499999999995</v>
      </c>
      <c r="U14" s="1">
        <f>+'PassRev Strip'!U130</f>
        <v>2687.52</v>
      </c>
      <c r="V14" s="1">
        <f>+'PassRev Strip'!V130</f>
        <v>3014.34</v>
      </c>
      <c r="W14" s="1">
        <f>+'PassRev Strip'!W130</f>
        <v>3780.84</v>
      </c>
      <c r="X14" s="1">
        <f>+'PassRev Strip'!X130</f>
        <v>2541.84</v>
      </c>
      <c r="Y14" s="1">
        <f>+'PassRev Strip'!Y130</f>
        <v>1210.92</v>
      </c>
      <c r="Z14" s="1">
        <f>+'PassRev Strip'!Z130</f>
        <v>875.76</v>
      </c>
      <c r="AA14" s="1">
        <f>+'PassRev Strip'!AA130</f>
        <v>-46.5</v>
      </c>
      <c r="AB14" s="1">
        <f>+'PassRev Strip'!AB130</f>
        <v>948.6</v>
      </c>
      <c r="AC14" s="1">
        <f>+'PassRev Strip'!AC130</f>
        <v>186</v>
      </c>
      <c r="AD14" s="1">
        <f>+'PassRev Strip'!AD130</f>
        <v>0</v>
      </c>
      <c r="AE14" s="1">
        <f>+'PassRev Strip'!AE130</f>
        <v>306.89999999999998</v>
      </c>
      <c r="AF14" s="1">
        <f>+'PassRev Strip'!AF130</f>
        <v>874.19999999999993</v>
      </c>
      <c r="AG14" s="1">
        <f>+'PassRev Strip'!AG130</f>
        <v>0</v>
      </c>
      <c r="AH14" s="1">
        <f>+'PassRev Strip'!AH130</f>
        <v>0</v>
      </c>
      <c r="AI14" s="1">
        <f>+'PassRev Strip'!AI130</f>
        <v>0</v>
      </c>
      <c r="AJ14" s="1">
        <f>+'PassRev Strip'!AJ130</f>
        <v>0</v>
      </c>
      <c r="AK14" s="1">
        <f>+'PassRev Strip'!AK130</f>
        <v>1088.0999999999999</v>
      </c>
      <c r="AL14" s="1">
        <f>+'PassRev Strip'!AL130</f>
        <v>1478.7</v>
      </c>
      <c r="AM14" s="1">
        <f>+'PassRev Strip'!AM130</f>
        <v>279</v>
      </c>
      <c r="AN14" s="1">
        <f>+'PassRev Strip'!AN130</f>
        <v>-32.46</v>
      </c>
      <c r="AO14" s="1">
        <f>+'PassRev Strip'!AO130</f>
        <v>0</v>
      </c>
      <c r="AP14" s="1">
        <f>+'PassRev Strip'!AP130</f>
        <v>0</v>
      </c>
      <c r="AQ14" s="1">
        <f>+'PassRev Strip'!AQ130</f>
        <v>0</v>
      </c>
      <c r="AR14" s="3">
        <f t="shared" si="2"/>
        <v>55126.999999999978</v>
      </c>
      <c r="AS14" s="1"/>
      <c r="AT14" s="1">
        <f t="shared" si="1"/>
        <v>55126.999999999978</v>
      </c>
    </row>
    <row r="15" spans="1:46" x14ac:dyDescent="0.25">
      <c r="B15"/>
      <c r="C15" t="s">
        <v>42</v>
      </c>
      <c r="D15" s="1">
        <f>+'PassRev Strip'!D131</f>
        <v>0</v>
      </c>
      <c r="E15" s="1">
        <f>+'PassRev Strip'!E131</f>
        <v>0</v>
      </c>
      <c r="F15" s="1">
        <f>+'PassRev Strip'!F131</f>
        <v>0</v>
      </c>
      <c r="G15" s="1">
        <f>+'PassRev Strip'!G131</f>
        <v>0</v>
      </c>
      <c r="H15" s="1">
        <f>+'PassRev Strip'!H131</f>
        <v>0</v>
      </c>
      <c r="I15" s="1">
        <f>+'PassRev Strip'!I131</f>
        <v>0</v>
      </c>
      <c r="J15" s="1">
        <f>+'PassRev Strip'!J131</f>
        <v>0</v>
      </c>
      <c r="K15" s="1">
        <f>+'PassRev Strip'!K131</f>
        <v>0</v>
      </c>
      <c r="L15" s="1">
        <f>+'PassRev Strip'!L131</f>
        <v>12112.56</v>
      </c>
      <c r="M15" s="1">
        <f>+'PassRev Strip'!M131</f>
        <v>0</v>
      </c>
      <c r="N15" s="1">
        <f>+'PassRev Strip'!N131</f>
        <v>3172.5</v>
      </c>
      <c r="O15" s="1">
        <f>+'PassRev Strip'!O131</f>
        <v>1669.4399999999998</v>
      </c>
      <c r="P15" s="1">
        <f>+'PassRev Strip'!P131</f>
        <v>6065.82</v>
      </c>
      <c r="Q15" s="1">
        <f>+'PassRev Strip'!Q131</f>
        <v>3356.46</v>
      </c>
      <c r="R15" s="1">
        <f>+'PassRev Strip'!R131</f>
        <v>3477.06</v>
      </c>
      <c r="S15" s="1">
        <f>+'PassRev Strip'!S131</f>
        <v>2867.94</v>
      </c>
      <c r="T15" s="1">
        <f>+'PassRev Strip'!T131</f>
        <v>1531.26</v>
      </c>
      <c r="U15" s="1">
        <f>+'PassRev Strip'!U131</f>
        <v>6116.58</v>
      </c>
      <c r="V15" s="1">
        <f>+'PassRev Strip'!V131</f>
        <v>2791.8</v>
      </c>
      <c r="W15" s="1">
        <f>+'PassRev Strip'!W131</f>
        <v>3361.6800000000003</v>
      </c>
      <c r="X15" s="1">
        <f>+'PassRev Strip'!X131</f>
        <v>5177.5199999999995</v>
      </c>
      <c r="Y15" s="1">
        <f>+'PassRev Strip'!Y131</f>
        <v>1387.44</v>
      </c>
      <c r="Z15" s="1">
        <f>+'PassRev Strip'!Z131</f>
        <v>659.88</v>
      </c>
      <c r="AA15" s="1">
        <f>+'PassRev Strip'!AA131</f>
        <v>448.38</v>
      </c>
      <c r="AB15" s="1">
        <f>+'PassRev Strip'!AB131</f>
        <v>0</v>
      </c>
      <c r="AC15" s="1">
        <f>+'PassRev Strip'!AC131</f>
        <v>456.84</v>
      </c>
      <c r="AD15" s="1">
        <f>+'PassRev Strip'!AD131</f>
        <v>0</v>
      </c>
      <c r="AE15" s="1">
        <f>+'PassRev Strip'!AE131</f>
        <v>473.76</v>
      </c>
      <c r="AF15" s="1">
        <f>+'PassRev Strip'!AF131</f>
        <v>499.14</v>
      </c>
      <c r="AG15" s="1">
        <f>+'PassRev Strip'!AG131</f>
        <v>304.56</v>
      </c>
      <c r="AH15" s="1">
        <f>+'PassRev Strip'!AH131</f>
        <v>228.42</v>
      </c>
      <c r="AI15" s="1">
        <f>+'PassRev Strip'!AI131</f>
        <v>152.28</v>
      </c>
      <c r="AJ15" s="1">
        <f>+'PassRev Strip'!AJ131</f>
        <v>380.7</v>
      </c>
      <c r="AK15" s="1">
        <f>+'PassRev Strip'!AK131</f>
        <v>0</v>
      </c>
      <c r="AL15" s="1">
        <f>+'PassRev Strip'!AL131</f>
        <v>0</v>
      </c>
      <c r="AM15" s="1">
        <f>+'PassRev Strip'!AM131</f>
        <v>0</v>
      </c>
      <c r="AN15" s="1">
        <f>+'PassRev Strip'!AN131</f>
        <v>177.6</v>
      </c>
      <c r="AO15" s="1">
        <f>+'PassRev Strip'!AO131</f>
        <v>-33.840000000000003</v>
      </c>
      <c r="AP15" s="1">
        <f>+'PassRev Strip'!AP131</f>
        <v>0</v>
      </c>
      <c r="AQ15" s="1">
        <f>+'PassRev Strip'!AQ131</f>
        <v>0</v>
      </c>
      <c r="AR15" s="3">
        <f t="shared" si="2"/>
        <v>56835.779999999992</v>
      </c>
      <c r="AS15" s="1"/>
      <c r="AT15" s="1">
        <f t="shared" si="1"/>
        <v>56835.779999999992</v>
      </c>
    </row>
    <row r="16" spans="1:46" x14ac:dyDescent="0.25">
      <c r="B16"/>
      <c r="C16" t="s">
        <v>192</v>
      </c>
      <c r="D16" s="1">
        <f>+'PassRev Strip'!D132</f>
        <v>0</v>
      </c>
      <c r="E16" s="1">
        <f>+'PassRev Strip'!E132</f>
        <v>0</v>
      </c>
      <c r="F16" s="1">
        <f>+'PassRev Strip'!F132</f>
        <v>0</v>
      </c>
      <c r="G16" s="1">
        <f>+'PassRev Strip'!G132</f>
        <v>0</v>
      </c>
      <c r="H16" s="1">
        <f>+'PassRev Strip'!H132</f>
        <v>0</v>
      </c>
      <c r="I16" s="1">
        <f>+'PassRev Strip'!I132</f>
        <v>0</v>
      </c>
      <c r="J16" s="1">
        <f>+'PassRev Strip'!J132</f>
        <v>0</v>
      </c>
      <c r="K16" s="1">
        <f>+'PassRev Strip'!K132</f>
        <v>0</v>
      </c>
      <c r="L16" s="1">
        <f>+'PassRev Strip'!L132</f>
        <v>0</v>
      </c>
      <c r="M16" s="1">
        <f>+'PassRev Strip'!M132</f>
        <v>14940.720000000001</v>
      </c>
      <c r="N16" s="1">
        <f>+'PassRev Strip'!N132</f>
        <v>1914.1799999999998</v>
      </c>
      <c r="O16" s="1">
        <f>+'PassRev Strip'!O132</f>
        <v>4322.4000000000005</v>
      </c>
      <c r="P16" s="1">
        <f>+'PassRev Strip'!P132</f>
        <v>12301.32</v>
      </c>
      <c r="Q16" s="1">
        <f>+'PassRev Strip'!Q132</f>
        <v>4127.76</v>
      </c>
      <c r="R16" s="1">
        <f>+'PassRev Strip'!R132</f>
        <v>12753.72</v>
      </c>
      <c r="S16" s="1">
        <f>+'PassRev Strip'!S132</f>
        <v>2512.4100000000003</v>
      </c>
      <c r="T16" s="1">
        <f>+'PassRev Strip'!T132</f>
        <v>5488.02</v>
      </c>
      <c r="U16" s="1">
        <f>+'PassRev Strip'!U132</f>
        <v>6793.56</v>
      </c>
      <c r="V16" s="1">
        <f>+'PassRev Strip'!V132</f>
        <v>4767.2259999999997</v>
      </c>
      <c r="W16" s="1">
        <f>+'PassRev Strip'!W132</f>
        <v>9067.14</v>
      </c>
      <c r="X16" s="1">
        <f>+'PassRev Strip'!X132</f>
        <v>7179.36</v>
      </c>
      <c r="Y16" s="1">
        <f>+'PassRev Strip'!Y132</f>
        <v>1481.76</v>
      </c>
      <c r="Z16" s="1">
        <f>+'PassRev Strip'!Z132</f>
        <v>1534.68</v>
      </c>
      <c r="AA16" s="1">
        <f>+'PassRev Strip'!AA132</f>
        <v>873.18000000000006</v>
      </c>
      <c r="AB16" s="1">
        <f>+'PassRev Strip'!AB132</f>
        <v>837.9</v>
      </c>
      <c r="AC16" s="1">
        <f>+'PassRev Strip'!AC132</f>
        <v>1084.8599999999999</v>
      </c>
      <c r="AD16" s="1">
        <f>+'PassRev Strip'!AD132</f>
        <v>264.60000000000002</v>
      </c>
      <c r="AE16" s="1">
        <f>+'PassRev Strip'!AE132</f>
        <v>0</v>
      </c>
      <c r="AF16" s="1">
        <f>+'PassRev Strip'!AF132</f>
        <v>-44.1</v>
      </c>
      <c r="AG16" s="1">
        <f>+'PassRev Strip'!AG132</f>
        <v>0</v>
      </c>
      <c r="AH16" s="1">
        <f>+'PassRev Strip'!AH132</f>
        <v>5821.2</v>
      </c>
      <c r="AI16" s="1">
        <f>+'PassRev Strip'!AI132</f>
        <v>792.32999999999993</v>
      </c>
      <c r="AJ16" s="1">
        <f>+'PassRev Strip'!AJ132</f>
        <v>1614.06</v>
      </c>
      <c r="AK16" s="1">
        <f>+'PassRev Strip'!AK132</f>
        <v>-26.46</v>
      </c>
      <c r="AL16" s="1">
        <f>+'PassRev Strip'!AL132</f>
        <v>0</v>
      </c>
      <c r="AM16" s="1">
        <f>+'PassRev Strip'!AM132</f>
        <v>0</v>
      </c>
      <c r="AN16" s="1">
        <f>+'PassRev Strip'!AN132</f>
        <v>0</v>
      </c>
      <c r="AO16" s="1">
        <f>+'PassRev Strip'!AO132</f>
        <v>0</v>
      </c>
      <c r="AP16" s="1">
        <f>+'PassRev Strip'!AP132</f>
        <v>0</v>
      </c>
      <c r="AQ16" s="1">
        <f>+'PassRev Strip'!AQ132</f>
        <v>0</v>
      </c>
      <c r="AR16" s="3">
        <f t="shared" si="2"/>
        <v>100401.82599999997</v>
      </c>
      <c r="AS16" s="1"/>
      <c r="AT16" s="1">
        <f t="shared" si="1"/>
        <v>100401.82599999997</v>
      </c>
    </row>
    <row r="17" spans="1:46" x14ac:dyDescent="0.25">
      <c r="B17"/>
      <c r="C17" t="s">
        <v>133</v>
      </c>
      <c r="D17" s="1">
        <f>+'PassRev Strip'!D133</f>
        <v>0</v>
      </c>
      <c r="E17" s="1">
        <f>+'PassRev Strip'!E133</f>
        <v>0</v>
      </c>
      <c r="F17" s="1">
        <f>+'PassRev Strip'!F133</f>
        <v>0</v>
      </c>
      <c r="G17" s="1">
        <f>+'PassRev Strip'!G133</f>
        <v>0</v>
      </c>
      <c r="H17" s="1">
        <f>+'PassRev Strip'!H133</f>
        <v>0</v>
      </c>
      <c r="I17" s="1">
        <f>+'PassRev Strip'!I133</f>
        <v>0</v>
      </c>
      <c r="J17" s="1">
        <f>+'PassRev Strip'!J133</f>
        <v>0</v>
      </c>
      <c r="K17" s="1">
        <f>+'PassRev Strip'!K133</f>
        <v>0</v>
      </c>
      <c r="L17" s="1">
        <f>+'PassRev Strip'!L133</f>
        <v>2317.5</v>
      </c>
      <c r="M17" s="1">
        <f>+'PassRev Strip'!M133</f>
        <v>976.5</v>
      </c>
      <c r="N17" s="1">
        <f>+'PassRev Strip'!N133</f>
        <v>2477.6999999999998</v>
      </c>
      <c r="O17" s="1">
        <f>+'PassRev Strip'!O133</f>
        <v>2739.12</v>
      </c>
      <c r="P17" s="1">
        <f>+'PassRev Strip'!P133</f>
        <v>4689.18</v>
      </c>
      <c r="Q17" s="1">
        <f>+'PassRev Strip'!Q133</f>
        <v>3269.3999999999996</v>
      </c>
      <c r="R17" s="1">
        <f>+'PassRev Strip'!R133</f>
        <v>2525.3999999999996</v>
      </c>
      <c r="S17" s="1">
        <f>+'PassRev Strip'!S133</f>
        <v>3823.2000000000003</v>
      </c>
      <c r="T17" s="1">
        <f>+'PassRev Strip'!T133</f>
        <v>6202.7999999999993</v>
      </c>
      <c r="U17" s="1">
        <f>+'PassRev Strip'!U133</f>
        <v>4473.2999999999993</v>
      </c>
      <c r="V17" s="1">
        <f>+'PassRev Strip'!V133</f>
        <v>2492.3999999999996</v>
      </c>
      <c r="W17" s="1">
        <f>+'PassRev Strip'!W133</f>
        <v>2864.46</v>
      </c>
      <c r="X17" s="1">
        <f>+'PassRev Strip'!X133</f>
        <v>4031.8800000000006</v>
      </c>
      <c r="Y17" s="1">
        <f>+'PassRev Strip'!Y133</f>
        <v>1692.72</v>
      </c>
      <c r="Z17" s="1">
        <f>+'PassRev Strip'!Z133</f>
        <v>1683.54</v>
      </c>
      <c r="AA17" s="1">
        <f>+'PassRev Strip'!AA133</f>
        <v>948.83999999999992</v>
      </c>
      <c r="AB17" s="1">
        <f>+'PassRev Strip'!AB133</f>
        <v>902.1</v>
      </c>
      <c r="AC17" s="1">
        <f>+'PassRev Strip'!AC133</f>
        <v>771.90000000000009</v>
      </c>
      <c r="AD17" s="1">
        <f>+'PassRev Strip'!AD133</f>
        <v>669.6</v>
      </c>
      <c r="AE17" s="1">
        <f>+'PassRev Strip'!AE133</f>
        <v>530.09999999999991</v>
      </c>
      <c r="AF17" s="1">
        <f>+'PassRev Strip'!AF133</f>
        <v>595.19999999999993</v>
      </c>
      <c r="AG17" s="1">
        <f>+'PassRev Strip'!AG133</f>
        <v>641.70000000000005</v>
      </c>
      <c r="AH17" s="1">
        <f>+'PassRev Strip'!AH133</f>
        <v>542.5</v>
      </c>
      <c r="AI17" s="1">
        <f>+'PassRev Strip'!AI133</f>
        <v>809.1</v>
      </c>
      <c r="AJ17" s="1">
        <f>+'PassRev Strip'!AJ133</f>
        <v>176.7</v>
      </c>
      <c r="AK17" s="1">
        <f>+'PassRev Strip'!AK133</f>
        <v>0</v>
      </c>
      <c r="AL17" s="1">
        <f>+'PassRev Strip'!AL133</f>
        <v>306.89999999999998</v>
      </c>
      <c r="AM17" s="1">
        <f>+'PassRev Strip'!AM133</f>
        <v>279</v>
      </c>
      <c r="AN17" s="1">
        <f>+'PassRev Strip'!AN133</f>
        <v>251.1</v>
      </c>
      <c r="AO17" s="1">
        <f>+'PassRev Strip'!AO133</f>
        <v>0</v>
      </c>
      <c r="AP17" s="1">
        <f>+'PassRev Strip'!AP133</f>
        <v>0</v>
      </c>
      <c r="AQ17" s="1">
        <f>+'PassRev Strip'!AQ133</f>
        <v>0</v>
      </c>
      <c r="AR17" s="3">
        <f t="shared" si="2"/>
        <v>53683.839999999989</v>
      </c>
      <c r="AS17" s="1"/>
      <c r="AT17" s="1">
        <f t="shared" si="1"/>
        <v>53683.839999999989</v>
      </c>
    </row>
    <row r="18" spans="1:46" x14ac:dyDescent="0.25">
      <c r="B18"/>
      <c r="C18" t="s">
        <v>41</v>
      </c>
      <c r="D18" s="1">
        <f>+'PassRev Strip'!D134</f>
        <v>0</v>
      </c>
      <c r="E18" s="1">
        <f>+'PassRev Strip'!E134</f>
        <v>0</v>
      </c>
      <c r="F18" s="1">
        <f>+'PassRev Strip'!F134</f>
        <v>0</v>
      </c>
      <c r="G18" s="1">
        <f>+'PassRev Strip'!G134</f>
        <v>0</v>
      </c>
      <c r="H18" s="1">
        <f>+'PassRev Strip'!H134</f>
        <v>0</v>
      </c>
      <c r="I18" s="1">
        <f>+'PassRev Strip'!I134</f>
        <v>0</v>
      </c>
      <c r="J18" s="1">
        <f>+'PassRev Strip'!J134</f>
        <v>0</v>
      </c>
      <c r="K18" s="1">
        <f>+'PassRev Strip'!K134</f>
        <v>0</v>
      </c>
      <c r="L18" s="1">
        <f>+'PassRev Strip'!L134</f>
        <v>21426.06</v>
      </c>
      <c r="M18" s="1">
        <f>+'PassRev Strip'!M134</f>
        <v>5767.98</v>
      </c>
      <c r="N18" s="1">
        <f>+'PassRev Strip'!N134</f>
        <v>6450.1200000000008</v>
      </c>
      <c r="O18" s="1">
        <f>+'PassRev Strip'!O134</f>
        <v>24101.7</v>
      </c>
      <c r="P18" s="1">
        <f>+'PassRev Strip'!P134</f>
        <v>13414.68</v>
      </c>
      <c r="Q18" s="1">
        <f>+'PassRev Strip'!Q134</f>
        <v>17688.900000000001</v>
      </c>
      <c r="R18" s="1">
        <f>+'PassRev Strip'!R134</f>
        <v>14529.599999999999</v>
      </c>
      <c r="S18" s="1">
        <f>+'PassRev Strip'!S134</f>
        <v>10874.28</v>
      </c>
      <c r="T18" s="1">
        <f>+'PassRev Strip'!T134</f>
        <v>23266.14</v>
      </c>
      <c r="U18" s="1">
        <f>+'PassRev Strip'!U134</f>
        <v>17150.04</v>
      </c>
      <c r="V18" s="1">
        <f>+'PassRev Strip'!V134</f>
        <v>16136.46</v>
      </c>
      <c r="W18" s="1">
        <f>+'PassRev Strip'!W134</f>
        <v>16759.86</v>
      </c>
      <c r="X18" s="1">
        <f>+'PassRev Strip'!X134</f>
        <v>26831.52</v>
      </c>
      <c r="Y18" s="1">
        <f>+'PassRev Strip'!Y134</f>
        <v>16196.58</v>
      </c>
      <c r="Z18" s="1">
        <f>+'PassRev Strip'!Z134</f>
        <v>7262.1799999999994</v>
      </c>
      <c r="AA18" s="1">
        <f>+'PassRev Strip'!AA134</f>
        <v>6620.04</v>
      </c>
      <c r="AB18" s="1">
        <f>+'PassRev Strip'!AB134</f>
        <v>3059.7000000000003</v>
      </c>
      <c r="AC18" s="1">
        <f>+'PassRev Strip'!AC134</f>
        <v>5049.8999999999996</v>
      </c>
      <c r="AD18" s="1">
        <f>+'PassRev Strip'!AD134</f>
        <v>2222.7000000000003</v>
      </c>
      <c r="AE18" s="1">
        <f>+'PassRev Strip'!AE134</f>
        <v>5561.4</v>
      </c>
      <c r="AF18" s="1">
        <f>+'PassRev Strip'!AF134</f>
        <v>3534</v>
      </c>
      <c r="AG18" s="1">
        <f>+'PassRev Strip'!AG134</f>
        <v>2678.4</v>
      </c>
      <c r="AH18" s="1">
        <f>+'PassRev Strip'!AH134</f>
        <v>7551.6</v>
      </c>
      <c r="AI18" s="1">
        <f>+'PassRev Strip'!AI134</f>
        <v>3764.95</v>
      </c>
      <c r="AJ18" s="1">
        <f>+'PassRev Strip'!AJ134</f>
        <v>3041.1</v>
      </c>
      <c r="AK18" s="1">
        <f>+'PassRev Strip'!AK134</f>
        <v>2148.3000000000002</v>
      </c>
      <c r="AL18" s="1">
        <f>+'PassRev Strip'!AL134</f>
        <v>1450.8000000000002</v>
      </c>
      <c r="AM18" s="1">
        <f>+'PassRev Strip'!AM134</f>
        <v>1937.5</v>
      </c>
      <c r="AN18" s="1">
        <f>+'PassRev Strip'!AN134</f>
        <v>902.1</v>
      </c>
      <c r="AO18" s="1">
        <f>+'PassRev Strip'!AO134</f>
        <v>-55.800000000000004</v>
      </c>
      <c r="AP18" s="1">
        <f>+'PassRev Strip'!AP134</f>
        <v>0</v>
      </c>
      <c r="AQ18" s="1">
        <f>+'PassRev Strip'!AQ134</f>
        <v>0</v>
      </c>
      <c r="AR18" s="3">
        <f t="shared" si="2"/>
        <v>287322.78999999992</v>
      </c>
      <c r="AS18" s="1"/>
      <c r="AT18" s="1">
        <f t="shared" si="1"/>
        <v>287322.78999999992</v>
      </c>
    </row>
    <row r="19" spans="1:46" x14ac:dyDescent="0.25">
      <c r="B19"/>
      <c r="C19" t="s">
        <v>193</v>
      </c>
      <c r="D19" s="1">
        <f>+'PassRev Strip'!D135</f>
        <v>0</v>
      </c>
      <c r="E19" s="1">
        <f>+'PassRev Strip'!E135</f>
        <v>0</v>
      </c>
      <c r="F19" s="1">
        <f>+'PassRev Strip'!F135</f>
        <v>0</v>
      </c>
      <c r="G19" s="1">
        <f>+'PassRev Strip'!G135</f>
        <v>0</v>
      </c>
      <c r="H19" s="1">
        <f>+'PassRev Strip'!H135</f>
        <v>0</v>
      </c>
      <c r="I19" s="1">
        <f>+'PassRev Strip'!I135</f>
        <v>0</v>
      </c>
      <c r="J19" s="1">
        <f>+'PassRev Strip'!J135</f>
        <v>0</v>
      </c>
      <c r="K19" s="1">
        <f>+'PassRev Strip'!K135</f>
        <v>0</v>
      </c>
      <c r="L19" s="1">
        <f>+'PassRev Strip'!L135</f>
        <v>0</v>
      </c>
      <c r="M19" s="1">
        <f>+'PassRev Strip'!M135</f>
        <v>0</v>
      </c>
      <c r="N19" s="1">
        <f>+'PassRev Strip'!N135</f>
        <v>0</v>
      </c>
      <c r="O19" s="1">
        <f>+'PassRev Strip'!O135</f>
        <v>0</v>
      </c>
      <c r="P19" s="1">
        <f>+'PassRev Strip'!P135</f>
        <v>0</v>
      </c>
      <c r="Q19" s="1">
        <f>+'PassRev Strip'!Q135</f>
        <v>0</v>
      </c>
      <c r="R19" s="1">
        <f>+'PassRev Strip'!R135</f>
        <v>0</v>
      </c>
      <c r="S19" s="1">
        <f>+'PassRev Strip'!S135</f>
        <v>0</v>
      </c>
      <c r="T19" s="1">
        <f>+'PassRev Strip'!T135</f>
        <v>0</v>
      </c>
      <c r="U19" s="1">
        <f>+'PassRev Strip'!U135</f>
        <v>0</v>
      </c>
      <c r="V19" s="1">
        <f>+'PassRev Strip'!V135</f>
        <v>0</v>
      </c>
      <c r="W19" s="1">
        <f>+'PassRev Strip'!W135</f>
        <v>0</v>
      </c>
      <c r="X19" s="1">
        <f>+'PassRev Strip'!X135</f>
        <v>0</v>
      </c>
      <c r="Y19" s="1">
        <f>+'PassRev Strip'!Y135</f>
        <v>0</v>
      </c>
      <c r="Z19" s="1">
        <f>+'PassRev Strip'!Z135</f>
        <v>0</v>
      </c>
      <c r="AA19" s="1">
        <f>+'PassRev Strip'!AA135</f>
        <v>0</v>
      </c>
      <c r="AB19" s="1">
        <f>+'PassRev Strip'!AB135</f>
        <v>0</v>
      </c>
      <c r="AC19" s="1">
        <f>+'PassRev Strip'!AC135</f>
        <v>0</v>
      </c>
      <c r="AD19" s="1">
        <f>+'PassRev Strip'!AD135</f>
        <v>0</v>
      </c>
      <c r="AE19" s="1">
        <f>+'PassRev Strip'!AE135</f>
        <v>0</v>
      </c>
      <c r="AF19" s="1">
        <f>+'PassRev Strip'!AF135</f>
        <v>0</v>
      </c>
      <c r="AG19" s="1">
        <f>+'PassRev Strip'!AG135</f>
        <v>0</v>
      </c>
      <c r="AH19" s="1">
        <f>+'PassRev Strip'!AH135</f>
        <v>0</v>
      </c>
      <c r="AI19" s="1">
        <f>+'PassRev Strip'!AI135</f>
        <v>0</v>
      </c>
      <c r="AJ19" s="1">
        <f>+'PassRev Strip'!AJ135</f>
        <v>0</v>
      </c>
      <c r="AK19" s="1">
        <f>+'PassRev Strip'!AK135</f>
        <v>0</v>
      </c>
      <c r="AL19" s="1">
        <f>+'PassRev Strip'!AL135</f>
        <v>0</v>
      </c>
      <c r="AM19" s="1">
        <f>+'PassRev Strip'!AM135</f>
        <v>0</v>
      </c>
      <c r="AN19" s="1">
        <f>+'PassRev Strip'!AN135</f>
        <v>0</v>
      </c>
      <c r="AO19" s="1">
        <f>+'PassRev Strip'!AO135</f>
        <v>0</v>
      </c>
      <c r="AP19" s="1">
        <f>+'PassRev Strip'!AP135</f>
        <v>0</v>
      </c>
      <c r="AQ19" s="1">
        <f>+'PassRev Strip'!AQ135</f>
        <v>0</v>
      </c>
      <c r="AR19" s="3">
        <f t="shared" si="2"/>
        <v>0</v>
      </c>
      <c r="AS19" s="1"/>
      <c r="AT19" s="1">
        <f t="shared" si="1"/>
        <v>0</v>
      </c>
    </row>
    <row r="20" spans="1:46" x14ac:dyDescent="0.25">
      <c r="B20"/>
      <c r="C20" t="s">
        <v>194</v>
      </c>
      <c r="D20" s="1">
        <f>+'PassRev Strip'!D136</f>
        <v>0</v>
      </c>
      <c r="E20" s="1">
        <f>+'PassRev Strip'!E136</f>
        <v>0</v>
      </c>
      <c r="F20" s="1">
        <f>+'PassRev Strip'!F136</f>
        <v>0</v>
      </c>
      <c r="G20" s="1">
        <f>+'PassRev Strip'!G136</f>
        <v>0</v>
      </c>
      <c r="H20" s="1">
        <f>+'PassRev Strip'!H136</f>
        <v>0</v>
      </c>
      <c r="I20" s="1">
        <f>+'PassRev Strip'!I136</f>
        <v>0</v>
      </c>
      <c r="J20" s="1">
        <f>+'PassRev Strip'!J136</f>
        <v>0</v>
      </c>
      <c r="K20" s="1">
        <f>+'PassRev Strip'!K136</f>
        <v>0</v>
      </c>
      <c r="L20" s="1">
        <f>+'PassRev Strip'!L136</f>
        <v>0</v>
      </c>
      <c r="M20" s="1">
        <f>+'PassRev Strip'!M136</f>
        <v>0</v>
      </c>
      <c r="N20" s="1">
        <f>+'PassRev Strip'!N136</f>
        <v>0</v>
      </c>
      <c r="O20" s="1">
        <f>+'PassRev Strip'!O136</f>
        <v>0</v>
      </c>
      <c r="P20" s="1">
        <f>+'PassRev Strip'!P136</f>
        <v>0</v>
      </c>
      <c r="Q20" s="1">
        <f>+'PassRev Strip'!Q136</f>
        <v>0</v>
      </c>
      <c r="R20" s="1">
        <f>+'PassRev Strip'!R136</f>
        <v>0</v>
      </c>
      <c r="S20" s="1">
        <f>+'PassRev Strip'!S136</f>
        <v>0</v>
      </c>
      <c r="T20" s="1">
        <f>+'PassRev Strip'!T136</f>
        <v>0</v>
      </c>
      <c r="U20" s="1">
        <f>+'PassRev Strip'!U136</f>
        <v>0</v>
      </c>
      <c r="V20" s="1">
        <f>+'PassRev Strip'!V136</f>
        <v>0</v>
      </c>
      <c r="W20" s="1">
        <f>+'PassRev Strip'!W136</f>
        <v>0</v>
      </c>
      <c r="X20" s="1">
        <f>+'PassRev Strip'!X136</f>
        <v>0</v>
      </c>
      <c r="Y20" s="1">
        <f>+'PassRev Strip'!Y136</f>
        <v>0</v>
      </c>
      <c r="Z20" s="1">
        <f>+'PassRev Strip'!Z136</f>
        <v>0</v>
      </c>
      <c r="AA20" s="1">
        <f>+'PassRev Strip'!AA136</f>
        <v>0</v>
      </c>
      <c r="AB20" s="1">
        <f>+'PassRev Strip'!AB136</f>
        <v>0</v>
      </c>
      <c r="AC20" s="1">
        <f>+'PassRev Strip'!AC136</f>
        <v>0</v>
      </c>
      <c r="AD20" s="1">
        <f>+'PassRev Strip'!AD136</f>
        <v>0</v>
      </c>
      <c r="AE20" s="1">
        <f>+'PassRev Strip'!AE136</f>
        <v>0</v>
      </c>
      <c r="AF20" s="1">
        <f>+'PassRev Strip'!AF136</f>
        <v>0</v>
      </c>
      <c r="AG20" s="1">
        <f>+'PassRev Strip'!AG136</f>
        <v>0</v>
      </c>
      <c r="AH20" s="1">
        <f>+'PassRev Strip'!AH136</f>
        <v>0</v>
      </c>
      <c r="AI20" s="1">
        <f>+'PassRev Strip'!AI136</f>
        <v>0</v>
      </c>
      <c r="AJ20" s="1">
        <f>+'PassRev Strip'!AJ136</f>
        <v>0</v>
      </c>
      <c r="AK20" s="1">
        <f>+'PassRev Strip'!AK136</f>
        <v>0</v>
      </c>
      <c r="AL20" s="1">
        <f>+'PassRev Strip'!AL136</f>
        <v>0</v>
      </c>
      <c r="AM20" s="1">
        <f>+'PassRev Strip'!AM136</f>
        <v>0</v>
      </c>
      <c r="AN20" s="1">
        <f>+'PassRev Strip'!AN136</f>
        <v>0</v>
      </c>
      <c r="AO20" s="1">
        <f>+'PassRev Strip'!AO136</f>
        <v>0</v>
      </c>
      <c r="AP20" s="1">
        <f>+'PassRev Strip'!AP136</f>
        <v>0</v>
      </c>
      <c r="AQ20" s="1">
        <f>+'PassRev Strip'!AQ136</f>
        <v>0</v>
      </c>
      <c r="AR20" s="3">
        <f t="shared" si="2"/>
        <v>0</v>
      </c>
      <c r="AS20" s="1"/>
      <c r="AT20" s="1">
        <f t="shared" si="1"/>
        <v>0</v>
      </c>
    </row>
    <row r="21" spans="1:46" x14ac:dyDescent="0.25">
      <c r="B21"/>
      <c r="C21" t="s">
        <v>296</v>
      </c>
      <c r="D21" s="1">
        <f>+'PassRev Strip'!D137</f>
        <v>0</v>
      </c>
      <c r="E21" s="1">
        <f>+'PassRev Strip'!E137</f>
        <v>0</v>
      </c>
      <c r="F21" s="1">
        <f>+'PassRev Strip'!F137</f>
        <v>0</v>
      </c>
      <c r="G21" s="1">
        <f>+'PassRev Strip'!G137</f>
        <v>0</v>
      </c>
      <c r="H21" s="1">
        <f>+'PassRev Strip'!H137</f>
        <v>0</v>
      </c>
      <c r="I21" s="1">
        <f>+'PassRev Strip'!I137</f>
        <v>0</v>
      </c>
      <c r="J21" s="1">
        <f>+'PassRev Strip'!J137</f>
        <v>0</v>
      </c>
      <c r="K21" s="1">
        <f>+'PassRev Strip'!K137</f>
        <v>0</v>
      </c>
      <c r="L21" s="1">
        <f>+'PassRev Strip'!L137</f>
        <v>837.72</v>
      </c>
      <c r="M21" s="1">
        <f>+'PassRev Strip'!M137</f>
        <v>1249.02</v>
      </c>
      <c r="N21" s="1">
        <f>+'PassRev Strip'!N137</f>
        <v>1409.4</v>
      </c>
      <c r="O21" s="1">
        <f>+'PassRev Strip'!O137</f>
        <v>2254.3199999999997</v>
      </c>
      <c r="P21" s="1">
        <f>+'PassRev Strip'!P137</f>
        <v>2986.02</v>
      </c>
      <c r="Q21" s="1">
        <f>+'PassRev Strip'!Q137</f>
        <v>1709.1</v>
      </c>
      <c r="R21" s="1">
        <f>+'PassRev Strip'!R137</f>
        <v>1178.8200000000002</v>
      </c>
      <c r="S21" s="1">
        <f>+'PassRev Strip'!S137</f>
        <v>1706.94</v>
      </c>
      <c r="T21" s="1">
        <f>+'PassRev Strip'!T137</f>
        <v>2874.42</v>
      </c>
      <c r="U21" s="1">
        <f>+'PassRev Strip'!U137</f>
        <v>3320.1</v>
      </c>
      <c r="V21" s="1">
        <f>+'PassRev Strip'!V137</f>
        <v>2760.12</v>
      </c>
      <c r="W21" s="1">
        <f>+'PassRev Strip'!W137</f>
        <v>3969.36</v>
      </c>
      <c r="X21" s="1">
        <f>+'PassRev Strip'!X137</f>
        <v>3108.78</v>
      </c>
      <c r="Y21" s="1">
        <f>+'PassRev Strip'!Y137</f>
        <v>1530.0000000000002</v>
      </c>
      <c r="Z21" s="1">
        <f>+'PassRev Strip'!Z137</f>
        <v>1492.74</v>
      </c>
      <c r="AA21" s="1">
        <f>+'PassRev Strip'!AA137</f>
        <v>1278.9000000000001</v>
      </c>
      <c r="AB21" s="1">
        <f>+'PassRev Strip'!AB137</f>
        <v>1069.5</v>
      </c>
      <c r="AC21" s="1">
        <f>+'PassRev Strip'!AC137</f>
        <v>1181.0999999999999</v>
      </c>
      <c r="AD21" s="1">
        <f>+'PassRev Strip'!AD137</f>
        <v>306.89999999999998</v>
      </c>
      <c r="AE21" s="1">
        <f>+'PassRev Strip'!AE137</f>
        <v>1134.5999999999999</v>
      </c>
      <c r="AF21" s="1">
        <f>+'PassRev Strip'!AF137</f>
        <v>688.2</v>
      </c>
      <c r="AG21" s="1">
        <f>+'PassRev Strip'!AG137</f>
        <v>279</v>
      </c>
      <c r="AH21" s="1">
        <f>+'PassRev Strip'!AH137</f>
        <v>474.3</v>
      </c>
      <c r="AI21" s="1">
        <f>+'PassRev Strip'!AI137</f>
        <v>390.6</v>
      </c>
      <c r="AJ21" s="1">
        <f>+'PassRev Strip'!AJ137</f>
        <v>809.1</v>
      </c>
      <c r="AK21" s="1">
        <f>+'PassRev Strip'!AK137</f>
        <v>418.5</v>
      </c>
      <c r="AL21" s="1">
        <f>+'PassRev Strip'!AL137</f>
        <v>279</v>
      </c>
      <c r="AM21" s="1">
        <f>+'PassRev Strip'!AM137</f>
        <v>139.5</v>
      </c>
      <c r="AN21" s="1">
        <f>+'PassRev Strip'!AN137</f>
        <v>-18.600000000000001</v>
      </c>
      <c r="AO21" s="1">
        <f>+'PassRev Strip'!AO137</f>
        <v>0</v>
      </c>
      <c r="AP21" s="1">
        <f>+'PassRev Strip'!AP137</f>
        <v>0</v>
      </c>
      <c r="AQ21" s="1">
        <f>+'PassRev Strip'!AQ137</f>
        <v>0</v>
      </c>
      <c r="AR21" s="3">
        <f>SUM(D21:AQ21)</f>
        <v>40817.46</v>
      </c>
      <c r="AS21" s="1"/>
      <c r="AT21" s="1">
        <f t="shared" si="1"/>
        <v>40817.46</v>
      </c>
    </row>
    <row r="22" spans="1:46" x14ac:dyDescent="0.25">
      <c r="B22"/>
      <c r="C22" t="s">
        <v>44</v>
      </c>
      <c r="D22" s="1">
        <f>+'PassRev Strip'!D138</f>
        <v>0</v>
      </c>
      <c r="E22" s="1">
        <f>+'PassRev Strip'!E138</f>
        <v>0</v>
      </c>
      <c r="F22" s="1">
        <f>+'PassRev Strip'!F138</f>
        <v>0</v>
      </c>
      <c r="G22" s="1">
        <f>+'PassRev Strip'!G138</f>
        <v>0</v>
      </c>
      <c r="H22" s="1">
        <f>+'PassRev Strip'!H138</f>
        <v>0</v>
      </c>
      <c r="I22" s="1">
        <f>+'PassRev Strip'!I138</f>
        <v>0</v>
      </c>
      <c r="J22" s="1">
        <f>+'PassRev Strip'!J138</f>
        <v>0</v>
      </c>
      <c r="K22" s="1">
        <f>+'PassRev Strip'!K138</f>
        <v>0</v>
      </c>
      <c r="L22" s="1">
        <f>+'PassRev Strip'!L138</f>
        <v>33526.160000000003</v>
      </c>
      <c r="M22" s="1">
        <f>+'PassRev Strip'!M138</f>
        <v>26507.260000000006</v>
      </c>
      <c r="N22" s="1">
        <f>+'PassRev Strip'!N138</f>
        <v>52101.540000000008</v>
      </c>
      <c r="O22" s="1">
        <f>+'PassRev Strip'!O138</f>
        <v>71889.700000000012</v>
      </c>
      <c r="P22" s="1">
        <f>+'PassRev Strip'!P138</f>
        <v>105259.72</v>
      </c>
      <c r="Q22" s="1">
        <f>+'PassRev Strip'!Q138</f>
        <v>76289.010000000009</v>
      </c>
      <c r="R22" s="1">
        <f>+'PassRev Strip'!R138</f>
        <v>93465.080000000016</v>
      </c>
      <c r="S22" s="1">
        <f>+'PassRev Strip'!S138</f>
        <v>93343.460000000021</v>
      </c>
      <c r="T22" s="1">
        <f>+'PassRev Strip'!T138</f>
        <v>91315.349999999977</v>
      </c>
      <c r="U22" s="1">
        <f>+'PassRev Strip'!U138</f>
        <v>125921.19000000002</v>
      </c>
      <c r="V22" s="1">
        <f>+'PassRev Strip'!V138</f>
        <v>108875.08000000002</v>
      </c>
      <c r="W22" s="1">
        <f>+'PassRev Strip'!W138</f>
        <v>132987.59999999998</v>
      </c>
      <c r="X22" s="1">
        <f>+'PassRev Strip'!X138</f>
        <v>103393.72</v>
      </c>
      <c r="Y22" s="1">
        <f>+'PassRev Strip'!Y138</f>
        <v>36850.33</v>
      </c>
      <c r="Z22" s="1">
        <f>+'PassRev Strip'!Z138</f>
        <v>31759.380000000005</v>
      </c>
      <c r="AA22" s="1">
        <f>+'PassRev Strip'!AA138</f>
        <v>19165.530000000002</v>
      </c>
      <c r="AB22" s="1">
        <f>+'PassRev Strip'!AB138</f>
        <v>12460.150000000003</v>
      </c>
      <c r="AC22" s="1">
        <f>+'PassRev Strip'!AC138</f>
        <v>11653.760000000004</v>
      </c>
      <c r="AD22" s="1">
        <f>+'PassRev Strip'!AD138</f>
        <v>2018.3199999999993</v>
      </c>
      <c r="AE22" s="1">
        <f>+'PassRev Strip'!AE138</f>
        <v>8430.9000000000015</v>
      </c>
      <c r="AF22" s="1">
        <f>+'PassRev Strip'!AF138</f>
        <v>5123.4399999999996</v>
      </c>
      <c r="AG22" s="1">
        <f>+'PassRev Strip'!AG138</f>
        <v>3171.33</v>
      </c>
      <c r="AH22" s="1">
        <f>+'PassRev Strip'!AH138</f>
        <v>9261.8700000000063</v>
      </c>
      <c r="AI22" s="1">
        <f>+'PassRev Strip'!AI138</f>
        <v>6371.3100000000013</v>
      </c>
      <c r="AJ22" s="1">
        <f>+'PassRev Strip'!AJ138</f>
        <v>8161.57</v>
      </c>
      <c r="AK22" s="1">
        <f>+'PassRev Strip'!AK138</f>
        <v>3652.5500000000011</v>
      </c>
      <c r="AL22" s="1">
        <f>+'PassRev Strip'!AL138</f>
        <v>4420.1999999999989</v>
      </c>
      <c r="AM22" s="1">
        <f>+'PassRev Strip'!AM138</f>
        <v>687.99999999999955</v>
      </c>
      <c r="AN22" s="1">
        <f>+'PassRev Strip'!AN138</f>
        <v>1290.92</v>
      </c>
      <c r="AO22" s="1">
        <f>+'PassRev Strip'!AO138</f>
        <v>-74.740000000000009</v>
      </c>
      <c r="AP22" s="1">
        <f>+'PassRev Strip'!AP138</f>
        <v>0</v>
      </c>
      <c r="AQ22" s="1">
        <f>+'PassRev Strip'!AQ138</f>
        <v>0</v>
      </c>
      <c r="AR22" s="3">
        <f t="shared" si="0"/>
        <v>1279279.6900000002</v>
      </c>
      <c r="AT22" s="1">
        <f t="shared" si="1"/>
        <v>1279279.6900000002</v>
      </c>
    </row>
    <row r="23" spans="1:46" x14ac:dyDescent="0.25">
      <c r="B23"/>
      <c r="C23" t="s">
        <v>217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3">
        <f t="shared" si="0"/>
        <v>0</v>
      </c>
      <c r="AT23" s="1">
        <f t="shared" si="1"/>
        <v>0</v>
      </c>
    </row>
    <row r="24" spans="1:46" s="2" customFormat="1" x14ac:dyDescent="0.25">
      <c r="A24" s="2" t="s">
        <v>2</v>
      </c>
      <c r="D24" s="3">
        <f>SUM(D4:D23)</f>
        <v>0</v>
      </c>
      <c r="E24" s="3">
        <f t="shared" ref="E24:J24" si="3">SUM(E4:E23)</f>
        <v>0</v>
      </c>
      <c r="F24" s="3">
        <f t="shared" si="3"/>
        <v>0</v>
      </c>
      <c r="G24" s="3">
        <f t="shared" si="3"/>
        <v>0</v>
      </c>
      <c r="H24" s="3">
        <f t="shared" si="3"/>
        <v>0</v>
      </c>
      <c r="I24" s="3">
        <f t="shared" si="3"/>
        <v>0</v>
      </c>
      <c r="J24" s="3">
        <f t="shared" si="3"/>
        <v>0</v>
      </c>
      <c r="K24" s="3">
        <f>SUM(K4:K23)</f>
        <v>0</v>
      </c>
      <c r="L24" s="3">
        <f>SUM(L4:L23)</f>
        <v>198124.85</v>
      </c>
      <c r="M24" s="3">
        <f t="shared" ref="M24:AR24" si="4">SUM(M4:M23)</f>
        <v>114369.42000000001</v>
      </c>
      <c r="N24" s="3">
        <f t="shared" si="4"/>
        <v>118531.32</v>
      </c>
      <c r="O24" s="3">
        <f t="shared" si="4"/>
        <v>195535.83000000002</v>
      </c>
      <c r="P24" s="3">
        <f t="shared" si="4"/>
        <v>244392.78</v>
      </c>
      <c r="Q24" s="3">
        <f t="shared" si="4"/>
        <v>222650.2</v>
      </c>
      <c r="R24" s="3">
        <f t="shared" si="4"/>
        <v>250021.80000000002</v>
      </c>
      <c r="S24" s="3">
        <f t="shared" si="4"/>
        <v>230474.13000000003</v>
      </c>
      <c r="T24" s="3">
        <f t="shared" si="4"/>
        <v>239714.87</v>
      </c>
      <c r="U24" s="3">
        <f t="shared" si="4"/>
        <v>279185.84000000003</v>
      </c>
      <c r="V24" s="3">
        <f t="shared" si="4"/>
        <v>218970.166</v>
      </c>
      <c r="W24" s="3">
        <f t="shared" si="4"/>
        <v>270899.45999999996</v>
      </c>
      <c r="X24" s="3">
        <f t="shared" si="4"/>
        <v>246089.44</v>
      </c>
      <c r="Y24" s="3">
        <f t="shared" si="4"/>
        <v>125480.41</v>
      </c>
      <c r="Z24" s="3">
        <f t="shared" si="4"/>
        <v>87245.6</v>
      </c>
      <c r="AA24" s="3">
        <f t="shared" si="4"/>
        <v>70172.67</v>
      </c>
      <c r="AB24" s="3">
        <f t="shared" si="4"/>
        <v>54421.72</v>
      </c>
      <c r="AC24" s="3">
        <f t="shared" si="4"/>
        <v>43187.94</v>
      </c>
      <c r="AD24" s="3">
        <f t="shared" si="4"/>
        <v>34366.539999999994</v>
      </c>
      <c r="AE24" s="3">
        <f t="shared" si="4"/>
        <v>30659.8</v>
      </c>
      <c r="AF24" s="3">
        <f t="shared" si="4"/>
        <v>15459.579999999998</v>
      </c>
      <c r="AG24" s="3">
        <f t="shared" si="4"/>
        <v>15267.359999999999</v>
      </c>
      <c r="AH24" s="3">
        <f t="shared" si="4"/>
        <v>90201.940000000017</v>
      </c>
      <c r="AI24" s="3">
        <f t="shared" si="4"/>
        <v>19993.120000000003</v>
      </c>
      <c r="AJ24" s="3">
        <f t="shared" si="4"/>
        <v>20653.300000000003</v>
      </c>
      <c r="AK24" s="3">
        <f t="shared" si="4"/>
        <v>20249.75</v>
      </c>
      <c r="AL24" s="3">
        <f t="shared" si="4"/>
        <v>15547.06</v>
      </c>
      <c r="AM24" s="3">
        <f t="shared" si="4"/>
        <v>8163.7999999999993</v>
      </c>
      <c r="AN24" s="3">
        <f t="shared" si="4"/>
        <v>3965.6099999999997</v>
      </c>
      <c r="AO24" s="3">
        <f t="shared" si="4"/>
        <v>-341.08</v>
      </c>
      <c r="AP24" s="3">
        <f t="shared" si="4"/>
        <v>0</v>
      </c>
      <c r="AQ24" s="3">
        <f t="shared" si="4"/>
        <v>0</v>
      </c>
      <c r="AR24" s="3">
        <f t="shared" si="4"/>
        <v>3483655.2259999998</v>
      </c>
      <c r="AT24" s="3">
        <f t="shared" si="1"/>
        <v>3483655.2259999998</v>
      </c>
    </row>
    <row r="25" spans="1:46" s="10" customFormat="1" x14ac:dyDescent="0.25">
      <c r="C25" s="10" t="s">
        <v>170</v>
      </c>
      <c r="D25" s="11">
        <f>+D13</f>
        <v>0</v>
      </c>
      <c r="E25" s="11">
        <f>+D25+E13</f>
        <v>0</v>
      </c>
      <c r="F25" s="11">
        <f t="shared" ref="F25:AQ25" si="5">+E25+F13</f>
        <v>0</v>
      </c>
      <c r="G25" s="11">
        <f t="shared" si="5"/>
        <v>0</v>
      </c>
      <c r="H25" s="11">
        <f t="shared" si="5"/>
        <v>0</v>
      </c>
      <c r="I25" s="11">
        <f t="shared" si="5"/>
        <v>0</v>
      </c>
      <c r="J25" s="11">
        <f t="shared" si="5"/>
        <v>0</v>
      </c>
      <c r="K25" s="11">
        <f t="shared" si="5"/>
        <v>0</v>
      </c>
      <c r="L25" s="11">
        <f t="shared" si="5"/>
        <v>38966.400000000001</v>
      </c>
      <c r="M25" s="11">
        <f t="shared" si="5"/>
        <v>55202.400000000001</v>
      </c>
      <c r="N25" s="11">
        <f t="shared" si="5"/>
        <v>71637.240000000005</v>
      </c>
      <c r="O25" s="11">
        <f t="shared" si="5"/>
        <v>87873.24</v>
      </c>
      <c r="P25" s="11">
        <f t="shared" si="5"/>
        <v>100462.04000000001</v>
      </c>
      <c r="Q25" s="11">
        <f t="shared" si="5"/>
        <v>139328.44</v>
      </c>
      <c r="R25" s="11">
        <f t="shared" si="5"/>
        <v>152317.24</v>
      </c>
      <c r="S25" s="11">
        <f t="shared" si="5"/>
        <v>166929.63999999998</v>
      </c>
      <c r="T25" s="11">
        <f t="shared" si="5"/>
        <v>183113.8</v>
      </c>
      <c r="U25" s="11">
        <f t="shared" si="5"/>
        <v>194403.4</v>
      </c>
      <c r="V25" s="11">
        <f t="shared" si="5"/>
        <v>204443.08</v>
      </c>
      <c r="W25" s="11">
        <f t="shared" si="5"/>
        <v>212698.59999999998</v>
      </c>
      <c r="X25" s="11">
        <f t="shared" si="5"/>
        <v>212698.59999999998</v>
      </c>
      <c r="Y25" s="11">
        <f t="shared" si="5"/>
        <v>221783.19999999998</v>
      </c>
      <c r="Z25" s="11">
        <f t="shared" si="5"/>
        <v>221224.59999999998</v>
      </c>
      <c r="AA25" s="11">
        <f t="shared" si="5"/>
        <v>228868.59999999998</v>
      </c>
      <c r="AB25" s="11">
        <f t="shared" si="5"/>
        <v>228868.59999999998</v>
      </c>
      <c r="AC25" s="11">
        <f t="shared" si="5"/>
        <v>236806.59999999998</v>
      </c>
      <c r="AD25" s="11">
        <f t="shared" si="5"/>
        <v>236806.59999999998</v>
      </c>
      <c r="AE25" s="11">
        <f t="shared" si="5"/>
        <v>243156.99999999997</v>
      </c>
      <c r="AF25" s="11">
        <f t="shared" si="5"/>
        <v>243098.19999999998</v>
      </c>
      <c r="AG25" s="11">
        <f t="shared" si="5"/>
        <v>243098.19999999998</v>
      </c>
      <c r="AH25" s="11">
        <f t="shared" si="5"/>
        <v>274850.19999999995</v>
      </c>
      <c r="AI25" s="11">
        <f t="shared" si="5"/>
        <v>274850.19999999995</v>
      </c>
      <c r="AJ25" s="11">
        <f t="shared" si="5"/>
        <v>274850.19999999995</v>
      </c>
      <c r="AK25" s="11">
        <f t="shared" si="5"/>
        <v>274850.19999999995</v>
      </c>
      <c r="AL25" s="11">
        <f t="shared" si="5"/>
        <v>274850.19999999995</v>
      </c>
      <c r="AM25" s="11">
        <f t="shared" si="5"/>
        <v>274850.19999999995</v>
      </c>
      <c r="AN25" s="11">
        <f t="shared" si="5"/>
        <v>274850.19999999995</v>
      </c>
      <c r="AO25" s="11">
        <f t="shared" si="5"/>
        <v>274850.19999999995</v>
      </c>
      <c r="AP25" s="11">
        <f t="shared" si="5"/>
        <v>274850.19999999995</v>
      </c>
      <c r="AQ25" s="11">
        <f t="shared" si="5"/>
        <v>274850.19999999995</v>
      </c>
      <c r="AR25" s="40"/>
      <c r="AT25" s="1"/>
    </row>
    <row r="26" spans="1:46" s="36" customFormat="1" x14ac:dyDescent="0.25">
      <c r="C26" s="2" t="s">
        <v>260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5">
        <v>0</v>
      </c>
      <c r="AJ26" s="35">
        <v>0</v>
      </c>
      <c r="AK26" s="35">
        <v>0</v>
      </c>
      <c r="AL26" s="35">
        <v>0</v>
      </c>
      <c r="AM26" s="35">
        <v>0</v>
      </c>
      <c r="AN26" s="35">
        <v>0</v>
      </c>
      <c r="AO26" s="35">
        <v>0</v>
      </c>
      <c r="AP26" s="35">
        <v>0</v>
      </c>
      <c r="AQ26" s="35">
        <v>0</v>
      </c>
      <c r="AR26" s="3">
        <f>SUM(D26:AQ26)</f>
        <v>0</v>
      </c>
      <c r="AT26" s="1"/>
    </row>
    <row r="27" spans="1:46" x14ac:dyDescent="0.25">
      <c r="A27" s="2" t="s">
        <v>80</v>
      </c>
    </row>
    <row r="28" spans="1:46" x14ac:dyDescent="0.25">
      <c r="B28" s="59">
        <v>1.4999999999999999E-2</v>
      </c>
      <c r="C28" t="s">
        <v>190</v>
      </c>
      <c r="D28" s="1">
        <f t="shared" ref="D28:J28" si="6">-D4*$B28</f>
        <v>0</v>
      </c>
      <c r="E28" s="1">
        <f t="shared" si="6"/>
        <v>0</v>
      </c>
      <c r="F28" s="1">
        <f t="shared" si="6"/>
        <v>0</v>
      </c>
      <c r="G28" s="1">
        <f t="shared" si="6"/>
        <v>0</v>
      </c>
      <c r="H28" s="1">
        <f t="shared" si="6"/>
        <v>0</v>
      </c>
      <c r="I28" s="1">
        <f t="shared" si="6"/>
        <v>0</v>
      </c>
      <c r="J28" s="1">
        <f t="shared" si="6"/>
        <v>0</v>
      </c>
      <c r="K28" s="1">
        <f t="shared" ref="K28:M28" si="7">-K4*$B28</f>
        <v>0</v>
      </c>
      <c r="L28" s="1">
        <f t="shared" si="7"/>
        <v>-457.89524999999998</v>
      </c>
      <c r="M28" s="1">
        <f t="shared" si="7"/>
        <v>-2.6225999999999998</v>
      </c>
      <c r="N28" s="1">
        <f t="shared" ref="N28:AQ29" si="8">-N4*$B28</f>
        <v>-49.388399999999997</v>
      </c>
      <c r="O28" s="1">
        <f t="shared" si="8"/>
        <v>-274.75425000000001</v>
      </c>
      <c r="P28" s="1">
        <v>0</v>
      </c>
      <c r="Q28" s="1">
        <f t="shared" si="8"/>
        <v>-363.19364999999993</v>
      </c>
      <c r="R28" s="1">
        <f t="shared" si="8"/>
        <v>-478.86210000000005</v>
      </c>
      <c r="S28" s="1">
        <f t="shared" si="8"/>
        <v>-302.07554999999996</v>
      </c>
      <c r="T28" s="1">
        <f>-T4*$B28</f>
        <v>-275.96699999999998</v>
      </c>
      <c r="U28" s="1">
        <f t="shared" si="8"/>
        <v>-411.30044999999996</v>
      </c>
      <c r="V28" s="1">
        <f t="shared" si="8"/>
        <v>-251.46449999999999</v>
      </c>
      <c r="W28" s="1">
        <f t="shared" si="8"/>
        <v>-308.65860000000004</v>
      </c>
      <c r="X28" s="1">
        <f t="shared" si="8"/>
        <v>-268.5933</v>
      </c>
      <c r="Y28" s="1">
        <f t="shared" si="8"/>
        <v>-73.197000000000003</v>
      </c>
      <c r="Z28" s="1">
        <f t="shared" si="8"/>
        <v>-96.600599999999986</v>
      </c>
      <c r="AA28" s="1">
        <f t="shared" si="8"/>
        <v>-36.007199999999997</v>
      </c>
      <c r="AB28" s="1">
        <f t="shared" si="8"/>
        <v>-64.465199999999996</v>
      </c>
      <c r="AC28" s="1">
        <f t="shared" si="8"/>
        <v>-24.533999999999999</v>
      </c>
      <c r="AD28" s="1">
        <f t="shared" si="8"/>
        <v>-6.0065999999999997</v>
      </c>
      <c r="AE28" s="1">
        <f t="shared" si="8"/>
        <v>-22.461300000000001</v>
      </c>
      <c r="AF28" s="1">
        <f t="shared" si="8"/>
        <v>-9.3905999999999992</v>
      </c>
      <c r="AG28" s="1">
        <f t="shared" si="8"/>
        <v>-2.3053499999999998</v>
      </c>
      <c r="AH28" s="1">
        <f t="shared" si="8"/>
        <v>-142.95285000000001</v>
      </c>
      <c r="AI28" s="1">
        <f t="shared" si="8"/>
        <v>-61.609950000000012</v>
      </c>
      <c r="AJ28" s="1">
        <f t="shared" si="8"/>
        <v>-54.503549999999997</v>
      </c>
      <c r="AK28" s="1">
        <f t="shared" si="8"/>
        <v>-21.446099999999998</v>
      </c>
      <c r="AL28" s="1">
        <f t="shared" si="8"/>
        <v>-30.679799999999997</v>
      </c>
      <c r="AM28" s="1">
        <f t="shared" si="8"/>
        <v>-5.0759999999999996</v>
      </c>
      <c r="AN28" s="1">
        <f t="shared" si="8"/>
        <v>0</v>
      </c>
      <c r="AO28" s="1">
        <f t="shared" si="8"/>
        <v>0</v>
      </c>
      <c r="AP28" s="1">
        <f t="shared" si="8"/>
        <v>0</v>
      </c>
      <c r="AQ28" s="1">
        <f t="shared" si="8"/>
        <v>0</v>
      </c>
      <c r="AR28" s="3">
        <f>SUM(D28:AQ28)</f>
        <v>-4096.0117500000006</v>
      </c>
      <c r="AT28" s="1">
        <f t="shared" ref="AT28:AT48" si="9">SUM(D28:AP28)</f>
        <v>-4096.0117500000006</v>
      </c>
    </row>
    <row r="29" spans="1:46" x14ac:dyDescent="0.25">
      <c r="B29" s="59">
        <v>0.05</v>
      </c>
      <c r="C29" t="s">
        <v>487</v>
      </c>
      <c r="D29" s="1">
        <f t="shared" ref="D29:I29" si="10">-D5*$B29</f>
        <v>0</v>
      </c>
      <c r="E29" s="1">
        <f t="shared" si="10"/>
        <v>0</v>
      </c>
      <c r="F29" s="1">
        <f t="shared" si="10"/>
        <v>0</v>
      </c>
      <c r="G29" s="1">
        <f t="shared" si="10"/>
        <v>0</v>
      </c>
      <c r="H29" s="1">
        <f t="shared" si="10"/>
        <v>0</v>
      </c>
      <c r="I29" s="1">
        <f t="shared" si="10"/>
        <v>0</v>
      </c>
      <c r="J29" s="1">
        <f>-J5*$B29-600</f>
        <v>-600</v>
      </c>
      <c r="K29" s="1">
        <f t="shared" ref="K29:M29" si="11">-K5*$B29</f>
        <v>0</v>
      </c>
      <c r="L29" s="117">
        <f>-L5*$B29-300</f>
        <v>-459.98400000000004</v>
      </c>
      <c r="M29" s="1">
        <f t="shared" si="11"/>
        <v>-235.14300000000003</v>
      </c>
      <c r="N29" s="1">
        <f t="shared" si="8"/>
        <v>-244.68299999999999</v>
      </c>
      <c r="O29" s="1">
        <f t="shared" si="8"/>
        <v>-284.238</v>
      </c>
      <c r="P29" s="1">
        <f t="shared" si="8"/>
        <v>-505.94200000000001</v>
      </c>
      <c r="Q29" s="1">
        <f t="shared" si="8"/>
        <v>-311.86200000000002</v>
      </c>
      <c r="R29" s="1">
        <f t="shared" si="8"/>
        <v>-359.49600000000004</v>
      </c>
      <c r="S29" s="1">
        <f t="shared" si="8"/>
        <v>-301.34700000000004</v>
      </c>
      <c r="T29" s="1">
        <f t="shared" si="8"/>
        <v>-486.84899999999999</v>
      </c>
      <c r="U29" s="1">
        <f t="shared" si="8"/>
        <v>-574.72</v>
      </c>
      <c r="V29" s="1">
        <f t="shared" si="8"/>
        <v>-472.95300000000009</v>
      </c>
      <c r="W29" s="1">
        <f t="shared" si="8"/>
        <v>-677.20500000000004</v>
      </c>
      <c r="X29" s="1">
        <f t="shared" si="8"/>
        <v>-400.16100000000006</v>
      </c>
      <c r="Y29" s="1">
        <f t="shared" si="8"/>
        <v>-182.99699999999999</v>
      </c>
      <c r="Z29" s="1">
        <f t="shared" si="8"/>
        <v>-145.566</v>
      </c>
      <c r="AA29" s="1">
        <f t="shared" si="8"/>
        <v>-69.759</v>
      </c>
      <c r="AB29" s="1">
        <f t="shared" si="8"/>
        <v>-93.465000000000003</v>
      </c>
      <c r="AC29" s="1">
        <f t="shared" si="8"/>
        <v>-22.32</v>
      </c>
      <c r="AD29" s="1">
        <f t="shared" si="8"/>
        <v>0</v>
      </c>
      <c r="AE29" s="1">
        <f t="shared" si="8"/>
        <v>-11.16</v>
      </c>
      <c r="AF29" s="1">
        <f t="shared" si="8"/>
        <v>-22.785</v>
      </c>
      <c r="AG29" s="1">
        <f t="shared" si="8"/>
        <v>0</v>
      </c>
      <c r="AH29" s="1">
        <f t="shared" si="8"/>
        <v>-27.900000000000002</v>
      </c>
      <c r="AI29" s="1">
        <f t="shared" si="8"/>
        <v>-47.430000000000007</v>
      </c>
      <c r="AJ29" s="1">
        <f t="shared" si="8"/>
        <v>-30.689999999999998</v>
      </c>
      <c r="AK29" s="1">
        <f t="shared" si="8"/>
        <v>0</v>
      </c>
      <c r="AL29" s="1">
        <f t="shared" si="8"/>
        <v>-68.355000000000004</v>
      </c>
      <c r="AM29" s="1">
        <f t="shared" si="8"/>
        <v>0</v>
      </c>
      <c r="AN29" s="1">
        <f t="shared" si="8"/>
        <v>3.2549999999999999</v>
      </c>
      <c r="AO29" s="1">
        <f t="shared" si="8"/>
        <v>0</v>
      </c>
      <c r="AP29" s="1">
        <f t="shared" si="8"/>
        <v>0</v>
      </c>
      <c r="AQ29" s="1">
        <f t="shared" si="8"/>
        <v>0</v>
      </c>
      <c r="AR29" s="3">
        <f>SUM(D29:AQ29)</f>
        <v>-6633.7549999999992</v>
      </c>
      <c r="AT29" s="1">
        <f t="shared" si="9"/>
        <v>-6633.7549999999992</v>
      </c>
    </row>
    <row r="30" spans="1:46" x14ac:dyDescent="0.25">
      <c r="B30" s="59">
        <v>0.05</v>
      </c>
      <c r="C30" t="s">
        <v>347</v>
      </c>
      <c r="D30" s="1">
        <f>-D6*$B30</f>
        <v>0</v>
      </c>
      <c r="E30" s="1">
        <f t="shared" ref="E30:J30" si="12">-E6*$B30</f>
        <v>0</v>
      </c>
      <c r="F30" s="1">
        <f t="shared" si="12"/>
        <v>0</v>
      </c>
      <c r="G30" s="1">
        <f t="shared" si="12"/>
        <v>0</v>
      </c>
      <c r="H30" s="1">
        <f t="shared" si="12"/>
        <v>0</v>
      </c>
      <c r="I30" s="1">
        <f t="shared" si="12"/>
        <v>0</v>
      </c>
      <c r="J30" s="1">
        <f t="shared" si="12"/>
        <v>0</v>
      </c>
      <c r="K30" s="1">
        <f t="shared" ref="K30:M30" si="13">-K6*$B30</f>
        <v>0</v>
      </c>
      <c r="L30" s="1">
        <f t="shared" si="13"/>
        <v>-172.76400000000001</v>
      </c>
      <c r="M30" s="1">
        <f t="shared" si="13"/>
        <v>-170.185</v>
      </c>
      <c r="N30" s="1">
        <f t="shared" ref="N30:AQ30" si="14">-N6*$B30</f>
        <v>-124.902</v>
      </c>
      <c r="O30" s="1">
        <f t="shared" si="14"/>
        <v>-170.33100000000002</v>
      </c>
      <c r="P30" s="1">
        <f t="shared" si="14"/>
        <v>-403.67700000000002</v>
      </c>
      <c r="Q30" s="1">
        <f t="shared" si="14"/>
        <v>-168.69000000000003</v>
      </c>
      <c r="R30" s="1">
        <f t="shared" si="14"/>
        <v>-257.05799999999999</v>
      </c>
      <c r="S30" s="1">
        <f t="shared" si="14"/>
        <v>-261.59399999999999</v>
      </c>
      <c r="T30" s="1">
        <f t="shared" si="14"/>
        <v>-303.75</v>
      </c>
      <c r="U30" s="1">
        <f t="shared" si="14"/>
        <v>-315.27</v>
      </c>
      <c r="V30" s="1">
        <f t="shared" si="14"/>
        <v>-306.67500000000001</v>
      </c>
      <c r="W30" s="1">
        <f t="shared" si="14"/>
        <v>-381.31200000000001</v>
      </c>
      <c r="X30" s="1">
        <f t="shared" si="14"/>
        <v>-318.06</v>
      </c>
      <c r="Y30" s="1">
        <f t="shared" si="14"/>
        <v>-94.983000000000004</v>
      </c>
      <c r="Z30" s="1">
        <f t="shared" si="14"/>
        <v>-84.402000000000001</v>
      </c>
      <c r="AA30" s="1">
        <f t="shared" si="14"/>
        <v>-25.11</v>
      </c>
      <c r="AB30" s="1">
        <f t="shared" si="14"/>
        <v>-22.32</v>
      </c>
      <c r="AC30" s="1">
        <f t="shared" si="14"/>
        <v>-6.9750000000000005</v>
      </c>
      <c r="AD30" s="1">
        <f t="shared" si="14"/>
        <v>-4.1850000000000005</v>
      </c>
      <c r="AE30" s="1">
        <f t="shared" si="14"/>
        <v>0</v>
      </c>
      <c r="AF30" s="1">
        <f t="shared" si="14"/>
        <v>-26.505000000000003</v>
      </c>
      <c r="AG30" s="1">
        <f t="shared" si="14"/>
        <v>-18.135000000000002</v>
      </c>
      <c r="AH30" s="1">
        <f t="shared" si="14"/>
        <v>-13.950000000000001</v>
      </c>
      <c r="AI30" s="1">
        <f t="shared" si="14"/>
        <v>-9.7650000000000006</v>
      </c>
      <c r="AJ30" s="1">
        <f t="shared" si="14"/>
        <v>-22.32</v>
      </c>
      <c r="AK30" s="1">
        <f t="shared" si="14"/>
        <v>-4.1850000000000005</v>
      </c>
      <c r="AL30" s="1">
        <f t="shared" si="14"/>
        <v>-13.950000000000001</v>
      </c>
      <c r="AM30" s="1">
        <f t="shared" si="14"/>
        <v>0</v>
      </c>
      <c r="AN30" s="1">
        <f t="shared" si="14"/>
        <v>-13.950000000000001</v>
      </c>
      <c r="AO30" s="1">
        <f t="shared" si="14"/>
        <v>0</v>
      </c>
      <c r="AP30" s="1">
        <f t="shared" si="14"/>
        <v>0</v>
      </c>
      <c r="AQ30" s="1">
        <f t="shared" si="14"/>
        <v>0</v>
      </c>
      <c r="AR30" s="3">
        <f t="shared" ref="AR30:AR42" si="15">SUM(D30:AQ30)</f>
        <v>-3715.0030000000002</v>
      </c>
      <c r="AT30" s="1">
        <f t="shared" si="9"/>
        <v>-3715.0030000000002</v>
      </c>
    </row>
    <row r="31" spans="1:46" x14ac:dyDescent="0.25">
      <c r="B31" s="59">
        <v>6.5000000000000002E-2</v>
      </c>
      <c r="C31" t="s">
        <v>445</v>
      </c>
      <c r="D31" s="1">
        <f t="shared" ref="D31:M32" si="16">-D7*$B31</f>
        <v>0</v>
      </c>
      <c r="E31" s="1">
        <f t="shared" si="16"/>
        <v>0</v>
      </c>
      <c r="F31" s="1">
        <f t="shared" si="16"/>
        <v>0</v>
      </c>
      <c r="G31" s="1">
        <f t="shared" si="16"/>
        <v>0</v>
      </c>
      <c r="H31" s="1">
        <f t="shared" si="16"/>
        <v>0</v>
      </c>
      <c r="I31" s="1">
        <f t="shared" si="16"/>
        <v>0</v>
      </c>
      <c r="J31" s="1">
        <f t="shared" si="16"/>
        <v>0</v>
      </c>
      <c r="K31" s="1">
        <f t="shared" si="16"/>
        <v>0</v>
      </c>
      <c r="L31" s="1">
        <f t="shared" si="16"/>
        <v>-2864.5344</v>
      </c>
      <c r="M31" s="1">
        <f t="shared" si="16"/>
        <v>-577.21559999999999</v>
      </c>
      <c r="N31" s="1">
        <f t="shared" ref="N31:AQ31" si="17">-N7*$B31</f>
        <v>-1134.0498</v>
      </c>
      <c r="O31" s="1">
        <f t="shared" si="17"/>
        <v>-1921.7054999999998</v>
      </c>
      <c r="P31" s="1">
        <f t="shared" si="17"/>
        <v>-1554.1071000000002</v>
      </c>
      <c r="Q31" s="1">
        <f t="shared" si="17"/>
        <v>-1750.8504</v>
      </c>
      <c r="R31" s="1">
        <f t="shared" si="17"/>
        <v>-1816.5576000000001</v>
      </c>
      <c r="S31" s="1">
        <f t="shared" si="17"/>
        <v>-1470.2688000000001</v>
      </c>
      <c r="T31" s="1">
        <f t="shared" si="17"/>
        <v>-1862.9831999999999</v>
      </c>
      <c r="U31" s="1">
        <f t="shared" si="17"/>
        <v>-2171.0676000000003</v>
      </c>
      <c r="V31" s="1">
        <f t="shared" si="17"/>
        <v>-1644.3375000000001</v>
      </c>
      <c r="W31" s="1">
        <f t="shared" si="17"/>
        <v>-1907.8215000000002</v>
      </c>
      <c r="X31" s="1">
        <f t="shared" si="17"/>
        <v>-2521.8492000000001</v>
      </c>
      <c r="Y31" s="1">
        <f t="shared" si="17"/>
        <v>-2048.8182000000002</v>
      </c>
      <c r="Z31" s="1">
        <f t="shared" si="17"/>
        <v>-1456.4784000000002</v>
      </c>
      <c r="AA31" s="1">
        <f t="shared" si="17"/>
        <v>-1365.8034</v>
      </c>
      <c r="AB31" s="1">
        <f t="shared" si="17"/>
        <v>-1399.8985000000002</v>
      </c>
      <c r="AC31" s="1">
        <f t="shared" si="17"/>
        <v>-684.03920000000005</v>
      </c>
      <c r="AD31" s="1">
        <f t="shared" si="17"/>
        <v>-1653.7872000000002</v>
      </c>
      <c r="AE31" s="1">
        <f t="shared" si="17"/>
        <v>-319.83119999999997</v>
      </c>
      <c r="AF31" s="1">
        <f t="shared" si="17"/>
        <v>-162.30240000000001</v>
      </c>
      <c r="AG31" s="1">
        <f t="shared" si="17"/>
        <v>-465.69119999999998</v>
      </c>
      <c r="AH31" s="1">
        <f t="shared" si="17"/>
        <v>-1230.528</v>
      </c>
      <c r="AI31" s="1">
        <f t="shared" si="17"/>
        <v>-66.830400000000012</v>
      </c>
      <c r="AJ31" s="1">
        <f t="shared" si="17"/>
        <v>0</v>
      </c>
      <c r="AK31" s="1">
        <f t="shared" si="17"/>
        <v>-622.68960000000004</v>
      </c>
      <c r="AL31" s="1">
        <f t="shared" si="17"/>
        <v>-210.03840000000002</v>
      </c>
      <c r="AM31" s="1">
        <f t="shared" si="17"/>
        <v>-220.11600000000001</v>
      </c>
      <c r="AN31" s="1">
        <f t="shared" si="17"/>
        <v>0</v>
      </c>
      <c r="AO31" s="1">
        <f t="shared" si="17"/>
        <v>0</v>
      </c>
      <c r="AP31" s="1">
        <f t="shared" si="17"/>
        <v>0</v>
      </c>
      <c r="AQ31" s="1">
        <f t="shared" si="17"/>
        <v>0</v>
      </c>
      <c r="AR31" s="3">
        <f t="shared" si="15"/>
        <v>-35104.200300000004</v>
      </c>
      <c r="AT31" s="1">
        <f t="shared" si="9"/>
        <v>-35104.200300000004</v>
      </c>
    </row>
    <row r="32" spans="1:46" x14ac:dyDescent="0.25">
      <c r="B32" s="59">
        <v>0.05</v>
      </c>
      <c r="C32" t="s">
        <v>354</v>
      </c>
      <c r="D32" s="1">
        <f t="shared" si="16"/>
        <v>0</v>
      </c>
      <c r="E32" s="1">
        <f t="shared" ref="E32:J32" si="18">-E8*$B32</f>
        <v>0</v>
      </c>
      <c r="F32" s="1">
        <f t="shared" si="18"/>
        <v>0</v>
      </c>
      <c r="G32" s="1">
        <f t="shared" si="18"/>
        <v>0</v>
      </c>
      <c r="H32" s="1">
        <f t="shared" si="18"/>
        <v>0</v>
      </c>
      <c r="I32" s="1">
        <f t="shared" si="18"/>
        <v>0</v>
      </c>
      <c r="J32" s="1">
        <f t="shared" si="18"/>
        <v>0</v>
      </c>
      <c r="K32" s="1">
        <f t="shared" si="16"/>
        <v>0</v>
      </c>
      <c r="L32" s="1">
        <f t="shared" si="16"/>
        <v>-125.64000000000001</v>
      </c>
      <c r="M32" s="1">
        <f t="shared" si="16"/>
        <v>-12.555</v>
      </c>
      <c r="N32" s="1">
        <f t="shared" ref="N32:AQ32" si="19">-N8*$B32</f>
        <v>-33.375</v>
      </c>
      <c r="O32" s="1">
        <f t="shared" si="19"/>
        <v>-61.038000000000004</v>
      </c>
      <c r="P32" s="1">
        <f t="shared" si="19"/>
        <v>-139.00800000000001</v>
      </c>
      <c r="Q32" s="1">
        <f t="shared" si="19"/>
        <v>-81.84</v>
      </c>
      <c r="R32" s="1">
        <f t="shared" si="19"/>
        <v>-83.7</v>
      </c>
      <c r="S32" s="1">
        <f t="shared" si="19"/>
        <v>-95.571000000000012</v>
      </c>
      <c r="T32" s="1">
        <f t="shared" si="19"/>
        <v>-151.785</v>
      </c>
      <c r="U32" s="1">
        <f t="shared" si="19"/>
        <v>-66.495000000000005</v>
      </c>
      <c r="V32" s="1">
        <f t="shared" si="19"/>
        <v>-36.115000000000002</v>
      </c>
      <c r="W32" s="1">
        <f t="shared" si="19"/>
        <v>-82.305000000000007</v>
      </c>
      <c r="X32" s="1">
        <f t="shared" si="19"/>
        <v>-107.41500000000002</v>
      </c>
      <c r="Y32" s="1">
        <f t="shared" si="19"/>
        <v>-39.06</v>
      </c>
      <c r="Z32" s="1">
        <f t="shared" si="19"/>
        <v>-39.990000000000009</v>
      </c>
      <c r="AA32" s="1">
        <f t="shared" si="19"/>
        <v>-37.664999999999999</v>
      </c>
      <c r="AB32" s="1">
        <f t="shared" si="19"/>
        <v>-25.11</v>
      </c>
      <c r="AC32" s="1">
        <f t="shared" si="19"/>
        <v>-13.950000000000001</v>
      </c>
      <c r="AD32" s="1">
        <f t="shared" si="19"/>
        <v>0</v>
      </c>
      <c r="AE32" s="1">
        <f t="shared" si="19"/>
        <v>0</v>
      </c>
      <c r="AF32" s="1">
        <f t="shared" si="19"/>
        <v>0</v>
      </c>
      <c r="AG32" s="1">
        <f t="shared" si="19"/>
        <v>0</v>
      </c>
      <c r="AH32" s="1">
        <f t="shared" si="19"/>
        <v>-55.800000000000004</v>
      </c>
      <c r="AI32" s="1">
        <f t="shared" si="19"/>
        <v>0</v>
      </c>
      <c r="AJ32" s="1">
        <f t="shared" si="19"/>
        <v>0</v>
      </c>
      <c r="AK32" s="1">
        <f t="shared" si="19"/>
        <v>0</v>
      </c>
      <c r="AL32" s="1">
        <f t="shared" si="19"/>
        <v>0</v>
      </c>
      <c r="AM32" s="1">
        <f t="shared" si="19"/>
        <v>0</v>
      </c>
      <c r="AN32" s="1">
        <f t="shared" si="19"/>
        <v>0</v>
      </c>
      <c r="AO32" s="1">
        <f t="shared" si="19"/>
        <v>0</v>
      </c>
      <c r="AP32" s="1">
        <f t="shared" si="19"/>
        <v>0</v>
      </c>
      <c r="AQ32" s="1">
        <f t="shared" si="19"/>
        <v>0</v>
      </c>
      <c r="AR32" s="3">
        <f t="shared" si="15"/>
        <v>-1288.4169999999999</v>
      </c>
      <c r="AT32" s="1">
        <f t="shared" si="9"/>
        <v>-1288.4169999999999</v>
      </c>
    </row>
    <row r="33" spans="1:46" x14ac:dyDescent="0.25">
      <c r="B33" s="59">
        <v>0</v>
      </c>
      <c r="C33" t="s">
        <v>265</v>
      </c>
      <c r="D33" s="1">
        <f>-D9*$B33</f>
        <v>0</v>
      </c>
      <c r="E33" s="1">
        <f t="shared" ref="E33:J33" si="20">-E9*$B33</f>
        <v>0</v>
      </c>
      <c r="F33" s="1">
        <f t="shared" si="20"/>
        <v>0</v>
      </c>
      <c r="G33" s="1">
        <f t="shared" si="20"/>
        <v>0</v>
      </c>
      <c r="H33" s="1">
        <f t="shared" si="20"/>
        <v>0</v>
      </c>
      <c r="I33" s="1">
        <f t="shared" si="20"/>
        <v>0</v>
      </c>
      <c r="J33" s="1">
        <f t="shared" si="20"/>
        <v>0</v>
      </c>
      <c r="K33" s="1">
        <f t="shared" ref="K33:AQ33" si="21">-K9*$B33</f>
        <v>0</v>
      </c>
      <c r="L33" s="1">
        <f t="shared" si="21"/>
        <v>0</v>
      </c>
      <c r="M33" s="1">
        <f t="shared" si="21"/>
        <v>0</v>
      </c>
      <c r="N33" s="1">
        <f t="shared" si="21"/>
        <v>0</v>
      </c>
      <c r="O33" s="1">
        <f t="shared" si="21"/>
        <v>0</v>
      </c>
      <c r="P33" s="1">
        <f t="shared" si="21"/>
        <v>0</v>
      </c>
      <c r="Q33" s="1">
        <f t="shared" si="21"/>
        <v>0</v>
      </c>
      <c r="R33" s="1">
        <f t="shared" si="21"/>
        <v>0</v>
      </c>
      <c r="S33" s="1">
        <f t="shared" si="21"/>
        <v>0</v>
      </c>
      <c r="T33" s="1">
        <f t="shared" si="21"/>
        <v>0</v>
      </c>
      <c r="U33" s="1">
        <f t="shared" si="21"/>
        <v>0</v>
      </c>
      <c r="V33" s="1">
        <f t="shared" si="21"/>
        <v>0</v>
      </c>
      <c r="W33" s="1">
        <f t="shared" si="21"/>
        <v>0</v>
      </c>
      <c r="X33" s="1">
        <f t="shared" si="21"/>
        <v>0</v>
      </c>
      <c r="Y33" s="1">
        <f t="shared" si="21"/>
        <v>0</v>
      </c>
      <c r="Z33" s="1">
        <f t="shared" si="21"/>
        <v>0</v>
      </c>
      <c r="AA33" s="1">
        <f t="shared" si="21"/>
        <v>0</v>
      </c>
      <c r="AB33" s="1">
        <f t="shared" si="21"/>
        <v>0</v>
      </c>
      <c r="AC33" s="1">
        <f t="shared" si="21"/>
        <v>0</v>
      </c>
      <c r="AD33" s="1">
        <f t="shared" si="21"/>
        <v>0</v>
      </c>
      <c r="AE33" s="1">
        <f t="shared" si="21"/>
        <v>0</v>
      </c>
      <c r="AF33" s="1">
        <f t="shared" si="21"/>
        <v>0</v>
      </c>
      <c r="AG33" s="1">
        <f t="shared" si="21"/>
        <v>0</v>
      </c>
      <c r="AH33" s="1">
        <f t="shared" si="21"/>
        <v>0</v>
      </c>
      <c r="AI33" s="1">
        <f t="shared" si="21"/>
        <v>0</v>
      </c>
      <c r="AJ33" s="1">
        <f t="shared" si="21"/>
        <v>0</v>
      </c>
      <c r="AK33" s="1">
        <f t="shared" si="21"/>
        <v>0</v>
      </c>
      <c r="AL33" s="1">
        <f t="shared" si="21"/>
        <v>0</v>
      </c>
      <c r="AM33" s="1">
        <f t="shared" si="21"/>
        <v>0</v>
      </c>
      <c r="AN33" s="1">
        <f t="shared" si="21"/>
        <v>0</v>
      </c>
      <c r="AO33" s="1">
        <f t="shared" si="21"/>
        <v>0</v>
      </c>
      <c r="AP33" s="1">
        <f t="shared" si="21"/>
        <v>0</v>
      </c>
      <c r="AQ33" s="1">
        <f t="shared" si="21"/>
        <v>0</v>
      </c>
      <c r="AR33" s="3">
        <f t="shared" si="15"/>
        <v>0</v>
      </c>
      <c r="AT33" s="1">
        <f t="shared" si="9"/>
        <v>0</v>
      </c>
    </row>
    <row r="34" spans="1:46" x14ac:dyDescent="0.25">
      <c r="B34" s="59">
        <v>0.05</v>
      </c>
      <c r="C34" t="s">
        <v>191</v>
      </c>
      <c r="D34" s="1">
        <f>-D10*$B34</f>
        <v>0</v>
      </c>
      <c r="E34" s="1">
        <f t="shared" ref="E34:J34" si="22">-E10*$B34</f>
        <v>0</v>
      </c>
      <c r="F34" s="1">
        <f t="shared" si="22"/>
        <v>0</v>
      </c>
      <c r="G34" s="1">
        <f t="shared" si="22"/>
        <v>0</v>
      </c>
      <c r="H34" s="1">
        <f t="shared" si="22"/>
        <v>0</v>
      </c>
      <c r="I34" s="1">
        <f t="shared" si="22"/>
        <v>0</v>
      </c>
      <c r="J34" s="1">
        <f t="shared" si="22"/>
        <v>0</v>
      </c>
      <c r="K34" s="1">
        <f t="shared" ref="K34:M46" si="23">-K10*$B34</f>
        <v>0</v>
      </c>
      <c r="L34" s="1">
        <f t="shared" si="23"/>
        <v>0</v>
      </c>
      <c r="M34" s="1">
        <f t="shared" si="23"/>
        <v>-1165.3500000000001</v>
      </c>
      <c r="N34" s="1">
        <f t="shared" ref="N34:AQ34" si="24">-N10*$B34</f>
        <v>-73.260000000000005</v>
      </c>
      <c r="O34" s="1">
        <f t="shared" si="24"/>
        <v>-272.33499999999998</v>
      </c>
      <c r="P34" s="1">
        <f t="shared" si="24"/>
        <v>-1113.354</v>
      </c>
      <c r="Q34" s="1">
        <f t="shared" si="24"/>
        <v>-298.61800000000005</v>
      </c>
      <c r="R34" s="1">
        <f t="shared" si="24"/>
        <v>-1112.2949999999998</v>
      </c>
      <c r="S34" s="1">
        <f t="shared" si="24"/>
        <v>-1199.8109999999999</v>
      </c>
      <c r="T34" s="1">
        <f t="shared" si="24"/>
        <v>-1024.7825</v>
      </c>
      <c r="U34" s="1">
        <f t="shared" si="24"/>
        <v>-462.67500000000001</v>
      </c>
      <c r="V34" s="1">
        <f t="shared" si="24"/>
        <v>-4.1850000000000005</v>
      </c>
      <c r="W34" s="1">
        <f t="shared" si="24"/>
        <v>-598.81500000000005</v>
      </c>
      <c r="X34" s="1">
        <f t="shared" si="24"/>
        <v>-433.84500000000003</v>
      </c>
      <c r="Y34" s="1">
        <f t="shared" si="24"/>
        <v>-451.98</v>
      </c>
      <c r="Z34" s="1">
        <f t="shared" si="24"/>
        <v>-396.18000000000006</v>
      </c>
      <c r="AA34" s="1">
        <f t="shared" si="24"/>
        <v>-276.67500000000001</v>
      </c>
      <c r="AB34" s="1">
        <f t="shared" si="24"/>
        <v>-231.49249999999998</v>
      </c>
      <c r="AC34" s="1">
        <f t="shared" si="24"/>
        <v>-12.555</v>
      </c>
      <c r="AD34" s="1">
        <f t="shared" si="24"/>
        <v>1.395</v>
      </c>
      <c r="AE34" s="1">
        <f t="shared" si="24"/>
        <v>25.423000000000002</v>
      </c>
      <c r="AF34" s="1">
        <f t="shared" si="24"/>
        <v>0</v>
      </c>
      <c r="AG34" s="1">
        <f t="shared" si="24"/>
        <v>0</v>
      </c>
      <c r="AH34" s="1">
        <f t="shared" si="24"/>
        <v>0</v>
      </c>
      <c r="AI34" s="1">
        <f t="shared" si="24"/>
        <v>5.58</v>
      </c>
      <c r="AJ34" s="1">
        <f t="shared" si="24"/>
        <v>0</v>
      </c>
      <c r="AK34" s="1">
        <f t="shared" si="24"/>
        <v>0</v>
      </c>
      <c r="AL34" s="1">
        <f t="shared" si="24"/>
        <v>-11.16</v>
      </c>
      <c r="AM34" s="1">
        <f t="shared" si="24"/>
        <v>-23.715000000000003</v>
      </c>
      <c r="AN34" s="1">
        <f t="shared" si="24"/>
        <v>-33.012500000000003</v>
      </c>
      <c r="AO34" s="1">
        <f t="shared" si="24"/>
        <v>4.6500000000000004</v>
      </c>
      <c r="AP34" s="1">
        <f t="shared" si="24"/>
        <v>0</v>
      </c>
      <c r="AQ34" s="1">
        <f t="shared" si="24"/>
        <v>0</v>
      </c>
      <c r="AR34" s="3">
        <f t="shared" si="15"/>
        <v>-9159.0475000000006</v>
      </c>
      <c r="AT34" s="1">
        <f t="shared" si="9"/>
        <v>-9159.0475000000006</v>
      </c>
    </row>
    <row r="35" spans="1:46" x14ac:dyDescent="0.25">
      <c r="B35" s="59">
        <v>0</v>
      </c>
      <c r="C35" t="s">
        <v>549</v>
      </c>
      <c r="D35" s="1">
        <f>-D11*$B35</f>
        <v>0</v>
      </c>
      <c r="E35" s="1">
        <f t="shared" ref="E35:J35" si="25">-E11*$B35</f>
        <v>0</v>
      </c>
      <c r="F35" s="1">
        <f t="shared" si="25"/>
        <v>0</v>
      </c>
      <c r="G35" s="1">
        <f t="shared" si="25"/>
        <v>0</v>
      </c>
      <c r="H35" s="1">
        <f t="shared" si="25"/>
        <v>0</v>
      </c>
      <c r="I35" s="1">
        <f t="shared" si="25"/>
        <v>0</v>
      </c>
      <c r="J35" s="1">
        <f t="shared" si="25"/>
        <v>0</v>
      </c>
      <c r="K35" s="1">
        <f t="shared" si="23"/>
        <v>0</v>
      </c>
      <c r="L35" s="1">
        <f t="shared" si="23"/>
        <v>0</v>
      </c>
      <c r="M35" s="1">
        <f t="shared" si="23"/>
        <v>0</v>
      </c>
      <c r="N35" s="1">
        <f t="shared" ref="N35:AQ35" si="26">-N11*$B35</f>
        <v>0</v>
      </c>
      <c r="O35" s="1">
        <f t="shared" si="26"/>
        <v>0</v>
      </c>
      <c r="P35" s="1">
        <f t="shared" si="26"/>
        <v>0</v>
      </c>
      <c r="Q35" s="1">
        <f t="shared" si="26"/>
        <v>0</v>
      </c>
      <c r="R35" s="1">
        <f t="shared" si="26"/>
        <v>0</v>
      </c>
      <c r="S35" s="1">
        <f t="shared" si="26"/>
        <v>0</v>
      </c>
      <c r="T35" s="1">
        <f t="shared" si="26"/>
        <v>0</v>
      </c>
      <c r="U35" s="1">
        <f t="shared" si="26"/>
        <v>0</v>
      </c>
      <c r="V35" s="1">
        <f t="shared" si="26"/>
        <v>0</v>
      </c>
      <c r="W35" s="1">
        <f t="shared" si="26"/>
        <v>0</v>
      </c>
      <c r="X35" s="1">
        <f t="shared" si="26"/>
        <v>0</v>
      </c>
      <c r="Y35" s="1">
        <f t="shared" si="26"/>
        <v>0</v>
      </c>
      <c r="Z35" s="1">
        <f t="shared" si="26"/>
        <v>0</v>
      </c>
      <c r="AA35" s="1">
        <f t="shared" si="26"/>
        <v>0</v>
      </c>
      <c r="AB35" s="1">
        <f t="shared" si="26"/>
        <v>0</v>
      </c>
      <c r="AC35" s="1">
        <f t="shared" si="26"/>
        <v>0</v>
      </c>
      <c r="AD35" s="1">
        <f t="shared" si="26"/>
        <v>0</v>
      </c>
      <c r="AE35" s="1">
        <f t="shared" si="26"/>
        <v>0</v>
      </c>
      <c r="AF35" s="1">
        <f t="shared" si="26"/>
        <v>0</v>
      </c>
      <c r="AG35" s="1">
        <f t="shared" si="26"/>
        <v>0</v>
      </c>
      <c r="AH35" s="1">
        <f t="shared" si="26"/>
        <v>0</v>
      </c>
      <c r="AI35" s="1">
        <f t="shared" si="26"/>
        <v>0</v>
      </c>
      <c r="AJ35" s="1">
        <f t="shared" si="26"/>
        <v>0</v>
      </c>
      <c r="AK35" s="1">
        <f t="shared" si="26"/>
        <v>0</v>
      </c>
      <c r="AL35" s="1">
        <f t="shared" si="26"/>
        <v>0</v>
      </c>
      <c r="AM35" s="1">
        <f t="shared" si="26"/>
        <v>0</v>
      </c>
      <c r="AN35" s="1">
        <f t="shared" si="26"/>
        <v>0</v>
      </c>
      <c r="AO35" s="1">
        <f t="shared" si="26"/>
        <v>0</v>
      </c>
      <c r="AP35" s="1">
        <f t="shared" si="26"/>
        <v>0</v>
      </c>
      <c r="AQ35" s="1">
        <f t="shared" si="26"/>
        <v>0</v>
      </c>
      <c r="AR35" s="3">
        <f t="shared" si="15"/>
        <v>0</v>
      </c>
      <c r="AT35" s="1">
        <f t="shared" si="9"/>
        <v>0</v>
      </c>
    </row>
    <row r="36" spans="1:46" x14ac:dyDescent="0.25">
      <c r="B36" s="59">
        <v>0.04</v>
      </c>
      <c r="C36" t="s">
        <v>550</v>
      </c>
      <c r="D36" s="1">
        <f>-D12*$B36</f>
        <v>0</v>
      </c>
      <c r="E36" s="1">
        <f t="shared" ref="E36:J36" si="27">-E12*$B36</f>
        <v>0</v>
      </c>
      <c r="F36" s="1">
        <f t="shared" si="27"/>
        <v>0</v>
      </c>
      <c r="G36" s="1">
        <f t="shared" si="27"/>
        <v>0</v>
      </c>
      <c r="H36" s="1">
        <f t="shared" si="27"/>
        <v>0</v>
      </c>
      <c r="I36" s="1">
        <f t="shared" si="27"/>
        <v>0</v>
      </c>
      <c r="J36" s="1">
        <f t="shared" si="27"/>
        <v>0</v>
      </c>
      <c r="K36" s="1">
        <f t="shared" si="23"/>
        <v>0</v>
      </c>
      <c r="L36" s="1">
        <f t="shared" si="23"/>
        <v>0</v>
      </c>
      <c r="M36" s="1">
        <f t="shared" si="23"/>
        <v>-71.423999999999992</v>
      </c>
      <c r="N36" s="1">
        <f t="shared" ref="N36:AQ36" si="28">-N12*$B36</f>
        <v>0.74400000000000011</v>
      </c>
      <c r="O36" s="1">
        <f t="shared" si="28"/>
        <v>-21.211199999999998</v>
      </c>
      <c r="P36" s="1">
        <f t="shared" si="28"/>
        <v>0</v>
      </c>
      <c r="Q36" s="1">
        <f t="shared" si="28"/>
        <v>-34.595999999999997</v>
      </c>
      <c r="R36" s="1">
        <f t="shared" si="28"/>
        <v>-297.61599999999999</v>
      </c>
      <c r="S36" s="1">
        <f t="shared" si="28"/>
        <v>-402.8152</v>
      </c>
      <c r="T36" s="1">
        <f t="shared" si="28"/>
        <v>0</v>
      </c>
      <c r="U36" s="1">
        <f t="shared" si="28"/>
        <v>-154.02719999999999</v>
      </c>
      <c r="V36" s="1">
        <f t="shared" si="28"/>
        <v>-152.46</v>
      </c>
      <c r="W36" s="1">
        <f t="shared" si="28"/>
        <v>-70.507199999999997</v>
      </c>
      <c r="X36" s="1">
        <f t="shared" si="28"/>
        <v>-206.30160000000004</v>
      </c>
      <c r="Y36" s="1">
        <f t="shared" si="28"/>
        <v>-89.479200000000006</v>
      </c>
      <c r="Z36" s="1">
        <f t="shared" si="28"/>
        <v>-44.270400000000002</v>
      </c>
      <c r="AA36" s="1">
        <f t="shared" si="28"/>
        <v>-43.152000000000001</v>
      </c>
      <c r="AB36" s="1">
        <f t="shared" si="28"/>
        <v>-75.516000000000005</v>
      </c>
      <c r="AC36" s="1">
        <f t="shared" si="28"/>
        <v>-63.612000000000002</v>
      </c>
      <c r="AD36" s="1">
        <f t="shared" si="28"/>
        <v>-119.41199999999999</v>
      </c>
      <c r="AE36" s="1">
        <f t="shared" si="28"/>
        <v>-69.563999999999993</v>
      </c>
      <c r="AF36" s="1">
        <f t="shared" si="28"/>
        <v>-5.58</v>
      </c>
      <c r="AG36" s="1">
        <f t="shared" si="28"/>
        <v>-20.46</v>
      </c>
      <c r="AH36" s="1">
        <f t="shared" si="28"/>
        <v>-55.800000000000004</v>
      </c>
      <c r="AI36" s="1">
        <f t="shared" si="28"/>
        <v>-62.496000000000002</v>
      </c>
      <c r="AJ36" s="1">
        <f t="shared" si="28"/>
        <v>-71.052000000000007</v>
      </c>
      <c r="AK36" s="1">
        <f t="shared" si="28"/>
        <v>-45.384</v>
      </c>
      <c r="AL36" s="1">
        <f t="shared" si="28"/>
        <v>-18.972000000000001</v>
      </c>
      <c r="AM36" s="1">
        <f t="shared" si="28"/>
        <v>-25.667999999999999</v>
      </c>
      <c r="AN36" s="1">
        <f t="shared" si="28"/>
        <v>-20.831999999999997</v>
      </c>
      <c r="AO36" s="1">
        <f t="shared" si="28"/>
        <v>3.3480000000000003</v>
      </c>
      <c r="AP36" s="1">
        <f t="shared" si="28"/>
        <v>0</v>
      </c>
      <c r="AQ36" s="1">
        <f t="shared" si="28"/>
        <v>0</v>
      </c>
      <c r="AR36" s="3">
        <f t="shared" si="15"/>
        <v>-2238.1160000000009</v>
      </c>
      <c r="AT36" s="1">
        <f t="shared" si="9"/>
        <v>-2238.1160000000009</v>
      </c>
    </row>
    <row r="37" spans="1:46" x14ac:dyDescent="0.25">
      <c r="B37" s="59">
        <v>6.5000000000000002E-2</v>
      </c>
      <c r="C37" t="s">
        <v>340</v>
      </c>
      <c r="D37" s="1">
        <f t="shared" ref="D37:J37" si="29">-D13*$B37</f>
        <v>0</v>
      </c>
      <c r="E37" s="1">
        <f t="shared" si="29"/>
        <v>0</v>
      </c>
      <c r="F37" s="1">
        <f t="shared" si="29"/>
        <v>0</v>
      </c>
      <c r="G37" s="1">
        <f t="shared" si="29"/>
        <v>0</v>
      </c>
      <c r="H37" s="1">
        <f t="shared" si="29"/>
        <v>0</v>
      </c>
      <c r="I37" s="1">
        <f t="shared" si="29"/>
        <v>0</v>
      </c>
      <c r="J37" s="1">
        <f t="shared" si="29"/>
        <v>0</v>
      </c>
      <c r="K37" s="1">
        <f>-K13*$B37</f>
        <v>0</v>
      </c>
      <c r="L37" s="117">
        <f>-L13*$B37-3000</f>
        <v>-5532.8160000000007</v>
      </c>
      <c r="M37" s="1">
        <f t="shared" si="23"/>
        <v>-1055.3400000000001</v>
      </c>
      <c r="N37" s="1">
        <f t="shared" ref="N37:AQ37" si="30">-N13*$B37</f>
        <v>-1068.2646</v>
      </c>
      <c r="O37" s="1">
        <f t="shared" si="30"/>
        <v>-1055.3400000000001</v>
      </c>
      <c r="P37" s="1">
        <f t="shared" si="30"/>
        <v>-818.27200000000005</v>
      </c>
      <c r="Q37" s="1">
        <f t="shared" si="30"/>
        <v>-2526.3160000000003</v>
      </c>
      <c r="R37" s="1">
        <f t="shared" si="30"/>
        <v>-844.27200000000005</v>
      </c>
      <c r="S37" s="1">
        <f t="shared" si="30"/>
        <v>-949.80600000000004</v>
      </c>
      <c r="T37" s="1">
        <f t="shared" si="30"/>
        <v>-1051.9703999999999</v>
      </c>
      <c r="U37" s="1">
        <f t="shared" si="30"/>
        <v>-733.82400000000007</v>
      </c>
      <c r="V37" s="1">
        <f t="shared" si="30"/>
        <v>-652.57920000000001</v>
      </c>
      <c r="W37" s="1">
        <f t="shared" si="30"/>
        <v>-536.60880000000009</v>
      </c>
      <c r="X37" s="1">
        <f t="shared" si="30"/>
        <v>0</v>
      </c>
      <c r="Y37" s="1">
        <f t="shared" si="30"/>
        <v>-590.49900000000002</v>
      </c>
      <c r="Z37" s="1">
        <f t="shared" si="30"/>
        <v>36.309000000000005</v>
      </c>
      <c r="AA37" s="1">
        <f t="shared" si="30"/>
        <v>-496.86</v>
      </c>
      <c r="AB37" s="1">
        <f t="shared" si="30"/>
        <v>0</v>
      </c>
      <c r="AC37" s="1">
        <f t="shared" si="30"/>
        <v>-515.97</v>
      </c>
      <c r="AD37" s="1">
        <f t="shared" si="30"/>
        <v>0</v>
      </c>
      <c r="AE37" s="1">
        <f t="shared" si="30"/>
        <v>-412.77600000000001</v>
      </c>
      <c r="AF37" s="1">
        <f t="shared" si="30"/>
        <v>3.8220000000000001</v>
      </c>
      <c r="AG37" s="1">
        <f t="shared" si="30"/>
        <v>0</v>
      </c>
      <c r="AH37" s="1">
        <f t="shared" si="30"/>
        <v>-2063.88</v>
      </c>
      <c r="AI37" s="1">
        <f t="shared" si="30"/>
        <v>0</v>
      </c>
      <c r="AJ37" s="1">
        <f t="shared" si="30"/>
        <v>0</v>
      </c>
      <c r="AK37" s="1">
        <f t="shared" si="30"/>
        <v>0</v>
      </c>
      <c r="AL37" s="1">
        <f t="shared" si="30"/>
        <v>0</v>
      </c>
      <c r="AM37" s="1">
        <f t="shared" si="30"/>
        <v>0</v>
      </c>
      <c r="AN37" s="1">
        <f t="shared" si="30"/>
        <v>0</v>
      </c>
      <c r="AO37" s="1">
        <f t="shared" si="30"/>
        <v>0</v>
      </c>
      <c r="AP37" s="1">
        <f t="shared" si="30"/>
        <v>0</v>
      </c>
      <c r="AQ37" s="1">
        <f t="shared" si="30"/>
        <v>0</v>
      </c>
      <c r="AR37" s="3">
        <f t="shared" si="15"/>
        <v>-20865.26300000001</v>
      </c>
      <c r="AT37" s="1">
        <f t="shared" si="9"/>
        <v>-20865.26300000001</v>
      </c>
    </row>
    <row r="38" spans="1:46" x14ac:dyDescent="0.25">
      <c r="B38" s="59">
        <v>0.05</v>
      </c>
      <c r="C38" t="s">
        <v>261</v>
      </c>
      <c r="D38" s="1">
        <f t="shared" ref="D38:J46" si="31">-D14*$B38</f>
        <v>0</v>
      </c>
      <c r="E38" s="1">
        <f t="shared" si="31"/>
        <v>0</v>
      </c>
      <c r="F38" s="1">
        <f t="shared" si="31"/>
        <v>0</v>
      </c>
      <c r="G38" s="1">
        <f t="shared" si="31"/>
        <v>0</v>
      </c>
      <c r="H38" s="1">
        <f t="shared" si="31"/>
        <v>0</v>
      </c>
      <c r="I38" s="1">
        <f t="shared" si="31"/>
        <v>0</v>
      </c>
      <c r="J38" s="1">
        <f t="shared" si="31"/>
        <v>0</v>
      </c>
      <c r="K38" s="1">
        <f t="shared" si="23"/>
        <v>0</v>
      </c>
      <c r="L38" s="1">
        <f t="shared" si="23"/>
        <v>-11.502000000000002</v>
      </c>
      <c r="M38" s="1">
        <f t="shared" si="23"/>
        <v>-243.18000000000004</v>
      </c>
      <c r="N38" s="1">
        <f t="shared" ref="N38:AQ38" si="32">-N14*$B38</f>
        <v>-157.63499999999999</v>
      </c>
      <c r="O38" s="1">
        <f t="shared" si="32"/>
        <v>-299.13299999999998</v>
      </c>
      <c r="P38" s="1">
        <f t="shared" si="32"/>
        <v>-251.51599999999999</v>
      </c>
      <c r="Q38" s="1">
        <f t="shared" si="32"/>
        <v>-251.10000000000002</v>
      </c>
      <c r="R38" s="1">
        <f t="shared" si="32"/>
        <v>-164.583</v>
      </c>
      <c r="S38" s="1">
        <f t="shared" si="32"/>
        <v>-275.4255</v>
      </c>
      <c r="T38" s="1">
        <f t="shared" si="32"/>
        <v>-142.58749999999998</v>
      </c>
      <c r="U38" s="1">
        <f t="shared" si="32"/>
        <v>-134.376</v>
      </c>
      <c r="V38" s="1">
        <f t="shared" si="32"/>
        <v>-150.71700000000001</v>
      </c>
      <c r="W38" s="1">
        <f t="shared" si="32"/>
        <v>-189.04200000000003</v>
      </c>
      <c r="X38" s="1">
        <f t="shared" si="32"/>
        <v>-127.09200000000001</v>
      </c>
      <c r="Y38" s="1">
        <f t="shared" si="32"/>
        <v>-60.546000000000006</v>
      </c>
      <c r="Z38" s="1">
        <f t="shared" si="32"/>
        <v>-43.788000000000004</v>
      </c>
      <c r="AA38" s="1">
        <f t="shared" si="32"/>
        <v>2.3250000000000002</v>
      </c>
      <c r="AB38" s="1">
        <f t="shared" si="32"/>
        <v>-47.430000000000007</v>
      </c>
      <c r="AC38" s="1">
        <f t="shared" si="32"/>
        <v>-9.3000000000000007</v>
      </c>
      <c r="AD38" s="1">
        <f t="shared" si="32"/>
        <v>0</v>
      </c>
      <c r="AE38" s="1">
        <f t="shared" si="32"/>
        <v>-15.344999999999999</v>
      </c>
      <c r="AF38" s="1">
        <f t="shared" si="32"/>
        <v>-43.71</v>
      </c>
      <c r="AG38" s="1">
        <f t="shared" si="32"/>
        <v>0</v>
      </c>
      <c r="AH38" s="1">
        <f t="shared" si="32"/>
        <v>0</v>
      </c>
      <c r="AI38" s="1">
        <f t="shared" si="32"/>
        <v>0</v>
      </c>
      <c r="AJ38" s="1">
        <f t="shared" si="32"/>
        <v>0</v>
      </c>
      <c r="AK38" s="1">
        <f t="shared" si="32"/>
        <v>-54.405000000000001</v>
      </c>
      <c r="AL38" s="1">
        <f t="shared" si="32"/>
        <v>-73.935000000000002</v>
      </c>
      <c r="AM38" s="1">
        <f t="shared" si="32"/>
        <v>-13.950000000000001</v>
      </c>
      <c r="AN38" s="1">
        <f t="shared" si="32"/>
        <v>1.6230000000000002</v>
      </c>
      <c r="AO38" s="1">
        <f t="shared" si="32"/>
        <v>0</v>
      </c>
      <c r="AP38" s="1">
        <f t="shared" si="32"/>
        <v>0</v>
      </c>
      <c r="AQ38" s="1">
        <f t="shared" si="32"/>
        <v>0</v>
      </c>
      <c r="AR38" s="3">
        <f t="shared" si="15"/>
        <v>-2756.35</v>
      </c>
      <c r="AT38" s="1">
        <f t="shared" si="9"/>
        <v>-2756.35</v>
      </c>
    </row>
    <row r="39" spans="1:46" x14ac:dyDescent="0.25">
      <c r="B39" s="59">
        <v>0</v>
      </c>
      <c r="C39" t="s">
        <v>42</v>
      </c>
      <c r="D39" s="1">
        <f t="shared" si="31"/>
        <v>0</v>
      </c>
      <c r="E39" s="1">
        <f t="shared" si="31"/>
        <v>0</v>
      </c>
      <c r="F39" s="1">
        <f t="shared" si="31"/>
        <v>0</v>
      </c>
      <c r="G39" s="1">
        <f t="shared" si="31"/>
        <v>0</v>
      </c>
      <c r="H39" s="1">
        <f t="shared" si="31"/>
        <v>0</v>
      </c>
      <c r="I39" s="1">
        <f t="shared" si="31"/>
        <v>0</v>
      </c>
      <c r="J39" s="1">
        <f t="shared" si="31"/>
        <v>0</v>
      </c>
      <c r="K39" s="1">
        <f t="shared" si="23"/>
        <v>0</v>
      </c>
      <c r="L39" s="1">
        <f t="shared" si="23"/>
        <v>0</v>
      </c>
      <c r="M39" s="1">
        <f t="shared" si="23"/>
        <v>0</v>
      </c>
      <c r="N39" s="1">
        <f t="shared" ref="N39:AQ39" si="33">-N15*$B39</f>
        <v>0</v>
      </c>
      <c r="O39" s="1">
        <f t="shared" si="33"/>
        <v>0</v>
      </c>
      <c r="P39" s="1">
        <f t="shared" si="33"/>
        <v>0</v>
      </c>
      <c r="Q39" s="1">
        <f t="shared" si="33"/>
        <v>0</v>
      </c>
      <c r="R39" s="1">
        <f t="shared" si="33"/>
        <v>0</v>
      </c>
      <c r="S39" s="1">
        <f t="shared" si="33"/>
        <v>0</v>
      </c>
      <c r="T39" s="1">
        <f t="shared" si="33"/>
        <v>0</v>
      </c>
      <c r="U39" s="1">
        <f t="shared" si="33"/>
        <v>0</v>
      </c>
      <c r="V39" s="1">
        <f t="shared" si="33"/>
        <v>0</v>
      </c>
      <c r="W39" s="1">
        <f t="shared" si="33"/>
        <v>0</v>
      </c>
      <c r="X39" s="1">
        <f t="shared" si="33"/>
        <v>0</v>
      </c>
      <c r="Y39" s="1">
        <f t="shared" si="33"/>
        <v>0</v>
      </c>
      <c r="Z39" s="1">
        <f t="shared" si="33"/>
        <v>0</v>
      </c>
      <c r="AA39" s="1">
        <f t="shared" si="33"/>
        <v>0</v>
      </c>
      <c r="AB39" s="1">
        <f t="shared" si="33"/>
        <v>0</v>
      </c>
      <c r="AC39" s="1">
        <f t="shared" si="33"/>
        <v>0</v>
      </c>
      <c r="AD39" s="1">
        <f t="shared" si="33"/>
        <v>0</v>
      </c>
      <c r="AE39" s="1">
        <f t="shared" si="33"/>
        <v>0</v>
      </c>
      <c r="AF39" s="1">
        <f t="shared" si="33"/>
        <v>0</v>
      </c>
      <c r="AG39" s="1">
        <f t="shared" si="33"/>
        <v>0</v>
      </c>
      <c r="AH39" s="1">
        <f t="shared" si="33"/>
        <v>0</v>
      </c>
      <c r="AI39" s="1">
        <f t="shared" si="33"/>
        <v>0</v>
      </c>
      <c r="AJ39" s="1">
        <f t="shared" si="33"/>
        <v>0</v>
      </c>
      <c r="AK39" s="1">
        <f t="shared" si="33"/>
        <v>0</v>
      </c>
      <c r="AL39" s="1">
        <f t="shared" si="33"/>
        <v>0</v>
      </c>
      <c r="AM39" s="1">
        <f t="shared" si="33"/>
        <v>0</v>
      </c>
      <c r="AN39" s="1">
        <f t="shared" si="33"/>
        <v>0</v>
      </c>
      <c r="AO39" s="1">
        <f t="shared" si="33"/>
        <v>0</v>
      </c>
      <c r="AP39" s="1">
        <f t="shared" si="33"/>
        <v>0</v>
      </c>
      <c r="AQ39" s="1">
        <f t="shared" si="33"/>
        <v>0</v>
      </c>
      <c r="AR39" s="3">
        <f t="shared" si="15"/>
        <v>0</v>
      </c>
      <c r="AT39" s="1">
        <f t="shared" si="9"/>
        <v>0</v>
      </c>
    </row>
    <row r="40" spans="1:46" x14ac:dyDescent="0.25">
      <c r="B40" s="59">
        <v>0</v>
      </c>
      <c r="C40" t="s">
        <v>192</v>
      </c>
      <c r="D40" s="1">
        <f t="shared" si="31"/>
        <v>0</v>
      </c>
      <c r="E40" s="1">
        <f t="shared" si="31"/>
        <v>0</v>
      </c>
      <c r="F40" s="1">
        <f t="shared" si="31"/>
        <v>0</v>
      </c>
      <c r="G40" s="1">
        <f t="shared" si="31"/>
        <v>0</v>
      </c>
      <c r="H40" s="1">
        <f t="shared" si="31"/>
        <v>0</v>
      </c>
      <c r="I40" s="1">
        <f t="shared" si="31"/>
        <v>0</v>
      </c>
      <c r="J40" s="1">
        <f t="shared" si="31"/>
        <v>0</v>
      </c>
      <c r="K40" s="1">
        <f t="shared" si="23"/>
        <v>0</v>
      </c>
      <c r="L40" s="1">
        <f t="shared" si="23"/>
        <v>0</v>
      </c>
      <c r="M40" s="1">
        <f t="shared" si="23"/>
        <v>0</v>
      </c>
      <c r="N40" s="1">
        <f t="shared" ref="N40:AQ40" si="34">-N16*$B40</f>
        <v>0</v>
      </c>
      <c r="O40" s="1">
        <f t="shared" si="34"/>
        <v>0</v>
      </c>
      <c r="P40" s="1">
        <f t="shared" si="34"/>
        <v>0</v>
      </c>
      <c r="Q40" s="1">
        <f t="shared" si="34"/>
        <v>0</v>
      </c>
      <c r="R40" s="1">
        <f t="shared" si="34"/>
        <v>0</v>
      </c>
      <c r="S40" s="1">
        <f t="shared" si="34"/>
        <v>0</v>
      </c>
      <c r="T40" s="1">
        <f t="shared" si="34"/>
        <v>0</v>
      </c>
      <c r="U40" s="1">
        <f t="shared" si="34"/>
        <v>0</v>
      </c>
      <c r="V40" s="1">
        <f t="shared" si="34"/>
        <v>0</v>
      </c>
      <c r="W40" s="1">
        <f t="shared" si="34"/>
        <v>0</v>
      </c>
      <c r="X40" s="1">
        <f t="shared" si="34"/>
        <v>0</v>
      </c>
      <c r="Y40" s="1">
        <f t="shared" si="34"/>
        <v>0</v>
      </c>
      <c r="Z40" s="1">
        <f t="shared" si="34"/>
        <v>0</v>
      </c>
      <c r="AA40" s="1">
        <f t="shared" si="34"/>
        <v>0</v>
      </c>
      <c r="AB40" s="1">
        <f t="shared" si="34"/>
        <v>0</v>
      </c>
      <c r="AC40" s="1">
        <f t="shared" si="34"/>
        <v>0</v>
      </c>
      <c r="AD40" s="1">
        <f t="shared" si="34"/>
        <v>0</v>
      </c>
      <c r="AE40" s="1">
        <f t="shared" si="34"/>
        <v>0</v>
      </c>
      <c r="AF40" s="1">
        <f t="shared" si="34"/>
        <v>0</v>
      </c>
      <c r="AG40" s="1">
        <f t="shared" si="34"/>
        <v>0</v>
      </c>
      <c r="AH40" s="1">
        <f t="shared" si="34"/>
        <v>0</v>
      </c>
      <c r="AI40" s="1">
        <f t="shared" si="34"/>
        <v>0</v>
      </c>
      <c r="AJ40" s="1">
        <f t="shared" si="34"/>
        <v>0</v>
      </c>
      <c r="AK40" s="1">
        <f t="shared" si="34"/>
        <v>0</v>
      </c>
      <c r="AL40" s="1">
        <f t="shared" si="34"/>
        <v>0</v>
      </c>
      <c r="AM40" s="1">
        <f t="shared" si="34"/>
        <v>0</v>
      </c>
      <c r="AN40" s="1">
        <f t="shared" si="34"/>
        <v>0</v>
      </c>
      <c r="AO40" s="1">
        <f t="shared" si="34"/>
        <v>0</v>
      </c>
      <c r="AP40" s="1">
        <f t="shared" si="34"/>
        <v>0</v>
      </c>
      <c r="AQ40" s="1">
        <f t="shared" si="34"/>
        <v>0</v>
      </c>
      <c r="AR40" s="3">
        <f t="shared" si="15"/>
        <v>0</v>
      </c>
      <c r="AT40" s="1">
        <f t="shared" si="9"/>
        <v>0</v>
      </c>
    </row>
    <row r="41" spans="1:46" x14ac:dyDescent="0.25">
      <c r="B41" s="59">
        <v>0.05</v>
      </c>
      <c r="C41" t="s">
        <v>133</v>
      </c>
      <c r="D41" s="1">
        <f t="shared" si="31"/>
        <v>0</v>
      </c>
      <c r="E41" s="1">
        <f t="shared" si="31"/>
        <v>0</v>
      </c>
      <c r="F41" s="1">
        <f t="shared" si="31"/>
        <v>0</v>
      </c>
      <c r="G41" s="1">
        <f t="shared" si="31"/>
        <v>0</v>
      </c>
      <c r="H41" s="1">
        <f t="shared" si="31"/>
        <v>0</v>
      </c>
      <c r="I41" s="1">
        <f t="shared" si="31"/>
        <v>0</v>
      </c>
      <c r="J41" s="1">
        <f t="shared" si="31"/>
        <v>0</v>
      </c>
      <c r="K41" s="1">
        <f t="shared" si="23"/>
        <v>0</v>
      </c>
      <c r="L41" s="1">
        <f t="shared" si="23"/>
        <v>-115.875</v>
      </c>
      <c r="M41" s="1">
        <f t="shared" si="23"/>
        <v>-48.825000000000003</v>
      </c>
      <c r="N41" s="1">
        <f t="shared" ref="N41:AQ41" si="35">-N17*$B41</f>
        <v>-123.88499999999999</v>
      </c>
      <c r="O41" s="1">
        <f t="shared" si="35"/>
        <v>-136.95599999999999</v>
      </c>
      <c r="P41" s="1">
        <f t="shared" si="35"/>
        <v>-234.45900000000003</v>
      </c>
      <c r="Q41" s="1">
        <f t="shared" si="35"/>
        <v>-163.47</v>
      </c>
      <c r="R41" s="1">
        <f t="shared" si="35"/>
        <v>-126.26999999999998</v>
      </c>
      <c r="S41" s="1">
        <f t="shared" si="35"/>
        <v>-191.16000000000003</v>
      </c>
      <c r="T41" s="1">
        <f t="shared" si="35"/>
        <v>-310.14</v>
      </c>
      <c r="U41" s="1">
        <f t="shared" si="35"/>
        <v>-223.66499999999996</v>
      </c>
      <c r="V41" s="1">
        <f t="shared" si="35"/>
        <v>-124.61999999999999</v>
      </c>
      <c r="W41" s="1">
        <f t="shared" si="35"/>
        <v>-143.22300000000001</v>
      </c>
      <c r="X41" s="1">
        <f t="shared" si="35"/>
        <v>-201.59400000000005</v>
      </c>
      <c r="Y41" s="1">
        <f t="shared" si="35"/>
        <v>-84.63600000000001</v>
      </c>
      <c r="Z41" s="1">
        <f t="shared" si="35"/>
        <v>-84.177000000000007</v>
      </c>
      <c r="AA41" s="1">
        <f t="shared" si="35"/>
        <v>-47.442</v>
      </c>
      <c r="AB41" s="1">
        <f t="shared" si="35"/>
        <v>-45.105000000000004</v>
      </c>
      <c r="AC41" s="1">
        <f t="shared" si="35"/>
        <v>-38.595000000000006</v>
      </c>
      <c r="AD41" s="1">
        <f t="shared" si="35"/>
        <v>-33.480000000000004</v>
      </c>
      <c r="AE41" s="1">
        <f t="shared" si="35"/>
        <v>-26.504999999999995</v>
      </c>
      <c r="AF41" s="1">
        <f t="shared" si="35"/>
        <v>-29.759999999999998</v>
      </c>
      <c r="AG41" s="1">
        <f t="shared" si="35"/>
        <v>-32.085000000000001</v>
      </c>
      <c r="AH41" s="1">
        <f t="shared" si="35"/>
        <v>-27.125</v>
      </c>
      <c r="AI41" s="1">
        <f t="shared" si="35"/>
        <v>-40.455000000000005</v>
      </c>
      <c r="AJ41" s="1">
        <f t="shared" si="35"/>
        <v>-8.8349999999999991</v>
      </c>
      <c r="AK41" s="1">
        <f t="shared" si="35"/>
        <v>0</v>
      </c>
      <c r="AL41" s="1">
        <f t="shared" si="35"/>
        <v>-15.344999999999999</v>
      </c>
      <c r="AM41" s="1">
        <f t="shared" si="35"/>
        <v>-13.950000000000001</v>
      </c>
      <c r="AN41" s="1">
        <f t="shared" si="35"/>
        <v>-12.555</v>
      </c>
      <c r="AO41" s="1">
        <f t="shared" si="35"/>
        <v>0</v>
      </c>
      <c r="AP41" s="1">
        <f t="shared" si="35"/>
        <v>0</v>
      </c>
      <c r="AQ41" s="1">
        <f t="shared" si="35"/>
        <v>0</v>
      </c>
      <c r="AR41" s="3">
        <f t="shared" si="15"/>
        <v>-2684.1919999999996</v>
      </c>
      <c r="AT41" s="1">
        <f t="shared" si="9"/>
        <v>-2684.1919999999996</v>
      </c>
    </row>
    <row r="42" spans="1:46" x14ac:dyDescent="0.25">
      <c r="B42" s="59">
        <v>0.06</v>
      </c>
      <c r="C42" t="s">
        <v>41</v>
      </c>
      <c r="D42" s="1">
        <f t="shared" si="31"/>
        <v>0</v>
      </c>
      <c r="E42" s="1">
        <f t="shared" si="31"/>
        <v>0</v>
      </c>
      <c r="F42" s="1">
        <f t="shared" si="31"/>
        <v>0</v>
      </c>
      <c r="G42" s="1">
        <f t="shared" si="31"/>
        <v>0</v>
      </c>
      <c r="H42" s="1">
        <f t="shared" si="31"/>
        <v>0</v>
      </c>
      <c r="I42" s="1">
        <f t="shared" si="31"/>
        <v>0</v>
      </c>
      <c r="J42" s="1">
        <f t="shared" si="31"/>
        <v>0</v>
      </c>
      <c r="K42" s="1">
        <f t="shared" si="23"/>
        <v>0</v>
      </c>
      <c r="L42" s="1">
        <f t="shared" si="23"/>
        <v>-1285.5636</v>
      </c>
      <c r="M42" s="1">
        <f t="shared" si="23"/>
        <v>-346.07879999999994</v>
      </c>
      <c r="N42" s="1">
        <f t="shared" ref="N42:AQ42" si="36">-N18*$B42</f>
        <v>-387.00720000000001</v>
      </c>
      <c r="O42" s="1">
        <f t="shared" si="36"/>
        <v>-1446.1020000000001</v>
      </c>
      <c r="P42" s="1">
        <f t="shared" si="36"/>
        <v>-804.88080000000002</v>
      </c>
      <c r="Q42" s="1">
        <f t="shared" si="36"/>
        <v>-1061.3340000000001</v>
      </c>
      <c r="R42" s="1">
        <f t="shared" si="36"/>
        <v>-871.77599999999984</v>
      </c>
      <c r="S42" s="1">
        <f t="shared" si="36"/>
        <v>-652.45680000000004</v>
      </c>
      <c r="T42" s="1">
        <f t="shared" si="36"/>
        <v>-1395.9684</v>
      </c>
      <c r="U42" s="1">
        <f t="shared" si="36"/>
        <v>-1029.0024000000001</v>
      </c>
      <c r="V42" s="1">
        <f t="shared" si="36"/>
        <v>-968.18759999999986</v>
      </c>
      <c r="W42" s="1">
        <f t="shared" si="36"/>
        <v>-1005.5916</v>
      </c>
      <c r="X42" s="1">
        <f t="shared" si="36"/>
        <v>-1609.8912</v>
      </c>
      <c r="Y42" s="1">
        <f t="shared" si="36"/>
        <v>-971.79480000000001</v>
      </c>
      <c r="Z42" s="1">
        <f t="shared" si="36"/>
        <v>-435.73079999999993</v>
      </c>
      <c r="AA42" s="1">
        <f t="shared" si="36"/>
        <v>-397.20240000000001</v>
      </c>
      <c r="AB42" s="1">
        <f t="shared" si="36"/>
        <v>-183.58200000000002</v>
      </c>
      <c r="AC42" s="1">
        <f t="shared" si="36"/>
        <v>-302.99399999999997</v>
      </c>
      <c r="AD42" s="1">
        <f t="shared" si="36"/>
        <v>-133.36200000000002</v>
      </c>
      <c r="AE42" s="1">
        <f t="shared" si="36"/>
        <v>-333.68399999999997</v>
      </c>
      <c r="AF42" s="1">
        <f t="shared" si="36"/>
        <v>-212.04</v>
      </c>
      <c r="AG42" s="1">
        <f t="shared" si="36"/>
        <v>-160.70400000000001</v>
      </c>
      <c r="AH42" s="1">
        <f t="shared" si="36"/>
        <v>-453.096</v>
      </c>
      <c r="AI42" s="1">
        <f t="shared" si="36"/>
        <v>-225.89699999999999</v>
      </c>
      <c r="AJ42" s="1">
        <f t="shared" si="36"/>
        <v>-182.46599999999998</v>
      </c>
      <c r="AK42" s="1">
        <f t="shared" si="36"/>
        <v>-128.898</v>
      </c>
      <c r="AL42" s="1">
        <f t="shared" si="36"/>
        <v>-87.048000000000002</v>
      </c>
      <c r="AM42" s="1">
        <f t="shared" si="36"/>
        <v>-116.25</v>
      </c>
      <c r="AN42" s="1">
        <f t="shared" si="36"/>
        <v>-54.125999999999998</v>
      </c>
      <c r="AO42" s="1">
        <f t="shared" si="36"/>
        <v>3.3480000000000003</v>
      </c>
      <c r="AP42" s="1">
        <f t="shared" si="36"/>
        <v>0</v>
      </c>
      <c r="AQ42" s="1">
        <f t="shared" si="36"/>
        <v>0</v>
      </c>
      <c r="AR42" s="3">
        <f t="shared" si="15"/>
        <v>-17239.367399999999</v>
      </c>
      <c r="AT42" s="1">
        <f t="shared" si="9"/>
        <v>-17239.367399999999</v>
      </c>
    </row>
    <row r="43" spans="1:46" x14ac:dyDescent="0.25">
      <c r="B43" s="59">
        <v>0</v>
      </c>
      <c r="C43" t="s">
        <v>193</v>
      </c>
      <c r="D43" s="1">
        <f t="shared" si="31"/>
        <v>0</v>
      </c>
      <c r="E43" s="1">
        <f t="shared" si="31"/>
        <v>0</v>
      </c>
      <c r="F43" s="1">
        <f t="shared" si="31"/>
        <v>0</v>
      </c>
      <c r="G43" s="1">
        <f t="shared" si="31"/>
        <v>0</v>
      </c>
      <c r="H43" s="1">
        <f t="shared" si="31"/>
        <v>0</v>
      </c>
      <c r="I43" s="1">
        <f t="shared" si="31"/>
        <v>0</v>
      </c>
      <c r="J43" s="1">
        <f t="shared" si="31"/>
        <v>0</v>
      </c>
      <c r="K43" s="1">
        <f t="shared" si="23"/>
        <v>0</v>
      </c>
      <c r="L43" s="1">
        <f t="shared" si="23"/>
        <v>0</v>
      </c>
      <c r="M43" s="1">
        <f t="shared" si="23"/>
        <v>0</v>
      </c>
      <c r="N43" s="1">
        <f t="shared" ref="N43:AQ43" si="37">-N19*$B43</f>
        <v>0</v>
      </c>
      <c r="O43" s="1">
        <f t="shared" si="37"/>
        <v>0</v>
      </c>
      <c r="P43" s="1">
        <f t="shared" si="37"/>
        <v>0</v>
      </c>
      <c r="Q43" s="1">
        <f t="shared" si="37"/>
        <v>0</v>
      </c>
      <c r="R43" s="1">
        <f t="shared" si="37"/>
        <v>0</v>
      </c>
      <c r="S43" s="1">
        <f t="shared" si="37"/>
        <v>0</v>
      </c>
      <c r="T43" s="1">
        <f t="shared" si="37"/>
        <v>0</v>
      </c>
      <c r="U43" s="1">
        <f t="shared" si="37"/>
        <v>0</v>
      </c>
      <c r="V43" s="1">
        <f t="shared" si="37"/>
        <v>0</v>
      </c>
      <c r="W43" s="1">
        <f t="shared" si="37"/>
        <v>0</v>
      </c>
      <c r="X43" s="1">
        <f t="shared" si="37"/>
        <v>0</v>
      </c>
      <c r="Y43" s="1">
        <f t="shared" si="37"/>
        <v>0</v>
      </c>
      <c r="Z43" s="1">
        <f t="shared" si="37"/>
        <v>0</v>
      </c>
      <c r="AA43" s="1">
        <f t="shared" si="37"/>
        <v>0</v>
      </c>
      <c r="AB43" s="1">
        <f t="shared" si="37"/>
        <v>0</v>
      </c>
      <c r="AC43" s="1">
        <f t="shared" si="37"/>
        <v>0</v>
      </c>
      <c r="AD43" s="1">
        <f t="shared" si="37"/>
        <v>0</v>
      </c>
      <c r="AE43" s="1">
        <f t="shared" si="37"/>
        <v>0</v>
      </c>
      <c r="AF43" s="1">
        <f t="shared" si="37"/>
        <v>0</v>
      </c>
      <c r="AG43" s="1">
        <f t="shared" si="37"/>
        <v>0</v>
      </c>
      <c r="AH43" s="1">
        <f t="shared" si="37"/>
        <v>0</v>
      </c>
      <c r="AI43" s="1">
        <f t="shared" si="37"/>
        <v>0</v>
      </c>
      <c r="AJ43" s="1">
        <f t="shared" si="37"/>
        <v>0</v>
      </c>
      <c r="AK43" s="1">
        <f t="shared" si="37"/>
        <v>0</v>
      </c>
      <c r="AL43" s="1">
        <f t="shared" si="37"/>
        <v>0</v>
      </c>
      <c r="AM43" s="1">
        <f t="shared" si="37"/>
        <v>0</v>
      </c>
      <c r="AN43" s="1">
        <f t="shared" si="37"/>
        <v>0</v>
      </c>
      <c r="AO43" s="1">
        <f t="shared" si="37"/>
        <v>0</v>
      </c>
      <c r="AP43" s="1">
        <f t="shared" si="37"/>
        <v>0</v>
      </c>
      <c r="AQ43" s="1">
        <f t="shared" si="37"/>
        <v>0</v>
      </c>
      <c r="AR43" s="3">
        <f t="shared" ref="AR43:AR49" si="38">SUM(D43:AQ43)</f>
        <v>0</v>
      </c>
      <c r="AT43" s="1">
        <f t="shared" si="9"/>
        <v>0</v>
      </c>
    </row>
    <row r="44" spans="1:46" x14ac:dyDescent="0.25">
      <c r="B44" s="59">
        <v>0</v>
      </c>
      <c r="C44" t="s">
        <v>194</v>
      </c>
      <c r="D44" s="1">
        <f t="shared" si="31"/>
        <v>0</v>
      </c>
      <c r="E44" s="1">
        <f t="shared" si="31"/>
        <v>0</v>
      </c>
      <c r="F44" s="1">
        <f t="shared" si="31"/>
        <v>0</v>
      </c>
      <c r="G44" s="1">
        <f t="shared" si="31"/>
        <v>0</v>
      </c>
      <c r="H44" s="1">
        <f t="shared" si="31"/>
        <v>0</v>
      </c>
      <c r="I44" s="1">
        <f t="shared" si="31"/>
        <v>0</v>
      </c>
      <c r="J44" s="1">
        <f t="shared" si="31"/>
        <v>0</v>
      </c>
      <c r="K44" s="1">
        <f t="shared" si="23"/>
        <v>0</v>
      </c>
      <c r="L44" s="1">
        <f t="shared" si="23"/>
        <v>0</v>
      </c>
      <c r="M44" s="1">
        <f t="shared" si="23"/>
        <v>0</v>
      </c>
      <c r="N44" s="1">
        <f t="shared" ref="N44:AQ44" si="39">-N20*$B44</f>
        <v>0</v>
      </c>
      <c r="O44" s="1">
        <f t="shared" si="39"/>
        <v>0</v>
      </c>
      <c r="P44" s="1">
        <f t="shared" si="39"/>
        <v>0</v>
      </c>
      <c r="Q44" s="1">
        <f t="shared" si="39"/>
        <v>0</v>
      </c>
      <c r="R44" s="1">
        <f t="shared" si="39"/>
        <v>0</v>
      </c>
      <c r="S44" s="1">
        <f t="shared" si="39"/>
        <v>0</v>
      </c>
      <c r="T44" s="1">
        <f t="shared" si="39"/>
        <v>0</v>
      </c>
      <c r="U44" s="1">
        <f t="shared" si="39"/>
        <v>0</v>
      </c>
      <c r="V44" s="1">
        <f t="shared" si="39"/>
        <v>0</v>
      </c>
      <c r="W44" s="1">
        <f t="shared" si="39"/>
        <v>0</v>
      </c>
      <c r="X44" s="1">
        <f t="shared" si="39"/>
        <v>0</v>
      </c>
      <c r="Y44" s="1">
        <f t="shared" si="39"/>
        <v>0</v>
      </c>
      <c r="Z44" s="1">
        <f t="shared" si="39"/>
        <v>0</v>
      </c>
      <c r="AA44" s="1">
        <f t="shared" si="39"/>
        <v>0</v>
      </c>
      <c r="AB44" s="1">
        <f t="shared" si="39"/>
        <v>0</v>
      </c>
      <c r="AC44" s="1">
        <f t="shared" si="39"/>
        <v>0</v>
      </c>
      <c r="AD44" s="1">
        <f t="shared" si="39"/>
        <v>0</v>
      </c>
      <c r="AE44" s="1">
        <f t="shared" si="39"/>
        <v>0</v>
      </c>
      <c r="AF44" s="1">
        <f t="shared" si="39"/>
        <v>0</v>
      </c>
      <c r="AG44" s="1">
        <f t="shared" si="39"/>
        <v>0</v>
      </c>
      <c r="AH44" s="1">
        <f t="shared" si="39"/>
        <v>0</v>
      </c>
      <c r="AI44" s="1">
        <f t="shared" si="39"/>
        <v>0</v>
      </c>
      <c r="AJ44" s="1">
        <f t="shared" si="39"/>
        <v>0</v>
      </c>
      <c r="AK44" s="1">
        <f t="shared" si="39"/>
        <v>0</v>
      </c>
      <c r="AL44" s="1">
        <f t="shared" si="39"/>
        <v>0</v>
      </c>
      <c r="AM44" s="1">
        <f t="shared" si="39"/>
        <v>0</v>
      </c>
      <c r="AN44" s="1">
        <f t="shared" si="39"/>
        <v>0</v>
      </c>
      <c r="AO44" s="1">
        <f t="shared" si="39"/>
        <v>0</v>
      </c>
      <c r="AP44" s="1">
        <f t="shared" si="39"/>
        <v>0</v>
      </c>
      <c r="AQ44" s="1">
        <f t="shared" si="39"/>
        <v>0</v>
      </c>
      <c r="AR44" s="3">
        <f t="shared" si="38"/>
        <v>0</v>
      </c>
      <c r="AT44" s="1">
        <f t="shared" si="9"/>
        <v>0</v>
      </c>
    </row>
    <row r="45" spans="1:46" x14ac:dyDescent="0.25">
      <c r="B45" s="59">
        <v>0.05</v>
      </c>
      <c r="C45" t="s">
        <v>296</v>
      </c>
      <c r="D45" s="1">
        <f t="shared" si="31"/>
        <v>0</v>
      </c>
      <c r="E45" s="1">
        <f t="shared" si="31"/>
        <v>0</v>
      </c>
      <c r="F45" s="1">
        <f t="shared" si="31"/>
        <v>0</v>
      </c>
      <c r="G45" s="1">
        <f t="shared" si="31"/>
        <v>0</v>
      </c>
      <c r="H45" s="1">
        <f t="shared" si="31"/>
        <v>0</v>
      </c>
      <c r="I45" s="1">
        <f t="shared" si="31"/>
        <v>0</v>
      </c>
      <c r="J45" s="1">
        <f t="shared" si="31"/>
        <v>0</v>
      </c>
      <c r="K45" s="1">
        <f t="shared" si="23"/>
        <v>0</v>
      </c>
      <c r="L45" s="1">
        <f t="shared" si="23"/>
        <v>-41.886000000000003</v>
      </c>
      <c r="M45" s="1">
        <f t="shared" si="23"/>
        <v>-62.451000000000001</v>
      </c>
      <c r="N45" s="1">
        <f t="shared" ref="N45:AQ45" si="40">-N21*$B45</f>
        <v>-70.470000000000013</v>
      </c>
      <c r="O45" s="1">
        <f t="shared" si="40"/>
        <v>-112.71599999999999</v>
      </c>
      <c r="P45" s="1">
        <f t="shared" si="40"/>
        <v>-149.30100000000002</v>
      </c>
      <c r="Q45" s="1">
        <f t="shared" si="40"/>
        <v>-85.454999999999998</v>
      </c>
      <c r="R45" s="1">
        <f t="shared" si="40"/>
        <v>-58.94100000000001</v>
      </c>
      <c r="S45" s="1">
        <f t="shared" si="40"/>
        <v>-85.347000000000008</v>
      </c>
      <c r="T45" s="1">
        <f t="shared" si="40"/>
        <v>-143.721</v>
      </c>
      <c r="U45" s="1">
        <f t="shared" si="40"/>
        <v>-166.005</v>
      </c>
      <c r="V45" s="1">
        <f t="shared" si="40"/>
        <v>-138.006</v>
      </c>
      <c r="W45" s="1">
        <f t="shared" si="40"/>
        <v>-198.46800000000002</v>
      </c>
      <c r="X45" s="1">
        <f t="shared" si="40"/>
        <v>-155.43900000000002</v>
      </c>
      <c r="Y45" s="1">
        <f t="shared" si="40"/>
        <v>-76.500000000000014</v>
      </c>
      <c r="Z45" s="1">
        <f t="shared" si="40"/>
        <v>-74.637</v>
      </c>
      <c r="AA45" s="1">
        <f t="shared" si="40"/>
        <v>-63.945000000000007</v>
      </c>
      <c r="AB45" s="1">
        <f t="shared" si="40"/>
        <v>-53.475000000000001</v>
      </c>
      <c r="AC45" s="1">
        <f t="shared" si="40"/>
        <v>-59.055</v>
      </c>
      <c r="AD45" s="1">
        <f t="shared" si="40"/>
        <v>-15.344999999999999</v>
      </c>
      <c r="AE45" s="1">
        <f t="shared" si="40"/>
        <v>-56.73</v>
      </c>
      <c r="AF45" s="1">
        <f t="shared" si="40"/>
        <v>-34.410000000000004</v>
      </c>
      <c r="AG45" s="1">
        <f t="shared" si="40"/>
        <v>-13.950000000000001</v>
      </c>
      <c r="AH45" s="1">
        <f t="shared" si="40"/>
        <v>-23.715000000000003</v>
      </c>
      <c r="AI45" s="1">
        <f t="shared" si="40"/>
        <v>-19.53</v>
      </c>
      <c r="AJ45" s="1">
        <f t="shared" si="40"/>
        <v>-40.455000000000005</v>
      </c>
      <c r="AK45" s="1">
        <f t="shared" si="40"/>
        <v>-20.925000000000001</v>
      </c>
      <c r="AL45" s="1">
        <f t="shared" si="40"/>
        <v>-13.950000000000001</v>
      </c>
      <c r="AM45" s="1">
        <f t="shared" si="40"/>
        <v>-6.9750000000000005</v>
      </c>
      <c r="AN45" s="1">
        <f t="shared" si="40"/>
        <v>0.93000000000000016</v>
      </c>
      <c r="AO45" s="1">
        <f t="shared" si="40"/>
        <v>0</v>
      </c>
      <c r="AP45" s="1">
        <f t="shared" si="40"/>
        <v>0</v>
      </c>
      <c r="AQ45" s="1">
        <f t="shared" si="40"/>
        <v>0</v>
      </c>
      <c r="AR45" s="3">
        <f t="shared" si="38"/>
        <v>-2040.873</v>
      </c>
      <c r="AT45" s="1">
        <f t="shared" si="9"/>
        <v>-2040.873</v>
      </c>
    </row>
    <row r="46" spans="1:46" x14ac:dyDescent="0.25">
      <c r="B46" s="59">
        <v>0</v>
      </c>
      <c r="C46" t="s">
        <v>44</v>
      </c>
      <c r="D46" s="1">
        <f t="shared" si="31"/>
        <v>0</v>
      </c>
      <c r="E46" s="1">
        <f t="shared" si="31"/>
        <v>0</v>
      </c>
      <c r="F46" s="1">
        <f t="shared" si="31"/>
        <v>0</v>
      </c>
      <c r="G46" s="1">
        <f t="shared" si="31"/>
        <v>0</v>
      </c>
      <c r="H46" s="1">
        <f t="shared" si="31"/>
        <v>0</v>
      </c>
      <c r="I46" s="1">
        <f t="shared" si="31"/>
        <v>0</v>
      </c>
      <c r="J46" s="1">
        <f t="shared" si="31"/>
        <v>0</v>
      </c>
      <c r="K46" s="1">
        <f t="shared" si="23"/>
        <v>0</v>
      </c>
      <c r="L46" s="1">
        <f t="shared" si="23"/>
        <v>0</v>
      </c>
      <c r="M46" s="1">
        <f t="shared" si="23"/>
        <v>0</v>
      </c>
      <c r="N46" s="1">
        <f t="shared" ref="N46:AQ46" si="41">-N22*$B46</f>
        <v>0</v>
      </c>
      <c r="O46" s="1">
        <f t="shared" si="41"/>
        <v>0</v>
      </c>
      <c r="P46" s="1">
        <f t="shared" si="41"/>
        <v>0</v>
      </c>
      <c r="Q46" s="1">
        <f t="shared" si="41"/>
        <v>0</v>
      </c>
      <c r="R46" s="1">
        <f t="shared" si="41"/>
        <v>0</v>
      </c>
      <c r="S46" s="1">
        <f t="shared" si="41"/>
        <v>0</v>
      </c>
      <c r="T46" s="1">
        <f t="shared" si="41"/>
        <v>0</v>
      </c>
      <c r="U46" s="1">
        <f t="shared" si="41"/>
        <v>0</v>
      </c>
      <c r="V46" s="1">
        <f t="shared" si="41"/>
        <v>0</v>
      </c>
      <c r="W46" s="1">
        <f t="shared" si="41"/>
        <v>0</v>
      </c>
      <c r="X46" s="1">
        <f t="shared" si="41"/>
        <v>0</v>
      </c>
      <c r="Y46" s="1">
        <f t="shared" si="41"/>
        <v>0</v>
      </c>
      <c r="Z46" s="1">
        <f t="shared" si="41"/>
        <v>0</v>
      </c>
      <c r="AA46" s="1">
        <f t="shared" si="41"/>
        <v>0</v>
      </c>
      <c r="AB46" s="1">
        <f t="shared" si="41"/>
        <v>0</v>
      </c>
      <c r="AC46" s="1">
        <f t="shared" si="41"/>
        <v>0</v>
      </c>
      <c r="AD46" s="1">
        <f t="shared" si="41"/>
        <v>0</v>
      </c>
      <c r="AE46" s="1">
        <f t="shared" si="41"/>
        <v>0</v>
      </c>
      <c r="AF46" s="1">
        <f t="shared" si="41"/>
        <v>0</v>
      </c>
      <c r="AG46" s="1">
        <f t="shared" si="41"/>
        <v>0</v>
      </c>
      <c r="AH46" s="1">
        <f t="shared" si="41"/>
        <v>0</v>
      </c>
      <c r="AI46" s="1">
        <f t="shared" si="41"/>
        <v>0</v>
      </c>
      <c r="AJ46" s="1">
        <f t="shared" si="41"/>
        <v>0</v>
      </c>
      <c r="AK46" s="1">
        <f t="shared" si="41"/>
        <v>0</v>
      </c>
      <c r="AL46" s="1">
        <f t="shared" si="41"/>
        <v>0</v>
      </c>
      <c r="AM46" s="1">
        <f t="shared" si="41"/>
        <v>0</v>
      </c>
      <c r="AN46" s="1">
        <f t="shared" si="41"/>
        <v>0</v>
      </c>
      <c r="AO46" s="1">
        <f t="shared" si="41"/>
        <v>0</v>
      </c>
      <c r="AP46" s="1">
        <f t="shared" si="41"/>
        <v>0</v>
      </c>
      <c r="AQ46" s="1">
        <f t="shared" si="41"/>
        <v>0</v>
      </c>
      <c r="AR46" s="3">
        <f t="shared" si="38"/>
        <v>0</v>
      </c>
      <c r="AT46" s="1">
        <f t="shared" si="9"/>
        <v>0</v>
      </c>
    </row>
    <row r="47" spans="1:46" x14ac:dyDescent="0.25">
      <c r="B47" s="45"/>
      <c r="C47" t="s">
        <v>217</v>
      </c>
      <c r="AR47" s="3">
        <f t="shared" si="38"/>
        <v>0</v>
      </c>
      <c r="AT47" s="1">
        <f t="shared" si="9"/>
        <v>0</v>
      </c>
    </row>
    <row r="48" spans="1:46" x14ac:dyDescent="0.25">
      <c r="A48" s="2" t="s">
        <v>82</v>
      </c>
      <c r="D48" s="3">
        <f>SUM(D28:D47)</f>
        <v>0</v>
      </c>
      <c r="E48" s="3">
        <f t="shared" ref="E48:J48" si="42">SUM(E28:E47)</f>
        <v>0</v>
      </c>
      <c r="F48" s="3">
        <f t="shared" si="42"/>
        <v>0</v>
      </c>
      <c r="G48" s="3">
        <f t="shared" si="42"/>
        <v>0</v>
      </c>
      <c r="H48" s="3">
        <f t="shared" si="42"/>
        <v>0</v>
      </c>
      <c r="I48" s="3">
        <f t="shared" si="42"/>
        <v>0</v>
      </c>
      <c r="J48" s="3">
        <f t="shared" si="42"/>
        <v>-600</v>
      </c>
      <c r="K48" s="3">
        <f>SUM(K28:K47)</f>
        <v>0</v>
      </c>
      <c r="L48" s="3">
        <f>SUM(L28:L47)</f>
        <v>-11068.46025</v>
      </c>
      <c r="M48" s="3">
        <f t="shared" ref="M48:AR48" si="43">SUM(M28:M47)</f>
        <v>-3990.37</v>
      </c>
      <c r="N48" s="3">
        <f t="shared" si="43"/>
        <v>-3466.1759999999999</v>
      </c>
      <c r="O48" s="3">
        <f t="shared" si="43"/>
        <v>-6055.8599500000009</v>
      </c>
      <c r="P48" s="3">
        <f t="shared" si="43"/>
        <v>-5974.5168999999996</v>
      </c>
      <c r="Q48" s="3">
        <f t="shared" si="43"/>
        <v>-7097.3250500000013</v>
      </c>
      <c r="R48" s="3">
        <f t="shared" si="43"/>
        <v>-6471.4266999999991</v>
      </c>
      <c r="S48" s="3">
        <f t="shared" si="43"/>
        <v>-6187.6778499999991</v>
      </c>
      <c r="T48" s="3">
        <f t="shared" si="43"/>
        <v>-7150.503999999999</v>
      </c>
      <c r="U48" s="3">
        <f t="shared" si="43"/>
        <v>-6442.4276500000005</v>
      </c>
      <c r="V48" s="3">
        <f t="shared" si="43"/>
        <v>-4902.2998000000007</v>
      </c>
      <c r="W48" s="3">
        <f t="shared" si="43"/>
        <v>-6099.5577000000003</v>
      </c>
      <c r="X48" s="3">
        <f t="shared" si="43"/>
        <v>-6350.2412999999997</v>
      </c>
      <c r="Y48" s="3">
        <f t="shared" si="43"/>
        <v>-4764.4902000000002</v>
      </c>
      <c r="Z48" s="3">
        <f t="shared" si="43"/>
        <v>-2865.5112000000004</v>
      </c>
      <c r="AA48" s="3">
        <f t="shared" si="43"/>
        <v>-2857.2960000000003</v>
      </c>
      <c r="AB48" s="3">
        <f t="shared" si="43"/>
        <v>-2241.8592000000003</v>
      </c>
      <c r="AC48" s="3">
        <f t="shared" si="43"/>
        <v>-1753.8991999999998</v>
      </c>
      <c r="AD48" s="3">
        <f t="shared" si="43"/>
        <v>-1964.1828000000005</v>
      </c>
      <c r="AE48" s="3">
        <f t="shared" si="43"/>
        <v>-1242.6334999999999</v>
      </c>
      <c r="AF48" s="3">
        <f t="shared" si="43"/>
        <v>-542.66099999999994</v>
      </c>
      <c r="AG48" s="3">
        <f t="shared" si="43"/>
        <v>-713.33055000000013</v>
      </c>
      <c r="AH48" s="3">
        <f t="shared" si="43"/>
        <v>-4094.74685</v>
      </c>
      <c r="AI48" s="3">
        <f t="shared" si="43"/>
        <v>-528.43335000000002</v>
      </c>
      <c r="AJ48" s="3">
        <f t="shared" si="43"/>
        <v>-410.32154999999995</v>
      </c>
      <c r="AK48" s="3">
        <f t="shared" si="43"/>
        <v>-897.93269999999995</v>
      </c>
      <c r="AL48" s="3">
        <f t="shared" si="43"/>
        <v>-543.43320000000006</v>
      </c>
      <c r="AM48" s="3">
        <f t="shared" si="43"/>
        <v>-425.7</v>
      </c>
      <c r="AN48" s="3">
        <f t="shared" si="43"/>
        <v>-128.66749999999999</v>
      </c>
      <c r="AO48" s="3">
        <f t="shared" si="43"/>
        <v>11.346000000000002</v>
      </c>
      <c r="AP48" s="3">
        <f t="shared" si="43"/>
        <v>0</v>
      </c>
      <c r="AQ48" s="3">
        <f t="shared" si="43"/>
        <v>0</v>
      </c>
      <c r="AR48" s="3">
        <f t="shared" si="43"/>
        <v>-107820.59595000003</v>
      </c>
      <c r="AS48" s="3"/>
      <c r="AT48" s="3">
        <f t="shared" si="9"/>
        <v>-107820.59594999997</v>
      </c>
    </row>
    <row r="49" spans="1:46" s="2" customFormat="1" x14ac:dyDescent="0.25">
      <c r="B49" s="53">
        <v>6.5000000000000002E-2</v>
      </c>
      <c r="C49" s="2" t="s">
        <v>260</v>
      </c>
      <c r="D49" s="3">
        <f>-D26*$B49</f>
        <v>0</v>
      </c>
      <c r="E49" s="3">
        <f t="shared" ref="E49:J49" si="44">-E26*$B49</f>
        <v>0</v>
      </c>
      <c r="F49" s="3">
        <f t="shared" si="44"/>
        <v>0</v>
      </c>
      <c r="G49" s="3">
        <f t="shared" si="44"/>
        <v>0</v>
      </c>
      <c r="H49" s="3">
        <f t="shared" si="44"/>
        <v>0</v>
      </c>
      <c r="I49" s="3">
        <f t="shared" si="44"/>
        <v>0</v>
      </c>
      <c r="J49" s="3">
        <f t="shared" si="44"/>
        <v>0</v>
      </c>
      <c r="K49" s="3">
        <f t="shared" ref="K49:AQ49" si="45">-K26*$B49</f>
        <v>0</v>
      </c>
      <c r="L49" s="3">
        <f t="shared" si="45"/>
        <v>0</v>
      </c>
      <c r="M49" s="3">
        <f t="shared" si="45"/>
        <v>0</v>
      </c>
      <c r="N49" s="3">
        <f t="shared" si="45"/>
        <v>0</v>
      </c>
      <c r="O49" s="3">
        <f t="shared" si="45"/>
        <v>0</v>
      </c>
      <c r="P49" s="3">
        <f t="shared" si="45"/>
        <v>0</v>
      </c>
      <c r="Q49" s="3">
        <f t="shared" si="45"/>
        <v>0</v>
      </c>
      <c r="R49" s="3">
        <f t="shared" si="45"/>
        <v>0</v>
      </c>
      <c r="S49" s="3">
        <f t="shared" si="45"/>
        <v>0</v>
      </c>
      <c r="T49" s="3">
        <f t="shared" si="45"/>
        <v>0</v>
      </c>
      <c r="U49" s="3">
        <f t="shared" si="45"/>
        <v>0</v>
      </c>
      <c r="V49" s="3">
        <f t="shared" si="45"/>
        <v>0</v>
      </c>
      <c r="W49" s="3">
        <f t="shared" si="45"/>
        <v>0</v>
      </c>
      <c r="X49" s="3">
        <f t="shared" si="45"/>
        <v>0</v>
      </c>
      <c r="Y49" s="3">
        <f t="shared" si="45"/>
        <v>0</v>
      </c>
      <c r="Z49" s="3">
        <f t="shared" si="45"/>
        <v>0</v>
      </c>
      <c r="AA49" s="3">
        <f t="shared" si="45"/>
        <v>0</v>
      </c>
      <c r="AB49" s="3">
        <f t="shared" si="45"/>
        <v>0</v>
      </c>
      <c r="AC49" s="3">
        <f t="shared" si="45"/>
        <v>0</v>
      </c>
      <c r="AD49" s="3">
        <f t="shared" si="45"/>
        <v>0</v>
      </c>
      <c r="AE49" s="3">
        <f t="shared" si="45"/>
        <v>0</v>
      </c>
      <c r="AF49" s="3">
        <f t="shared" si="45"/>
        <v>0</v>
      </c>
      <c r="AG49" s="3">
        <f t="shared" si="45"/>
        <v>0</v>
      </c>
      <c r="AH49" s="3">
        <f t="shared" si="45"/>
        <v>0</v>
      </c>
      <c r="AI49" s="3">
        <f t="shared" si="45"/>
        <v>0</v>
      </c>
      <c r="AJ49" s="3">
        <f t="shared" si="45"/>
        <v>0</v>
      </c>
      <c r="AK49" s="3">
        <f t="shared" si="45"/>
        <v>0</v>
      </c>
      <c r="AL49" s="3">
        <f t="shared" si="45"/>
        <v>0</v>
      </c>
      <c r="AM49" s="3">
        <f t="shared" si="45"/>
        <v>0</v>
      </c>
      <c r="AN49" s="3">
        <f t="shared" si="45"/>
        <v>0</v>
      </c>
      <c r="AO49" s="3">
        <f t="shared" si="45"/>
        <v>0</v>
      </c>
      <c r="AP49" s="3">
        <f t="shared" si="45"/>
        <v>0</v>
      </c>
      <c r="AQ49" s="3">
        <f t="shared" si="45"/>
        <v>0</v>
      </c>
      <c r="AR49" s="3">
        <f t="shared" si="38"/>
        <v>0</v>
      </c>
      <c r="AS49" s="3"/>
      <c r="AT49" s="1"/>
    </row>
    <row r="50" spans="1:46" s="24" customFormat="1" x14ac:dyDescent="0.25">
      <c r="A50" s="23"/>
      <c r="B50" s="23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42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48"/>
    </row>
    <row r="51" spans="1:46" x14ac:dyDescent="0.25">
      <c r="A51" s="2" t="s">
        <v>81</v>
      </c>
    </row>
    <row r="52" spans="1:46" x14ac:dyDescent="0.25">
      <c r="C52" t="s">
        <v>190</v>
      </c>
      <c r="D52" s="1">
        <f t="shared" ref="D52:K71" si="46">+D28+D4</f>
        <v>0</v>
      </c>
      <c r="E52" s="1">
        <f t="shared" si="46"/>
        <v>0</v>
      </c>
      <c r="F52" s="1">
        <f t="shared" si="46"/>
        <v>0</v>
      </c>
      <c r="G52" s="1">
        <f t="shared" si="46"/>
        <v>0</v>
      </c>
      <c r="H52" s="1">
        <f t="shared" si="46"/>
        <v>0</v>
      </c>
      <c r="I52" s="1">
        <f t="shared" si="46"/>
        <v>0</v>
      </c>
      <c r="J52" s="1">
        <f t="shared" si="46"/>
        <v>0</v>
      </c>
      <c r="K52" s="1">
        <f t="shared" si="46"/>
        <v>0</v>
      </c>
      <c r="L52" s="1">
        <f t="shared" ref="L52:AQ60" si="47">+L28+L4</f>
        <v>30068.454749999997</v>
      </c>
      <c r="M52" s="1">
        <f t="shared" si="47"/>
        <v>172.2174</v>
      </c>
      <c r="N52" s="1">
        <f t="shared" si="47"/>
        <v>3243.1716000000001</v>
      </c>
      <c r="O52" s="1">
        <f t="shared" si="47"/>
        <v>18042.195749999999</v>
      </c>
      <c r="P52" s="1">
        <f t="shared" si="47"/>
        <v>9185.880000000001</v>
      </c>
      <c r="Q52" s="1">
        <f t="shared" si="47"/>
        <v>23849.716349999995</v>
      </c>
      <c r="R52" s="1">
        <f t="shared" si="47"/>
        <v>31445.277900000005</v>
      </c>
      <c r="S52" s="1">
        <f t="shared" si="47"/>
        <v>19836.294449999998</v>
      </c>
      <c r="T52" s="1">
        <f t="shared" si="47"/>
        <v>18121.832999999999</v>
      </c>
      <c r="U52" s="1">
        <f t="shared" si="47"/>
        <v>27008.72955</v>
      </c>
      <c r="V52" s="1">
        <f t="shared" si="47"/>
        <v>16512.835500000001</v>
      </c>
      <c r="W52" s="1">
        <f t="shared" si="47"/>
        <v>20268.581400000003</v>
      </c>
      <c r="X52" s="1">
        <f t="shared" si="47"/>
        <v>17637.626700000001</v>
      </c>
      <c r="Y52" s="1">
        <f t="shared" si="47"/>
        <v>4806.6030000000001</v>
      </c>
      <c r="Z52" s="1">
        <f t="shared" si="47"/>
        <v>6343.4393999999993</v>
      </c>
      <c r="AA52" s="1">
        <f t="shared" si="47"/>
        <v>2364.4728</v>
      </c>
      <c r="AB52" s="1">
        <f t="shared" si="47"/>
        <v>4233.2148000000007</v>
      </c>
      <c r="AC52" s="1">
        <f t="shared" si="47"/>
        <v>1611.0659999999998</v>
      </c>
      <c r="AD52" s="1">
        <f t="shared" si="47"/>
        <v>394.43340000000001</v>
      </c>
      <c r="AE52" s="1">
        <f t="shared" si="47"/>
        <v>1474.9587000000001</v>
      </c>
      <c r="AF52" s="1">
        <f t="shared" si="47"/>
        <v>616.64940000000001</v>
      </c>
      <c r="AG52" s="1">
        <f t="shared" si="47"/>
        <v>151.38464999999999</v>
      </c>
      <c r="AH52" s="1">
        <f t="shared" si="47"/>
        <v>9387.2371500000008</v>
      </c>
      <c r="AI52" s="1">
        <f t="shared" si="47"/>
        <v>4045.7200500000008</v>
      </c>
      <c r="AJ52" s="1">
        <f t="shared" si="47"/>
        <v>3579.0664499999998</v>
      </c>
      <c r="AK52" s="1">
        <f t="shared" si="47"/>
        <v>1408.2939000000001</v>
      </c>
      <c r="AL52" s="1">
        <f t="shared" si="47"/>
        <v>2014.6402</v>
      </c>
      <c r="AM52" s="1">
        <f t="shared" si="47"/>
        <v>333.32399999999996</v>
      </c>
      <c r="AN52" s="1">
        <f t="shared" si="47"/>
        <v>0</v>
      </c>
      <c r="AO52" s="1">
        <f t="shared" si="47"/>
        <v>0</v>
      </c>
      <c r="AP52" s="1">
        <f t="shared" si="47"/>
        <v>0</v>
      </c>
      <c r="AQ52" s="1">
        <f t="shared" si="47"/>
        <v>0</v>
      </c>
      <c r="AR52" s="3">
        <f t="shared" ref="AR52:AR71" si="48">+AR28+AR4</f>
        <v>278157.31825000001</v>
      </c>
      <c r="AT52" s="1">
        <f t="shared" ref="AT52:AT72" si="49">SUM(D52:AP52)</f>
        <v>278157.31824999989</v>
      </c>
    </row>
    <row r="53" spans="1:46" x14ac:dyDescent="0.25">
      <c r="C53" t="s">
        <v>424</v>
      </c>
      <c r="D53" s="1">
        <f t="shared" si="46"/>
        <v>0</v>
      </c>
      <c r="E53" s="1">
        <f t="shared" si="46"/>
        <v>0</v>
      </c>
      <c r="F53" s="1">
        <f t="shared" si="46"/>
        <v>0</v>
      </c>
      <c r="G53" s="1">
        <f t="shared" si="46"/>
        <v>0</v>
      </c>
      <c r="H53" s="1">
        <f t="shared" si="46"/>
        <v>0</v>
      </c>
      <c r="I53" s="1">
        <f t="shared" si="46"/>
        <v>0</v>
      </c>
      <c r="J53" s="1">
        <f t="shared" si="46"/>
        <v>-600</v>
      </c>
      <c r="K53" s="1">
        <f t="shared" si="46"/>
        <v>0</v>
      </c>
      <c r="L53" s="1">
        <f t="shared" ref="L53:Y53" si="50">+L29+L5</f>
        <v>2739.6960000000004</v>
      </c>
      <c r="M53" s="1">
        <f t="shared" si="50"/>
        <v>4467.7170000000006</v>
      </c>
      <c r="N53" s="1">
        <f t="shared" si="50"/>
        <v>4648.9769999999999</v>
      </c>
      <c r="O53" s="1">
        <f t="shared" si="50"/>
        <v>5400.5219999999999</v>
      </c>
      <c r="P53" s="1">
        <f t="shared" si="50"/>
        <v>9612.898000000001</v>
      </c>
      <c r="Q53" s="1">
        <f t="shared" si="50"/>
        <v>5925.3779999999997</v>
      </c>
      <c r="R53" s="1">
        <f t="shared" si="50"/>
        <v>6830.424</v>
      </c>
      <c r="S53" s="1">
        <f t="shared" si="50"/>
        <v>5725.5930000000008</v>
      </c>
      <c r="T53" s="1">
        <f t="shared" si="50"/>
        <v>9250.1309999999994</v>
      </c>
      <c r="U53" s="1">
        <f t="shared" si="50"/>
        <v>10919.68</v>
      </c>
      <c r="V53" s="1">
        <f t="shared" si="50"/>
        <v>8986.1070000000018</v>
      </c>
      <c r="W53" s="1">
        <f t="shared" si="50"/>
        <v>12866.895</v>
      </c>
      <c r="X53" s="1">
        <f t="shared" si="50"/>
        <v>7603.0590000000002</v>
      </c>
      <c r="Y53" s="1">
        <f t="shared" si="50"/>
        <v>3476.9429999999998</v>
      </c>
      <c r="Z53" s="1">
        <f t="shared" si="47"/>
        <v>2765.7540000000004</v>
      </c>
      <c r="AA53" s="1">
        <f t="shared" si="47"/>
        <v>1325.421</v>
      </c>
      <c r="AB53" s="1">
        <f t="shared" si="47"/>
        <v>1775.835</v>
      </c>
      <c r="AC53" s="1">
        <f t="shared" si="47"/>
        <v>424.08</v>
      </c>
      <c r="AD53" s="1">
        <f t="shared" si="47"/>
        <v>0</v>
      </c>
      <c r="AE53" s="1">
        <f t="shared" si="47"/>
        <v>212.04</v>
      </c>
      <c r="AF53" s="1">
        <f t="shared" si="47"/>
        <v>432.91499999999996</v>
      </c>
      <c r="AG53" s="1">
        <f t="shared" si="47"/>
        <v>0</v>
      </c>
      <c r="AH53" s="1">
        <f t="shared" si="47"/>
        <v>530.1</v>
      </c>
      <c r="AI53" s="1">
        <f t="shared" si="47"/>
        <v>901.17000000000007</v>
      </c>
      <c r="AJ53" s="1">
        <f t="shared" si="47"/>
        <v>583.1099999999999</v>
      </c>
      <c r="AK53" s="1">
        <f t="shared" si="47"/>
        <v>0</v>
      </c>
      <c r="AL53" s="1">
        <f t="shared" si="47"/>
        <v>1298.7449999999999</v>
      </c>
      <c r="AM53" s="1">
        <f t="shared" si="47"/>
        <v>0</v>
      </c>
      <c r="AN53" s="1">
        <f t="shared" si="47"/>
        <v>-61.844999999999992</v>
      </c>
      <c r="AO53" s="1">
        <f t="shared" si="47"/>
        <v>0</v>
      </c>
      <c r="AP53" s="1">
        <f t="shared" si="47"/>
        <v>0</v>
      </c>
      <c r="AQ53" s="1">
        <f t="shared" si="47"/>
        <v>0</v>
      </c>
      <c r="AR53" s="3">
        <f t="shared" si="48"/>
        <v>108041.345</v>
      </c>
      <c r="AT53" s="1">
        <f t="shared" si="49"/>
        <v>108041.345</v>
      </c>
    </row>
    <row r="54" spans="1:46" x14ac:dyDescent="0.25">
      <c r="C54" t="s">
        <v>347</v>
      </c>
      <c r="D54" s="1">
        <f t="shared" si="46"/>
        <v>0</v>
      </c>
      <c r="E54" s="1">
        <f t="shared" si="46"/>
        <v>0</v>
      </c>
      <c r="F54" s="1">
        <f t="shared" si="46"/>
        <v>0</v>
      </c>
      <c r="G54" s="1">
        <f t="shared" si="46"/>
        <v>0</v>
      </c>
      <c r="H54" s="1">
        <f t="shared" si="46"/>
        <v>0</v>
      </c>
      <c r="I54" s="1">
        <f t="shared" si="46"/>
        <v>0</v>
      </c>
      <c r="J54" s="1">
        <f t="shared" si="46"/>
        <v>0</v>
      </c>
      <c r="K54" s="1">
        <f t="shared" si="46"/>
        <v>0</v>
      </c>
      <c r="L54" s="1">
        <f t="shared" si="47"/>
        <v>3282.5160000000001</v>
      </c>
      <c r="M54" s="1">
        <f t="shared" si="47"/>
        <v>3233.5149999999999</v>
      </c>
      <c r="N54" s="1">
        <f t="shared" si="47"/>
        <v>2373.1379999999999</v>
      </c>
      <c r="O54" s="1">
        <f t="shared" si="47"/>
        <v>3236.2889999999998</v>
      </c>
      <c r="P54" s="1">
        <f t="shared" si="47"/>
        <v>7669.8630000000003</v>
      </c>
      <c r="Q54" s="1">
        <f t="shared" si="47"/>
        <v>3205.11</v>
      </c>
      <c r="R54" s="1">
        <f t="shared" si="47"/>
        <v>4884.1019999999999</v>
      </c>
      <c r="S54" s="1">
        <f t="shared" si="47"/>
        <v>4970.2860000000001</v>
      </c>
      <c r="T54" s="1">
        <f t="shared" si="47"/>
        <v>5771.25</v>
      </c>
      <c r="U54" s="1">
        <f t="shared" si="47"/>
        <v>5990.1299999999992</v>
      </c>
      <c r="V54" s="1">
        <f t="shared" si="47"/>
        <v>5826.8249999999998</v>
      </c>
      <c r="W54" s="1">
        <f t="shared" si="47"/>
        <v>7244.9279999999999</v>
      </c>
      <c r="X54" s="1">
        <f t="shared" si="47"/>
        <v>6043.1399999999994</v>
      </c>
      <c r="Y54" s="1">
        <f t="shared" si="47"/>
        <v>1804.6769999999999</v>
      </c>
      <c r="Z54" s="1">
        <f t="shared" si="47"/>
        <v>1603.6379999999999</v>
      </c>
      <c r="AA54" s="1">
        <f t="shared" si="47"/>
        <v>477.09</v>
      </c>
      <c r="AB54" s="1">
        <f t="shared" si="47"/>
        <v>424.08</v>
      </c>
      <c r="AC54" s="1">
        <f t="shared" si="47"/>
        <v>132.52500000000001</v>
      </c>
      <c r="AD54" s="1">
        <f t="shared" si="47"/>
        <v>79.515000000000001</v>
      </c>
      <c r="AE54" s="1">
        <f t="shared" si="47"/>
        <v>0</v>
      </c>
      <c r="AF54" s="1">
        <f t="shared" si="47"/>
        <v>503.59500000000003</v>
      </c>
      <c r="AG54" s="1">
        <f t="shared" si="47"/>
        <v>344.565</v>
      </c>
      <c r="AH54" s="1">
        <f t="shared" si="47"/>
        <v>265.05</v>
      </c>
      <c r="AI54" s="1">
        <f t="shared" si="47"/>
        <v>185.53500000000003</v>
      </c>
      <c r="AJ54" s="1">
        <f t="shared" si="47"/>
        <v>424.08</v>
      </c>
      <c r="AK54" s="1">
        <f t="shared" si="47"/>
        <v>79.515000000000001</v>
      </c>
      <c r="AL54" s="1">
        <f t="shared" si="47"/>
        <v>265.05</v>
      </c>
      <c r="AM54" s="1">
        <f t="shared" si="47"/>
        <v>0</v>
      </c>
      <c r="AN54" s="1">
        <f t="shared" si="47"/>
        <v>265.05</v>
      </c>
      <c r="AO54" s="1">
        <f t="shared" si="47"/>
        <v>0</v>
      </c>
      <c r="AP54" s="1">
        <f t="shared" si="47"/>
        <v>0</v>
      </c>
      <c r="AQ54" s="1">
        <f t="shared" si="47"/>
        <v>0</v>
      </c>
      <c r="AR54" s="3">
        <f t="shared" si="48"/>
        <v>70585.056999999986</v>
      </c>
      <c r="AT54" s="1">
        <f t="shared" si="49"/>
        <v>70585.057000000015</v>
      </c>
    </row>
    <row r="55" spans="1:46" x14ac:dyDescent="0.25">
      <c r="C55" t="s">
        <v>0</v>
      </c>
      <c r="D55" s="1">
        <f t="shared" si="46"/>
        <v>0</v>
      </c>
      <c r="E55" s="1">
        <f t="shared" si="46"/>
        <v>0</v>
      </c>
      <c r="F55" s="1">
        <f t="shared" si="46"/>
        <v>0</v>
      </c>
      <c r="G55" s="1">
        <f t="shared" si="46"/>
        <v>0</v>
      </c>
      <c r="H55" s="1">
        <f t="shared" si="46"/>
        <v>0</v>
      </c>
      <c r="I55" s="1">
        <f t="shared" si="46"/>
        <v>0</v>
      </c>
      <c r="J55" s="1">
        <f t="shared" si="46"/>
        <v>0</v>
      </c>
      <c r="K55" s="1">
        <f t="shared" si="46"/>
        <v>0</v>
      </c>
      <c r="L55" s="1">
        <f t="shared" si="47"/>
        <v>41205.225600000005</v>
      </c>
      <c r="M55" s="1">
        <f t="shared" si="47"/>
        <v>8303.0244000000002</v>
      </c>
      <c r="N55" s="1">
        <f t="shared" si="47"/>
        <v>16312.870199999998</v>
      </c>
      <c r="O55" s="1">
        <f t="shared" si="47"/>
        <v>27642.994499999997</v>
      </c>
      <c r="P55" s="1">
        <f t="shared" si="47"/>
        <v>22355.232899999999</v>
      </c>
      <c r="Q55" s="1">
        <f t="shared" si="47"/>
        <v>25185.309600000001</v>
      </c>
      <c r="R55" s="1">
        <f t="shared" si="47"/>
        <v>26130.482400000001</v>
      </c>
      <c r="S55" s="1">
        <f t="shared" si="47"/>
        <v>21149.251199999999</v>
      </c>
      <c r="T55" s="1">
        <f t="shared" si="47"/>
        <v>26798.2968</v>
      </c>
      <c r="U55" s="1">
        <f t="shared" si="47"/>
        <v>31229.972399999999</v>
      </c>
      <c r="V55" s="1">
        <f t="shared" si="47"/>
        <v>23653.162499999999</v>
      </c>
      <c r="W55" s="1">
        <f t="shared" si="47"/>
        <v>27443.2785</v>
      </c>
      <c r="X55" s="1">
        <f t="shared" si="47"/>
        <v>36275.830800000003</v>
      </c>
      <c r="Y55" s="1">
        <f t="shared" si="47"/>
        <v>29471.461799999997</v>
      </c>
      <c r="Z55" s="1">
        <f t="shared" si="47"/>
        <v>20950.881600000001</v>
      </c>
      <c r="AA55" s="1">
        <f t="shared" si="47"/>
        <v>19646.5566</v>
      </c>
      <c r="AB55" s="1">
        <f t="shared" si="47"/>
        <v>20137.001500000002</v>
      </c>
      <c r="AC55" s="1">
        <f t="shared" si="47"/>
        <v>9839.640800000001</v>
      </c>
      <c r="AD55" s="1">
        <f t="shared" si="47"/>
        <v>23789.092800000002</v>
      </c>
      <c r="AE55" s="1">
        <f t="shared" si="47"/>
        <v>4600.6487999999999</v>
      </c>
      <c r="AF55" s="1">
        <f t="shared" si="47"/>
        <v>2334.6576</v>
      </c>
      <c r="AG55" s="1">
        <f t="shared" si="47"/>
        <v>6698.7887999999994</v>
      </c>
      <c r="AH55" s="1">
        <f t="shared" si="47"/>
        <v>17700.672000000002</v>
      </c>
      <c r="AI55" s="1">
        <f t="shared" si="47"/>
        <v>961.32960000000003</v>
      </c>
      <c r="AJ55" s="1">
        <f t="shared" si="47"/>
        <v>0</v>
      </c>
      <c r="AK55" s="1">
        <f t="shared" si="47"/>
        <v>8957.1504000000004</v>
      </c>
      <c r="AL55" s="1">
        <f t="shared" si="47"/>
        <v>3021.3216000000002</v>
      </c>
      <c r="AM55" s="1">
        <f t="shared" si="47"/>
        <v>3166.2840000000001</v>
      </c>
      <c r="AN55" s="1">
        <f t="shared" si="47"/>
        <v>0</v>
      </c>
      <c r="AO55" s="1">
        <f t="shared" si="47"/>
        <v>0</v>
      </c>
      <c r="AP55" s="1">
        <f t="shared" si="47"/>
        <v>0</v>
      </c>
      <c r="AQ55" s="1">
        <f t="shared" si="47"/>
        <v>0</v>
      </c>
      <c r="AR55" s="3">
        <f t="shared" si="48"/>
        <v>504960.41969999985</v>
      </c>
      <c r="AT55" s="1">
        <f t="shared" si="49"/>
        <v>504960.41970000003</v>
      </c>
    </row>
    <row r="56" spans="1:46" x14ac:dyDescent="0.25">
      <c r="C56" t="s">
        <v>354</v>
      </c>
      <c r="D56" s="1">
        <f t="shared" si="46"/>
        <v>0</v>
      </c>
      <c r="E56" s="1">
        <f t="shared" si="46"/>
        <v>0</v>
      </c>
      <c r="F56" s="1">
        <f t="shared" si="46"/>
        <v>0</v>
      </c>
      <c r="G56" s="1">
        <f t="shared" si="46"/>
        <v>0</v>
      </c>
      <c r="H56" s="1">
        <f t="shared" si="46"/>
        <v>0</v>
      </c>
      <c r="I56" s="1">
        <f t="shared" si="46"/>
        <v>0</v>
      </c>
      <c r="J56" s="1">
        <f t="shared" si="46"/>
        <v>0</v>
      </c>
      <c r="K56" s="1">
        <f t="shared" si="46"/>
        <v>0</v>
      </c>
      <c r="L56" s="1">
        <f t="shared" si="47"/>
        <v>2387.1600000000003</v>
      </c>
      <c r="M56" s="1">
        <f t="shared" si="47"/>
        <v>238.54499999999999</v>
      </c>
      <c r="N56" s="1">
        <f t="shared" si="47"/>
        <v>634.125</v>
      </c>
      <c r="O56" s="1">
        <f t="shared" si="47"/>
        <v>1159.722</v>
      </c>
      <c r="P56" s="1">
        <f t="shared" si="47"/>
        <v>2641.1520000000005</v>
      </c>
      <c r="Q56" s="1">
        <f t="shared" si="47"/>
        <v>1554.96</v>
      </c>
      <c r="R56" s="1">
        <f t="shared" si="47"/>
        <v>1590.3</v>
      </c>
      <c r="S56" s="1">
        <f t="shared" si="47"/>
        <v>1815.8490000000002</v>
      </c>
      <c r="T56" s="1">
        <f t="shared" si="47"/>
        <v>2883.915</v>
      </c>
      <c r="U56" s="1">
        <f t="shared" si="47"/>
        <v>1263.4050000000002</v>
      </c>
      <c r="V56" s="1">
        <f t="shared" si="47"/>
        <v>686.18499999999995</v>
      </c>
      <c r="W56" s="1">
        <f t="shared" si="47"/>
        <v>1563.7949999999998</v>
      </c>
      <c r="X56" s="1">
        <f t="shared" si="47"/>
        <v>2040.8850000000002</v>
      </c>
      <c r="Y56" s="1">
        <f t="shared" si="47"/>
        <v>742.1400000000001</v>
      </c>
      <c r="Z56" s="1">
        <f t="shared" si="47"/>
        <v>759.81000000000006</v>
      </c>
      <c r="AA56" s="1">
        <f t="shared" si="47"/>
        <v>715.63499999999999</v>
      </c>
      <c r="AB56" s="1">
        <f t="shared" si="47"/>
        <v>477.09</v>
      </c>
      <c r="AC56" s="1">
        <f t="shared" si="47"/>
        <v>265.05</v>
      </c>
      <c r="AD56" s="1">
        <f t="shared" si="47"/>
        <v>0</v>
      </c>
      <c r="AE56" s="1">
        <f t="shared" si="47"/>
        <v>0</v>
      </c>
      <c r="AF56" s="1">
        <f t="shared" si="47"/>
        <v>0</v>
      </c>
      <c r="AG56" s="1">
        <f t="shared" si="47"/>
        <v>0</v>
      </c>
      <c r="AH56" s="1">
        <f t="shared" si="47"/>
        <v>1060.2</v>
      </c>
      <c r="AI56" s="1">
        <f t="shared" si="47"/>
        <v>0</v>
      </c>
      <c r="AJ56" s="1">
        <f t="shared" si="47"/>
        <v>0</v>
      </c>
      <c r="AK56" s="1">
        <f t="shared" si="47"/>
        <v>0</v>
      </c>
      <c r="AL56" s="1">
        <f t="shared" si="47"/>
        <v>0</v>
      </c>
      <c r="AM56" s="1">
        <f t="shared" si="47"/>
        <v>0</v>
      </c>
      <c r="AN56" s="1">
        <f t="shared" si="47"/>
        <v>0</v>
      </c>
      <c r="AO56" s="1">
        <f t="shared" si="47"/>
        <v>0</v>
      </c>
      <c r="AP56" s="1">
        <f t="shared" si="47"/>
        <v>0</v>
      </c>
      <c r="AQ56" s="1">
        <f t="shared" si="47"/>
        <v>0</v>
      </c>
      <c r="AR56" s="3">
        <f t="shared" si="48"/>
        <v>24479.922999999995</v>
      </c>
      <c r="AT56" s="1">
        <f t="shared" si="49"/>
        <v>24479.922999999999</v>
      </c>
    </row>
    <row r="57" spans="1:46" x14ac:dyDescent="0.25">
      <c r="C57" t="s">
        <v>265</v>
      </c>
      <c r="D57" s="1">
        <f t="shared" si="46"/>
        <v>0</v>
      </c>
      <c r="E57" s="1">
        <f t="shared" si="46"/>
        <v>0</v>
      </c>
      <c r="F57" s="1">
        <f t="shared" si="46"/>
        <v>0</v>
      </c>
      <c r="G57" s="1">
        <f t="shared" si="46"/>
        <v>0</v>
      </c>
      <c r="H57" s="1">
        <f t="shared" si="46"/>
        <v>0</v>
      </c>
      <c r="I57" s="1">
        <f t="shared" si="46"/>
        <v>0</v>
      </c>
      <c r="J57" s="1">
        <f t="shared" si="46"/>
        <v>0</v>
      </c>
      <c r="K57" s="1">
        <f t="shared" si="46"/>
        <v>0</v>
      </c>
      <c r="L57" s="1">
        <f t="shared" si="47"/>
        <v>4944.5399999999991</v>
      </c>
      <c r="M57" s="1">
        <f t="shared" si="47"/>
        <v>1323</v>
      </c>
      <c r="N57" s="1">
        <f t="shared" si="47"/>
        <v>1173.06</v>
      </c>
      <c r="O57" s="1">
        <f t="shared" si="47"/>
        <v>2169.7199999999998</v>
      </c>
      <c r="P57" s="1">
        <f t="shared" si="47"/>
        <v>5722.08</v>
      </c>
      <c r="Q57" s="1">
        <f t="shared" si="47"/>
        <v>3087</v>
      </c>
      <c r="R57" s="1">
        <f t="shared" si="47"/>
        <v>2249.1</v>
      </c>
      <c r="S57" s="1">
        <f t="shared" si="47"/>
        <v>5230.26</v>
      </c>
      <c r="T57" s="1">
        <f t="shared" si="47"/>
        <v>3598.56</v>
      </c>
      <c r="U57" s="1">
        <f t="shared" si="47"/>
        <v>8379</v>
      </c>
      <c r="V57" s="1">
        <f t="shared" si="47"/>
        <v>5821.2000000000007</v>
      </c>
      <c r="W57" s="1">
        <f t="shared" si="47"/>
        <v>3369.24</v>
      </c>
      <c r="X57" s="1">
        <f t="shared" si="47"/>
        <v>6773.76</v>
      </c>
      <c r="Y57" s="1">
        <f t="shared" si="47"/>
        <v>2028.6</v>
      </c>
      <c r="Z57" s="1">
        <f t="shared" si="47"/>
        <v>-740.88</v>
      </c>
      <c r="AA57" s="1">
        <f t="shared" si="47"/>
        <v>564.48</v>
      </c>
      <c r="AB57" s="1">
        <f t="shared" si="47"/>
        <v>-26.46</v>
      </c>
      <c r="AC57" s="1">
        <f t="shared" si="47"/>
        <v>0</v>
      </c>
      <c r="AD57" s="1">
        <f t="shared" si="47"/>
        <v>0</v>
      </c>
      <c r="AE57" s="1">
        <f t="shared" si="47"/>
        <v>0</v>
      </c>
      <c r="AF57" s="1">
        <f t="shared" si="47"/>
        <v>0</v>
      </c>
      <c r="AG57" s="1">
        <f t="shared" si="47"/>
        <v>0</v>
      </c>
      <c r="AH57" s="1">
        <f t="shared" si="47"/>
        <v>2760.66</v>
      </c>
      <c r="AI57" s="1">
        <f t="shared" si="47"/>
        <v>-17.64</v>
      </c>
      <c r="AJ57" s="1">
        <f t="shared" si="47"/>
        <v>0</v>
      </c>
      <c r="AK57" s="1">
        <f t="shared" si="47"/>
        <v>740.88</v>
      </c>
      <c r="AL57" s="1">
        <f t="shared" si="47"/>
        <v>-8.82</v>
      </c>
      <c r="AM57" s="1">
        <f t="shared" si="47"/>
        <v>0</v>
      </c>
      <c r="AN57" s="1">
        <f t="shared" si="47"/>
        <v>0</v>
      </c>
      <c r="AO57" s="1">
        <f t="shared" si="47"/>
        <v>0</v>
      </c>
      <c r="AP57" s="1">
        <f t="shared" si="47"/>
        <v>0</v>
      </c>
      <c r="AQ57" s="1">
        <f t="shared" si="47"/>
        <v>0</v>
      </c>
      <c r="AR57" s="3">
        <f t="shared" si="48"/>
        <v>59141.34</v>
      </c>
      <c r="AT57" s="1">
        <f t="shared" si="49"/>
        <v>59141.34</v>
      </c>
    </row>
    <row r="58" spans="1:46" x14ac:dyDescent="0.25">
      <c r="C58" t="s">
        <v>191</v>
      </c>
      <c r="D58" s="1">
        <f t="shared" si="46"/>
        <v>0</v>
      </c>
      <c r="E58" s="1">
        <f t="shared" si="46"/>
        <v>0</v>
      </c>
      <c r="F58" s="1">
        <f t="shared" si="46"/>
        <v>0</v>
      </c>
      <c r="G58" s="1">
        <f t="shared" si="46"/>
        <v>0</v>
      </c>
      <c r="H58" s="1">
        <f t="shared" si="46"/>
        <v>0</v>
      </c>
      <c r="I58" s="1">
        <f t="shared" si="46"/>
        <v>0</v>
      </c>
      <c r="J58" s="1">
        <f t="shared" si="46"/>
        <v>0</v>
      </c>
      <c r="K58" s="1">
        <f t="shared" si="46"/>
        <v>0</v>
      </c>
      <c r="L58" s="1">
        <f t="shared" si="47"/>
        <v>0</v>
      </c>
      <c r="M58" s="1">
        <f t="shared" si="47"/>
        <v>22141.65</v>
      </c>
      <c r="N58" s="1">
        <f t="shared" si="47"/>
        <v>1391.94</v>
      </c>
      <c r="O58" s="1">
        <f t="shared" si="47"/>
        <v>5174.3649999999998</v>
      </c>
      <c r="P58" s="1">
        <f t="shared" si="47"/>
        <v>21153.726000000002</v>
      </c>
      <c r="Q58" s="1">
        <f t="shared" si="47"/>
        <v>5673.7420000000002</v>
      </c>
      <c r="R58" s="1">
        <f t="shared" si="47"/>
        <v>21133.605</v>
      </c>
      <c r="S58" s="1">
        <f t="shared" si="47"/>
        <v>22796.408999999996</v>
      </c>
      <c r="T58" s="1">
        <f t="shared" si="47"/>
        <v>19470.8675</v>
      </c>
      <c r="U58" s="1">
        <f t="shared" si="47"/>
        <v>8790.8250000000007</v>
      </c>
      <c r="V58" s="1">
        <f t="shared" si="47"/>
        <v>79.515000000000001</v>
      </c>
      <c r="W58" s="1">
        <f t="shared" si="47"/>
        <v>11377.485000000001</v>
      </c>
      <c r="X58" s="1">
        <f t="shared" si="47"/>
        <v>8243.0550000000003</v>
      </c>
      <c r="Y58" s="1">
        <f t="shared" si="47"/>
        <v>8587.6200000000008</v>
      </c>
      <c r="Z58" s="1">
        <f t="shared" si="47"/>
        <v>7527.42</v>
      </c>
      <c r="AA58" s="1">
        <f t="shared" si="47"/>
        <v>5256.8249999999998</v>
      </c>
      <c r="AB58" s="1">
        <f t="shared" si="47"/>
        <v>4398.3574999999992</v>
      </c>
      <c r="AC58" s="1">
        <f t="shared" si="47"/>
        <v>238.54499999999999</v>
      </c>
      <c r="AD58" s="1">
        <f t="shared" si="47"/>
        <v>-26.504999999999999</v>
      </c>
      <c r="AE58" s="1">
        <f t="shared" si="47"/>
        <v>-483.03700000000003</v>
      </c>
      <c r="AF58" s="1">
        <f t="shared" si="47"/>
        <v>0</v>
      </c>
      <c r="AG58" s="1">
        <f t="shared" si="47"/>
        <v>0</v>
      </c>
      <c r="AH58" s="1">
        <f t="shared" si="47"/>
        <v>0</v>
      </c>
      <c r="AI58" s="1">
        <f t="shared" si="47"/>
        <v>-106.02</v>
      </c>
      <c r="AJ58" s="1">
        <f t="shared" si="47"/>
        <v>0</v>
      </c>
      <c r="AK58" s="1">
        <f t="shared" si="47"/>
        <v>0</v>
      </c>
      <c r="AL58" s="1">
        <f t="shared" si="47"/>
        <v>212.04</v>
      </c>
      <c r="AM58" s="1">
        <f t="shared" si="47"/>
        <v>450.58500000000004</v>
      </c>
      <c r="AN58" s="1">
        <f t="shared" si="47"/>
        <v>627.23749999999995</v>
      </c>
      <c r="AO58" s="1">
        <f t="shared" si="47"/>
        <v>-88.35</v>
      </c>
      <c r="AP58" s="1">
        <f t="shared" si="47"/>
        <v>0</v>
      </c>
      <c r="AQ58" s="1">
        <f t="shared" si="47"/>
        <v>0</v>
      </c>
      <c r="AR58" s="3">
        <f t="shared" si="48"/>
        <v>174021.90250000003</v>
      </c>
      <c r="AT58" s="1">
        <f t="shared" si="49"/>
        <v>174021.9025</v>
      </c>
    </row>
    <row r="59" spans="1:46" x14ac:dyDescent="0.25">
      <c r="C59" t="s">
        <v>549</v>
      </c>
      <c r="D59" s="1">
        <f t="shared" si="46"/>
        <v>0</v>
      </c>
      <c r="E59" s="1">
        <f t="shared" si="46"/>
        <v>0</v>
      </c>
      <c r="F59" s="1">
        <f t="shared" si="46"/>
        <v>0</v>
      </c>
      <c r="G59" s="1">
        <f t="shared" si="46"/>
        <v>0</v>
      </c>
      <c r="H59" s="1">
        <f t="shared" si="46"/>
        <v>0</v>
      </c>
      <c r="I59" s="1">
        <f t="shared" si="46"/>
        <v>0</v>
      </c>
      <c r="J59" s="1">
        <f t="shared" si="46"/>
        <v>0</v>
      </c>
      <c r="K59" s="1">
        <f t="shared" si="46"/>
        <v>0</v>
      </c>
      <c r="L59" s="1">
        <f t="shared" si="47"/>
        <v>0</v>
      </c>
      <c r="M59" s="1">
        <f t="shared" si="47"/>
        <v>0</v>
      </c>
      <c r="N59" s="1">
        <f t="shared" si="47"/>
        <v>0</v>
      </c>
      <c r="O59" s="1">
        <f t="shared" si="47"/>
        <v>0</v>
      </c>
      <c r="P59" s="1">
        <f t="shared" si="47"/>
        <v>0</v>
      </c>
      <c r="Q59" s="1">
        <f t="shared" si="47"/>
        <v>0</v>
      </c>
      <c r="R59" s="1">
        <f t="shared" si="47"/>
        <v>0</v>
      </c>
      <c r="S59" s="1">
        <f t="shared" si="47"/>
        <v>0</v>
      </c>
      <c r="T59" s="1">
        <f t="shared" si="47"/>
        <v>0</v>
      </c>
      <c r="U59" s="1">
        <f t="shared" si="47"/>
        <v>0</v>
      </c>
      <c r="V59" s="1">
        <f t="shared" si="47"/>
        <v>0</v>
      </c>
      <c r="W59" s="1">
        <f t="shared" si="47"/>
        <v>0</v>
      </c>
      <c r="X59" s="1">
        <f t="shared" si="47"/>
        <v>0</v>
      </c>
      <c r="Y59" s="1">
        <f t="shared" si="47"/>
        <v>0</v>
      </c>
      <c r="Z59" s="1">
        <f t="shared" si="47"/>
        <v>0</v>
      </c>
      <c r="AA59" s="1">
        <f t="shared" si="47"/>
        <v>0</v>
      </c>
      <c r="AB59" s="1">
        <f t="shared" si="47"/>
        <v>0</v>
      </c>
      <c r="AC59" s="1">
        <f t="shared" si="47"/>
        <v>0</v>
      </c>
      <c r="AD59" s="1">
        <f t="shared" si="47"/>
        <v>0</v>
      </c>
      <c r="AE59" s="1">
        <f t="shared" si="47"/>
        <v>0</v>
      </c>
      <c r="AF59" s="1">
        <f t="shared" si="47"/>
        <v>0</v>
      </c>
      <c r="AG59" s="1">
        <f t="shared" si="47"/>
        <v>0</v>
      </c>
      <c r="AH59" s="1">
        <f t="shared" si="47"/>
        <v>0</v>
      </c>
      <c r="AI59" s="1">
        <f t="shared" si="47"/>
        <v>0</v>
      </c>
      <c r="AJ59" s="1">
        <f t="shared" si="47"/>
        <v>0</v>
      </c>
      <c r="AK59" s="1">
        <f t="shared" si="47"/>
        <v>0</v>
      </c>
      <c r="AL59" s="1">
        <f t="shared" si="47"/>
        <v>0</v>
      </c>
      <c r="AM59" s="1">
        <f t="shared" si="47"/>
        <v>0</v>
      </c>
      <c r="AN59" s="1">
        <f t="shared" si="47"/>
        <v>0</v>
      </c>
      <c r="AO59" s="1">
        <f t="shared" si="47"/>
        <v>0</v>
      </c>
      <c r="AP59" s="1">
        <f t="shared" si="47"/>
        <v>0</v>
      </c>
      <c r="AQ59" s="1">
        <f t="shared" si="47"/>
        <v>0</v>
      </c>
      <c r="AR59" s="3">
        <f t="shared" si="48"/>
        <v>0</v>
      </c>
      <c r="AT59" s="1">
        <f t="shared" si="49"/>
        <v>0</v>
      </c>
    </row>
    <row r="60" spans="1:46" x14ac:dyDescent="0.25">
      <c r="C60" t="s">
        <v>550</v>
      </c>
      <c r="D60" s="1">
        <f t="shared" si="46"/>
        <v>0</v>
      </c>
      <c r="E60" s="1">
        <f t="shared" si="46"/>
        <v>0</v>
      </c>
      <c r="F60" s="1">
        <f t="shared" si="46"/>
        <v>0</v>
      </c>
      <c r="G60" s="1">
        <f t="shared" si="46"/>
        <v>0</v>
      </c>
      <c r="H60" s="1">
        <f t="shared" si="46"/>
        <v>0</v>
      </c>
      <c r="I60" s="1">
        <f t="shared" si="46"/>
        <v>0</v>
      </c>
      <c r="J60" s="1">
        <f t="shared" si="46"/>
        <v>0</v>
      </c>
      <c r="K60" s="1">
        <f t="shared" si="46"/>
        <v>0</v>
      </c>
      <c r="L60" s="1">
        <f t="shared" si="47"/>
        <v>0</v>
      </c>
      <c r="M60" s="1">
        <f t="shared" si="47"/>
        <v>1714.1759999999999</v>
      </c>
      <c r="N60" s="1">
        <f t="shared" si="47"/>
        <v>-17.856000000000002</v>
      </c>
      <c r="O60" s="1">
        <f t="shared" si="47"/>
        <v>509.06879999999995</v>
      </c>
      <c r="P60" s="1">
        <f t="shared" si="47"/>
        <v>0</v>
      </c>
      <c r="Q60" s="1">
        <f t="shared" ref="L60:AQ67" si="51">+Q36+Q12</f>
        <v>830.30399999999997</v>
      </c>
      <c r="R60" s="1">
        <f t="shared" si="51"/>
        <v>7142.7839999999997</v>
      </c>
      <c r="S60" s="1">
        <f t="shared" si="51"/>
        <v>9667.5648000000001</v>
      </c>
      <c r="T60" s="1">
        <f t="shared" si="51"/>
        <v>0</v>
      </c>
      <c r="U60" s="1">
        <f t="shared" si="51"/>
        <v>3696.6527999999998</v>
      </c>
      <c r="V60" s="1">
        <f t="shared" si="51"/>
        <v>3659.04</v>
      </c>
      <c r="W60" s="1">
        <f t="shared" si="51"/>
        <v>1692.1727999999998</v>
      </c>
      <c r="X60" s="1">
        <f t="shared" si="51"/>
        <v>4951.2384000000011</v>
      </c>
      <c r="Y60" s="1">
        <f t="shared" si="51"/>
        <v>2147.5007999999998</v>
      </c>
      <c r="Z60" s="1">
        <f t="shared" si="51"/>
        <v>1062.4895999999999</v>
      </c>
      <c r="AA60" s="1">
        <f t="shared" si="51"/>
        <v>1035.6479999999999</v>
      </c>
      <c r="AB60" s="1">
        <f t="shared" si="51"/>
        <v>1812.384</v>
      </c>
      <c r="AC60" s="1">
        <f t="shared" si="51"/>
        <v>1526.6879999999999</v>
      </c>
      <c r="AD60" s="1">
        <f t="shared" si="51"/>
        <v>2865.8879999999999</v>
      </c>
      <c r="AE60" s="1">
        <f t="shared" si="51"/>
        <v>1669.5359999999998</v>
      </c>
      <c r="AF60" s="1">
        <f t="shared" si="51"/>
        <v>133.91999999999999</v>
      </c>
      <c r="AG60" s="1">
        <f t="shared" si="51"/>
        <v>491.04</v>
      </c>
      <c r="AH60" s="1">
        <f t="shared" si="51"/>
        <v>1339.2</v>
      </c>
      <c r="AI60" s="1">
        <f t="shared" si="51"/>
        <v>1499.904</v>
      </c>
      <c r="AJ60" s="1">
        <f t="shared" si="51"/>
        <v>1705.248</v>
      </c>
      <c r="AK60" s="1">
        <f t="shared" si="51"/>
        <v>1089.2159999999999</v>
      </c>
      <c r="AL60" s="1">
        <f t="shared" si="51"/>
        <v>455.32800000000003</v>
      </c>
      <c r="AM60" s="1">
        <f t="shared" si="51"/>
        <v>616.03199999999993</v>
      </c>
      <c r="AN60" s="1">
        <f t="shared" si="51"/>
        <v>499.96799999999996</v>
      </c>
      <c r="AO60" s="1">
        <f t="shared" si="51"/>
        <v>-80.352000000000004</v>
      </c>
      <c r="AP60" s="1">
        <f t="shared" si="51"/>
        <v>0</v>
      </c>
      <c r="AQ60" s="1">
        <f t="shared" si="51"/>
        <v>0</v>
      </c>
      <c r="AR60" s="3">
        <f t="shared" si="48"/>
        <v>53714.784000000021</v>
      </c>
      <c r="AT60" s="1">
        <f t="shared" si="49"/>
        <v>53714.784000000007</v>
      </c>
    </row>
    <row r="61" spans="1:46" x14ac:dyDescent="0.25">
      <c r="C61" t="s">
        <v>6</v>
      </c>
      <c r="D61" s="1">
        <f t="shared" si="46"/>
        <v>0</v>
      </c>
      <c r="E61" s="1">
        <f t="shared" si="46"/>
        <v>0</v>
      </c>
      <c r="F61" s="1">
        <f t="shared" si="46"/>
        <v>0</v>
      </c>
      <c r="G61" s="1">
        <f t="shared" si="46"/>
        <v>0</v>
      </c>
      <c r="H61" s="1">
        <f t="shared" si="46"/>
        <v>0</v>
      </c>
      <c r="I61" s="1">
        <f t="shared" si="46"/>
        <v>0</v>
      </c>
      <c r="J61" s="1">
        <f t="shared" si="46"/>
        <v>0</v>
      </c>
      <c r="K61" s="1">
        <f t="shared" si="46"/>
        <v>0</v>
      </c>
      <c r="L61" s="1">
        <f t="shared" si="51"/>
        <v>33433.584000000003</v>
      </c>
      <c r="M61" s="1">
        <f t="shared" si="51"/>
        <v>15180.66</v>
      </c>
      <c r="N61" s="1">
        <f t="shared" si="51"/>
        <v>15366.5754</v>
      </c>
      <c r="O61" s="1">
        <f t="shared" si="51"/>
        <v>15180.66</v>
      </c>
      <c r="P61" s="1">
        <f t="shared" si="51"/>
        <v>11770.528</v>
      </c>
      <c r="Q61" s="1">
        <f t="shared" si="51"/>
        <v>36340.084000000003</v>
      </c>
      <c r="R61" s="1">
        <f t="shared" si="51"/>
        <v>12144.528</v>
      </c>
      <c r="S61" s="1">
        <f t="shared" si="51"/>
        <v>13662.593999999999</v>
      </c>
      <c r="T61" s="1">
        <f t="shared" si="51"/>
        <v>15132.1896</v>
      </c>
      <c r="U61" s="1">
        <f t="shared" si="51"/>
        <v>10555.776</v>
      </c>
      <c r="V61" s="1">
        <f t="shared" si="51"/>
        <v>9387.1008000000002</v>
      </c>
      <c r="W61" s="1">
        <f t="shared" si="51"/>
        <v>7718.9112000000005</v>
      </c>
      <c r="X61" s="1">
        <f t="shared" si="51"/>
        <v>0</v>
      </c>
      <c r="Y61" s="1">
        <f t="shared" si="51"/>
        <v>8494.1010000000006</v>
      </c>
      <c r="Z61" s="1">
        <f t="shared" si="51"/>
        <v>-522.29100000000005</v>
      </c>
      <c r="AA61" s="1">
        <f t="shared" si="51"/>
        <v>7147.14</v>
      </c>
      <c r="AB61" s="1">
        <f t="shared" si="51"/>
        <v>0</v>
      </c>
      <c r="AC61" s="1">
        <f t="shared" si="51"/>
        <v>7422.03</v>
      </c>
      <c r="AD61" s="1">
        <f t="shared" si="51"/>
        <v>0</v>
      </c>
      <c r="AE61" s="1">
        <f t="shared" si="51"/>
        <v>5937.6239999999998</v>
      </c>
      <c r="AF61" s="1">
        <f t="shared" si="51"/>
        <v>-54.977999999999994</v>
      </c>
      <c r="AG61" s="1">
        <f t="shared" si="51"/>
        <v>0</v>
      </c>
      <c r="AH61" s="1">
        <f t="shared" si="51"/>
        <v>29688.12</v>
      </c>
      <c r="AI61" s="1">
        <f t="shared" si="51"/>
        <v>0</v>
      </c>
      <c r="AJ61" s="1">
        <f t="shared" si="51"/>
        <v>0</v>
      </c>
      <c r="AK61" s="1">
        <f t="shared" si="51"/>
        <v>0</v>
      </c>
      <c r="AL61" s="1">
        <f t="shared" si="51"/>
        <v>0</v>
      </c>
      <c r="AM61" s="1">
        <f t="shared" si="51"/>
        <v>0</v>
      </c>
      <c r="AN61" s="1">
        <f t="shared" si="51"/>
        <v>0</v>
      </c>
      <c r="AO61" s="1">
        <f t="shared" si="51"/>
        <v>0</v>
      </c>
      <c r="AP61" s="1">
        <f t="shared" si="51"/>
        <v>0</v>
      </c>
      <c r="AQ61" s="1">
        <f t="shared" si="51"/>
        <v>0</v>
      </c>
      <c r="AR61" s="3">
        <f t="shared" si="48"/>
        <v>253984.93699999995</v>
      </c>
      <c r="AT61" s="1">
        <f t="shared" si="49"/>
        <v>253984.93700000009</v>
      </c>
    </row>
    <row r="62" spans="1:46" x14ac:dyDescent="0.25">
      <c r="C62" t="s">
        <v>262</v>
      </c>
      <c r="D62" s="1">
        <f t="shared" si="46"/>
        <v>0</v>
      </c>
      <c r="E62" s="1">
        <f t="shared" si="46"/>
        <v>0</v>
      </c>
      <c r="F62" s="1">
        <f t="shared" si="46"/>
        <v>0</v>
      </c>
      <c r="G62" s="1">
        <f t="shared" si="46"/>
        <v>0</v>
      </c>
      <c r="H62" s="1">
        <f t="shared" si="46"/>
        <v>0</v>
      </c>
      <c r="I62" s="1">
        <f t="shared" si="46"/>
        <v>0</v>
      </c>
      <c r="J62" s="1">
        <f t="shared" si="46"/>
        <v>0</v>
      </c>
      <c r="K62" s="1">
        <f t="shared" si="46"/>
        <v>0</v>
      </c>
      <c r="L62" s="1">
        <f t="shared" si="51"/>
        <v>218.53800000000001</v>
      </c>
      <c r="M62" s="1">
        <f t="shared" si="51"/>
        <v>4620.42</v>
      </c>
      <c r="N62" s="1">
        <f t="shared" si="51"/>
        <v>2995.0649999999996</v>
      </c>
      <c r="O62" s="1">
        <f t="shared" si="51"/>
        <v>5683.527</v>
      </c>
      <c r="P62" s="1">
        <f t="shared" si="51"/>
        <v>4778.8040000000001</v>
      </c>
      <c r="Q62" s="1">
        <f t="shared" si="51"/>
        <v>4770.8999999999996</v>
      </c>
      <c r="R62" s="1">
        <f t="shared" si="51"/>
        <v>3127.0769999999998</v>
      </c>
      <c r="S62" s="1">
        <f t="shared" si="51"/>
        <v>5233.0844999999999</v>
      </c>
      <c r="T62" s="1">
        <f t="shared" si="51"/>
        <v>2709.1624999999995</v>
      </c>
      <c r="U62" s="1">
        <f t="shared" si="51"/>
        <v>2553.1439999999998</v>
      </c>
      <c r="V62" s="1">
        <f t="shared" si="51"/>
        <v>2863.623</v>
      </c>
      <c r="W62" s="1">
        <f t="shared" si="51"/>
        <v>3591.7980000000002</v>
      </c>
      <c r="X62" s="1">
        <f t="shared" si="51"/>
        <v>2414.748</v>
      </c>
      <c r="Y62" s="1">
        <f t="shared" si="51"/>
        <v>1150.374</v>
      </c>
      <c r="Z62" s="1">
        <f t="shared" si="51"/>
        <v>831.97199999999998</v>
      </c>
      <c r="AA62" s="1">
        <f t="shared" si="51"/>
        <v>-44.174999999999997</v>
      </c>
      <c r="AB62" s="1">
        <f t="shared" si="51"/>
        <v>901.17000000000007</v>
      </c>
      <c r="AC62" s="1">
        <f t="shared" si="51"/>
        <v>176.7</v>
      </c>
      <c r="AD62" s="1">
        <f t="shared" si="51"/>
        <v>0</v>
      </c>
      <c r="AE62" s="1">
        <f t="shared" si="51"/>
        <v>291.55499999999995</v>
      </c>
      <c r="AF62" s="1">
        <f t="shared" si="51"/>
        <v>830.4899999999999</v>
      </c>
      <c r="AG62" s="1">
        <f t="shared" si="51"/>
        <v>0</v>
      </c>
      <c r="AH62" s="1">
        <f t="shared" si="51"/>
        <v>0</v>
      </c>
      <c r="AI62" s="1">
        <f t="shared" si="51"/>
        <v>0</v>
      </c>
      <c r="AJ62" s="1">
        <f t="shared" si="51"/>
        <v>0</v>
      </c>
      <c r="AK62" s="1">
        <f t="shared" si="51"/>
        <v>1033.6949999999999</v>
      </c>
      <c r="AL62" s="1">
        <f t="shared" si="51"/>
        <v>1404.7650000000001</v>
      </c>
      <c r="AM62" s="1">
        <f t="shared" si="51"/>
        <v>265.05</v>
      </c>
      <c r="AN62" s="1">
        <f t="shared" si="51"/>
        <v>-30.837</v>
      </c>
      <c r="AO62" s="1">
        <f t="shared" si="51"/>
        <v>0</v>
      </c>
      <c r="AP62" s="1">
        <f t="shared" si="51"/>
        <v>0</v>
      </c>
      <c r="AQ62" s="1">
        <f t="shared" si="51"/>
        <v>0</v>
      </c>
      <c r="AR62" s="3">
        <f t="shared" si="48"/>
        <v>52370.64999999998</v>
      </c>
      <c r="AT62" s="1">
        <f t="shared" si="49"/>
        <v>52370.65</v>
      </c>
    </row>
    <row r="63" spans="1:46" x14ac:dyDescent="0.25">
      <c r="C63" t="s">
        <v>42</v>
      </c>
      <c r="D63" s="1">
        <f t="shared" si="46"/>
        <v>0</v>
      </c>
      <c r="E63" s="1">
        <f t="shared" si="46"/>
        <v>0</v>
      </c>
      <c r="F63" s="1">
        <f t="shared" si="46"/>
        <v>0</v>
      </c>
      <c r="G63" s="1">
        <f t="shared" si="46"/>
        <v>0</v>
      </c>
      <c r="H63" s="1">
        <f t="shared" si="46"/>
        <v>0</v>
      </c>
      <c r="I63" s="1">
        <f t="shared" si="46"/>
        <v>0</v>
      </c>
      <c r="J63" s="1">
        <f t="shared" si="46"/>
        <v>0</v>
      </c>
      <c r="K63" s="1">
        <f t="shared" si="46"/>
        <v>0</v>
      </c>
      <c r="L63" s="1">
        <f t="shared" si="51"/>
        <v>12112.56</v>
      </c>
      <c r="M63" s="1">
        <f t="shared" si="51"/>
        <v>0</v>
      </c>
      <c r="N63" s="1">
        <f t="shared" si="51"/>
        <v>3172.5</v>
      </c>
      <c r="O63" s="1">
        <f t="shared" si="51"/>
        <v>1669.4399999999998</v>
      </c>
      <c r="P63" s="1">
        <f t="shared" si="51"/>
        <v>6065.82</v>
      </c>
      <c r="Q63" s="1">
        <f t="shared" si="51"/>
        <v>3356.46</v>
      </c>
      <c r="R63" s="1">
        <f t="shared" si="51"/>
        <v>3477.06</v>
      </c>
      <c r="S63" s="1">
        <f t="shared" si="51"/>
        <v>2867.94</v>
      </c>
      <c r="T63" s="1">
        <f t="shared" si="51"/>
        <v>1531.26</v>
      </c>
      <c r="U63" s="1">
        <f t="shared" si="51"/>
        <v>6116.58</v>
      </c>
      <c r="V63" s="1">
        <f t="shared" si="51"/>
        <v>2791.8</v>
      </c>
      <c r="W63" s="1">
        <f t="shared" si="51"/>
        <v>3361.6800000000003</v>
      </c>
      <c r="X63" s="1">
        <f t="shared" si="51"/>
        <v>5177.5199999999995</v>
      </c>
      <c r="Y63" s="1">
        <f t="shared" si="51"/>
        <v>1387.44</v>
      </c>
      <c r="Z63" s="1">
        <f t="shared" si="51"/>
        <v>659.88</v>
      </c>
      <c r="AA63" s="1">
        <f t="shared" si="51"/>
        <v>448.38</v>
      </c>
      <c r="AB63" s="1">
        <f t="shared" si="51"/>
        <v>0</v>
      </c>
      <c r="AC63" s="1">
        <f t="shared" si="51"/>
        <v>456.84</v>
      </c>
      <c r="AD63" s="1">
        <f t="shared" si="51"/>
        <v>0</v>
      </c>
      <c r="AE63" s="1">
        <f t="shared" si="51"/>
        <v>473.76</v>
      </c>
      <c r="AF63" s="1">
        <f t="shared" si="51"/>
        <v>499.14</v>
      </c>
      <c r="AG63" s="1">
        <f t="shared" si="51"/>
        <v>304.56</v>
      </c>
      <c r="AH63" s="1">
        <f t="shared" si="51"/>
        <v>228.42</v>
      </c>
      <c r="AI63" s="1">
        <f t="shared" si="51"/>
        <v>152.28</v>
      </c>
      <c r="AJ63" s="1">
        <f t="shared" si="51"/>
        <v>380.7</v>
      </c>
      <c r="AK63" s="1">
        <f t="shared" si="51"/>
        <v>0</v>
      </c>
      <c r="AL63" s="1">
        <f t="shared" si="51"/>
        <v>0</v>
      </c>
      <c r="AM63" s="1">
        <f t="shared" si="51"/>
        <v>0</v>
      </c>
      <c r="AN63" s="1">
        <f t="shared" si="51"/>
        <v>177.6</v>
      </c>
      <c r="AO63" s="1">
        <f t="shared" si="51"/>
        <v>-33.840000000000003</v>
      </c>
      <c r="AP63" s="1">
        <f t="shared" si="51"/>
        <v>0</v>
      </c>
      <c r="AQ63" s="1">
        <f t="shared" si="51"/>
        <v>0</v>
      </c>
      <c r="AR63" s="3">
        <f t="shared" si="48"/>
        <v>56835.779999999992</v>
      </c>
      <c r="AT63" s="1">
        <f t="shared" si="49"/>
        <v>56835.779999999992</v>
      </c>
    </row>
    <row r="64" spans="1:46" x14ac:dyDescent="0.25">
      <c r="C64" t="s">
        <v>192</v>
      </c>
      <c r="D64" s="1">
        <f t="shared" si="46"/>
        <v>0</v>
      </c>
      <c r="E64" s="1">
        <f t="shared" si="46"/>
        <v>0</v>
      </c>
      <c r="F64" s="1">
        <f t="shared" si="46"/>
        <v>0</v>
      </c>
      <c r="G64" s="1">
        <f t="shared" si="46"/>
        <v>0</v>
      </c>
      <c r="H64" s="1">
        <f t="shared" si="46"/>
        <v>0</v>
      </c>
      <c r="I64" s="1">
        <f t="shared" si="46"/>
        <v>0</v>
      </c>
      <c r="J64" s="1">
        <f t="shared" si="46"/>
        <v>0</v>
      </c>
      <c r="K64" s="1">
        <f t="shared" si="46"/>
        <v>0</v>
      </c>
      <c r="L64" s="1">
        <f t="shared" si="51"/>
        <v>0</v>
      </c>
      <c r="M64" s="1">
        <f t="shared" si="51"/>
        <v>14940.720000000001</v>
      </c>
      <c r="N64" s="1">
        <f t="shared" si="51"/>
        <v>1914.1799999999998</v>
      </c>
      <c r="O64" s="1">
        <f t="shared" si="51"/>
        <v>4322.4000000000005</v>
      </c>
      <c r="P64" s="1">
        <f t="shared" si="51"/>
        <v>12301.32</v>
      </c>
      <c r="Q64" s="1">
        <f t="shared" si="51"/>
        <v>4127.76</v>
      </c>
      <c r="R64" s="1">
        <f t="shared" si="51"/>
        <v>12753.72</v>
      </c>
      <c r="S64" s="1">
        <f t="shared" si="51"/>
        <v>2512.4100000000003</v>
      </c>
      <c r="T64" s="1">
        <f t="shared" si="51"/>
        <v>5488.02</v>
      </c>
      <c r="U64" s="1">
        <f t="shared" si="51"/>
        <v>6793.56</v>
      </c>
      <c r="V64" s="1">
        <f t="shared" si="51"/>
        <v>4767.2259999999997</v>
      </c>
      <c r="W64" s="1">
        <f t="shared" si="51"/>
        <v>9067.14</v>
      </c>
      <c r="X64" s="1">
        <f t="shared" si="51"/>
        <v>7179.36</v>
      </c>
      <c r="Y64" s="1">
        <f t="shared" si="51"/>
        <v>1481.76</v>
      </c>
      <c r="Z64" s="1">
        <f t="shared" si="51"/>
        <v>1534.68</v>
      </c>
      <c r="AA64" s="1">
        <f t="shared" si="51"/>
        <v>873.18000000000006</v>
      </c>
      <c r="AB64" s="1">
        <f t="shared" si="51"/>
        <v>837.9</v>
      </c>
      <c r="AC64" s="1">
        <f t="shared" si="51"/>
        <v>1084.8599999999999</v>
      </c>
      <c r="AD64" s="1">
        <f t="shared" si="51"/>
        <v>264.60000000000002</v>
      </c>
      <c r="AE64" s="1">
        <f t="shared" si="51"/>
        <v>0</v>
      </c>
      <c r="AF64" s="1">
        <f t="shared" si="51"/>
        <v>-44.1</v>
      </c>
      <c r="AG64" s="1">
        <f t="shared" si="51"/>
        <v>0</v>
      </c>
      <c r="AH64" s="1">
        <f t="shared" si="51"/>
        <v>5821.2</v>
      </c>
      <c r="AI64" s="1">
        <f t="shared" si="51"/>
        <v>792.32999999999993</v>
      </c>
      <c r="AJ64" s="1">
        <f t="shared" si="51"/>
        <v>1614.06</v>
      </c>
      <c r="AK64" s="1">
        <f t="shared" si="51"/>
        <v>-26.46</v>
      </c>
      <c r="AL64" s="1">
        <f t="shared" si="51"/>
        <v>0</v>
      </c>
      <c r="AM64" s="1">
        <f t="shared" si="51"/>
        <v>0</v>
      </c>
      <c r="AN64" s="1">
        <f t="shared" si="51"/>
        <v>0</v>
      </c>
      <c r="AO64" s="1">
        <f t="shared" si="51"/>
        <v>0</v>
      </c>
      <c r="AP64" s="1">
        <f t="shared" si="51"/>
        <v>0</v>
      </c>
      <c r="AQ64" s="1">
        <f t="shared" si="51"/>
        <v>0</v>
      </c>
      <c r="AR64" s="3">
        <f t="shared" si="48"/>
        <v>100401.82599999997</v>
      </c>
      <c r="AT64" s="1">
        <f t="shared" si="49"/>
        <v>100401.82599999997</v>
      </c>
    </row>
    <row r="65" spans="1:49" x14ac:dyDescent="0.25">
      <c r="C65" t="s">
        <v>133</v>
      </c>
      <c r="D65" s="1">
        <f t="shared" si="46"/>
        <v>0</v>
      </c>
      <c r="E65" s="1">
        <f t="shared" si="46"/>
        <v>0</v>
      </c>
      <c r="F65" s="1">
        <f t="shared" si="46"/>
        <v>0</v>
      </c>
      <c r="G65" s="1">
        <f t="shared" si="46"/>
        <v>0</v>
      </c>
      <c r="H65" s="1">
        <f t="shared" si="46"/>
        <v>0</v>
      </c>
      <c r="I65" s="1">
        <f t="shared" si="46"/>
        <v>0</v>
      </c>
      <c r="J65" s="1">
        <f t="shared" si="46"/>
        <v>0</v>
      </c>
      <c r="K65" s="1">
        <f t="shared" si="46"/>
        <v>0</v>
      </c>
      <c r="L65" s="1">
        <f t="shared" si="51"/>
        <v>2201.625</v>
      </c>
      <c r="M65" s="1">
        <f t="shared" si="51"/>
        <v>927.67499999999995</v>
      </c>
      <c r="N65" s="1">
        <f t="shared" si="51"/>
        <v>2353.8149999999996</v>
      </c>
      <c r="O65" s="1">
        <f t="shared" si="51"/>
        <v>2602.1639999999998</v>
      </c>
      <c r="P65" s="1">
        <f t="shared" si="51"/>
        <v>4454.7210000000005</v>
      </c>
      <c r="Q65" s="1">
        <f t="shared" si="51"/>
        <v>3105.93</v>
      </c>
      <c r="R65" s="1">
        <f t="shared" si="51"/>
        <v>2399.1299999999997</v>
      </c>
      <c r="S65" s="1">
        <f t="shared" si="51"/>
        <v>3632.0400000000004</v>
      </c>
      <c r="T65" s="1">
        <f t="shared" si="51"/>
        <v>5892.6599999999989</v>
      </c>
      <c r="U65" s="1">
        <f t="shared" si="51"/>
        <v>4249.6349999999993</v>
      </c>
      <c r="V65" s="1">
        <f t="shared" si="51"/>
        <v>2367.7799999999997</v>
      </c>
      <c r="W65" s="1">
        <f t="shared" si="51"/>
        <v>2721.2370000000001</v>
      </c>
      <c r="X65" s="1">
        <f t="shared" si="51"/>
        <v>3830.2860000000005</v>
      </c>
      <c r="Y65" s="1">
        <f t="shared" si="51"/>
        <v>1608.0840000000001</v>
      </c>
      <c r="Z65" s="1">
        <f t="shared" si="51"/>
        <v>1599.3630000000001</v>
      </c>
      <c r="AA65" s="1">
        <f t="shared" si="51"/>
        <v>901.39799999999991</v>
      </c>
      <c r="AB65" s="1">
        <f t="shared" si="51"/>
        <v>856.995</v>
      </c>
      <c r="AC65" s="1">
        <f t="shared" si="51"/>
        <v>733.30500000000006</v>
      </c>
      <c r="AD65" s="1">
        <f t="shared" si="51"/>
        <v>636.12</v>
      </c>
      <c r="AE65" s="1">
        <f t="shared" si="51"/>
        <v>503.59499999999991</v>
      </c>
      <c r="AF65" s="1">
        <f t="shared" si="51"/>
        <v>565.43999999999994</v>
      </c>
      <c r="AG65" s="1">
        <f t="shared" si="51"/>
        <v>609.61500000000001</v>
      </c>
      <c r="AH65" s="1">
        <f t="shared" si="51"/>
        <v>515.375</v>
      </c>
      <c r="AI65" s="1">
        <f t="shared" si="51"/>
        <v>768.64499999999998</v>
      </c>
      <c r="AJ65" s="1">
        <f t="shared" si="51"/>
        <v>167.86499999999998</v>
      </c>
      <c r="AK65" s="1">
        <f t="shared" si="51"/>
        <v>0</v>
      </c>
      <c r="AL65" s="1">
        <f t="shared" si="51"/>
        <v>291.55499999999995</v>
      </c>
      <c r="AM65" s="1">
        <f t="shared" si="51"/>
        <v>265.05</v>
      </c>
      <c r="AN65" s="1">
        <f t="shared" si="51"/>
        <v>238.54499999999999</v>
      </c>
      <c r="AO65" s="1">
        <f t="shared" si="51"/>
        <v>0</v>
      </c>
      <c r="AP65" s="1">
        <f t="shared" si="51"/>
        <v>0</v>
      </c>
      <c r="AQ65" s="1">
        <f t="shared" si="51"/>
        <v>0</v>
      </c>
      <c r="AR65" s="3">
        <f t="shared" si="48"/>
        <v>50999.647999999986</v>
      </c>
      <c r="AT65" s="1">
        <f t="shared" si="49"/>
        <v>50999.648000000008</v>
      </c>
    </row>
    <row r="66" spans="1:49" x14ac:dyDescent="0.25">
      <c r="C66" t="s">
        <v>41</v>
      </c>
      <c r="D66" s="1">
        <f t="shared" si="46"/>
        <v>0</v>
      </c>
      <c r="E66" s="1">
        <f t="shared" si="46"/>
        <v>0</v>
      </c>
      <c r="F66" s="1">
        <f t="shared" si="46"/>
        <v>0</v>
      </c>
      <c r="G66" s="1">
        <f t="shared" si="46"/>
        <v>0</v>
      </c>
      <c r="H66" s="1">
        <f t="shared" si="46"/>
        <v>0</v>
      </c>
      <c r="I66" s="1">
        <f t="shared" si="46"/>
        <v>0</v>
      </c>
      <c r="J66" s="1">
        <f t="shared" si="46"/>
        <v>0</v>
      </c>
      <c r="K66" s="1">
        <f t="shared" si="46"/>
        <v>0</v>
      </c>
      <c r="L66" s="1">
        <f t="shared" si="51"/>
        <v>20140.4964</v>
      </c>
      <c r="M66" s="1">
        <f t="shared" si="51"/>
        <v>5421.9011999999993</v>
      </c>
      <c r="N66" s="1">
        <f t="shared" si="51"/>
        <v>6063.1128000000008</v>
      </c>
      <c r="O66" s="1">
        <f t="shared" si="51"/>
        <v>22655.598000000002</v>
      </c>
      <c r="P66" s="1">
        <f t="shared" si="51"/>
        <v>12609.799199999999</v>
      </c>
      <c r="Q66" s="1">
        <f t="shared" si="51"/>
        <v>16627.566000000003</v>
      </c>
      <c r="R66" s="1">
        <f t="shared" si="51"/>
        <v>13657.823999999999</v>
      </c>
      <c r="S66" s="1">
        <f t="shared" si="51"/>
        <v>10221.823200000001</v>
      </c>
      <c r="T66" s="1">
        <f t="shared" si="51"/>
        <v>21870.171599999998</v>
      </c>
      <c r="U66" s="1">
        <f t="shared" si="51"/>
        <v>16121.037600000001</v>
      </c>
      <c r="V66" s="1">
        <f t="shared" si="51"/>
        <v>15168.2724</v>
      </c>
      <c r="W66" s="1">
        <f t="shared" si="51"/>
        <v>15754.268400000001</v>
      </c>
      <c r="X66" s="1">
        <f t="shared" si="51"/>
        <v>25221.628799999999</v>
      </c>
      <c r="Y66" s="1">
        <f t="shared" si="51"/>
        <v>15224.7852</v>
      </c>
      <c r="Z66" s="1">
        <f t="shared" si="51"/>
        <v>6826.4491999999991</v>
      </c>
      <c r="AA66" s="1">
        <f t="shared" si="51"/>
        <v>6222.8375999999998</v>
      </c>
      <c r="AB66" s="1">
        <f t="shared" si="51"/>
        <v>2876.1180000000004</v>
      </c>
      <c r="AC66" s="1">
        <f t="shared" si="51"/>
        <v>4746.9059999999999</v>
      </c>
      <c r="AD66" s="1">
        <f t="shared" si="51"/>
        <v>2089.3380000000002</v>
      </c>
      <c r="AE66" s="1">
        <f t="shared" si="51"/>
        <v>5227.7159999999994</v>
      </c>
      <c r="AF66" s="1">
        <f t="shared" si="51"/>
        <v>3321.96</v>
      </c>
      <c r="AG66" s="1">
        <f t="shared" si="51"/>
        <v>2517.6959999999999</v>
      </c>
      <c r="AH66" s="1">
        <f t="shared" si="51"/>
        <v>7098.5040000000008</v>
      </c>
      <c r="AI66" s="1">
        <f t="shared" si="51"/>
        <v>3539.0529999999999</v>
      </c>
      <c r="AJ66" s="1">
        <f t="shared" si="51"/>
        <v>2858.634</v>
      </c>
      <c r="AK66" s="1">
        <f t="shared" si="51"/>
        <v>2019.4020000000003</v>
      </c>
      <c r="AL66" s="1">
        <f t="shared" si="51"/>
        <v>1363.7520000000002</v>
      </c>
      <c r="AM66" s="1">
        <f t="shared" si="51"/>
        <v>1821.25</v>
      </c>
      <c r="AN66" s="1">
        <f t="shared" si="51"/>
        <v>847.97400000000005</v>
      </c>
      <c r="AO66" s="1">
        <f t="shared" si="51"/>
        <v>-52.452000000000005</v>
      </c>
      <c r="AP66" s="1">
        <f t="shared" si="51"/>
        <v>0</v>
      </c>
      <c r="AQ66" s="1">
        <f t="shared" si="51"/>
        <v>0</v>
      </c>
      <c r="AR66" s="3">
        <f t="shared" si="48"/>
        <v>270083.42259999993</v>
      </c>
      <c r="AT66" s="1">
        <f t="shared" si="49"/>
        <v>270083.42259999993</v>
      </c>
    </row>
    <row r="67" spans="1:49" x14ac:dyDescent="0.25">
      <c r="C67" t="s">
        <v>193</v>
      </c>
      <c r="D67" s="1">
        <f t="shared" si="46"/>
        <v>0</v>
      </c>
      <c r="E67" s="1">
        <f t="shared" si="46"/>
        <v>0</v>
      </c>
      <c r="F67" s="1">
        <f t="shared" si="46"/>
        <v>0</v>
      </c>
      <c r="G67" s="1">
        <f t="shared" si="46"/>
        <v>0</v>
      </c>
      <c r="H67" s="1">
        <f t="shared" si="46"/>
        <v>0</v>
      </c>
      <c r="I67" s="1">
        <f t="shared" si="46"/>
        <v>0</v>
      </c>
      <c r="J67" s="1">
        <f t="shared" si="46"/>
        <v>0</v>
      </c>
      <c r="K67" s="1">
        <f t="shared" si="46"/>
        <v>0</v>
      </c>
      <c r="L67" s="1">
        <f t="shared" si="51"/>
        <v>0</v>
      </c>
      <c r="M67" s="1">
        <f t="shared" si="51"/>
        <v>0</v>
      </c>
      <c r="N67" s="1">
        <f t="shared" si="51"/>
        <v>0</v>
      </c>
      <c r="O67" s="1">
        <f t="shared" si="51"/>
        <v>0</v>
      </c>
      <c r="P67" s="1">
        <f t="shared" si="51"/>
        <v>0</v>
      </c>
      <c r="Q67" s="1">
        <f t="shared" si="51"/>
        <v>0</v>
      </c>
      <c r="R67" s="1">
        <f t="shared" si="51"/>
        <v>0</v>
      </c>
      <c r="S67" s="1">
        <f t="shared" si="51"/>
        <v>0</v>
      </c>
      <c r="T67" s="1">
        <f t="shared" si="51"/>
        <v>0</v>
      </c>
      <c r="U67" s="1">
        <f t="shared" si="51"/>
        <v>0</v>
      </c>
      <c r="V67" s="1">
        <f t="shared" si="51"/>
        <v>0</v>
      </c>
      <c r="W67" s="1">
        <f t="shared" si="51"/>
        <v>0</v>
      </c>
      <c r="X67" s="1">
        <f t="shared" si="51"/>
        <v>0</v>
      </c>
      <c r="Y67" s="1">
        <f t="shared" si="51"/>
        <v>0</v>
      </c>
      <c r="Z67" s="1">
        <f t="shared" si="51"/>
        <v>0</v>
      </c>
      <c r="AA67" s="1">
        <f t="shared" si="51"/>
        <v>0</v>
      </c>
      <c r="AB67" s="1">
        <f t="shared" si="51"/>
        <v>0</v>
      </c>
      <c r="AC67" s="1">
        <f t="shared" si="51"/>
        <v>0</v>
      </c>
      <c r="AD67" s="1">
        <f t="shared" si="51"/>
        <v>0</v>
      </c>
      <c r="AE67" s="1">
        <f t="shared" si="51"/>
        <v>0</v>
      </c>
      <c r="AF67" s="1">
        <f t="shared" si="51"/>
        <v>0</v>
      </c>
      <c r="AG67" s="1">
        <f t="shared" si="51"/>
        <v>0</v>
      </c>
      <c r="AH67" s="1">
        <f t="shared" si="51"/>
        <v>0</v>
      </c>
      <c r="AI67" s="1">
        <f t="shared" si="51"/>
        <v>0</v>
      </c>
      <c r="AJ67" s="1">
        <f t="shared" si="51"/>
        <v>0</v>
      </c>
      <c r="AK67" s="1">
        <f t="shared" si="51"/>
        <v>0</v>
      </c>
      <c r="AL67" s="1">
        <f t="shared" si="51"/>
        <v>0</v>
      </c>
      <c r="AM67" s="1">
        <f t="shared" si="51"/>
        <v>0</v>
      </c>
      <c r="AN67" s="1">
        <f t="shared" si="51"/>
        <v>0</v>
      </c>
      <c r="AO67" s="1">
        <f t="shared" ref="L67:AQ71" si="52">+AO43+AO19</f>
        <v>0</v>
      </c>
      <c r="AP67" s="1">
        <f t="shared" si="52"/>
        <v>0</v>
      </c>
      <c r="AQ67" s="1">
        <f t="shared" si="52"/>
        <v>0</v>
      </c>
      <c r="AR67" s="3">
        <f t="shared" si="48"/>
        <v>0</v>
      </c>
      <c r="AT67" s="1">
        <f t="shared" si="49"/>
        <v>0</v>
      </c>
    </row>
    <row r="68" spans="1:49" x14ac:dyDescent="0.25">
      <c r="C68" t="s">
        <v>194</v>
      </c>
      <c r="D68" s="1">
        <f t="shared" si="46"/>
        <v>0</v>
      </c>
      <c r="E68" s="1">
        <f t="shared" si="46"/>
        <v>0</v>
      </c>
      <c r="F68" s="1">
        <f t="shared" si="46"/>
        <v>0</v>
      </c>
      <c r="G68" s="1">
        <f t="shared" si="46"/>
        <v>0</v>
      </c>
      <c r="H68" s="1">
        <f t="shared" si="46"/>
        <v>0</v>
      </c>
      <c r="I68" s="1">
        <f t="shared" si="46"/>
        <v>0</v>
      </c>
      <c r="J68" s="1">
        <f t="shared" si="46"/>
        <v>0</v>
      </c>
      <c r="K68" s="1">
        <f t="shared" si="46"/>
        <v>0</v>
      </c>
      <c r="L68" s="1">
        <f t="shared" si="52"/>
        <v>0</v>
      </c>
      <c r="M68" s="1">
        <f t="shared" si="52"/>
        <v>0</v>
      </c>
      <c r="N68" s="1">
        <f t="shared" si="52"/>
        <v>0</v>
      </c>
      <c r="O68" s="1">
        <f t="shared" si="52"/>
        <v>0</v>
      </c>
      <c r="P68" s="1">
        <f t="shared" si="52"/>
        <v>0</v>
      </c>
      <c r="Q68" s="1">
        <f t="shared" si="52"/>
        <v>0</v>
      </c>
      <c r="R68" s="1">
        <f t="shared" si="52"/>
        <v>0</v>
      </c>
      <c r="S68" s="1">
        <f t="shared" si="52"/>
        <v>0</v>
      </c>
      <c r="T68" s="1">
        <f t="shared" si="52"/>
        <v>0</v>
      </c>
      <c r="U68" s="1">
        <f t="shared" si="52"/>
        <v>0</v>
      </c>
      <c r="V68" s="1">
        <f t="shared" si="52"/>
        <v>0</v>
      </c>
      <c r="W68" s="1">
        <f t="shared" si="52"/>
        <v>0</v>
      </c>
      <c r="X68" s="1">
        <f t="shared" si="52"/>
        <v>0</v>
      </c>
      <c r="Y68" s="1">
        <f t="shared" si="52"/>
        <v>0</v>
      </c>
      <c r="Z68" s="1">
        <f t="shared" si="52"/>
        <v>0</v>
      </c>
      <c r="AA68" s="1">
        <f t="shared" si="52"/>
        <v>0</v>
      </c>
      <c r="AB68" s="1">
        <f t="shared" si="52"/>
        <v>0</v>
      </c>
      <c r="AC68" s="1">
        <f t="shared" si="52"/>
        <v>0</v>
      </c>
      <c r="AD68" s="1">
        <f t="shared" si="52"/>
        <v>0</v>
      </c>
      <c r="AE68" s="1">
        <f t="shared" si="52"/>
        <v>0</v>
      </c>
      <c r="AF68" s="1">
        <f t="shared" si="52"/>
        <v>0</v>
      </c>
      <c r="AG68" s="1">
        <f t="shared" si="52"/>
        <v>0</v>
      </c>
      <c r="AH68" s="1">
        <f t="shared" si="52"/>
        <v>0</v>
      </c>
      <c r="AI68" s="1">
        <f t="shared" si="52"/>
        <v>0</v>
      </c>
      <c r="AJ68" s="1">
        <f t="shared" si="52"/>
        <v>0</v>
      </c>
      <c r="AK68" s="1">
        <f t="shared" si="52"/>
        <v>0</v>
      </c>
      <c r="AL68" s="1">
        <f t="shared" si="52"/>
        <v>0</v>
      </c>
      <c r="AM68" s="1">
        <f t="shared" si="52"/>
        <v>0</v>
      </c>
      <c r="AN68" s="1">
        <f t="shared" si="52"/>
        <v>0</v>
      </c>
      <c r="AO68" s="1">
        <f t="shared" si="52"/>
        <v>0</v>
      </c>
      <c r="AP68" s="1">
        <f t="shared" si="52"/>
        <v>0</v>
      </c>
      <c r="AQ68" s="1">
        <f t="shared" si="52"/>
        <v>0</v>
      </c>
      <c r="AR68" s="3">
        <f t="shared" si="48"/>
        <v>0</v>
      </c>
      <c r="AS68" s="8"/>
      <c r="AT68" s="1">
        <f t="shared" si="49"/>
        <v>0</v>
      </c>
    </row>
    <row r="69" spans="1:49" x14ac:dyDescent="0.25">
      <c r="C69" t="s">
        <v>296</v>
      </c>
      <c r="D69" s="1">
        <f t="shared" si="46"/>
        <v>0</v>
      </c>
      <c r="E69" s="1">
        <f t="shared" si="46"/>
        <v>0</v>
      </c>
      <c r="F69" s="1">
        <f t="shared" si="46"/>
        <v>0</v>
      </c>
      <c r="G69" s="1">
        <f t="shared" si="46"/>
        <v>0</v>
      </c>
      <c r="H69" s="1">
        <f t="shared" si="46"/>
        <v>0</v>
      </c>
      <c r="I69" s="1">
        <f t="shared" si="46"/>
        <v>0</v>
      </c>
      <c r="J69" s="1">
        <f t="shared" si="46"/>
        <v>0</v>
      </c>
      <c r="K69" s="1">
        <f t="shared" si="46"/>
        <v>0</v>
      </c>
      <c r="L69" s="1">
        <f t="shared" si="52"/>
        <v>795.83400000000006</v>
      </c>
      <c r="M69" s="1">
        <f t="shared" si="52"/>
        <v>1186.569</v>
      </c>
      <c r="N69" s="1">
        <f t="shared" si="52"/>
        <v>1338.93</v>
      </c>
      <c r="O69" s="1">
        <f t="shared" si="52"/>
        <v>2141.6039999999998</v>
      </c>
      <c r="P69" s="1">
        <f t="shared" si="52"/>
        <v>2836.7190000000001</v>
      </c>
      <c r="Q69" s="1">
        <f t="shared" si="52"/>
        <v>1623.645</v>
      </c>
      <c r="R69" s="1">
        <f t="shared" si="52"/>
        <v>1119.8790000000001</v>
      </c>
      <c r="S69" s="1">
        <f t="shared" si="52"/>
        <v>1621.5930000000001</v>
      </c>
      <c r="T69" s="1">
        <f t="shared" si="52"/>
        <v>2730.6990000000001</v>
      </c>
      <c r="U69" s="1">
        <f t="shared" si="52"/>
        <v>3154.0949999999998</v>
      </c>
      <c r="V69" s="1">
        <f t="shared" si="52"/>
        <v>2622.114</v>
      </c>
      <c r="W69" s="1">
        <f t="shared" si="52"/>
        <v>3770.8920000000003</v>
      </c>
      <c r="X69" s="1">
        <f t="shared" si="52"/>
        <v>2953.3410000000003</v>
      </c>
      <c r="Y69" s="1">
        <f t="shared" si="52"/>
        <v>1453.5000000000002</v>
      </c>
      <c r="Z69" s="1">
        <f t="shared" si="52"/>
        <v>1418.1030000000001</v>
      </c>
      <c r="AA69" s="1">
        <f t="shared" si="52"/>
        <v>1214.9550000000002</v>
      </c>
      <c r="AB69" s="1">
        <f t="shared" si="52"/>
        <v>1016.025</v>
      </c>
      <c r="AC69" s="1">
        <f t="shared" si="52"/>
        <v>1122.0449999999998</v>
      </c>
      <c r="AD69" s="1">
        <f t="shared" si="52"/>
        <v>291.55499999999995</v>
      </c>
      <c r="AE69" s="1">
        <f t="shared" si="52"/>
        <v>1077.8699999999999</v>
      </c>
      <c r="AF69" s="1">
        <f t="shared" si="52"/>
        <v>653.79000000000008</v>
      </c>
      <c r="AG69" s="1">
        <f t="shared" si="52"/>
        <v>265.05</v>
      </c>
      <c r="AH69" s="1">
        <f t="shared" si="52"/>
        <v>450.58500000000004</v>
      </c>
      <c r="AI69" s="1">
        <f t="shared" si="52"/>
        <v>371.07000000000005</v>
      </c>
      <c r="AJ69" s="1">
        <f t="shared" si="52"/>
        <v>768.64499999999998</v>
      </c>
      <c r="AK69" s="1">
        <f t="shared" si="52"/>
        <v>397.57499999999999</v>
      </c>
      <c r="AL69" s="1">
        <f t="shared" si="52"/>
        <v>265.05</v>
      </c>
      <c r="AM69" s="1">
        <f t="shared" si="52"/>
        <v>132.52500000000001</v>
      </c>
      <c r="AN69" s="1">
        <f t="shared" si="52"/>
        <v>-17.670000000000002</v>
      </c>
      <c r="AO69" s="1">
        <f t="shared" si="52"/>
        <v>0</v>
      </c>
      <c r="AP69" s="1">
        <f t="shared" si="52"/>
        <v>0</v>
      </c>
      <c r="AQ69" s="1">
        <f t="shared" si="52"/>
        <v>0</v>
      </c>
      <c r="AR69" s="3">
        <f t="shared" si="48"/>
        <v>38776.587</v>
      </c>
      <c r="AS69" s="8"/>
      <c r="AT69" s="1">
        <f t="shared" si="49"/>
        <v>38776.587000000007</v>
      </c>
    </row>
    <row r="70" spans="1:49" x14ac:dyDescent="0.25">
      <c r="C70" t="s">
        <v>44</v>
      </c>
      <c r="D70" s="1">
        <f t="shared" si="46"/>
        <v>0</v>
      </c>
      <c r="E70" s="1">
        <f t="shared" si="46"/>
        <v>0</v>
      </c>
      <c r="F70" s="1">
        <f t="shared" si="46"/>
        <v>0</v>
      </c>
      <c r="G70" s="1">
        <f t="shared" si="46"/>
        <v>0</v>
      </c>
      <c r="H70" s="1">
        <f t="shared" si="46"/>
        <v>0</v>
      </c>
      <c r="I70" s="1">
        <f t="shared" si="46"/>
        <v>0</v>
      </c>
      <c r="J70" s="1">
        <f t="shared" si="46"/>
        <v>0</v>
      </c>
      <c r="K70" s="1">
        <f t="shared" si="46"/>
        <v>0</v>
      </c>
      <c r="L70" s="1">
        <f t="shared" si="52"/>
        <v>33526.160000000003</v>
      </c>
      <c r="M70" s="1">
        <f t="shared" si="52"/>
        <v>26507.260000000006</v>
      </c>
      <c r="N70" s="1">
        <f t="shared" si="52"/>
        <v>52101.540000000008</v>
      </c>
      <c r="O70" s="1">
        <f t="shared" si="52"/>
        <v>71889.700000000012</v>
      </c>
      <c r="P70" s="1">
        <f t="shared" si="52"/>
        <v>105259.72</v>
      </c>
      <c r="Q70" s="1">
        <f t="shared" si="52"/>
        <v>76289.010000000009</v>
      </c>
      <c r="R70" s="1">
        <f t="shared" si="52"/>
        <v>93465.080000000016</v>
      </c>
      <c r="S70" s="1">
        <f t="shared" si="52"/>
        <v>93343.460000000021</v>
      </c>
      <c r="T70" s="1">
        <f t="shared" si="52"/>
        <v>91315.349999999977</v>
      </c>
      <c r="U70" s="1">
        <f t="shared" si="52"/>
        <v>125921.19000000002</v>
      </c>
      <c r="V70" s="1">
        <f t="shared" si="52"/>
        <v>108875.08000000002</v>
      </c>
      <c r="W70" s="1">
        <f t="shared" si="52"/>
        <v>132987.59999999998</v>
      </c>
      <c r="X70" s="1">
        <f t="shared" si="52"/>
        <v>103393.72</v>
      </c>
      <c r="Y70" s="1">
        <f t="shared" si="52"/>
        <v>36850.33</v>
      </c>
      <c r="Z70" s="1">
        <f t="shared" si="52"/>
        <v>31759.380000000005</v>
      </c>
      <c r="AA70" s="1">
        <f t="shared" si="52"/>
        <v>19165.530000000002</v>
      </c>
      <c r="AB70" s="1">
        <f t="shared" si="52"/>
        <v>12460.150000000003</v>
      </c>
      <c r="AC70" s="1">
        <f t="shared" si="52"/>
        <v>11653.760000000004</v>
      </c>
      <c r="AD70" s="1">
        <f t="shared" si="52"/>
        <v>2018.3199999999993</v>
      </c>
      <c r="AE70" s="1">
        <f t="shared" si="52"/>
        <v>8430.9000000000015</v>
      </c>
      <c r="AF70" s="1">
        <f t="shared" si="52"/>
        <v>5123.4399999999996</v>
      </c>
      <c r="AG70" s="1">
        <f t="shared" si="52"/>
        <v>3171.33</v>
      </c>
      <c r="AH70" s="1">
        <f t="shared" si="52"/>
        <v>9261.8700000000063</v>
      </c>
      <c r="AI70" s="1">
        <f t="shared" si="52"/>
        <v>6371.3100000000013</v>
      </c>
      <c r="AJ70" s="1">
        <f t="shared" si="52"/>
        <v>8161.57</v>
      </c>
      <c r="AK70" s="1">
        <f t="shared" si="52"/>
        <v>3652.5500000000011</v>
      </c>
      <c r="AL70" s="1">
        <f t="shared" si="52"/>
        <v>4420.1999999999989</v>
      </c>
      <c r="AM70" s="1">
        <f t="shared" si="52"/>
        <v>687.99999999999955</v>
      </c>
      <c r="AN70" s="1">
        <f t="shared" si="52"/>
        <v>1290.92</v>
      </c>
      <c r="AO70" s="1">
        <f t="shared" si="52"/>
        <v>-74.740000000000009</v>
      </c>
      <c r="AP70" s="1">
        <f t="shared" si="52"/>
        <v>0</v>
      </c>
      <c r="AQ70" s="1">
        <f t="shared" si="52"/>
        <v>0</v>
      </c>
      <c r="AR70" s="3">
        <f t="shared" si="48"/>
        <v>1279279.6900000002</v>
      </c>
      <c r="AT70" s="1">
        <f t="shared" si="49"/>
        <v>1279279.6900000002</v>
      </c>
    </row>
    <row r="71" spans="1:49" x14ac:dyDescent="0.25">
      <c r="C71" t="s">
        <v>217</v>
      </c>
      <c r="D71" s="1">
        <f t="shared" si="46"/>
        <v>0</v>
      </c>
      <c r="E71" s="1">
        <f t="shared" si="46"/>
        <v>0</v>
      </c>
      <c r="F71" s="1">
        <f t="shared" si="46"/>
        <v>0</v>
      </c>
      <c r="G71" s="1">
        <f t="shared" si="46"/>
        <v>0</v>
      </c>
      <c r="H71" s="1">
        <f t="shared" si="46"/>
        <v>0</v>
      </c>
      <c r="I71" s="1">
        <f t="shared" si="46"/>
        <v>0</v>
      </c>
      <c r="J71" s="1">
        <f t="shared" si="46"/>
        <v>0</v>
      </c>
      <c r="K71" s="1">
        <f t="shared" si="46"/>
        <v>0</v>
      </c>
      <c r="L71" s="1">
        <f t="shared" si="52"/>
        <v>0</v>
      </c>
      <c r="M71" s="1">
        <f t="shared" si="52"/>
        <v>0</v>
      </c>
      <c r="N71" s="1">
        <f t="shared" si="52"/>
        <v>0</v>
      </c>
      <c r="O71" s="1">
        <f t="shared" si="52"/>
        <v>0</v>
      </c>
      <c r="P71" s="1">
        <f t="shared" si="52"/>
        <v>0</v>
      </c>
      <c r="Q71" s="1">
        <f t="shared" si="52"/>
        <v>0</v>
      </c>
      <c r="R71" s="1">
        <f t="shared" si="52"/>
        <v>0</v>
      </c>
      <c r="S71" s="1">
        <f t="shared" si="52"/>
        <v>0</v>
      </c>
      <c r="T71" s="1">
        <f t="shared" si="52"/>
        <v>0</v>
      </c>
      <c r="U71" s="1">
        <f t="shared" si="52"/>
        <v>0</v>
      </c>
      <c r="V71" s="1">
        <f t="shared" si="52"/>
        <v>0</v>
      </c>
      <c r="W71" s="1">
        <f t="shared" si="52"/>
        <v>0</v>
      </c>
      <c r="X71" s="1">
        <f t="shared" si="52"/>
        <v>0</v>
      </c>
      <c r="Y71" s="1">
        <f t="shared" si="52"/>
        <v>0</v>
      </c>
      <c r="Z71" s="1">
        <f t="shared" si="52"/>
        <v>0</v>
      </c>
      <c r="AA71" s="1">
        <f t="shared" si="52"/>
        <v>0</v>
      </c>
      <c r="AB71" s="1">
        <f t="shared" si="52"/>
        <v>0</v>
      </c>
      <c r="AC71" s="1">
        <f t="shared" si="52"/>
        <v>0</v>
      </c>
      <c r="AD71" s="1">
        <f t="shared" si="52"/>
        <v>0</v>
      </c>
      <c r="AE71" s="1">
        <f t="shared" si="52"/>
        <v>0</v>
      </c>
      <c r="AF71" s="1">
        <f t="shared" si="52"/>
        <v>0</v>
      </c>
      <c r="AG71" s="1">
        <f t="shared" si="52"/>
        <v>0</v>
      </c>
      <c r="AH71" s="1">
        <f t="shared" si="52"/>
        <v>0</v>
      </c>
      <c r="AI71" s="1">
        <f t="shared" si="52"/>
        <v>0</v>
      </c>
      <c r="AJ71" s="1">
        <f t="shared" si="52"/>
        <v>0</v>
      </c>
      <c r="AK71" s="1">
        <f t="shared" si="52"/>
        <v>0</v>
      </c>
      <c r="AL71" s="1">
        <f t="shared" si="52"/>
        <v>0</v>
      </c>
      <c r="AM71" s="1">
        <f t="shared" si="52"/>
        <v>0</v>
      </c>
      <c r="AN71" s="1">
        <f t="shared" si="52"/>
        <v>0</v>
      </c>
      <c r="AO71" s="1">
        <f t="shared" si="52"/>
        <v>0</v>
      </c>
      <c r="AP71" s="1">
        <f t="shared" si="52"/>
        <v>0</v>
      </c>
      <c r="AQ71" s="1">
        <f t="shared" si="52"/>
        <v>0</v>
      </c>
      <c r="AR71" s="3">
        <f t="shared" si="48"/>
        <v>0</v>
      </c>
      <c r="AS71" s="1"/>
      <c r="AT71" s="1">
        <f t="shared" si="49"/>
        <v>0</v>
      </c>
    </row>
    <row r="72" spans="1:49" x14ac:dyDescent="0.25">
      <c r="A72" s="2" t="s">
        <v>4</v>
      </c>
      <c r="D72" s="3">
        <f>SUM(D52:D71)</f>
        <v>0</v>
      </c>
      <c r="E72" s="3">
        <f t="shared" ref="E72:K72" si="53">SUM(E52:E71)</f>
        <v>0</v>
      </c>
      <c r="F72" s="3">
        <f t="shared" si="53"/>
        <v>0</v>
      </c>
      <c r="G72" s="3">
        <f t="shared" si="53"/>
        <v>0</v>
      </c>
      <c r="H72" s="3">
        <f t="shared" si="53"/>
        <v>0</v>
      </c>
      <c r="I72" s="3">
        <f t="shared" si="53"/>
        <v>0</v>
      </c>
      <c r="J72" s="3">
        <f t="shared" si="53"/>
        <v>-600</v>
      </c>
      <c r="K72" s="3">
        <f t="shared" si="53"/>
        <v>0</v>
      </c>
      <c r="L72" s="3">
        <f>SUM(L52:L71)</f>
        <v>187056.38975000003</v>
      </c>
      <c r="M72" s="3">
        <f>SUM(M52:M71)</f>
        <v>110379.05</v>
      </c>
      <c r="N72" s="3">
        <f t="shared" ref="N72:AQ72" si="54">SUM(N52:N71)</f>
        <v>115065.14400000001</v>
      </c>
      <c r="O72" s="3">
        <f t="shared" si="54"/>
        <v>189479.97005</v>
      </c>
      <c r="P72" s="3">
        <f t="shared" si="54"/>
        <v>238418.26310000004</v>
      </c>
      <c r="Q72" s="3">
        <f t="shared" si="54"/>
        <v>215552.87495</v>
      </c>
      <c r="R72" s="3">
        <f t="shared" si="54"/>
        <v>243550.37330000001</v>
      </c>
      <c r="S72" s="3">
        <f t="shared" si="54"/>
        <v>224286.45215000003</v>
      </c>
      <c r="T72" s="3">
        <f t="shared" si="54"/>
        <v>232564.36599999998</v>
      </c>
      <c r="U72" s="3">
        <f t="shared" si="54"/>
        <v>272743.41235</v>
      </c>
      <c r="V72" s="3">
        <f t="shared" si="54"/>
        <v>214067.86620000005</v>
      </c>
      <c r="W72" s="3">
        <f t="shared" si="54"/>
        <v>264799.90229999996</v>
      </c>
      <c r="X72" s="3">
        <f t="shared" si="54"/>
        <v>239739.19870000004</v>
      </c>
      <c r="Y72" s="3">
        <f t="shared" si="54"/>
        <v>120715.9198</v>
      </c>
      <c r="Z72" s="3">
        <f t="shared" si="54"/>
        <v>84380.088800000012</v>
      </c>
      <c r="AA72" s="3">
        <f t="shared" si="54"/>
        <v>67315.373999999996</v>
      </c>
      <c r="AB72" s="3">
        <f t="shared" si="54"/>
        <v>52179.860800000009</v>
      </c>
      <c r="AC72" s="3">
        <f t="shared" si="54"/>
        <v>41434.040800000002</v>
      </c>
      <c r="AD72" s="3">
        <f t="shared" si="54"/>
        <v>32402.357199999999</v>
      </c>
      <c r="AE72" s="3">
        <f t="shared" si="54"/>
        <v>29417.166499999999</v>
      </c>
      <c r="AF72" s="3">
        <f t="shared" si="54"/>
        <v>14916.918999999998</v>
      </c>
      <c r="AG72" s="3">
        <f t="shared" si="54"/>
        <v>14554.029449999998</v>
      </c>
      <c r="AH72" s="3">
        <f t="shared" si="54"/>
        <v>86107.193150000006</v>
      </c>
      <c r="AI72" s="3">
        <f t="shared" si="54"/>
        <v>19464.68665</v>
      </c>
      <c r="AJ72" s="3">
        <f t="shared" si="54"/>
        <v>20242.978450000002</v>
      </c>
      <c r="AK72" s="3">
        <f t="shared" si="54"/>
        <v>19351.817300000002</v>
      </c>
      <c r="AL72" s="3">
        <f t="shared" si="54"/>
        <v>15003.6268</v>
      </c>
      <c r="AM72" s="3">
        <f t="shared" si="54"/>
        <v>7738.1</v>
      </c>
      <c r="AN72" s="3">
        <f t="shared" si="54"/>
        <v>3836.9425000000001</v>
      </c>
      <c r="AO72" s="3">
        <f t="shared" si="54"/>
        <v>-329.73400000000004</v>
      </c>
      <c r="AP72" s="3">
        <f t="shared" si="54"/>
        <v>0</v>
      </c>
      <c r="AQ72" s="3">
        <f t="shared" si="54"/>
        <v>0</v>
      </c>
      <c r="AR72" s="3">
        <f>SUM(AR52:AR71)</f>
        <v>3375834.6300499998</v>
      </c>
      <c r="AS72" s="3"/>
      <c r="AT72" s="3">
        <f t="shared" si="49"/>
        <v>3375834.6300499998</v>
      </c>
      <c r="AW72" s="1"/>
    </row>
    <row r="73" spans="1:49" s="24" customFormat="1" x14ac:dyDescent="0.25">
      <c r="A73" s="2"/>
      <c r="B73" s="23"/>
      <c r="C73" s="27"/>
      <c r="D73" s="25">
        <f>+D72</f>
        <v>0</v>
      </c>
      <c r="E73" s="25">
        <f>+D73+E72</f>
        <v>0</v>
      </c>
      <c r="F73" s="25">
        <f t="shared" ref="F73:AQ73" si="55">+E73+F72</f>
        <v>0</v>
      </c>
      <c r="G73" s="25">
        <f t="shared" si="55"/>
        <v>0</v>
      </c>
      <c r="H73" s="25">
        <f t="shared" si="55"/>
        <v>0</v>
      </c>
      <c r="I73" s="25">
        <f t="shared" si="55"/>
        <v>0</v>
      </c>
      <c r="J73" s="25">
        <f t="shared" si="55"/>
        <v>-600</v>
      </c>
      <c r="K73" s="25">
        <f t="shared" si="55"/>
        <v>-600</v>
      </c>
      <c r="L73" s="25">
        <f t="shared" si="55"/>
        <v>186456.38975000003</v>
      </c>
      <c r="M73" s="25">
        <f t="shared" si="55"/>
        <v>296835.43975000002</v>
      </c>
      <c r="N73" s="25">
        <f t="shared" si="55"/>
        <v>411900.58375000005</v>
      </c>
      <c r="O73" s="25">
        <f t="shared" si="55"/>
        <v>601380.55380000011</v>
      </c>
      <c r="P73" s="25">
        <f t="shared" si="55"/>
        <v>839798.81690000021</v>
      </c>
      <c r="Q73" s="25">
        <f t="shared" si="55"/>
        <v>1055351.6918500003</v>
      </c>
      <c r="R73" s="25">
        <f t="shared" si="55"/>
        <v>1298902.0651500004</v>
      </c>
      <c r="S73" s="25">
        <f t="shared" si="55"/>
        <v>1523188.5173000004</v>
      </c>
      <c r="T73" s="25">
        <f t="shared" si="55"/>
        <v>1755752.8833000003</v>
      </c>
      <c r="U73" s="25">
        <f t="shared" si="55"/>
        <v>2028496.2956500002</v>
      </c>
      <c r="V73" s="25">
        <f t="shared" si="55"/>
        <v>2242564.1618500003</v>
      </c>
      <c r="W73" s="25">
        <f t="shared" si="55"/>
        <v>2507364.06415</v>
      </c>
      <c r="X73" s="25">
        <f t="shared" si="55"/>
        <v>2747103.2628500001</v>
      </c>
      <c r="Y73" s="25">
        <f t="shared" si="55"/>
        <v>2867819.1826499999</v>
      </c>
      <c r="Z73" s="25">
        <f t="shared" si="55"/>
        <v>2952199.2714499999</v>
      </c>
      <c r="AA73" s="25">
        <f t="shared" si="55"/>
        <v>3019514.6454499997</v>
      </c>
      <c r="AB73" s="25">
        <f t="shared" si="55"/>
        <v>3071694.5062499996</v>
      </c>
      <c r="AC73" s="25">
        <f t="shared" si="55"/>
        <v>3113128.5470499997</v>
      </c>
      <c r="AD73" s="25">
        <f t="shared" si="55"/>
        <v>3145530.9042499997</v>
      </c>
      <c r="AE73" s="25">
        <f t="shared" si="55"/>
        <v>3174948.0707499995</v>
      </c>
      <c r="AF73" s="25">
        <f t="shared" si="55"/>
        <v>3189864.9897499997</v>
      </c>
      <c r="AG73" s="25">
        <f t="shared" si="55"/>
        <v>3204419.0191999995</v>
      </c>
      <c r="AH73" s="25">
        <f t="shared" si="55"/>
        <v>3290526.2123499997</v>
      </c>
      <c r="AI73" s="25">
        <f t="shared" si="55"/>
        <v>3309990.8989999997</v>
      </c>
      <c r="AJ73" s="25">
        <f t="shared" si="55"/>
        <v>3330233.8774499996</v>
      </c>
      <c r="AK73" s="25">
        <f t="shared" si="55"/>
        <v>3349585.6947499998</v>
      </c>
      <c r="AL73" s="25">
        <f t="shared" si="55"/>
        <v>3364589.32155</v>
      </c>
      <c r="AM73" s="25">
        <f t="shared" si="55"/>
        <v>3372327.4215500001</v>
      </c>
      <c r="AN73" s="25">
        <f t="shared" si="55"/>
        <v>3376164.36405</v>
      </c>
      <c r="AO73" s="25">
        <f t="shared" si="55"/>
        <v>3375834.6300499998</v>
      </c>
      <c r="AP73" s="25">
        <f t="shared" si="55"/>
        <v>3375834.6300499998</v>
      </c>
      <c r="AQ73" s="25">
        <f t="shared" si="55"/>
        <v>3375834.6300499998</v>
      </c>
      <c r="AR73" s="49"/>
      <c r="AT73"/>
    </row>
    <row r="74" spans="1:49" s="2" customFormat="1" x14ac:dyDescent="0.25">
      <c r="C74" s="2" t="s">
        <v>260</v>
      </c>
      <c r="D74" s="3">
        <f>+D49+D26</f>
        <v>0</v>
      </c>
      <c r="E74" s="3">
        <f t="shared" ref="E74:K74" si="56">+E49+E26</f>
        <v>0</v>
      </c>
      <c r="F74" s="3">
        <f t="shared" si="56"/>
        <v>0</v>
      </c>
      <c r="G74" s="3">
        <f t="shared" si="56"/>
        <v>0</v>
      </c>
      <c r="H74" s="3">
        <f t="shared" si="56"/>
        <v>0</v>
      </c>
      <c r="I74" s="3">
        <f t="shared" si="56"/>
        <v>0</v>
      </c>
      <c r="J74" s="3">
        <f t="shared" si="56"/>
        <v>0</v>
      </c>
      <c r="K74" s="3">
        <f t="shared" si="56"/>
        <v>0</v>
      </c>
      <c r="L74" s="3">
        <f t="shared" ref="L74:AR74" si="57">+L49+L26</f>
        <v>0</v>
      </c>
      <c r="M74" s="3">
        <f t="shared" si="57"/>
        <v>0</v>
      </c>
      <c r="N74" s="3">
        <f t="shared" si="57"/>
        <v>0</v>
      </c>
      <c r="O74" s="3">
        <f t="shared" si="57"/>
        <v>0</v>
      </c>
      <c r="P74" s="3">
        <f t="shared" si="57"/>
        <v>0</v>
      </c>
      <c r="Q74" s="3">
        <f t="shared" si="57"/>
        <v>0</v>
      </c>
      <c r="R74" s="3">
        <f t="shared" si="57"/>
        <v>0</v>
      </c>
      <c r="S74" s="3">
        <f t="shared" si="57"/>
        <v>0</v>
      </c>
      <c r="T74" s="3">
        <f t="shared" si="57"/>
        <v>0</v>
      </c>
      <c r="U74" s="3">
        <f t="shared" si="57"/>
        <v>0</v>
      </c>
      <c r="V74" s="3">
        <f t="shared" si="57"/>
        <v>0</v>
      </c>
      <c r="W74" s="3">
        <f t="shared" si="57"/>
        <v>0</v>
      </c>
      <c r="X74" s="3">
        <f t="shared" si="57"/>
        <v>0</v>
      </c>
      <c r="Y74" s="3">
        <f t="shared" si="57"/>
        <v>0</v>
      </c>
      <c r="Z74" s="3">
        <f t="shared" si="57"/>
        <v>0</v>
      </c>
      <c r="AA74" s="3">
        <f t="shared" si="57"/>
        <v>0</v>
      </c>
      <c r="AB74" s="3">
        <f t="shared" si="57"/>
        <v>0</v>
      </c>
      <c r="AC74" s="3">
        <f t="shared" si="57"/>
        <v>0</v>
      </c>
      <c r="AD74" s="3">
        <f t="shared" si="57"/>
        <v>0</v>
      </c>
      <c r="AE74" s="3">
        <f t="shared" si="57"/>
        <v>0</v>
      </c>
      <c r="AF74" s="3">
        <f t="shared" si="57"/>
        <v>0</v>
      </c>
      <c r="AG74" s="3">
        <f t="shared" si="57"/>
        <v>0</v>
      </c>
      <c r="AH74" s="3">
        <f t="shared" si="57"/>
        <v>0</v>
      </c>
      <c r="AI74" s="3">
        <f t="shared" si="57"/>
        <v>0</v>
      </c>
      <c r="AJ74" s="3">
        <f t="shared" si="57"/>
        <v>0</v>
      </c>
      <c r="AK74" s="3">
        <f t="shared" si="57"/>
        <v>0</v>
      </c>
      <c r="AL74" s="3">
        <f t="shared" si="57"/>
        <v>0</v>
      </c>
      <c r="AM74" s="3">
        <f t="shared" si="57"/>
        <v>0</v>
      </c>
      <c r="AN74" s="3">
        <f t="shared" si="57"/>
        <v>0</v>
      </c>
      <c r="AO74" s="3">
        <f t="shared" si="57"/>
        <v>0</v>
      </c>
      <c r="AP74" s="3">
        <f t="shared" si="57"/>
        <v>0</v>
      </c>
      <c r="AQ74" s="3">
        <f t="shared" si="57"/>
        <v>0</v>
      </c>
      <c r="AR74" s="3">
        <f t="shared" si="57"/>
        <v>0</v>
      </c>
      <c r="AT74" s="1"/>
    </row>
    <row r="75" spans="1:49" s="24" customFormat="1" x14ac:dyDescent="0.25">
      <c r="A75" s="23"/>
      <c r="B75" s="23"/>
      <c r="C75" s="27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49"/>
      <c r="AT75" s="3"/>
    </row>
    <row r="76" spans="1:49" x14ac:dyDescent="0.25">
      <c r="A76" s="2" t="s">
        <v>3</v>
      </c>
      <c r="B76"/>
    </row>
    <row r="77" spans="1:49" x14ac:dyDescent="0.25">
      <c r="B77" t="s">
        <v>7</v>
      </c>
      <c r="D77" s="1">
        <f>+Transport!E16</f>
        <v>0</v>
      </c>
      <c r="E77" s="1">
        <f>+Transport!F16</f>
        <v>0</v>
      </c>
      <c r="F77" s="1">
        <f>+Transport!G16</f>
        <v>0</v>
      </c>
      <c r="G77" s="1">
        <f>+Transport!H16</f>
        <v>0</v>
      </c>
      <c r="H77" s="1">
        <f>+Transport!I16</f>
        <v>0</v>
      </c>
      <c r="I77" s="1">
        <f>+Transport!J16</f>
        <v>0</v>
      </c>
      <c r="J77" s="1">
        <f>+Transport!K16</f>
        <v>0</v>
      </c>
      <c r="K77" s="1">
        <f>+Transport!L16</f>
        <v>0</v>
      </c>
      <c r="L77" s="1">
        <f>+Transport!M16</f>
        <v>21157.133333333335</v>
      </c>
      <c r="M77" s="1">
        <f>+Transport!N16</f>
        <v>12907.333333333332</v>
      </c>
      <c r="N77" s="1">
        <f>+Transport!O16</f>
        <v>13889</v>
      </c>
      <c r="O77" s="1">
        <f>+Transport!P16</f>
        <v>24403.599999999999</v>
      </c>
      <c r="P77" s="1">
        <f>+Transport!Q16</f>
        <v>30867.399999999998</v>
      </c>
      <c r="Q77" s="1">
        <f>+Transport!R16</f>
        <v>25870.399999999998</v>
      </c>
      <c r="R77" s="1">
        <f>+Transport!S16</f>
        <v>32400.066666666666</v>
      </c>
      <c r="S77" s="1">
        <f>+Transport!T16</f>
        <v>29732.466666666664</v>
      </c>
      <c r="T77" s="1">
        <f>+Transport!U16</f>
        <v>30535.533333333333</v>
      </c>
      <c r="U77" s="1">
        <f>+Transport!V16</f>
        <v>37389.466666666667</v>
      </c>
      <c r="V77" s="1">
        <f>+Transport!W16</f>
        <v>28954.733333333334</v>
      </c>
      <c r="W77" s="1">
        <f>+Transport!X16</f>
        <v>36481.26666666667</v>
      </c>
      <c r="X77" s="1">
        <f>+Transport!Y16</f>
        <v>34904.26666666667</v>
      </c>
      <c r="Y77" s="1">
        <f>+Transport!Z16</f>
        <v>17645.333333333332</v>
      </c>
      <c r="Z77" s="1">
        <f>+Transport!AA16</f>
        <v>13364</v>
      </c>
      <c r="AA77" s="1">
        <f>+Transport!AB16</f>
        <v>10008.75</v>
      </c>
      <c r="AB77" s="1">
        <f>+Transport!AC16</f>
        <v>9148.8333333333321</v>
      </c>
      <c r="AC77" s="1">
        <f>+Transport!AD16</f>
        <v>5696.4166666666661</v>
      </c>
      <c r="AD77" s="1">
        <f>+Transport!AE16</f>
        <v>5806.9166666666661</v>
      </c>
      <c r="AE77" s="1">
        <f>+Transport!AF16</f>
        <v>4085.666666666667</v>
      </c>
      <c r="AF77" s="1">
        <f>+Transport!AG16</f>
        <v>2487.666666666667</v>
      </c>
      <c r="AG77" s="1">
        <f>+Transport!AH16</f>
        <v>2905.7000000000003</v>
      </c>
      <c r="AH77" s="1">
        <f>+Transport!AI16</f>
        <v>11020.1</v>
      </c>
      <c r="AI77" s="1">
        <f>+Transport!AJ16</f>
        <v>3679.9</v>
      </c>
      <c r="AJ77" s="1">
        <f>+Transport!AK16</f>
        <v>3795.8666666666668</v>
      </c>
      <c r="AK77" s="1">
        <f>+Transport!AL16</f>
        <v>3836.7000000000003</v>
      </c>
      <c r="AL77" s="1">
        <f>+Transport!AM16</f>
        <v>2641.5</v>
      </c>
      <c r="AM77" s="1">
        <f>+Transport!AN16</f>
        <v>1437</v>
      </c>
      <c r="AN77" s="1">
        <f>+Transport!AO16</f>
        <v>715.5</v>
      </c>
      <c r="AO77" s="1">
        <f>+Transport!AP16</f>
        <v>0</v>
      </c>
      <c r="AP77" s="1">
        <f>+Transport!AQ16</f>
        <v>0</v>
      </c>
      <c r="AQ77" s="1">
        <f>+Transport!AR16</f>
        <v>0</v>
      </c>
      <c r="AR77" s="3">
        <f>SUM(D77:AQ77)</f>
        <v>457768.51666666666</v>
      </c>
      <c r="AT77" s="1">
        <f t="shared" ref="AT77:AT91" si="58">SUM(D77:AP77)</f>
        <v>457768.51666666666</v>
      </c>
    </row>
    <row r="78" spans="1:49" x14ac:dyDescent="0.25">
      <c r="B78" t="s">
        <v>8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3">
        <f t="shared" ref="AR78:AR90" si="59">SUM(D78:AQ78)</f>
        <v>0</v>
      </c>
      <c r="AT78" s="1">
        <f t="shared" si="58"/>
        <v>0</v>
      </c>
    </row>
    <row r="79" spans="1:49" x14ac:dyDescent="0.25">
      <c r="B79" t="s">
        <v>9</v>
      </c>
      <c r="D79" s="1">
        <f>+Transport!E46</f>
        <v>0</v>
      </c>
      <c r="E79" s="1">
        <f>+Transport!F46</f>
        <v>0</v>
      </c>
      <c r="F79" s="1">
        <f>+Transport!G46</f>
        <v>0</v>
      </c>
      <c r="G79" s="1">
        <f>+Transport!H46</f>
        <v>0</v>
      </c>
      <c r="H79" s="1">
        <f>+Transport!I46</f>
        <v>0</v>
      </c>
      <c r="I79" s="1">
        <f>+Transport!J46</f>
        <v>0</v>
      </c>
      <c r="J79" s="1">
        <f>+Transport!K46</f>
        <v>0</v>
      </c>
      <c r="K79" s="1">
        <f>+Transport!L46</f>
        <v>0</v>
      </c>
      <c r="L79" s="1">
        <f>+Transport!M46</f>
        <v>2819.2084799999998</v>
      </c>
      <c r="M79" s="1">
        <f>+Transport!N46</f>
        <v>1174.6702</v>
      </c>
      <c r="N79" s="1">
        <f>+Transport!O46</f>
        <v>1174.6702</v>
      </c>
      <c r="O79" s="1">
        <f>+Transport!P46</f>
        <v>1174.6702</v>
      </c>
      <c r="P79" s="1">
        <f>+Transport!Q46</f>
        <v>939.73615999999993</v>
      </c>
      <c r="Q79" s="1">
        <f>+Transport!R46</f>
        <v>2819.2084799999998</v>
      </c>
      <c r="R79" s="1">
        <f>+Transport!S46</f>
        <v>939.73616000000004</v>
      </c>
      <c r="S79" s="1">
        <f>+Transport!T46</f>
        <v>939.73615999999993</v>
      </c>
      <c r="T79" s="1">
        <f>+Transport!U46</f>
        <v>939.73616000000004</v>
      </c>
      <c r="U79" s="1">
        <f>+Transport!V46</f>
        <v>939.73615999999993</v>
      </c>
      <c r="V79" s="1">
        <f>+Transport!W46</f>
        <v>939.73615999999993</v>
      </c>
      <c r="W79" s="1">
        <f>+Transport!X46</f>
        <v>610.82850400000007</v>
      </c>
      <c r="X79" s="1">
        <f>+Transport!Y46</f>
        <v>0</v>
      </c>
      <c r="Y79" s="1">
        <f>+Transport!Z46</f>
        <v>704.80211999999995</v>
      </c>
      <c r="Z79" s="1">
        <f>+Transport!AA46</f>
        <v>0</v>
      </c>
      <c r="AA79" s="1">
        <f>+Transport!AB46</f>
        <v>587.33510000000001</v>
      </c>
      <c r="AB79" s="1">
        <f>+Transport!AC46</f>
        <v>0</v>
      </c>
      <c r="AC79" s="1">
        <f>+Transport!AD46</f>
        <v>587.33510000000001</v>
      </c>
      <c r="AD79" s="1">
        <f>+Transport!AE46</f>
        <v>0</v>
      </c>
      <c r="AE79" s="1">
        <f>+Transport!AF46</f>
        <v>469.86807999999996</v>
      </c>
      <c r="AF79" s="1">
        <f>+Transport!AG46</f>
        <v>0</v>
      </c>
      <c r="AG79" s="1">
        <f>+Transport!AH46</f>
        <v>0</v>
      </c>
      <c r="AH79" s="1">
        <f>+Transport!AI46</f>
        <v>2349.3404</v>
      </c>
      <c r="AI79" s="1">
        <f>+Transport!AJ46</f>
        <v>0</v>
      </c>
      <c r="AJ79" s="1">
        <f>+Transport!AK46</f>
        <v>0</v>
      </c>
      <c r="AK79" s="1">
        <f>+Transport!AL46</f>
        <v>0</v>
      </c>
      <c r="AL79" s="1">
        <f>+Transport!AM46</f>
        <v>0</v>
      </c>
      <c r="AM79" s="1">
        <f>+Transport!AN46</f>
        <v>0</v>
      </c>
      <c r="AN79" s="1">
        <f>+Transport!AO46</f>
        <v>0</v>
      </c>
      <c r="AO79" s="1">
        <f>+Transport!AP46</f>
        <v>0</v>
      </c>
      <c r="AP79" s="1">
        <f>+Transport!AQ46</f>
        <v>0</v>
      </c>
      <c r="AQ79" s="1">
        <f>+Transport!AR46</f>
        <v>0</v>
      </c>
      <c r="AR79" s="3">
        <f>SUM(D79:AQ79)</f>
        <v>20110.353824000005</v>
      </c>
      <c r="AT79" s="1">
        <f t="shared" si="58"/>
        <v>20110.353824000005</v>
      </c>
    </row>
    <row r="80" spans="1:49" x14ac:dyDescent="0.25">
      <c r="B80" t="s">
        <v>40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3">
        <f t="shared" si="59"/>
        <v>0</v>
      </c>
      <c r="AT80" s="1">
        <f t="shared" si="58"/>
        <v>0</v>
      </c>
    </row>
    <row r="81" spans="1:46" x14ac:dyDescent="0.25">
      <c r="B81" t="s">
        <v>469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90.83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3">
        <f t="shared" si="59"/>
        <v>90.83</v>
      </c>
      <c r="AT81" s="1">
        <f t="shared" si="58"/>
        <v>90.83</v>
      </c>
    </row>
    <row r="82" spans="1:46" x14ac:dyDescent="0.25">
      <c r="B82" t="s">
        <v>337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3">
        <f t="shared" si="59"/>
        <v>0</v>
      </c>
      <c r="AT82" s="1">
        <f t="shared" si="58"/>
        <v>0</v>
      </c>
    </row>
    <row r="83" spans="1:46" x14ac:dyDescent="0.25">
      <c r="B83" t="s">
        <v>95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3">
        <f t="shared" si="59"/>
        <v>0</v>
      </c>
      <c r="AT83" s="1">
        <f t="shared" si="58"/>
        <v>0</v>
      </c>
    </row>
    <row r="84" spans="1:46" x14ac:dyDescent="0.25">
      <c r="B84" t="s">
        <v>103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3">
        <f t="shared" si="59"/>
        <v>0</v>
      </c>
      <c r="AT84" s="1">
        <f t="shared" si="58"/>
        <v>0</v>
      </c>
    </row>
    <row r="85" spans="1:46" x14ac:dyDescent="0.25">
      <c r="B85" t="s">
        <v>607</v>
      </c>
      <c r="D85" s="1">
        <f>+Transport!E10</f>
        <v>0</v>
      </c>
      <c r="E85" s="1">
        <f>+Transport!F10</f>
        <v>0</v>
      </c>
      <c r="F85" s="1">
        <f>+Transport!G10</f>
        <v>0</v>
      </c>
      <c r="G85" s="1">
        <f>+Transport!H10</f>
        <v>0</v>
      </c>
      <c r="H85" s="1">
        <f>+Transport!I10</f>
        <v>0</v>
      </c>
      <c r="I85" s="1">
        <f>+Transport!J10</f>
        <v>0</v>
      </c>
      <c r="J85" s="1">
        <f>+Transport!K10</f>
        <v>0</v>
      </c>
      <c r="K85" s="1">
        <f>+Transport!L10</f>
        <v>0</v>
      </c>
      <c r="L85" s="1">
        <v>500</v>
      </c>
      <c r="M85" s="1">
        <v>500</v>
      </c>
      <c r="N85" s="1">
        <v>500</v>
      </c>
      <c r="O85" s="1">
        <v>500</v>
      </c>
      <c r="P85" s="1">
        <v>500</v>
      </c>
      <c r="Q85" s="1">
        <v>500</v>
      </c>
      <c r="R85" s="1">
        <v>500</v>
      </c>
      <c r="S85" s="1">
        <v>500</v>
      </c>
      <c r="T85" s="1">
        <v>500</v>
      </c>
      <c r="U85" s="1">
        <v>500</v>
      </c>
      <c r="V85" s="1">
        <v>500</v>
      </c>
      <c r="W85" s="1">
        <v>500</v>
      </c>
      <c r="X85" s="1">
        <v>500</v>
      </c>
      <c r="Y85" s="1">
        <v>500</v>
      </c>
      <c r="Z85" s="1">
        <f>+Transport!AA10</f>
        <v>0</v>
      </c>
      <c r="AA85" s="1">
        <f>+Transport!AB10</f>
        <v>0</v>
      </c>
      <c r="AB85" s="1">
        <f>+Transport!AC10</f>
        <v>0</v>
      </c>
      <c r="AC85" s="1">
        <f>+Transport!AD10</f>
        <v>0</v>
      </c>
      <c r="AD85" s="1">
        <f>+Transport!AE10</f>
        <v>0</v>
      </c>
      <c r="AE85" s="1">
        <f>+Transport!AF10</f>
        <v>0</v>
      </c>
      <c r="AF85" s="1">
        <f>+Transport!AG10</f>
        <v>0</v>
      </c>
      <c r="AG85" s="1">
        <f>+Transport!AH10</f>
        <v>0</v>
      </c>
      <c r="AH85" s="1">
        <f>+Transport!AI10</f>
        <v>0</v>
      </c>
      <c r="AI85" s="1">
        <f>+Transport!AJ10</f>
        <v>0</v>
      </c>
      <c r="AJ85" s="1">
        <f>+Transport!AK10</f>
        <v>0</v>
      </c>
      <c r="AK85" s="1">
        <f>+Transport!AL10</f>
        <v>0</v>
      </c>
      <c r="AL85" s="1">
        <f>+Transport!AM10</f>
        <v>0</v>
      </c>
      <c r="AM85" s="1">
        <f>+Transport!AN10</f>
        <v>0</v>
      </c>
      <c r="AN85" s="1">
        <f>+Transport!AO10</f>
        <v>0</v>
      </c>
      <c r="AO85" s="1">
        <f>+Transport!AP10</f>
        <v>0</v>
      </c>
      <c r="AP85" s="1">
        <f>+Transport!AQ10</f>
        <v>0</v>
      </c>
      <c r="AQ85" s="1">
        <f>+Transport!AR10</f>
        <v>0</v>
      </c>
      <c r="AR85" s="3">
        <f t="shared" si="59"/>
        <v>7000</v>
      </c>
      <c r="AT85" s="1">
        <f t="shared" si="58"/>
        <v>7000</v>
      </c>
    </row>
    <row r="86" spans="1:46" x14ac:dyDescent="0.25">
      <c r="B86" t="s">
        <v>591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f>+$H100</f>
        <v>630</v>
      </c>
      <c r="L86" s="1">
        <f>+$H100</f>
        <v>630</v>
      </c>
      <c r="M86" s="1">
        <f t="shared" ref="M86:AC86" si="60">+$H100</f>
        <v>630</v>
      </c>
      <c r="N86" s="1">
        <f t="shared" si="60"/>
        <v>630</v>
      </c>
      <c r="O86" s="1">
        <f t="shared" si="60"/>
        <v>630</v>
      </c>
      <c r="P86" s="1">
        <f t="shared" si="60"/>
        <v>630</v>
      </c>
      <c r="Q86" s="1">
        <f t="shared" si="60"/>
        <v>630</v>
      </c>
      <c r="R86" s="1">
        <f t="shared" si="60"/>
        <v>630</v>
      </c>
      <c r="S86" s="1">
        <f t="shared" si="60"/>
        <v>630</v>
      </c>
      <c r="T86" s="1">
        <f t="shared" si="60"/>
        <v>630</v>
      </c>
      <c r="U86" s="1">
        <f t="shared" si="60"/>
        <v>630</v>
      </c>
      <c r="V86" s="1">
        <f t="shared" si="60"/>
        <v>630</v>
      </c>
      <c r="W86" s="1">
        <f t="shared" si="60"/>
        <v>630</v>
      </c>
      <c r="X86" s="1">
        <f t="shared" si="60"/>
        <v>630</v>
      </c>
      <c r="Y86" s="1">
        <f t="shared" si="60"/>
        <v>630</v>
      </c>
      <c r="Z86" s="1">
        <f t="shared" si="60"/>
        <v>630</v>
      </c>
      <c r="AA86" s="1">
        <f t="shared" si="60"/>
        <v>630</v>
      </c>
      <c r="AB86" s="1">
        <f t="shared" si="60"/>
        <v>630</v>
      </c>
      <c r="AC86" s="1">
        <f t="shared" si="60"/>
        <v>630</v>
      </c>
      <c r="AD86" s="1">
        <f>+$H100</f>
        <v>630</v>
      </c>
      <c r="AE86"/>
      <c r="AF86"/>
      <c r="AG86"/>
      <c r="AH86"/>
      <c r="AI86"/>
      <c r="AJ86"/>
      <c r="AK86"/>
      <c r="AL86"/>
      <c r="AM86"/>
      <c r="AN86"/>
      <c r="AO86"/>
      <c r="AP86"/>
      <c r="AQ86"/>
      <c r="AR86" s="3">
        <f t="shared" si="59"/>
        <v>12600</v>
      </c>
      <c r="AT86" s="1">
        <f t="shared" si="58"/>
        <v>12600</v>
      </c>
    </row>
    <row r="87" spans="1:46" x14ac:dyDescent="0.25">
      <c r="B87" t="s">
        <v>432</v>
      </c>
      <c r="D87" s="1">
        <f t="shared" ref="D87:J87" si="61">+D93*15</f>
        <v>0</v>
      </c>
      <c r="E87" s="1">
        <f t="shared" si="61"/>
        <v>0</v>
      </c>
      <c r="F87" s="1">
        <f t="shared" si="61"/>
        <v>0</v>
      </c>
      <c r="G87" s="1">
        <f t="shared" si="61"/>
        <v>0</v>
      </c>
      <c r="H87" s="1">
        <f t="shared" si="61"/>
        <v>0</v>
      </c>
      <c r="I87" s="1">
        <f t="shared" si="61"/>
        <v>0</v>
      </c>
      <c r="J87" s="1">
        <f t="shared" si="61"/>
        <v>0</v>
      </c>
      <c r="K87" s="1">
        <f t="shared" ref="K87:AQ87" si="62">+K93*15</f>
        <v>0</v>
      </c>
      <c r="L87" s="1">
        <f t="shared" si="62"/>
        <v>0</v>
      </c>
      <c r="M87" s="1">
        <f t="shared" si="62"/>
        <v>0</v>
      </c>
      <c r="N87" s="1">
        <f t="shared" si="62"/>
        <v>0</v>
      </c>
      <c r="O87" s="1">
        <f t="shared" si="62"/>
        <v>0</v>
      </c>
      <c r="P87" s="1">
        <f t="shared" si="62"/>
        <v>0</v>
      </c>
      <c r="Q87" s="1">
        <f t="shared" si="62"/>
        <v>0</v>
      </c>
      <c r="R87" s="1">
        <f t="shared" si="62"/>
        <v>0</v>
      </c>
      <c r="S87" s="1">
        <f t="shared" si="62"/>
        <v>0</v>
      </c>
      <c r="T87" s="1">
        <f t="shared" si="62"/>
        <v>0</v>
      </c>
      <c r="U87" s="1">
        <f t="shared" si="62"/>
        <v>0</v>
      </c>
      <c r="V87" s="1">
        <f t="shared" si="62"/>
        <v>0</v>
      </c>
      <c r="W87" s="1">
        <f t="shared" si="62"/>
        <v>0</v>
      </c>
      <c r="X87" s="1">
        <f t="shared" si="62"/>
        <v>0</v>
      </c>
      <c r="Y87" s="1">
        <f t="shared" si="62"/>
        <v>0</v>
      </c>
      <c r="Z87" s="1">
        <f t="shared" si="62"/>
        <v>0</v>
      </c>
      <c r="AA87" s="1">
        <f t="shared" si="62"/>
        <v>0</v>
      </c>
      <c r="AB87" s="1">
        <f t="shared" si="62"/>
        <v>0</v>
      </c>
      <c r="AC87" s="1">
        <f t="shared" si="62"/>
        <v>0</v>
      </c>
      <c r="AD87" s="1">
        <f t="shared" si="62"/>
        <v>0</v>
      </c>
      <c r="AE87" s="1">
        <f t="shared" si="62"/>
        <v>0</v>
      </c>
      <c r="AF87" s="1">
        <f t="shared" si="62"/>
        <v>0</v>
      </c>
      <c r="AG87" s="1">
        <f t="shared" si="62"/>
        <v>0</v>
      </c>
      <c r="AH87" s="1">
        <f t="shared" si="62"/>
        <v>0</v>
      </c>
      <c r="AI87" s="1">
        <f t="shared" si="62"/>
        <v>0</v>
      </c>
      <c r="AJ87" s="1">
        <f t="shared" si="62"/>
        <v>0</v>
      </c>
      <c r="AK87" s="1">
        <f t="shared" si="62"/>
        <v>0</v>
      </c>
      <c r="AL87" s="1">
        <f t="shared" si="62"/>
        <v>0</v>
      </c>
      <c r="AM87" s="1">
        <f t="shared" si="62"/>
        <v>0</v>
      </c>
      <c r="AN87" s="1">
        <f t="shared" si="62"/>
        <v>0</v>
      </c>
      <c r="AO87" s="1">
        <f t="shared" si="62"/>
        <v>0</v>
      </c>
      <c r="AP87" s="1">
        <f t="shared" si="62"/>
        <v>0</v>
      </c>
      <c r="AQ87" s="1">
        <f t="shared" si="62"/>
        <v>0</v>
      </c>
      <c r="AR87" s="3">
        <f t="shared" si="59"/>
        <v>0</v>
      </c>
      <c r="AT87" s="1">
        <f t="shared" si="58"/>
        <v>0</v>
      </c>
    </row>
    <row r="88" spans="1:46" x14ac:dyDescent="0.25">
      <c r="B88" t="s">
        <v>440</v>
      </c>
      <c r="T88" s="104"/>
      <c r="Y88" s="104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 s="3">
        <f t="shared" si="59"/>
        <v>0</v>
      </c>
      <c r="AT88" s="1">
        <f t="shared" si="58"/>
        <v>0</v>
      </c>
    </row>
    <row r="89" spans="1:46" x14ac:dyDescent="0.25">
      <c r="B89" t="s">
        <v>173</v>
      </c>
      <c r="AN89"/>
      <c r="AO89"/>
      <c r="AP89"/>
      <c r="AQ89"/>
      <c r="AR89" s="3">
        <f t="shared" si="59"/>
        <v>0</v>
      </c>
      <c r="AT89" s="1">
        <f t="shared" si="58"/>
        <v>0</v>
      </c>
    </row>
    <row r="90" spans="1:46" s="13" customFormat="1" x14ac:dyDescent="0.25">
      <c r="A90" s="12"/>
      <c r="B90" t="s">
        <v>172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R90" s="3">
        <f t="shared" si="59"/>
        <v>0</v>
      </c>
      <c r="AT90" s="1">
        <f t="shared" si="58"/>
        <v>0</v>
      </c>
    </row>
    <row r="91" spans="1:46" s="2" customFormat="1" x14ac:dyDescent="0.25">
      <c r="A91" s="2" t="s">
        <v>10</v>
      </c>
      <c r="D91" s="3">
        <f>SUM(D77:D90)</f>
        <v>0</v>
      </c>
      <c r="E91" s="3">
        <f t="shared" ref="E91:J91" si="63">SUM(E77:E90)</f>
        <v>0</v>
      </c>
      <c r="F91" s="3">
        <f t="shared" si="63"/>
        <v>0</v>
      </c>
      <c r="G91" s="3">
        <f t="shared" si="63"/>
        <v>0</v>
      </c>
      <c r="H91" s="3">
        <f t="shared" si="63"/>
        <v>0</v>
      </c>
      <c r="I91" s="3">
        <f t="shared" si="63"/>
        <v>0</v>
      </c>
      <c r="J91" s="3">
        <f t="shared" si="63"/>
        <v>0</v>
      </c>
      <c r="K91" s="3">
        <f>SUM(K77:K90)</f>
        <v>630</v>
      </c>
      <c r="L91" s="3">
        <f>SUM(L77:L90)</f>
        <v>25106.341813333336</v>
      </c>
      <c r="M91" s="3">
        <f t="shared" ref="M91:AR91" si="64">SUM(M77:M90)</f>
        <v>15212.003533333333</v>
      </c>
      <c r="N91" s="3">
        <f t="shared" si="64"/>
        <v>16193.6702</v>
      </c>
      <c r="O91" s="3">
        <f t="shared" si="64"/>
        <v>26708.270199999999</v>
      </c>
      <c r="P91" s="3">
        <f t="shared" si="64"/>
        <v>32937.136159999995</v>
      </c>
      <c r="Q91" s="3">
        <f t="shared" si="64"/>
        <v>29819.608479999999</v>
      </c>
      <c r="R91" s="3">
        <f t="shared" si="64"/>
        <v>34469.802826666666</v>
      </c>
      <c r="S91" s="3">
        <f t="shared" si="64"/>
        <v>31802.202826666664</v>
      </c>
      <c r="T91" s="3">
        <f t="shared" si="64"/>
        <v>32605.269493333333</v>
      </c>
      <c r="U91" s="3">
        <f t="shared" si="64"/>
        <v>39459.202826666668</v>
      </c>
      <c r="V91" s="3">
        <f t="shared" si="64"/>
        <v>31024.469493333334</v>
      </c>
      <c r="W91" s="3">
        <f t="shared" si="64"/>
        <v>38222.095170666667</v>
      </c>
      <c r="X91" s="3">
        <f t="shared" si="64"/>
        <v>36034.26666666667</v>
      </c>
      <c r="Y91" s="3">
        <f t="shared" si="64"/>
        <v>19480.135453333332</v>
      </c>
      <c r="Z91" s="3">
        <f t="shared" si="64"/>
        <v>13994</v>
      </c>
      <c r="AA91" s="3">
        <f t="shared" si="64"/>
        <v>11226.0851</v>
      </c>
      <c r="AB91" s="3">
        <f t="shared" si="64"/>
        <v>9778.8333333333321</v>
      </c>
      <c r="AC91" s="3">
        <f t="shared" si="64"/>
        <v>6913.7517666666663</v>
      </c>
      <c r="AD91" s="3">
        <f t="shared" si="64"/>
        <v>6436.9166666666661</v>
      </c>
      <c r="AE91" s="3">
        <f t="shared" si="64"/>
        <v>4555.5347466666672</v>
      </c>
      <c r="AF91" s="3">
        <f t="shared" si="64"/>
        <v>2487.666666666667</v>
      </c>
      <c r="AG91" s="3">
        <f t="shared" si="64"/>
        <v>2905.7000000000003</v>
      </c>
      <c r="AH91" s="3">
        <f t="shared" si="64"/>
        <v>13369.440399999999</v>
      </c>
      <c r="AI91" s="3">
        <f t="shared" si="64"/>
        <v>3679.9</v>
      </c>
      <c r="AJ91" s="3">
        <f t="shared" si="64"/>
        <v>3795.8666666666668</v>
      </c>
      <c r="AK91" s="3">
        <f t="shared" si="64"/>
        <v>3927.53</v>
      </c>
      <c r="AL91" s="3">
        <f t="shared" si="64"/>
        <v>2641.5</v>
      </c>
      <c r="AM91" s="3">
        <f t="shared" si="64"/>
        <v>1437</v>
      </c>
      <c r="AN91" s="3">
        <f t="shared" si="64"/>
        <v>715.5</v>
      </c>
      <c r="AO91" s="3">
        <f t="shared" si="64"/>
        <v>0</v>
      </c>
      <c r="AP91" s="3">
        <f t="shared" si="64"/>
        <v>0</v>
      </c>
      <c r="AQ91" s="3">
        <f t="shared" si="64"/>
        <v>0</v>
      </c>
      <c r="AR91" s="3">
        <f t="shared" si="64"/>
        <v>497569.70049066667</v>
      </c>
      <c r="AT91" s="3">
        <f t="shared" si="58"/>
        <v>497569.70049066667</v>
      </c>
    </row>
    <row r="92" spans="1:46" s="24" customFormat="1" x14ac:dyDescent="0.25">
      <c r="A92" s="23"/>
      <c r="B92" s="23"/>
      <c r="C92" s="27" t="s">
        <v>102</v>
      </c>
      <c r="D92" s="25">
        <f>+D91</f>
        <v>0</v>
      </c>
      <c r="E92" s="25">
        <f>+D92+E91</f>
        <v>0</v>
      </c>
      <c r="F92" s="25">
        <f t="shared" ref="F92:AQ92" si="65">+E92+F91</f>
        <v>0</v>
      </c>
      <c r="G92" s="25">
        <f t="shared" si="65"/>
        <v>0</v>
      </c>
      <c r="H92" s="25">
        <f t="shared" si="65"/>
        <v>0</v>
      </c>
      <c r="I92" s="25">
        <f t="shared" si="65"/>
        <v>0</v>
      </c>
      <c r="J92" s="25">
        <f t="shared" si="65"/>
        <v>0</v>
      </c>
      <c r="K92" s="25">
        <f t="shared" si="65"/>
        <v>630</v>
      </c>
      <c r="L92" s="25">
        <f t="shared" si="65"/>
        <v>25736.341813333336</v>
      </c>
      <c r="M92" s="25">
        <f t="shared" si="65"/>
        <v>40948.345346666669</v>
      </c>
      <c r="N92" s="25">
        <f t="shared" si="65"/>
        <v>57142.015546666669</v>
      </c>
      <c r="O92" s="25">
        <f t="shared" si="65"/>
        <v>83850.285746666661</v>
      </c>
      <c r="P92" s="25">
        <f t="shared" si="65"/>
        <v>116787.42190666666</v>
      </c>
      <c r="Q92" s="25">
        <f t="shared" si="65"/>
        <v>146607.03038666665</v>
      </c>
      <c r="R92" s="25">
        <f t="shared" si="65"/>
        <v>181076.83321333333</v>
      </c>
      <c r="S92" s="25">
        <f t="shared" si="65"/>
        <v>212879.03604000001</v>
      </c>
      <c r="T92" s="25">
        <f t="shared" si="65"/>
        <v>245484.30553333333</v>
      </c>
      <c r="U92" s="25">
        <f t="shared" si="65"/>
        <v>284943.50835999998</v>
      </c>
      <c r="V92" s="25">
        <f t="shared" si="65"/>
        <v>315967.97785333329</v>
      </c>
      <c r="W92" s="25">
        <f t="shared" si="65"/>
        <v>354190.07302399992</v>
      </c>
      <c r="X92" s="25">
        <f t="shared" si="65"/>
        <v>390224.33969066659</v>
      </c>
      <c r="Y92" s="25">
        <f t="shared" si="65"/>
        <v>409704.47514399991</v>
      </c>
      <c r="Z92" s="25">
        <f t="shared" si="65"/>
        <v>423698.47514399991</v>
      </c>
      <c r="AA92" s="25">
        <f t="shared" si="65"/>
        <v>434924.56024399993</v>
      </c>
      <c r="AB92" s="25">
        <f t="shared" si="65"/>
        <v>444703.39357733325</v>
      </c>
      <c r="AC92" s="25">
        <f t="shared" si="65"/>
        <v>451617.1453439999</v>
      </c>
      <c r="AD92" s="25">
        <f t="shared" si="65"/>
        <v>458054.06201066659</v>
      </c>
      <c r="AE92" s="25">
        <f t="shared" si="65"/>
        <v>462609.59675733326</v>
      </c>
      <c r="AF92" s="25">
        <f t="shared" si="65"/>
        <v>465097.26342399995</v>
      </c>
      <c r="AG92" s="25">
        <f t="shared" si="65"/>
        <v>468002.96342399996</v>
      </c>
      <c r="AH92" s="25">
        <f t="shared" si="65"/>
        <v>481372.40382399998</v>
      </c>
      <c r="AI92" s="25">
        <f t="shared" si="65"/>
        <v>485052.303824</v>
      </c>
      <c r="AJ92" s="25">
        <f t="shared" si="65"/>
        <v>488848.17049066664</v>
      </c>
      <c r="AK92" s="25">
        <f t="shared" si="65"/>
        <v>492775.70049066667</v>
      </c>
      <c r="AL92" s="25">
        <f t="shared" si="65"/>
        <v>495417.20049066667</v>
      </c>
      <c r="AM92" s="25">
        <f t="shared" si="65"/>
        <v>496854.20049066667</v>
      </c>
      <c r="AN92" s="25">
        <f t="shared" si="65"/>
        <v>497569.70049066667</v>
      </c>
      <c r="AO92" s="25">
        <f t="shared" si="65"/>
        <v>497569.70049066667</v>
      </c>
      <c r="AP92" s="25">
        <f t="shared" si="65"/>
        <v>497569.70049066667</v>
      </c>
      <c r="AQ92" s="25">
        <f t="shared" si="65"/>
        <v>497569.70049066667</v>
      </c>
      <c r="AR92" s="48"/>
    </row>
    <row r="93" spans="1:46" x14ac:dyDescent="0.25">
      <c r="B93"/>
      <c r="AR93" s="3" t="s">
        <v>479</v>
      </c>
      <c r="AT93" s="134">
        <f>+AT91/AT72</f>
        <v>0.14739160978489552</v>
      </c>
    </row>
    <row r="94" spans="1:46" x14ac:dyDescent="0.25">
      <c r="B94" s="1"/>
      <c r="C94" s="1"/>
      <c r="D94" s="117" t="s">
        <v>585</v>
      </c>
      <c r="P94" s="1" t="s">
        <v>749</v>
      </c>
      <c r="AP94"/>
      <c r="AQ94"/>
      <c r="AR94" s="2"/>
    </row>
    <row r="95" spans="1:46" x14ac:dyDescent="0.25">
      <c r="A95" s="1" t="s">
        <v>691</v>
      </c>
      <c r="B95" s="1"/>
      <c r="C95" s="4"/>
      <c r="D95" s="1">
        <v>440</v>
      </c>
      <c r="P95" s="1" t="s">
        <v>750</v>
      </c>
      <c r="AJ95" s="1">
        <f>3311+56.62+2107+36.03</f>
        <v>5510.65</v>
      </c>
      <c r="AP95"/>
      <c r="AQ95"/>
      <c r="AR95" s="2"/>
    </row>
    <row r="96" spans="1:46" x14ac:dyDescent="0.25">
      <c r="A96" s="1" t="s">
        <v>690</v>
      </c>
      <c r="B96" s="1"/>
      <c r="C96" s="4"/>
      <c r="D96" s="1">
        <v>485</v>
      </c>
      <c r="P96" s="1" t="s">
        <v>751</v>
      </c>
      <c r="AP96"/>
      <c r="AQ96"/>
      <c r="AR96" s="2"/>
    </row>
    <row r="97" spans="1:44" x14ac:dyDescent="0.25">
      <c r="A97" s="1" t="s">
        <v>588</v>
      </c>
      <c r="B97" s="1"/>
      <c r="C97" s="4"/>
      <c r="D97" s="1">
        <v>450</v>
      </c>
      <c r="AP97"/>
      <c r="AQ97"/>
      <c r="AR97" s="2"/>
    </row>
    <row r="98" spans="1:44" x14ac:dyDescent="0.25">
      <c r="A98" s="1" t="s">
        <v>589</v>
      </c>
      <c r="B98" s="1"/>
      <c r="C98" s="1"/>
      <c r="D98" s="1">
        <v>100</v>
      </c>
      <c r="L98" s="114"/>
      <c r="AP98"/>
      <c r="AQ98"/>
      <c r="AR98" s="2"/>
    </row>
    <row r="99" spans="1:44" x14ac:dyDescent="0.25">
      <c r="A99" s="1"/>
      <c r="B99" s="1"/>
      <c r="C99" s="1"/>
      <c r="D99" s="104"/>
      <c r="E99" s="104"/>
      <c r="F99" s="104"/>
      <c r="G99" s="104"/>
      <c r="H99" s="104"/>
      <c r="I99" s="104"/>
      <c r="J99" s="104"/>
      <c r="AP99"/>
      <c r="AQ99"/>
      <c r="AR99" s="2"/>
    </row>
    <row r="100" spans="1:44" x14ac:dyDescent="0.25">
      <c r="A100" s="1"/>
      <c r="B100" s="1"/>
      <c r="C100" s="1"/>
      <c r="D100" s="1">
        <f>SUM(D95:D99)</f>
        <v>1475</v>
      </c>
      <c r="F100" s="1" t="s">
        <v>288</v>
      </c>
      <c r="G100" s="119">
        <v>0.42</v>
      </c>
      <c r="H100" s="1">
        <f>+D101*G100</f>
        <v>630</v>
      </c>
      <c r="AP100"/>
      <c r="AQ100"/>
      <c r="AR100" s="2"/>
    </row>
    <row r="101" spans="1:44" x14ac:dyDescent="0.25">
      <c r="A101" s="2" t="s">
        <v>590</v>
      </c>
      <c r="D101" s="1">
        <v>1500</v>
      </c>
      <c r="F101" s="1" t="s">
        <v>223</v>
      </c>
      <c r="G101" s="119">
        <v>0.38</v>
      </c>
      <c r="H101" s="1">
        <f>+D101*G101</f>
        <v>570</v>
      </c>
    </row>
    <row r="102" spans="1:44" x14ac:dyDescent="0.25">
      <c r="F102" s="1" t="s">
        <v>226</v>
      </c>
      <c r="G102" s="119">
        <v>0.2</v>
      </c>
      <c r="H102" s="1">
        <f>+D101*G102</f>
        <v>300</v>
      </c>
    </row>
  </sheetData>
  <sortState xmlns:xlrd2="http://schemas.microsoft.com/office/spreadsheetml/2017/richdata2" ref="C47:C60">
    <sortCondition ref="C47:C60"/>
  </sortState>
  <pageMargins left="0.70866141732283472" right="0.70866141732283472" top="0.74803149606299213" bottom="0.74803149606299213" header="0.31496062992125984" footer="0.31496062992125984"/>
  <pageSetup paperSize="9" scale="90" orientation="portrait" r:id="rId1"/>
  <headerFooter>
    <oddFooter>&amp;L&amp;F&amp;R&amp;D</oddFoot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W47"/>
  <sheetViews>
    <sheetView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M18" sqref="M18"/>
    </sheetView>
  </sheetViews>
  <sheetFormatPr defaultRowHeight="15" x14ac:dyDescent="0.25"/>
  <cols>
    <col min="1" max="1" width="3.5703125" style="2" customWidth="1"/>
    <col min="2" max="2" width="15.140625" customWidth="1"/>
    <col min="3" max="5" width="9.7109375" customWidth="1"/>
    <col min="17" max="17" width="9.140625" style="28"/>
  </cols>
  <sheetData>
    <row r="2" spans="1:23" x14ac:dyDescent="0.25">
      <c r="C2" s="5" t="s">
        <v>255</v>
      </c>
      <c r="D2" s="5" t="s">
        <v>255</v>
      </c>
      <c r="E2" s="5" t="s">
        <v>255</v>
      </c>
      <c r="F2" s="5" t="s">
        <v>255</v>
      </c>
      <c r="G2" s="5" t="s">
        <v>255</v>
      </c>
      <c r="H2" s="5" t="s">
        <v>255</v>
      </c>
      <c r="I2" s="5" t="s">
        <v>255</v>
      </c>
      <c r="J2" s="5" t="s">
        <v>255</v>
      </c>
      <c r="K2" s="5" t="s">
        <v>255</v>
      </c>
      <c r="L2" s="5" t="s">
        <v>255</v>
      </c>
      <c r="N2" s="50" t="s">
        <v>256</v>
      </c>
      <c r="O2" s="50" t="s">
        <v>256</v>
      </c>
      <c r="P2" s="50" t="s">
        <v>256</v>
      </c>
      <c r="Q2" s="50" t="s">
        <v>256</v>
      </c>
      <c r="R2" s="50" t="s">
        <v>256</v>
      </c>
      <c r="S2" s="50" t="s">
        <v>256</v>
      </c>
      <c r="T2" s="50" t="s">
        <v>256</v>
      </c>
      <c r="U2" s="50" t="s">
        <v>256</v>
      </c>
      <c r="V2" s="50" t="s">
        <v>256</v>
      </c>
      <c r="W2" s="50" t="s">
        <v>258</v>
      </c>
    </row>
    <row r="3" spans="1:23" x14ac:dyDescent="0.25">
      <c r="C3" s="47" t="s">
        <v>254</v>
      </c>
      <c r="D3" s="47" t="s">
        <v>36</v>
      </c>
      <c r="E3" s="47" t="s">
        <v>37</v>
      </c>
      <c r="F3" s="47" t="s">
        <v>38</v>
      </c>
      <c r="G3" s="47" t="s">
        <v>39</v>
      </c>
      <c r="H3" s="47" t="s">
        <v>86</v>
      </c>
      <c r="I3" s="47" t="s">
        <v>181</v>
      </c>
      <c r="J3" s="47" t="s">
        <v>252</v>
      </c>
      <c r="K3" s="47" t="s">
        <v>253</v>
      </c>
      <c r="L3" s="47" t="s">
        <v>2</v>
      </c>
      <c r="N3" s="50" t="s">
        <v>254</v>
      </c>
      <c r="O3" s="50" t="s">
        <v>36</v>
      </c>
      <c r="P3" s="50" t="s">
        <v>37</v>
      </c>
      <c r="Q3" s="50" t="s">
        <v>38</v>
      </c>
      <c r="R3" s="50" t="s">
        <v>39</v>
      </c>
      <c r="S3" s="50" t="s">
        <v>86</v>
      </c>
      <c r="T3" s="50" t="s">
        <v>181</v>
      </c>
      <c r="U3" s="50" t="s">
        <v>252</v>
      </c>
      <c r="V3" s="50" t="s">
        <v>253</v>
      </c>
      <c r="W3" s="50" t="s">
        <v>2</v>
      </c>
    </row>
    <row r="4" spans="1:23" x14ac:dyDescent="0.25">
      <c r="A4" s="2" t="s">
        <v>99</v>
      </c>
      <c r="C4" s="1">
        <f t="shared" ref="C4:K4" si="0">+C5*6</f>
        <v>0</v>
      </c>
      <c r="D4" s="1">
        <f t="shared" si="0"/>
        <v>589356</v>
      </c>
      <c r="E4" s="1">
        <f t="shared" si="0"/>
        <v>643830</v>
      </c>
      <c r="F4" s="1">
        <f t="shared" si="0"/>
        <v>682284</v>
      </c>
      <c r="G4" s="1">
        <f t="shared" si="0"/>
        <v>269976</v>
      </c>
      <c r="H4" s="1">
        <f t="shared" si="0"/>
        <v>69588</v>
      </c>
      <c r="I4" s="1">
        <f t="shared" si="0"/>
        <v>114438</v>
      </c>
      <c r="J4" s="1">
        <f t="shared" si="0"/>
        <v>19176</v>
      </c>
      <c r="K4" s="1">
        <f t="shared" si="0"/>
        <v>0</v>
      </c>
      <c r="L4" s="1">
        <f>SUM(C4:K4)</f>
        <v>2388648</v>
      </c>
    </row>
    <row r="5" spans="1:23" x14ac:dyDescent="0.25">
      <c r="A5" s="2" t="s">
        <v>98</v>
      </c>
      <c r="C5" s="1">
        <f>+PassVol!AW92</f>
        <v>0</v>
      </c>
      <c r="D5" s="1">
        <f>+PassVol!AX92</f>
        <v>98226</v>
      </c>
      <c r="E5" s="1">
        <f>+PassVol!AY92</f>
        <v>107305</v>
      </c>
      <c r="F5" s="1">
        <f>+PassVol!AZ92</f>
        <v>113714</v>
      </c>
      <c r="G5" s="1">
        <f>+PassVol!BA92</f>
        <v>44996</v>
      </c>
      <c r="H5" s="1">
        <f>+PassVol!BB92</f>
        <v>11598</v>
      </c>
      <c r="I5" s="1">
        <f>+PassVol!BC92</f>
        <v>19073</v>
      </c>
      <c r="J5" s="1">
        <f>+PassVol!BD92</f>
        <v>3196</v>
      </c>
      <c r="K5" s="1">
        <f>+PassVol!BE92</f>
        <v>0</v>
      </c>
      <c r="L5" s="1">
        <f>SUM(C5:K5)</f>
        <v>398108</v>
      </c>
      <c r="M5">
        <v>0.42099999999999999</v>
      </c>
      <c r="N5" s="29">
        <f t="shared" ref="N5:V5" si="1">+C5*$M5</f>
        <v>0</v>
      </c>
      <c r="O5" s="29">
        <f t="shared" si="1"/>
        <v>41353.146000000001</v>
      </c>
      <c r="P5" s="29">
        <f t="shared" si="1"/>
        <v>45175.404999999999</v>
      </c>
      <c r="Q5" s="29">
        <f t="shared" si="1"/>
        <v>47873.593999999997</v>
      </c>
      <c r="R5" s="29">
        <f t="shared" si="1"/>
        <v>18943.315999999999</v>
      </c>
      <c r="S5" s="29">
        <f t="shared" si="1"/>
        <v>4882.7579999999998</v>
      </c>
      <c r="T5" s="29">
        <f t="shared" si="1"/>
        <v>8029.7330000000002</v>
      </c>
      <c r="U5" s="29">
        <f t="shared" si="1"/>
        <v>1345.5159999999998</v>
      </c>
      <c r="V5" s="29">
        <f t="shared" si="1"/>
        <v>0</v>
      </c>
      <c r="W5" s="28">
        <f>SUM(N5:V5)</f>
        <v>167603.46800000002</v>
      </c>
    </row>
    <row r="7" spans="1:23" x14ac:dyDescent="0.25">
      <c r="A7" s="2" t="s">
        <v>244</v>
      </c>
    </row>
    <row r="8" spans="1:23" x14ac:dyDescent="0.25">
      <c r="B8" t="s">
        <v>6</v>
      </c>
      <c r="C8" s="1">
        <f>+PassVol!AW13*6</f>
        <v>0</v>
      </c>
      <c r="D8" s="1">
        <f>+PassVol!AX13*6</f>
        <v>88038</v>
      </c>
      <c r="E8" s="1">
        <f>+PassVol!AY13*6</f>
        <v>72000</v>
      </c>
      <c r="F8" s="1">
        <f>+PassVol!AZ13*6</f>
        <v>28368</v>
      </c>
      <c r="G8" s="1">
        <f>+PassVol!BA13*6</f>
        <v>25170</v>
      </c>
      <c r="H8" s="1">
        <f>+PassVol!BB13*6</f>
        <v>6480</v>
      </c>
      <c r="I8" s="1">
        <f>+PassVol!BC13*6</f>
        <v>32400</v>
      </c>
      <c r="J8" s="1">
        <f>+PassVol!BD13*6</f>
        <v>0</v>
      </c>
      <c r="K8" s="1">
        <f>+PassVol!BE13*6</f>
        <v>0</v>
      </c>
      <c r="L8" s="1">
        <f t="shared" ref="L8:L13" si="2">SUM(C8:K8)</f>
        <v>252456</v>
      </c>
      <c r="M8">
        <v>4.2999999999999997E-2</v>
      </c>
      <c r="N8" s="28">
        <f t="shared" ref="N8:V13" si="3">+$M8*C8</f>
        <v>0</v>
      </c>
      <c r="O8" s="28">
        <f t="shared" si="3"/>
        <v>3785.6339999999996</v>
      </c>
      <c r="P8" s="28">
        <f t="shared" si="3"/>
        <v>3095.9999999999995</v>
      </c>
      <c r="Q8" s="28">
        <f t="shared" si="3"/>
        <v>1219.8239999999998</v>
      </c>
      <c r="R8" s="28">
        <f t="shared" si="3"/>
        <v>1082.31</v>
      </c>
      <c r="S8" s="28">
        <f t="shared" si="3"/>
        <v>278.64</v>
      </c>
      <c r="T8" s="28">
        <f t="shared" si="3"/>
        <v>1393.1999999999998</v>
      </c>
      <c r="U8" s="28">
        <f t="shared" si="3"/>
        <v>0</v>
      </c>
      <c r="V8" s="28">
        <f t="shared" si="3"/>
        <v>0</v>
      </c>
      <c r="W8" s="28">
        <f t="shared" ref="W8:W21" si="4">SUM(N8:V8)</f>
        <v>10855.607999999997</v>
      </c>
    </row>
    <row r="9" spans="1:23" x14ac:dyDescent="0.25">
      <c r="B9" t="s">
        <v>0</v>
      </c>
      <c r="C9" s="1">
        <f>+PassVol!AW7*6</f>
        <v>0</v>
      </c>
      <c r="D9" s="1">
        <f>+PassVol!AX7*6</f>
        <v>68382</v>
      </c>
      <c r="E9" s="1">
        <f>+PassVol!AY7*6</f>
        <v>68634</v>
      </c>
      <c r="F9" s="1">
        <f>+PassVol!AZ7*6</f>
        <v>80226</v>
      </c>
      <c r="G9" s="1">
        <f>+PassVol!BA7*6</f>
        <v>73380</v>
      </c>
      <c r="H9" s="1">
        <f>+PassVol!BB7*6</f>
        <v>29430</v>
      </c>
      <c r="I9" s="1">
        <f>+PassVol!BC7*6</f>
        <v>21726</v>
      </c>
      <c r="J9" s="1">
        <f>+PassVol!BD7*6</f>
        <v>4866</v>
      </c>
      <c r="K9" s="1">
        <f>+PassVol!BE7*6</f>
        <v>0</v>
      </c>
      <c r="L9" s="1">
        <f t="shared" si="2"/>
        <v>346644</v>
      </c>
      <c r="M9">
        <v>2.657E-2</v>
      </c>
      <c r="N9" s="28">
        <f t="shared" si="3"/>
        <v>0</v>
      </c>
      <c r="O9" s="28">
        <f t="shared" si="3"/>
        <v>1816.9097400000001</v>
      </c>
      <c r="P9" s="28">
        <f t="shared" si="3"/>
        <v>1823.60538</v>
      </c>
      <c r="Q9" s="28">
        <f t="shared" si="3"/>
        <v>2131.60482</v>
      </c>
      <c r="R9" s="28">
        <f t="shared" si="3"/>
        <v>1949.7066</v>
      </c>
      <c r="S9" s="28">
        <f t="shared" si="3"/>
        <v>781.95510000000002</v>
      </c>
      <c r="T9" s="28">
        <f t="shared" si="3"/>
        <v>577.25981999999999</v>
      </c>
      <c r="U9" s="28">
        <f t="shared" si="3"/>
        <v>129.28962000000001</v>
      </c>
      <c r="V9" s="28">
        <f t="shared" si="3"/>
        <v>0</v>
      </c>
      <c r="W9" s="28">
        <f t="shared" si="4"/>
        <v>9210.3310799999981</v>
      </c>
    </row>
    <row r="10" spans="1:23" x14ac:dyDescent="0.25">
      <c r="B10" t="s">
        <v>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 t="shared" si="2"/>
        <v>0</v>
      </c>
      <c r="M10">
        <v>2.8000000000000001E-2</v>
      </c>
      <c r="N10" s="28">
        <f t="shared" si="3"/>
        <v>0</v>
      </c>
      <c r="O10" s="28">
        <f t="shared" si="3"/>
        <v>0</v>
      </c>
      <c r="P10" s="28">
        <f t="shared" si="3"/>
        <v>0</v>
      </c>
      <c r="Q10" s="28">
        <f t="shared" si="3"/>
        <v>0</v>
      </c>
      <c r="R10" s="28">
        <f t="shared" si="3"/>
        <v>0</v>
      </c>
      <c r="S10" s="28">
        <f t="shared" si="3"/>
        <v>0</v>
      </c>
      <c r="T10" s="28">
        <f t="shared" si="3"/>
        <v>0</v>
      </c>
      <c r="U10" s="28">
        <f t="shared" si="3"/>
        <v>0</v>
      </c>
      <c r="V10" s="28">
        <f t="shared" si="3"/>
        <v>0</v>
      </c>
      <c r="W10" s="28">
        <f t="shared" si="4"/>
        <v>0</v>
      </c>
    </row>
    <row r="11" spans="1:23" x14ac:dyDescent="0.25">
      <c r="B11" t="s">
        <v>42</v>
      </c>
      <c r="C11" s="1">
        <f>+PassVol!AW15*6</f>
        <v>0</v>
      </c>
      <c r="D11" s="1">
        <f>+PassVol!AX15*6</f>
        <v>11916</v>
      </c>
      <c r="E11" s="1">
        <f>+PassVol!AY15*6</f>
        <v>7938</v>
      </c>
      <c r="F11" s="1">
        <f>+PassVol!AZ15*6</f>
        <v>12294</v>
      </c>
      <c r="G11" s="1">
        <f>+PassVol!BA15*6</f>
        <v>2160</v>
      </c>
      <c r="H11" s="1">
        <f>+PassVol!BB15*6</f>
        <v>990</v>
      </c>
      <c r="I11" s="1">
        <f>+PassVol!BC15*6</f>
        <v>540</v>
      </c>
      <c r="J11" s="1">
        <f>+PassVol!BD15*6</f>
        <v>126</v>
      </c>
      <c r="K11" s="1">
        <f>+PassVol!BE15*6</f>
        <v>0</v>
      </c>
      <c r="L11" s="1">
        <f t="shared" si="2"/>
        <v>35964</v>
      </c>
      <c r="M11">
        <v>2.657E-2</v>
      </c>
      <c r="N11" s="28">
        <f t="shared" si="3"/>
        <v>0</v>
      </c>
      <c r="O11" s="28">
        <f t="shared" si="3"/>
        <v>316.60811999999999</v>
      </c>
      <c r="P11" s="28">
        <f t="shared" si="3"/>
        <v>210.91265999999999</v>
      </c>
      <c r="Q11" s="28">
        <f t="shared" si="3"/>
        <v>326.65158000000002</v>
      </c>
      <c r="R11" s="28">
        <f t="shared" si="3"/>
        <v>57.391199999999998</v>
      </c>
      <c r="S11" s="28">
        <f t="shared" si="3"/>
        <v>26.304300000000001</v>
      </c>
      <c r="T11" s="28">
        <f t="shared" si="3"/>
        <v>14.347799999999999</v>
      </c>
      <c r="U11" s="28">
        <f t="shared" si="3"/>
        <v>3.34782</v>
      </c>
      <c r="V11" s="28">
        <f t="shared" si="3"/>
        <v>0</v>
      </c>
      <c r="W11" s="28">
        <f t="shared" si="4"/>
        <v>955.56348000000003</v>
      </c>
    </row>
    <row r="12" spans="1:23" x14ac:dyDescent="0.25">
      <c r="B12" t="s">
        <v>190</v>
      </c>
      <c r="C12" s="1">
        <f>+PassVol!AW4*6</f>
        <v>0</v>
      </c>
      <c r="D12" s="1">
        <f>+PassVol!AX4*6</f>
        <v>34878</v>
      </c>
      <c r="E12" s="1">
        <f>+PassVol!AY4*6</f>
        <v>60906</v>
      </c>
      <c r="F12" s="1">
        <f>+PassVol!AZ4*6</f>
        <v>51462</v>
      </c>
      <c r="G12" s="1">
        <f>+PassVol!BA4*6</f>
        <v>14244</v>
      </c>
      <c r="H12" s="1">
        <f>+PassVol!BB4*6</f>
        <v>2052</v>
      </c>
      <c r="I12" s="1">
        <f>+PassVol!BC4*6</f>
        <v>13410</v>
      </c>
      <c r="J12" s="1">
        <f>+PassVol!BD4*6</f>
        <v>1764</v>
      </c>
      <c r="K12" s="1">
        <f>+PassVol!BE4*6</f>
        <v>0</v>
      </c>
      <c r="L12" s="1">
        <f t="shared" si="2"/>
        <v>178716</v>
      </c>
      <c r="M12">
        <v>2.657E-2</v>
      </c>
      <c r="N12" s="28">
        <f t="shared" si="3"/>
        <v>0</v>
      </c>
      <c r="O12" s="28">
        <f t="shared" si="3"/>
        <v>926.70845999999995</v>
      </c>
      <c r="P12" s="28">
        <f t="shared" si="3"/>
        <v>1618.27242</v>
      </c>
      <c r="Q12" s="28">
        <f t="shared" si="3"/>
        <v>1367.3453400000001</v>
      </c>
      <c r="R12" s="28">
        <f t="shared" si="3"/>
        <v>378.46307999999999</v>
      </c>
      <c r="S12" s="28">
        <f t="shared" si="3"/>
        <v>54.521639999999998</v>
      </c>
      <c r="T12" s="28">
        <f t="shared" si="3"/>
        <v>356.30369999999999</v>
      </c>
      <c r="U12" s="28">
        <f t="shared" si="3"/>
        <v>46.869480000000003</v>
      </c>
      <c r="V12" s="28">
        <f t="shared" si="3"/>
        <v>0</v>
      </c>
      <c r="W12" s="28">
        <f t="shared" si="4"/>
        <v>4748.484120000001</v>
      </c>
    </row>
    <row r="13" spans="1:23" x14ac:dyDescent="0.25">
      <c r="B13" t="s">
        <v>44</v>
      </c>
      <c r="C13" s="1">
        <f>+PassVol!AW23*6-SUM(C8:C12)</f>
        <v>0</v>
      </c>
      <c r="D13" s="1">
        <f>+PassVol!AX23*6-SUM(D8:D12)</f>
        <v>257190</v>
      </c>
      <c r="E13" s="1">
        <f>+PassVol!AY23*6-SUM(E8:E12)</f>
        <v>364920</v>
      </c>
      <c r="F13" s="1">
        <f>+PassVol!AZ23*6-SUM(F8:F12)</f>
        <v>469854</v>
      </c>
      <c r="G13" s="1">
        <f>+PassVol!BA23*6-SUM(G8:G12)</f>
        <v>144750</v>
      </c>
      <c r="H13" s="1">
        <f>+PassVol!BB23*6-SUM(H8:H12)</f>
        <v>30636</v>
      </c>
      <c r="I13" s="1">
        <f>+PassVol!BC23*6-SUM(I8:I12)</f>
        <v>46362</v>
      </c>
      <c r="J13" s="1">
        <f>+PassVol!BD23*6-SUM(J8:J12)</f>
        <v>12420</v>
      </c>
      <c r="K13" s="1">
        <f>+PassVol!BE23*6-SUM(K8:K12)</f>
        <v>0</v>
      </c>
      <c r="L13" s="1">
        <f t="shared" si="2"/>
        <v>1326132</v>
      </c>
      <c r="M13">
        <v>2.657E-2</v>
      </c>
      <c r="N13" s="28">
        <f t="shared" si="3"/>
        <v>0</v>
      </c>
      <c r="O13" s="28">
        <f t="shared" si="3"/>
        <v>6833.5383000000002</v>
      </c>
      <c r="P13" s="28">
        <f t="shared" si="3"/>
        <v>9695.9243999999999</v>
      </c>
      <c r="Q13" s="28">
        <f t="shared" si="3"/>
        <v>12484.020780000001</v>
      </c>
      <c r="R13" s="28">
        <f t="shared" si="3"/>
        <v>3846.0075000000002</v>
      </c>
      <c r="S13" s="28">
        <f t="shared" si="3"/>
        <v>813.99851999999998</v>
      </c>
      <c r="T13" s="28">
        <f t="shared" si="3"/>
        <v>1231.83834</v>
      </c>
      <c r="U13" s="28">
        <f t="shared" si="3"/>
        <v>329.99939999999998</v>
      </c>
      <c r="V13" s="28">
        <f t="shared" si="3"/>
        <v>0</v>
      </c>
      <c r="W13" s="28">
        <f t="shared" si="4"/>
        <v>35235.327240000006</v>
      </c>
    </row>
    <row r="14" spans="1:23" x14ac:dyDescent="0.25">
      <c r="N14" s="29">
        <f t="shared" ref="N14:W14" si="5">SUM(N8:N13)</f>
        <v>0</v>
      </c>
      <c r="O14" s="29">
        <f t="shared" si="5"/>
        <v>13679.39862</v>
      </c>
      <c r="P14" s="29">
        <f t="shared" si="5"/>
        <v>16444.71486</v>
      </c>
      <c r="Q14" s="29">
        <f t="shared" si="5"/>
        <v>17529.446520000001</v>
      </c>
      <c r="R14" s="29">
        <f t="shared" si="5"/>
        <v>7313.8783800000001</v>
      </c>
      <c r="S14" s="29">
        <f t="shared" si="5"/>
        <v>1955.4195599999998</v>
      </c>
      <c r="T14" s="29">
        <f t="shared" si="5"/>
        <v>3572.9496600000002</v>
      </c>
      <c r="U14" s="29">
        <f t="shared" si="5"/>
        <v>509.50632000000002</v>
      </c>
      <c r="V14" s="29">
        <f t="shared" si="5"/>
        <v>0</v>
      </c>
      <c r="W14" s="29">
        <f t="shared" si="5"/>
        <v>61005.313920000001</v>
      </c>
    </row>
    <row r="15" spans="1:23" x14ac:dyDescent="0.25">
      <c r="A15" s="2" t="s">
        <v>245</v>
      </c>
      <c r="W15" s="1"/>
    </row>
    <row r="16" spans="1:23" x14ac:dyDescent="0.25">
      <c r="B16" t="s">
        <v>6</v>
      </c>
      <c r="C16" s="1">
        <f>+(PassVol!AW27+PassVol!AW50)*6</f>
        <v>0</v>
      </c>
      <c r="D16" s="1">
        <f>+(PassVol!AX27+PassVol!AX50)*6</f>
        <v>7236</v>
      </c>
      <c r="E16" s="1">
        <f>+(PassVol!AY27+PassVol!AY50)*6</f>
        <v>5274</v>
      </c>
      <c r="F16" s="1">
        <f>+(PassVol!AZ27+PassVol!AZ50)*6</f>
        <v>5976</v>
      </c>
      <c r="G16" s="1">
        <f>+(PassVol!BA27+PassVol!BA50)*6</f>
        <v>174</v>
      </c>
      <c r="H16" s="1">
        <f>+(PassVol!BB27+PassVol!BB50)*6</f>
        <v>0</v>
      </c>
      <c r="I16" s="1">
        <f>+(PassVol!BC27+PassVol!BC50)*6</f>
        <v>0</v>
      </c>
      <c r="J16" s="1">
        <f>+(PassVol!BD27+PassVol!BD50)*6</f>
        <v>0</v>
      </c>
      <c r="K16" s="1">
        <f>+(PassVol!BE27+PassVol!BE50)*6</f>
        <v>0</v>
      </c>
      <c r="L16" s="1">
        <f t="shared" ref="L16:L21" si="6">SUM(C16:K16)</f>
        <v>18660</v>
      </c>
      <c r="M16">
        <v>7.6950000000000005E-2</v>
      </c>
      <c r="N16" s="28">
        <f t="shared" ref="N16:V21" si="7">+$M16*C16</f>
        <v>0</v>
      </c>
      <c r="O16" s="28">
        <f t="shared" si="7"/>
        <v>556.81020000000001</v>
      </c>
      <c r="P16" s="28">
        <f t="shared" si="7"/>
        <v>405.83430000000004</v>
      </c>
      <c r="Q16" s="28">
        <f t="shared" si="7"/>
        <v>459.85320000000002</v>
      </c>
      <c r="R16" s="28">
        <f t="shared" si="7"/>
        <v>13.3893</v>
      </c>
      <c r="S16" s="28">
        <f t="shared" si="7"/>
        <v>0</v>
      </c>
      <c r="T16" s="28">
        <f t="shared" si="7"/>
        <v>0</v>
      </c>
      <c r="U16" s="28">
        <f t="shared" si="7"/>
        <v>0</v>
      </c>
      <c r="V16" s="28">
        <f t="shared" si="7"/>
        <v>0</v>
      </c>
      <c r="W16" s="28">
        <f t="shared" si="4"/>
        <v>1435.8870000000002</v>
      </c>
    </row>
    <row r="17" spans="1:23" x14ac:dyDescent="0.25">
      <c r="B17" t="s">
        <v>0</v>
      </c>
      <c r="C17" s="1">
        <f>+(PassVol!AW29+PassVol!AW52)*6</f>
        <v>0</v>
      </c>
      <c r="D17" s="1">
        <f>+(PassVol!AX29+PassVol!AX52)*6</f>
        <v>3312</v>
      </c>
      <c r="E17" s="1">
        <f>+(PassVol!AY29+PassVol!AY52)*6</f>
        <v>1416</v>
      </c>
      <c r="F17" s="1">
        <f>+(PassVol!AZ29+PassVol!AZ52)*6</f>
        <v>156</v>
      </c>
      <c r="G17" s="1">
        <f>+(PassVol!BA29+PassVol!BA52)*6</f>
        <v>90</v>
      </c>
      <c r="H17" s="1">
        <f>+(PassVol!BB29+PassVol!BB52)*6</f>
        <v>0</v>
      </c>
      <c r="I17" s="1">
        <f>+(PassVol!BC29+PassVol!BC52)*6</f>
        <v>0</v>
      </c>
      <c r="J17" s="1">
        <f>+(PassVol!BD29+PassVol!BD52)*6</f>
        <v>0</v>
      </c>
      <c r="K17" s="1">
        <f>+(PassVol!BE29+PassVol!BE52)*6</f>
        <v>0</v>
      </c>
      <c r="L17" s="1">
        <f t="shared" si="6"/>
        <v>4974</v>
      </c>
      <c r="M17">
        <v>8.1500000000000003E-2</v>
      </c>
      <c r="N17" s="28">
        <f t="shared" si="7"/>
        <v>0</v>
      </c>
      <c r="O17" s="28">
        <f t="shared" si="7"/>
        <v>269.928</v>
      </c>
      <c r="P17" s="28">
        <f t="shared" si="7"/>
        <v>115.40400000000001</v>
      </c>
      <c r="Q17" s="28">
        <f t="shared" si="7"/>
        <v>12.714</v>
      </c>
      <c r="R17" s="28">
        <f t="shared" si="7"/>
        <v>7.335</v>
      </c>
      <c r="S17" s="28">
        <f t="shared" si="7"/>
        <v>0</v>
      </c>
      <c r="T17" s="28">
        <f t="shared" si="7"/>
        <v>0</v>
      </c>
      <c r="U17" s="28">
        <f t="shared" si="7"/>
        <v>0</v>
      </c>
      <c r="V17" s="28">
        <f t="shared" si="7"/>
        <v>0</v>
      </c>
      <c r="W17" s="28">
        <f t="shared" si="4"/>
        <v>405.38099999999997</v>
      </c>
    </row>
    <row r="18" spans="1:23" x14ac:dyDescent="0.25">
      <c r="B18" t="s">
        <v>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f t="shared" si="6"/>
        <v>0</v>
      </c>
      <c r="N18" s="28">
        <f t="shared" si="7"/>
        <v>0</v>
      </c>
      <c r="O18" s="28">
        <f t="shared" si="7"/>
        <v>0</v>
      </c>
      <c r="P18" s="28">
        <f t="shared" si="7"/>
        <v>0</v>
      </c>
      <c r="Q18" s="28">
        <f t="shared" si="7"/>
        <v>0</v>
      </c>
      <c r="R18" s="28">
        <f t="shared" si="7"/>
        <v>0</v>
      </c>
      <c r="S18" s="28">
        <f t="shared" si="7"/>
        <v>0</v>
      </c>
      <c r="T18" s="28">
        <f t="shared" si="7"/>
        <v>0</v>
      </c>
      <c r="U18" s="28">
        <f t="shared" si="7"/>
        <v>0</v>
      </c>
      <c r="V18" s="28">
        <f t="shared" si="7"/>
        <v>0</v>
      </c>
      <c r="W18" s="28">
        <f t="shared" si="4"/>
        <v>0</v>
      </c>
    </row>
    <row r="19" spans="1:23" x14ac:dyDescent="0.25">
      <c r="B19" t="s">
        <v>42</v>
      </c>
      <c r="C19" s="1">
        <f>+(PassVol!AW32+PassVol!AW55)*6</f>
        <v>0</v>
      </c>
      <c r="D19" s="1">
        <f>+(PassVol!AX32+PassVol!AX55)*6</f>
        <v>2178</v>
      </c>
      <c r="E19" s="1">
        <f>+(PassVol!AY32+PassVol!AY55)*6</f>
        <v>0</v>
      </c>
      <c r="F19" s="1">
        <f>+(PassVol!AZ32+PassVol!AZ55)*6</f>
        <v>0</v>
      </c>
      <c r="G19" s="1">
        <f>+(PassVol!BA32+PassVol!BA55)*6</f>
        <v>0</v>
      </c>
      <c r="H19" s="1">
        <f>+(PassVol!BB32+PassVol!BB55)*6</f>
        <v>0</v>
      </c>
      <c r="I19" s="1">
        <f>+(PassVol!BC32+PassVol!BC55)*6</f>
        <v>0</v>
      </c>
      <c r="J19" s="1">
        <f>+(PassVol!BD32+PassVol!BD55)*6</f>
        <v>0</v>
      </c>
      <c r="K19" s="1">
        <f>+(PassVol!BE32+PassVol!BE55)*6</f>
        <v>0</v>
      </c>
      <c r="L19" s="1">
        <f t="shared" si="6"/>
        <v>2178</v>
      </c>
      <c r="M19">
        <v>8.1500000000000003E-2</v>
      </c>
      <c r="N19" s="28">
        <f t="shared" si="7"/>
        <v>0</v>
      </c>
      <c r="O19" s="28">
        <f t="shared" si="7"/>
        <v>177.50700000000001</v>
      </c>
      <c r="P19" s="28">
        <f t="shared" si="7"/>
        <v>0</v>
      </c>
      <c r="Q19" s="28">
        <f t="shared" si="7"/>
        <v>0</v>
      </c>
      <c r="R19" s="28">
        <f t="shared" si="7"/>
        <v>0</v>
      </c>
      <c r="S19" s="28">
        <f t="shared" si="7"/>
        <v>0</v>
      </c>
      <c r="T19" s="28">
        <f t="shared" si="7"/>
        <v>0</v>
      </c>
      <c r="U19" s="28">
        <f t="shared" si="7"/>
        <v>0</v>
      </c>
      <c r="V19" s="28">
        <f t="shared" si="7"/>
        <v>0</v>
      </c>
      <c r="W19" s="28">
        <f t="shared" si="4"/>
        <v>177.50700000000001</v>
      </c>
    </row>
    <row r="20" spans="1:23" x14ac:dyDescent="0.25">
      <c r="B20" t="s">
        <v>190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f t="shared" si="6"/>
        <v>0</v>
      </c>
      <c r="M20">
        <v>8.1500000000000003E-2</v>
      </c>
      <c r="N20" s="28">
        <f t="shared" si="7"/>
        <v>0</v>
      </c>
      <c r="O20" s="28">
        <f t="shared" si="7"/>
        <v>0</v>
      </c>
      <c r="P20" s="28">
        <f t="shared" si="7"/>
        <v>0</v>
      </c>
      <c r="Q20" s="28">
        <f t="shared" si="7"/>
        <v>0</v>
      </c>
      <c r="R20" s="28">
        <f t="shared" si="7"/>
        <v>0</v>
      </c>
      <c r="S20" s="28">
        <f t="shared" si="7"/>
        <v>0</v>
      </c>
      <c r="T20" s="28">
        <f t="shared" si="7"/>
        <v>0</v>
      </c>
      <c r="U20" s="28">
        <f t="shared" si="7"/>
        <v>0</v>
      </c>
      <c r="V20" s="28">
        <f t="shared" si="7"/>
        <v>0</v>
      </c>
      <c r="W20" s="28">
        <f t="shared" si="4"/>
        <v>0</v>
      </c>
    </row>
    <row r="21" spans="1:23" x14ac:dyDescent="0.25">
      <c r="B21" t="s">
        <v>44</v>
      </c>
      <c r="C21" s="1">
        <f>+((PassVol!AW46+PassVol!AW69)*6)-SUM('Stock Calculations'!C16:C20)</f>
        <v>0</v>
      </c>
      <c r="D21" s="1">
        <f>+((PassVol!AX46+PassVol!AX69)*6)-SUM('Stock Calculations'!D16:D20)</f>
        <v>116226</v>
      </c>
      <c r="E21" s="1">
        <f>+((PassVol!AY46+PassVol!AY69)*6)-SUM('Stock Calculations'!E16:E20)</f>
        <v>62742</v>
      </c>
      <c r="F21" s="1">
        <f>+((PassVol!AZ46+PassVol!AZ69)*6)-SUM('Stock Calculations'!F16:F20)</f>
        <v>33948</v>
      </c>
      <c r="G21" s="1">
        <f>+((PassVol!BA46+PassVol!BA69)*6)-SUM('Stock Calculations'!G16:G20)</f>
        <v>10008</v>
      </c>
      <c r="H21" s="1">
        <f>+((PassVol!BB46+PassVol!BB69)*6)-SUM('Stock Calculations'!H16:H20)</f>
        <v>0</v>
      </c>
      <c r="I21" s="1">
        <f>+((PassVol!BC46+PassVol!BC69)*6)-SUM('Stock Calculations'!I16:I20)</f>
        <v>0</v>
      </c>
      <c r="J21" s="1">
        <f>+((PassVol!BD46+PassVol!BD69)*6)-SUM('Stock Calculations'!J16:J20)</f>
        <v>0</v>
      </c>
      <c r="K21" s="1">
        <f>+((PassVol!BE46+PassVol!BE69)*6)-SUM('Stock Calculations'!K16:K20)</f>
        <v>0</v>
      </c>
      <c r="L21" s="1">
        <f t="shared" si="6"/>
        <v>222924</v>
      </c>
      <c r="M21">
        <v>8.1500000000000003E-2</v>
      </c>
      <c r="N21" s="28">
        <f t="shared" si="7"/>
        <v>0</v>
      </c>
      <c r="O21" s="28">
        <f t="shared" si="7"/>
        <v>9472.4189999999999</v>
      </c>
      <c r="P21" s="28">
        <f t="shared" si="7"/>
        <v>5113.473</v>
      </c>
      <c r="Q21" s="28">
        <f t="shared" si="7"/>
        <v>2766.7620000000002</v>
      </c>
      <c r="R21" s="28">
        <f t="shared" si="7"/>
        <v>815.65200000000004</v>
      </c>
      <c r="S21" s="28">
        <f t="shared" si="7"/>
        <v>0</v>
      </c>
      <c r="T21" s="28">
        <f t="shared" si="7"/>
        <v>0</v>
      </c>
      <c r="U21" s="28">
        <f t="shared" si="7"/>
        <v>0</v>
      </c>
      <c r="V21" s="28">
        <f t="shared" si="7"/>
        <v>0</v>
      </c>
      <c r="W21" s="28">
        <f t="shared" si="4"/>
        <v>18168.305999999997</v>
      </c>
    </row>
    <row r="22" spans="1:23" x14ac:dyDescent="0.25">
      <c r="N22" s="29">
        <f>SUM(N16:N21)</f>
        <v>0</v>
      </c>
      <c r="O22" s="29">
        <f>SUM(O16:O21)</f>
        <v>10476.664199999999</v>
      </c>
      <c r="P22" s="29">
        <f>SUM(P16:P21)</f>
        <v>5634.7112999999999</v>
      </c>
      <c r="Q22" s="29">
        <f>SUM(Q16:Q21)</f>
        <v>3239.3292000000001</v>
      </c>
      <c r="R22" s="29">
        <f t="shared" ref="R22:W22" si="8">SUM(R16:R21)</f>
        <v>836.37630000000001</v>
      </c>
      <c r="S22" s="29">
        <f t="shared" si="8"/>
        <v>0</v>
      </c>
      <c r="T22" s="29">
        <f t="shared" si="8"/>
        <v>0</v>
      </c>
      <c r="U22" s="29">
        <f t="shared" si="8"/>
        <v>0</v>
      </c>
      <c r="V22" s="29">
        <f t="shared" si="8"/>
        <v>0</v>
      </c>
      <c r="W22" s="29">
        <f t="shared" si="8"/>
        <v>20187.080999999998</v>
      </c>
    </row>
    <row r="23" spans="1:23" x14ac:dyDescent="0.25">
      <c r="Q23" s="29"/>
    </row>
    <row r="24" spans="1:23" x14ac:dyDescent="0.25">
      <c r="A24" s="2" t="s">
        <v>246</v>
      </c>
      <c r="Q24" s="29"/>
    </row>
    <row r="25" spans="1:23" x14ac:dyDescent="0.25">
      <c r="B25" t="s">
        <v>247</v>
      </c>
      <c r="C25" s="1">
        <f>+C40</f>
        <v>0</v>
      </c>
      <c r="D25" s="1">
        <f t="shared" ref="D25:K25" si="9">+D40</f>
        <v>368</v>
      </c>
      <c r="E25" s="1">
        <f t="shared" si="9"/>
        <v>368</v>
      </c>
      <c r="F25" s="1">
        <f t="shared" si="9"/>
        <v>368</v>
      </c>
      <c r="G25" s="1">
        <f t="shared" si="9"/>
        <v>368</v>
      </c>
      <c r="H25" s="1">
        <f t="shared" si="9"/>
        <v>368</v>
      </c>
      <c r="I25" s="1">
        <f t="shared" si="9"/>
        <v>368</v>
      </c>
      <c r="J25" s="1">
        <f t="shared" si="9"/>
        <v>368</v>
      </c>
      <c r="K25" s="1">
        <f t="shared" si="9"/>
        <v>368</v>
      </c>
      <c r="L25" s="1">
        <f>SUM(C25:K25)</f>
        <v>2944</v>
      </c>
      <c r="M25">
        <v>2.8000000000000001E-2</v>
      </c>
      <c r="N25" s="28">
        <f t="shared" ref="N25:V28" si="10">+$M25*C25</f>
        <v>0</v>
      </c>
      <c r="O25" s="28">
        <f t="shared" si="10"/>
        <v>10.304</v>
      </c>
      <c r="P25" s="28">
        <f t="shared" si="10"/>
        <v>10.304</v>
      </c>
      <c r="Q25" s="28">
        <f t="shared" si="10"/>
        <v>10.304</v>
      </c>
      <c r="R25" s="28">
        <f t="shared" si="10"/>
        <v>10.304</v>
      </c>
      <c r="S25" s="28">
        <f t="shared" si="10"/>
        <v>10.304</v>
      </c>
      <c r="T25" s="28">
        <f t="shared" si="10"/>
        <v>10.304</v>
      </c>
      <c r="U25" s="28">
        <f t="shared" si="10"/>
        <v>10.304</v>
      </c>
      <c r="V25" s="28">
        <f t="shared" si="10"/>
        <v>10.304</v>
      </c>
      <c r="W25" s="28">
        <f>SUM(N25:V25)</f>
        <v>82.432000000000002</v>
      </c>
    </row>
    <row r="26" spans="1:23" x14ac:dyDescent="0.25">
      <c r="B26" t="s">
        <v>285</v>
      </c>
      <c r="C26" s="1">
        <f>+C43</f>
        <v>0</v>
      </c>
      <c r="D26" s="1">
        <f t="shared" ref="D26:K26" si="11">+D43</f>
        <v>0</v>
      </c>
      <c r="E26" s="1">
        <f t="shared" si="11"/>
        <v>0</v>
      </c>
      <c r="F26" s="1">
        <f t="shared" si="11"/>
        <v>0</v>
      </c>
      <c r="G26" s="1">
        <f t="shared" si="11"/>
        <v>0</v>
      </c>
      <c r="H26" s="1">
        <f t="shared" si="11"/>
        <v>0</v>
      </c>
      <c r="I26" s="1">
        <f t="shared" si="11"/>
        <v>0</v>
      </c>
      <c r="J26" s="1">
        <f t="shared" si="11"/>
        <v>0</v>
      </c>
      <c r="K26" s="1">
        <f t="shared" si="11"/>
        <v>0</v>
      </c>
      <c r="L26" s="1">
        <f>SUM(C26:K26)</f>
        <v>0</v>
      </c>
      <c r="M26">
        <v>2.8000000000000001E-2</v>
      </c>
      <c r="N26" s="28">
        <f t="shared" si="10"/>
        <v>0</v>
      </c>
      <c r="O26" s="28">
        <f t="shared" si="10"/>
        <v>0</v>
      </c>
      <c r="P26" s="28">
        <f t="shared" si="10"/>
        <v>0</v>
      </c>
      <c r="Q26" s="28">
        <f t="shared" si="10"/>
        <v>0</v>
      </c>
      <c r="R26" s="28">
        <f t="shared" si="10"/>
        <v>0</v>
      </c>
      <c r="S26" s="28">
        <f t="shared" si="10"/>
        <v>0</v>
      </c>
      <c r="T26" s="28">
        <f t="shared" si="10"/>
        <v>0</v>
      </c>
      <c r="U26" s="28">
        <f t="shared" si="10"/>
        <v>0</v>
      </c>
      <c r="V26" s="28">
        <f t="shared" si="10"/>
        <v>0</v>
      </c>
      <c r="W26" s="28">
        <f>SUM(N26:V26)</f>
        <v>0</v>
      </c>
    </row>
    <row r="27" spans="1:23" x14ac:dyDescent="0.25">
      <c r="B27" t="s">
        <v>318</v>
      </c>
      <c r="C27" s="1">
        <f>+C46</f>
        <v>0</v>
      </c>
      <c r="D27" s="1">
        <f t="shared" ref="D27:K27" si="12">+D46</f>
        <v>0</v>
      </c>
      <c r="E27" s="1">
        <f t="shared" si="12"/>
        <v>0</v>
      </c>
      <c r="F27" s="1">
        <f t="shared" si="12"/>
        <v>0</v>
      </c>
      <c r="G27" s="1">
        <f t="shared" si="12"/>
        <v>0</v>
      </c>
      <c r="H27" s="1">
        <f t="shared" si="12"/>
        <v>0</v>
      </c>
      <c r="I27" s="1">
        <f t="shared" si="12"/>
        <v>0</v>
      </c>
      <c r="J27" s="1">
        <f t="shared" si="12"/>
        <v>0</v>
      </c>
      <c r="K27" s="1">
        <f t="shared" si="12"/>
        <v>0</v>
      </c>
      <c r="L27" s="1">
        <f>SUM(C27:K27)</f>
        <v>0</v>
      </c>
      <c r="M27">
        <v>4.5499999999999999E-2</v>
      </c>
      <c r="N27" s="28">
        <f t="shared" si="10"/>
        <v>0</v>
      </c>
      <c r="O27" s="28">
        <f t="shared" si="10"/>
        <v>0</v>
      </c>
      <c r="P27" s="28">
        <f t="shared" si="10"/>
        <v>0</v>
      </c>
      <c r="Q27" s="28">
        <f t="shared" si="10"/>
        <v>0</v>
      </c>
      <c r="R27" s="28">
        <f t="shared" si="10"/>
        <v>0</v>
      </c>
      <c r="S27" s="28">
        <f t="shared" si="10"/>
        <v>0</v>
      </c>
      <c r="T27" s="28">
        <f t="shared" si="10"/>
        <v>0</v>
      </c>
      <c r="U27" s="28">
        <f t="shared" si="10"/>
        <v>0</v>
      </c>
      <c r="V27" s="28">
        <f t="shared" si="10"/>
        <v>0</v>
      </c>
      <c r="W27" s="28">
        <f>SUM(N27:V27)</f>
        <v>0</v>
      </c>
    </row>
    <row r="28" spans="1:23" x14ac:dyDescent="0.25">
      <c r="C28" s="1"/>
      <c r="D28" s="1"/>
      <c r="E28" s="1"/>
      <c r="F28" s="1"/>
      <c r="G28" s="1"/>
      <c r="H28" s="1"/>
      <c r="I28" s="1"/>
      <c r="J28" s="1"/>
      <c r="K28" s="1"/>
      <c r="L28" s="1">
        <f>SUM(C28:K28)</f>
        <v>0</v>
      </c>
      <c r="M28">
        <v>2.8000000000000001E-2</v>
      </c>
      <c r="N28" s="28">
        <f t="shared" si="10"/>
        <v>0</v>
      </c>
      <c r="O28" s="28">
        <f t="shared" si="10"/>
        <v>0</v>
      </c>
      <c r="P28" s="28">
        <f t="shared" si="10"/>
        <v>0</v>
      </c>
      <c r="Q28" s="28">
        <f t="shared" si="10"/>
        <v>0</v>
      </c>
      <c r="R28" s="28">
        <f t="shared" si="10"/>
        <v>0</v>
      </c>
      <c r="S28" s="28">
        <f t="shared" si="10"/>
        <v>0</v>
      </c>
      <c r="T28" s="28">
        <f t="shared" si="10"/>
        <v>0</v>
      </c>
      <c r="U28" s="28">
        <f t="shared" si="10"/>
        <v>0</v>
      </c>
      <c r="V28" s="28">
        <f t="shared" si="10"/>
        <v>0</v>
      </c>
      <c r="W28" s="28">
        <f>SUM(N28:V28)</f>
        <v>0</v>
      </c>
    </row>
    <row r="29" spans="1:23" x14ac:dyDescent="0.25">
      <c r="Q29" s="29"/>
    </row>
    <row r="30" spans="1:23" x14ac:dyDescent="0.25">
      <c r="A30" s="2" t="s">
        <v>233</v>
      </c>
    </row>
    <row r="31" spans="1:23" x14ac:dyDescent="0.25">
      <c r="B31" t="s">
        <v>2</v>
      </c>
      <c r="C31" s="1">
        <f>+PassVol!AW92/3</f>
        <v>0</v>
      </c>
      <c r="D31" s="1">
        <f>+PassVol!AX92/3</f>
        <v>32742</v>
      </c>
      <c r="E31" s="1">
        <f>+PassVol!AY92/3</f>
        <v>35768.333333333336</v>
      </c>
      <c r="F31" s="1">
        <f>+PassVol!AZ92/3</f>
        <v>37904.666666666664</v>
      </c>
      <c r="G31" s="1">
        <f>+PassVol!BA92/3</f>
        <v>14998.666666666666</v>
      </c>
      <c r="H31" s="1">
        <f>+PassVol!BB92/3</f>
        <v>3866</v>
      </c>
      <c r="I31" s="1">
        <f>+PassVol!BC92/3</f>
        <v>6357.666666666667</v>
      </c>
      <c r="J31" s="1">
        <f>+PassVol!BD92/3</f>
        <v>1065.3333333333333</v>
      </c>
      <c r="K31" s="1">
        <f>+PassVol!BE92/3</f>
        <v>0</v>
      </c>
      <c r="L31" s="1">
        <f>SUM(C31:K31)</f>
        <v>132702.66666666669</v>
      </c>
    </row>
    <row r="32" spans="1:23" x14ac:dyDescent="0.25">
      <c r="B32" t="s">
        <v>100</v>
      </c>
      <c r="C32" s="1">
        <f>-PassVol!AW82/3</f>
        <v>0</v>
      </c>
      <c r="D32" s="1">
        <f>-PassVol!AX82/3</f>
        <v>-5577.666666666667</v>
      </c>
      <c r="E32" s="1">
        <f>-PassVol!AY82/3</f>
        <v>-4574</v>
      </c>
      <c r="F32" s="1">
        <f>-PassVol!AZ82/3</f>
        <v>-1660</v>
      </c>
      <c r="G32" s="1">
        <f>-PassVol!BA82/3</f>
        <v>-1398.3333333333333</v>
      </c>
      <c r="H32" s="1">
        <f>-PassVol!BB82/3</f>
        <v>-360</v>
      </c>
      <c r="I32" s="1">
        <f>-PassVol!BC82/3</f>
        <v>-1800</v>
      </c>
      <c r="J32" s="1">
        <f>-PassVol!BD82/3</f>
        <v>0</v>
      </c>
      <c r="K32" s="1">
        <f>-PassVol!BE82/3</f>
        <v>0</v>
      </c>
      <c r="L32" s="1">
        <f>SUM(C32:K32)</f>
        <v>-15370.000000000002</v>
      </c>
    </row>
    <row r="33" spans="1:23" x14ac:dyDescent="0.25">
      <c r="B33" t="s">
        <v>234</v>
      </c>
      <c r="C33" s="1">
        <v>0</v>
      </c>
      <c r="D33" s="1">
        <f>-(50*54)/3</f>
        <v>-900</v>
      </c>
      <c r="E33" s="1">
        <f>-(50*54)/3</f>
        <v>-900</v>
      </c>
      <c r="F33" s="1">
        <f>-(50*54)/3</f>
        <v>-900</v>
      </c>
      <c r="G33" s="1">
        <f>-(25*54)/3</f>
        <v>-450</v>
      </c>
      <c r="H33" s="1">
        <v>0</v>
      </c>
      <c r="I33" s="1">
        <v>0</v>
      </c>
      <c r="J33" s="1">
        <v>0</v>
      </c>
      <c r="K33" s="1">
        <v>0</v>
      </c>
      <c r="L33" s="1">
        <f>SUM(C33:K33)</f>
        <v>-3150</v>
      </c>
    </row>
    <row r="34" spans="1:23" x14ac:dyDescent="0.25">
      <c r="B34" t="s">
        <v>2</v>
      </c>
      <c r="C34" s="1">
        <f t="shared" ref="C34:K34" si="13">SUM(C31:C33)</f>
        <v>0</v>
      </c>
      <c r="D34" s="1">
        <f t="shared" si="13"/>
        <v>26264.333333333332</v>
      </c>
      <c r="E34" s="1">
        <f t="shared" si="13"/>
        <v>30294.333333333336</v>
      </c>
      <c r="F34" s="1">
        <f t="shared" si="13"/>
        <v>35344.666666666664</v>
      </c>
      <c r="G34" s="1">
        <f t="shared" si="13"/>
        <v>13150.333333333332</v>
      </c>
      <c r="H34" s="1">
        <f t="shared" si="13"/>
        <v>3506</v>
      </c>
      <c r="I34" s="1">
        <f t="shared" si="13"/>
        <v>4557.666666666667</v>
      </c>
      <c r="J34" s="1">
        <f t="shared" si="13"/>
        <v>1065.3333333333333</v>
      </c>
      <c r="K34" s="1">
        <f t="shared" si="13"/>
        <v>0</v>
      </c>
      <c r="L34" s="1">
        <f>SUM(C34:K34)</f>
        <v>114182.66666666667</v>
      </c>
      <c r="M34">
        <v>0.91</v>
      </c>
      <c r="N34" s="29">
        <f t="shared" ref="N34:V34" si="14">+C34*$M34</f>
        <v>0</v>
      </c>
      <c r="O34" s="29">
        <f t="shared" si="14"/>
        <v>23900.543333333331</v>
      </c>
      <c r="P34" s="29">
        <f t="shared" si="14"/>
        <v>27567.843333333338</v>
      </c>
      <c r="Q34" s="29">
        <f t="shared" si="14"/>
        <v>32163.646666666664</v>
      </c>
      <c r="R34" s="29">
        <f t="shared" si="14"/>
        <v>11966.803333333333</v>
      </c>
      <c r="S34" s="29">
        <f t="shared" si="14"/>
        <v>3190.46</v>
      </c>
      <c r="T34" s="29">
        <f t="shared" si="14"/>
        <v>4147.4766666666674</v>
      </c>
      <c r="U34" s="29">
        <f t="shared" si="14"/>
        <v>969.45333333333326</v>
      </c>
      <c r="V34" s="29">
        <f t="shared" si="14"/>
        <v>0</v>
      </c>
      <c r="W34" s="29">
        <f>SUM(N34:V34)</f>
        <v>103906.22666666668</v>
      </c>
    </row>
    <row r="36" spans="1:23" x14ac:dyDescent="0.25">
      <c r="A36" s="2" t="s">
        <v>235</v>
      </c>
      <c r="C36" s="1">
        <f>+(PassVol!AW120+PassVol!AW144+PassVol!AW216+PassVol!AW264+PassVol!AW288)/2</f>
        <v>2151</v>
      </c>
      <c r="D36" s="1">
        <f>+(PassVol!AX120+PassVol!AX144+PassVol!AX216+PassVol!AX264+PassVol!AX288)/2</f>
        <v>19820.5</v>
      </c>
      <c r="E36" s="1">
        <f>+(PassVol!AY120+PassVol!AY144+PassVol!AY216+PassVol!AY264+PassVol!AY288)/2</f>
        <v>33224.5</v>
      </c>
      <c r="F36" s="1">
        <f>+(PassVol!AZ120+PassVol!AZ144+PassVol!AZ216+PassVol!AZ264+PassVol!AZ288)/2</f>
        <v>30705.5</v>
      </c>
      <c r="G36" s="1">
        <f>+(PassVol!BA120+PassVol!BA144+PassVol!BA216+PassVol!BA264+PassVol!BA288)/2</f>
        <v>9465</v>
      </c>
      <c r="H36" s="1">
        <f>+(PassVol!BB120+PassVol!BB144+PassVol!BB216+PassVol!BB264+PassVol!BB288)/2</f>
        <v>1100</v>
      </c>
      <c r="I36" s="1">
        <f>+(PassVol!BC120+PassVol!BC144+PassVol!BC216+PassVol!BC264+PassVol!BC288)/2</f>
        <v>1137</v>
      </c>
      <c r="J36" s="1">
        <f>+(PassVol!BD120+PassVol!BD144+PassVol!BD216+PassVol!BD264+PassVol!BD288)/2</f>
        <v>463</v>
      </c>
      <c r="K36" s="1">
        <f>+(PassVol!BE120+PassVol!BE144+PassVol!BE216+PassVol!BE264+PassVol!BE288)/2</f>
        <v>0</v>
      </c>
      <c r="L36" s="1">
        <f>SUM(C36:K36)</f>
        <v>98066.5</v>
      </c>
      <c r="M36" s="6">
        <v>1.1000000000000001</v>
      </c>
      <c r="N36" s="29">
        <f t="shared" ref="N36:V36" si="15">+C36*$M36</f>
        <v>2366.1000000000004</v>
      </c>
      <c r="O36" s="29">
        <f t="shared" si="15"/>
        <v>21802.550000000003</v>
      </c>
      <c r="P36" s="29">
        <f t="shared" si="15"/>
        <v>36546.950000000004</v>
      </c>
      <c r="Q36" s="29">
        <f t="shared" si="15"/>
        <v>33776.050000000003</v>
      </c>
      <c r="R36" s="29">
        <f t="shared" si="15"/>
        <v>10411.5</v>
      </c>
      <c r="S36" s="29">
        <f t="shared" si="15"/>
        <v>1210</v>
      </c>
      <c r="T36" s="29">
        <f t="shared" si="15"/>
        <v>1250.7</v>
      </c>
      <c r="U36" s="29">
        <f t="shared" si="15"/>
        <v>509.30000000000007</v>
      </c>
      <c r="V36" s="29">
        <f t="shared" si="15"/>
        <v>0</v>
      </c>
      <c r="W36" s="29">
        <f>SUM(N36:V36)</f>
        <v>107873.15000000001</v>
      </c>
    </row>
    <row r="37" spans="1:23" x14ac:dyDescent="0.25">
      <c r="A37" s="2" t="s">
        <v>236</v>
      </c>
      <c r="F37" t="s">
        <v>237</v>
      </c>
      <c r="Q37"/>
    </row>
    <row r="39" spans="1:23" x14ac:dyDescent="0.25">
      <c r="A39" s="2" t="s">
        <v>101</v>
      </c>
    </row>
    <row r="40" spans="1:23" x14ac:dyDescent="0.25">
      <c r="B40" t="s">
        <v>238</v>
      </c>
      <c r="C40" s="1">
        <f>+PassVol!AW529</f>
        <v>0</v>
      </c>
      <c r="D40" s="1">
        <f>+PassVol!AX529</f>
        <v>368</v>
      </c>
      <c r="E40" s="1">
        <f>+PassVol!AY529</f>
        <v>368</v>
      </c>
      <c r="F40" s="1">
        <f>+PassVol!AZ529</f>
        <v>368</v>
      </c>
      <c r="G40" s="1">
        <f>+PassVol!BA529</f>
        <v>368</v>
      </c>
      <c r="H40" s="1">
        <f>+PassVol!BB529</f>
        <v>368</v>
      </c>
      <c r="I40" s="1">
        <f>+PassVol!BC529</f>
        <v>368</v>
      </c>
      <c r="J40" s="1">
        <f>+PassVol!BD529</f>
        <v>368</v>
      </c>
      <c r="K40" s="1">
        <f>+PassVol!BE529</f>
        <v>368</v>
      </c>
      <c r="L40" s="1">
        <f>SUM(C40:K40)</f>
        <v>2944</v>
      </c>
      <c r="M40">
        <v>3.3599999999999998E-2</v>
      </c>
      <c r="N40" s="30">
        <f t="shared" ref="N40:V41" si="16">+$M40*C40</f>
        <v>0</v>
      </c>
      <c r="O40" s="30">
        <f t="shared" si="16"/>
        <v>12.364799999999999</v>
      </c>
      <c r="P40" s="30">
        <f t="shared" si="16"/>
        <v>12.364799999999999</v>
      </c>
      <c r="Q40" s="30">
        <f t="shared" si="16"/>
        <v>12.364799999999999</v>
      </c>
      <c r="R40" s="30">
        <f t="shared" si="16"/>
        <v>12.364799999999999</v>
      </c>
      <c r="S40" s="30">
        <f t="shared" si="16"/>
        <v>12.364799999999999</v>
      </c>
      <c r="T40" s="30">
        <f t="shared" si="16"/>
        <v>12.364799999999999</v>
      </c>
      <c r="U40" s="30">
        <f t="shared" si="16"/>
        <v>12.364799999999999</v>
      </c>
      <c r="V40" s="30">
        <f t="shared" si="16"/>
        <v>12.364799999999999</v>
      </c>
      <c r="W40" s="30">
        <f t="shared" ref="W40:W47" si="17">SUM(N40:V40)</f>
        <v>98.918400000000005</v>
      </c>
    </row>
    <row r="41" spans="1:23" x14ac:dyDescent="0.25">
      <c r="B41" t="s">
        <v>239</v>
      </c>
      <c r="C41" s="1">
        <f t="shared" ref="C41:K41" si="18">+C40/18</f>
        <v>0</v>
      </c>
      <c r="D41" s="1">
        <f t="shared" si="18"/>
        <v>20.444444444444443</v>
      </c>
      <c r="E41" s="1">
        <f t="shared" si="18"/>
        <v>20.444444444444443</v>
      </c>
      <c r="F41" s="1">
        <f t="shared" si="18"/>
        <v>20.444444444444443</v>
      </c>
      <c r="G41" s="1">
        <f t="shared" si="18"/>
        <v>20.444444444444443</v>
      </c>
      <c r="H41" s="1">
        <f t="shared" si="18"/>
        <v>20.444444444444443</v>
      </c>
      <c r="I41" s="1">
        <f t="shared" si="18"/>
        <v>20.444444444444443</v>
      </c>
      <c r="J41" s="1">
        <f t="shared" si="18"/>
        <v>20.444444444444443</v>
      </c>
      <c r="K41" s="1">
        <f t="shared" si="18"/>
        <v>20.444444444444443</v>
      </c>
      <c r="L41" s="1">
        <f>SUM(C41:K41)</f>
        <v>163.55555555555554</v>
      </c>
      <c r="M41">
        <v>0.245</v>
      </c>
      <c r="N41" s="30">
        <f t="shared" si="16"/>
        <v>0</v>
      </c>
      <c r="O41" s="30">
        <f t="shared" si="16"/>
        <v>5.0088888888888885</v>
      </c>
      <c r="P41" s="30">
        <f t="shared" si="16"/>
        <v>5.0088888888888885</v>
      </c>
      <c r="Q41" s="30">
        <f t="shared" si="16"/>
        <v>5.0088888888888885</v>
      </c>
      <c r="R41" s="30">
        <f t="shared" si="16"/>
        <v>5.0088888888888885</v>
      </c>
      <c r="S41" s="30">
        <f t="shared" si="16"/>
        <v>5.0088888888888885</v>
      </c>
      <c r="T41" s="30">
        <f t="shared" si="16"/>
        <v>5.0088888888888885</v>
      </c>
      <c r="U41" s="30">
        <f t="shared" si="16"/>
        <v>5.0088888888888885</v>
      </c>
      <c r="V41" s="30">
        <f t="shared" si="16"/>
        <v>5.0088888888888885</v>
      </c>
      <c r="W41" s="30">
        <f t="shared" si="17"/>
        <v>40.071111111111115</v>
      </c>
    </row>
    <row r="42" spans="1:23" x14ac:dyDescent="0.25">
      <c r="F42" s="1"/>
      <c r="G42" s="1"/>
      <c r="H42" s="1"/>
      <c r="I42" s="1"/>
      <c r="J42" s="1"/>
      <c r="K42" s="1"/>
      <c r="L42" s="1"/>
      <c r="Q42" s="30"/>
    </row>
    <row r="43" spans="1:23" x14ac:dyDescent="0.25">
      <c r="B43" t="s">
        <v>240</v>
      </c>
      <c r="C43" s="1">
        <f>+PassVol!AW530</f>
        <v>0</v>
      </c>
      <c r="D43" s="1">
        <f>+PassVol!AX530</f>
        <v>0</v>
      </c>
      <c r="E43" s="1">
        <f>+PassVol!AY530</f>
        <v>0</v>
      </c>
      <c r="F43" s="1">
        <f>+PassVol!AZ530</f>
        <v>0</v>
      </c>
      <c r="G43" s="1">
        <f>+PassVol!BA530</f>
        <v>0</v>
      </c>
      <c r="H43" s="1">
        <f>+PassVol!BB530</f>
        <v>0</v>
      </c>
      <c r="I43" s="1">
        <f>+PassVol!BC530</f>
        <v>0</v>
      </c>
      <c r="J43" s="1">
        <f>+PassVol!BD530</f>
        <v>0</v>
      </c>
      <c r="K43" s="1">
        <f>+PassVol!BE530</f>
        <v>0</v>
      </c>
      <c r="L43" s="1">
        <f>SUM(C43:K43)</f>
        <v>0</v>
      </c>
      <c r="M43">
        <v>7.0000000000000007E-2</v>
      </c>
      <c r="N43" s="30">
        <f t="shared" ref="N43:P44" si="19">+$M43*C43</f>
        <v>0</v>
      </c>
      <c r="O43" s="30">
        <f t="shared" si="19"/>
        <v>0</v>
      </c>
      <c r="P43" s="30">
        <f t="shared" si="19"/>
        <v>0</v>
      </c>
      <c r="Q43" s="30">
        <f>+$M43*F43</f>
        <v>0</v>
      </c>
      <c r="R43" s="30">
        <f t="shared" ref="R43:V44" si="20">+$M43*G43</f>
        <v>0</v>
      </c>
      <c r="S43" s="30">
        <f t="shared" si="20"/>
        <v>0</v>
      </c>
      <c r="T43" s="30">
        <f t="shared" si="20"/>
        <v>0</v>
      </c>
      <c r="U43" s="30">
        <f t="shared" si="20"/>
        <v>0</v>
      </c>
      <c r="V43" s="30">
        <f t="shared" si="20"/>
        <v>0</v>
      </c>
      <c r="W43" s="30">
        <f t="shared" si="17"/>
        <v>0</v>
      </c>
    </row>
    <row r="44" spans="1:23" x14ac:dyDescent="0.25">
      <c r="B44" t="s">
        <v>241</v>
      </c>
      <c r="C44" s="1">
        <f t="shared" ref="C44:K44" si="21">+C43/10</f>
        <v>0</v>
      </c>
      <c r="D44" s="1">
        <f t="shared" si="21"/>
        <v>0</v>
      </c>
      <c r="E44" s="1">
        <f t="shared" si="21"/>
        <v>0</v>
      </c>
      <c r="F44" s="1">
        <f t="shared" si="21"/>
        <v>0</v>
      </c>
      <c r="G44" s="1">
        <f t="shared" si="21"/>
        <v>0</v>
      </c>
      <c r="H44" s="1">
        <f t="shared" si="21"/>
        <v>0</v>
      </c>
      <c r="I44" s="1">
        <f t="shared" si="21"/>
        <v>0</v>
      </c>
      <c r="J44" s="1">
        <f t="shared" si="21"/>
        <v>0</v>
      </c>
      <c r="K44" s="1">
        <f t="shared" si="21"/>
        <v>0</v>
      </c>
      <c r="L44" s="1">
        <f>SUM(C44:K44)</f>
        <v>0</v>
      </c>
      <c r="M44">
        <v>0.38</v>
      </c>
      <c r="N44" s="30">
        <f t="shared" si="19"/>
        <v>0</v>
      </c>
      <c r="O44" s="30">
        <f t="shared" si="19"/>
        <v>0</v>
      </c>
      <c r="P44" s="30">
        <f t="shared" si="19"/>
        <v>0</v>
      </c>
      <c r="Q44" s="30">
        <f>+$M44*F44</f>
        <v>0</v>
      </c>
      <c r="R44" s="30">
        <f t="shared" si="20"/>
        <v>0</v>
      </c>
      <c r="S44" s="30">
        <f t="shared" si="20"/>
        <v>0</v>
      </c>
      <c r="T44" s="30">
        <f t="shared" si="20"/>
        <v>0</v>
      </c>
      <c r="U44" s="30">
        <f t="shared" si="20"/>
        <v>0</v>
      </c>
      <c r="V44" s="30">
        <f t="shared" si="20"/>
        <v>0</v>
      </c>
      <c r="W44" s="30">
        <f t="shared" si="17"/>
        <v>0</v>
      </c>
    </row>
    <row r="45" spans="1:23" x14ac:dyDescent="0.25">
      <c r="F45" s="1"/>
      <c r="G45" s="1"/>
      <c r="H45" s="1"/>
      <c r="I45" s="1"/>
      <c r="J45" s="1"/>
      <c r="K45" s="1"/>
      <c r="L45" s="1"/>
      <c r="N45" s="28"/>
      <c r="O45" s="28"/>
      <c r="P45" s="28"/>
      <c r="R45" s="28"/>
      <c r="S45" s="28"/>
      <c r="T45" s="28"/>
      <c r="U45" s="28"/>
      <c r="V45" s="28"/>
    </row>
    <row r="46" spans="1:23" x14ac:dyDescent="0.25">
      <c r="B46" t="s">
        <v>242</v>
      </c>
      <c r="C46" s="1">
        <f>+PassVol!AW531</f>
        <v>0</v>
      </c>
      <c r="D46" s="1">
        <f>+PassVol!AX531</f>
        <v>0</v>
      </c>
      <c r="E46" s="1">
        <f>+PassVol!AY531</f>
        <v>0</v>
      </c>
      <c r="F46" s="1">
        <f>+PassVol!AZ531</f>
        <v>0</v>
      </c>
      <c r="G46" s="1">
        <f>+PassVol!BA531</f>
        <v>0</v>
      </c>
      <c r="H46" s="1">
        <f>+PassVol!BB531</f>
        <v>0</v>
      </c>
      <c r="I46" s="1">
        <f>+PassVol!BC531</f>
        <v>0</v>
      </c>
      <c r="J46" s="1">
        <f>+PassVol!BD531</f>
        <v>0</v>
      </c>
      <c r="K46" s="1">
        <f>+PassVol!BE531</f>
        <v>0</v>
      </c>
      <c r="L46" s="1">
        <f>SUM(C46:K46)</f>
        <v>0</v>
      </c>
      <c r="M46">
        <v>4.4999999999999998E-2</v>
      </c>
      <c r="N46" s="30">
        <f t="shared" ref="N46:P47" si="22">+$M46*C46</f>
        <v>0</v>
      </c>
      <c r="O46" s="30">
        <f t="shared" si="22"/>
        <v>0</v>
      </c>
      <c r="P46" s="30">
        <f t="shared" si="22"/>
        <v>0</v>
      </c>
      <c r="Q46" s="30">
        <f>+$M46*F46</f>
        <v>0</v>
      </c>
      <c r="R46" s="30">
        <f t="shared" ref="R46:V47" si="23">+$M46*G46</f>
        <v>0</v>
      </c>
      <c r="S46" s="30">
        <f t="shared" si="23"/>
        <v>0</v>
      </c>
      <c r="T46" s="30">
        <f t="shared" si="23"/>
        <v>0</v>
      </c>
      <c r="U46" s="30">
        <f t="shared" si="23"/>
        <v>0</v>
      </c>
      <c r="V46" s="30">
        <f t="shared" si="23"/>
        <v>0</v>
      </c>
      <c r="W46" s="30">
        <f t="shared" si="17"/>
        <v>0</v>
      </c>
    </row>
    <row r="47" spans="1:23" x14ac:dyDescent="0.25">
      <c r="B47" t="s">
        <v>243</v>
      </c>
      <c r="C47" s="1">
        <f>+C46/8</f>
        <v>0</v>
      </c>
      <c r="D47" s="1">
        <f t="shared" ref="D47:K47" si="24">+D46/8</f>
        <v>0</v>
      </c>
      <c r="E47" s="1">
        <f t="shared" si="24"/>
        <v>0</v>
      </c>
      <c r="F47" s="1">
        <f t="shared" si="24"/>
        <v>0</v>
      </c>
      <c r="G47" s="1">
        <f t="shared" si="24"/>
        <v>0</v>
      </c>
      <c r="H47" s="1">
        <f t="shared" si="24"/>
        <v>0</v>
      </c>
      <c r="I47" s="1">
        <f t="shared" si="24"/>
        <v>0</v>
      </c>
      <c r="J47" s="1">
        <f t="shared" si="24"/>
        <v>0</v>
      </c>
      <c r="K47" s="1">
        <f t="shared" si="24"/>
        <v>0</v>
      </c>
      <c r="L47" s="1">
        <f>SUM(C47:K47)</f>
        <v>0</v>
      </c>
      <c r="M47">
        <v>0.245</v>
      </c>
      <c r="N47" s="30">
        <f t="shared" si="22"/>
        <v>0</v>
      </c>
      <c r="O47" s="30">
        <f t="shared" si="22"/>
        <v>0</v>
      </c>
      <c r="P47" s="30">
        <f t="shared" si="22"/>
        <v>0</v>
      </c>
      <c r="Q47" s="30">
        <f>+$M47*F47</f>
        <v>0</v>
      </c>
      <c r="R47" s="30">
        <f t="shared" si="23"/>
        <v>0</v>
      </c>
      <c r="S47" s="30">
        <f t="shared" si="23"/>
        <v>0</v>
      </c>
      <c r="T47" s="30">
        <f t="shared" si="23"/>
        <v>0</v>
      </c>
      <c r="U47" s="30">
        <f t="shared" si="23"/>
        <v>0</v>
      </c>
      <c r="V47" s="30">
        <f t="shared" si="23"/>
        <v>0</v>
      </c>
      <c r="W47" s="30">
        <f t="shared" si="17"/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H10"/>
  <sheetViews>
    <sheetView workbookViewId="0">
      <selection activeCell="E10" sqref="E10"/>
    </sheetView>
  </sheetViews>
  <sheetFormatPr defaultRowHeight="15" x14ac:dyDescent="0.25"/>
  <cols>
    <col min="1" max="1" width="12.140625" customWidth="1"/>
    <col min="4" max="4" width="10.5703125" bestFit="1" customWidth="1"/>
    <col min="34" max="34" width="10.28515625" customWidth="1"/>
  </cols>
  <sheetData>
    <row r="1" spans="1:34" x14ac:dyDescent="0.25">
      <c r="B1" s="5" t="s">
        <v>121</v>
      </c>
      <c r="C1" s="5" t="s">
        <v>36</v>
      </c>
      <c r="D1" s="5" t="s">
        <v>36</v>
      </c>
      <c r="E1" s="5" t="s">
        <v>36</v>
      </c>
      <c r="F1" s="5" t="s">
        <v>36</v>
      </c>
      <c r="G1" s="5" t="s">
        <v>179</v>
      </c>
      <c r="H1" s="5" t="s">
        <v>37</v>
      </c>
      <c r="I1" s="5" t="s">
        <v>37</v>
      </c>
      <c r="J1" s="5" t="s">
        <v>37</v>
      </c>
      <c r="K1" s="5" t="s">
        <v>37</v>
      </c>
      <c r="L1" s="5" t="s">
        <v>38</v>
      </c>
      <c r="M1" s="5" t="s">
        <v>38</v>
      </c>
      <c r="N1" s="5" t="s">
        <v>38</v>
      </c>
      <c r="O1" s="5" t="s">
        <v>38</v>
      </c>
      <c r="P1" s="5" t="s">
        <v>39</v>
      </c>
      <c r="Q1" s="5" t="s">
        <v>39</v>
      </c>
      <c r="R1" s="5" t="s">
        <v>39</v>
      </c>
      <c r="S1" s="5" t="s">
        <v>39</v>
      </c>
      <c r="T1" s="5" t="s">
        <v>180</v>
      </c>
      <c r="U1" s="5" t="s">
        <v>86</v>
      </c>
      <c r="V1" s="5" t="s">
        <v>86</v>
      </c>
      <c r="W1" s="5" t="s">
        <v>86</v>
      </c>
      <c r="X1" s="5" t="s">
        <v>86</v>
      </c>
      <c r="Y1" s="5" t="s">
        <v>181</v>
      </c>
      <c r="Z1" s="5" t="s">
        <v>181</v>
      </c>
      <c r="AA1" s="5" t="s">
        <v>181</v>
      </c>
      <c r="AB1" s="5" t="s">
        <v>181</v>
      </c>
      <c r="AC1" s="5" t="s">
        <v>87</v>
      </c>
      <c r="AD1" s="5" t="s">
        <v>87</v>
      </c>
      <c r="AE1" s="5" t="s">
        <v>87</v>
      </c>
      <c r="AF1" s="5" t="s">
        <v>87</v>
      </c>
      <c r="AG1" s="5" t="s">
        <v>87</v>
      </c>
    </row>
    <row r="2" spans="1:34" x14ac:dyDescent="0.25">
      <c r="B2" s="5" t="s">
        <v>2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54</v>
      </c>
      <c r="L2" s="5" t="s">
        <v>20</v>
      </c>
      <c r="M2" s="5" t="s">
        <v>21</v>
      </c>
      <c r="N2" s="5" t="s">
        <v>22</v>
      </c>
      <c r="O2" s="5" t="s">
        <v>23</v>
      </c>
      <c r="P2" s="5" t="s">
        <v>24</v>
      </c>
      <c r="Q2" s="5" t="s">
        <v>25</v>
      </c>
      <c r="R2" s="5" t="s">
        <v>26</v>
      </c>
      <c r="S2" s="5" t="s">
        <v>27</v>
      </c>
      <c r="T2" s="5" t="s">
        <v>28</v>
      </c>
      <c r="U2" s="5" t="s">
        <v>29</v>
      </c>
      <c r="V2" s="5" t="s">
        <v>30</v>
      </c>
      <c r="W2" s="5" t="s">
        <v>31</v>
      </c>
      <c r="X2" s="5" t="s">
        <v>32</v>
      </c>
      <c r="Y2" s="5" t="s">
        <v>33</v>
      </c>
      <c r="Z2" s="5" t="s">
        <v>34</v>
      </c>
      <c r="AA2" s="5" t="s">
        <v>55</v>
      </c>
      <c r="AB2" s="5" t="s">
        <v>56</v>
      </c>
      <c r="AC2" s="5" t="s">
        <v>57</v>
      </c>
      <c r="AD2" s="5" t="s">
        <v>58</v>
      </c>
      <c r="AE2" s="5" t="s">
        <v>59</v>
      </c>
      <c r="AF2" s="5" t="s">
        <v>60</v>
      </c>
      <c r="AG2" s="5" t="s">
        <v>61</v>
      </c>
      <c r="AH2" s="5" t="s">
        <v>2</v>
      </c>
    </row>
    <row r="3" spans="1:34" x14ac:dyDescent="0.25">
      <c r="A3" t="s">
        <v>184</v>
      </c>
      <c r="AH3">
        <f>SUM(C3:AG3)</f>
        <v>0</v>
      </c>
    </row>
    <row r="4" spans="1:34" x14ac:dyDescent="0.25">
      <c r="A4" t="s">
        <v>183</v>
      </c>
      <c r="AH4">
        <f>SUM(C4:AG4)</f>
        <v>0</v>
      </c>
    </row>
    <row r="5" spans="1:34" x14ac:dyDescent="0.25">
      <c r="A5" t="s">
        <v>185</v>
      </c>
      <c r="AH5">
        <f>SUM(C5:AG5)</f>
        <v>0</v>
      </c>
    </row>
    <row r="6" spans="1:34" x14ac:dyDescent="0.25">
      <c r="A6" t="s">
        <v>186</v>
      </c>
      <c r="AH6">
        <f>SUM(C6:AG6)</f>
        <v>0</v>
      </c>
    </row>
    <row r="7" spans="1:34" x14ac:dyDescent="0.25">
      <c r="D7" s="43">
        <f>SUM(D3:D6)</f>
        <v>0</v>
      </c>
      <c r="E7" s="43">
        <f t="shared" ref="E7:AH7" si="0">SUM(E3:E6)</f>
        <v>0</v>
      </c>
      <c r="F7" s="43">
        <f t="shared" si="0"/>
        <v>0</v>
      </c>
      <c r="G7" s="43">
        <f t="shared" si="0"/>
        <v>0</v>
      </c>
      <c r="H7" s="43">
        <f t="shared" si="0"/>
        <v>0</v>
      </c>
      <c r="I7" s="43">
        <f t="shared" si="0"/>
        <v>0</v>
      </c>
      <c r="J7" s="43">
        <f t="shared" si="0"/>
        <v>0</v>
      </c>
      <c r="K7" s="43">
        <f t="shared" si="0"/>
        <v>0</v>
      </c>
      <c r="L7" s="43">
        <f t="shared" si="0"/>
        <v>0</v>
      </c>
      <c r="M7" s="43">
        <f t="shared" si="0"/>
        <v>0</v>
      </c>
      <c r="N7" s="43">
        <f t="shared" si="0"/>
        <v>0</v>
      </c>
      <c r="O7" s="43">
        <f t="shared" si="0"/>
        <v>0</v>
      </c>
      <c r="P7" s="43">
        <f t="shared" si="0"/>
        <v>0</v>
      </c>
      <c r="Q7" s="43">
        <f t="shared" si="0"/>
        <v>0</v>
      </c>
      <c r="R7" s="43">
        <f t="shared" si="0"/>
        <v>0</v>
      </c>
      <c r="S7" s="43">
        <f t="shared" si="0"/>
        <v>0</v>
      </c>
      <c r="T7" s="43">
        <f t="shared" si="0"/>
        <v>0</v>
      </c>
      <c r="U7" s="43">
        <f t="shared" si="0"/>
        <v>0</v>
      </c>
      <c r="V7" s="43">
        <f t="shared" si="0"/>
        <v>0</v>
      </c>
      <c r="W7" s="43">
        <f t="shared" si="0"/>
        <v>0</v>
      </c>
      <c r="X7" s="43">
        <f t="shared" si="0"/>
        <v>0</v>
      </c>
      <c r="Y7" s="43">
        <f t="shared" si="0"/>
        <v>0</v>
      </c>
      <c r="Z7" s="43">
        <f t="shared" si="0"/>
        <v>0</v>
      </c>
      <c r="AA7" s="43">
        <f t="shared" si="0"/>
        <v>0</v>
      </c>
      <c r="AB7" s="43">
        <f t="shared" si="0"/>
        <v>0</v>
      </c>
      <c r="AC7" s="43">
        <f t="shared" si="0"/>
        <v>0</v>
      </c>
      <c r="AD7" s="43">
        <f t="shared" si="0"/>
        <v>0</v>
      </c>
      <c r="AE7" s="43">
        <f t="shared" si="0"/>
        <v>0</v>
      </c>
      <c r="AF7" s="43">
        <f t="shared" si="0"/>
        <v>0</v>
      </c>
      <c r="AG7" s="43">
        <f t="shared" si="0"/>
        <v>0</v>
      </c>
      <c r="AH7" s="43">
        <f t="shared" si="0"/>
        <v>0</v>
      </c>
    </row>
    <row r="9" spans="1:34" x14ac:dyDescent="0.25">
      <c r="D9" s="43">
        <f>+D7*D10</f>
        <v>0</v>
      </c>
      <c r="E9" s="43">
        <f t="shared" ref="E9:AF9" si="1">+E7*E10</f>
        <v>0</v>
      </c>
      <c r="F9" s="43">
        <f t="shared" si="1"/>
        <v>0</v>
      </c>
      <c r="G9" s="43">
        <f t="shared" si="1"/>
        <v>0</v>
      </c>
      <c r="H9" s="43">
        <f t="shared" si="1"/>
        <v>0</v>
      </c>
      <c r="I9" s="43">
        <f t="shared" si="1"/>
        <v>0</v>
      </c>
      <c r="J9" s="43">
        <f t="shared" si="1"/>
        <v>0</v>
      </c>
      <c r="K9" s="43">
        <f t="shared" si="1"/>
        <v>0</v>
      </c>
      <c r="L9" s="43">
        <f t="shared" si="1"/>
        <v>0</v>
      </c>
      <c r="M9" s="43">
        <f t="shared" si="1"/>
        <v>0</v>
      </c>
      <c r="N9" s="43">
        <f t="shared" si="1"/>
        <v>0</v>
      </c>
      <c r="O9" s="43">
        <f t="shared" si="1"/>
        <v>0</v>
      </c>
      <c r="P9" s="43">
        <f t="shared" si="1"/>
        <v>0</v>
      </c>
      <c r="Q9" s="43">
        <f t="shared" si="1"/>
        <v>0</v>
      </c>
      <c r="R9" s="43">
        <f t="shared" si="1"/>
        <v>0</v>
      </c>
      <c r="S9" s="43">
        <f t="shared" si="1"/>
        <v>0</v>
      </c>
      <c r="T9" s="43">
        <f t="shared" si="1"/>
        <v>0</v>
      </c>
      <c r="U9" s="43">
        <f t="shared" si="1"/>
        <v>0</v>
      </c>
      <c r="V9" s="43">
        <f t="shared" si="1"/>
        <v>0</v>
      </c>
      <c r="W9" s="43">
        <f t="shared" si="1"/>
        <v>0</v>
      </c>
      <c r="X9" s="43">
        <f t="shared" si="1"/>
        <v>0</v>
      </c>
      <c r="Y9" s="43">
        <f t="shared" si="1"/>
        <v>0</v>
      </c>
      <c r="Z9" s="43">
        <f t="shared" si="1"/>
        <v>0</v>
      </c>
      <c r="AA9" s="43">
        <f t="shared" si="1"/>
        <v>0</v>
      </c>
      <c r="AB9" s="43">
        <f t="shared" si="1"/>
        <v>0</v>
      </c>
      <c r="AC9" s="43">
        <f t="shared" si="1"/>
        <v>0</v>
      </c>
      <c r="AD9" s="43">
        <f t="shared" si="1"/>
        <v>0</v>
      </c>
      <c r="AE9" s="43">
        <f t="shared" si="1"/>
        <v>0</v>
      </c>
      <c r="AF9" s="43">
        <f t="shared" si="1"/>
        <v>0</v>
      </c>
      <c r="AH9" s="44">
        <f>SUM(D9:AG9)</f>
        <v>0</v>
      </c>
    </row>
    <row r="10" spans="1:34" x14ac:dyDescent="0.25">
      <c r="D10">
        <v>0.52329999999999999</v>
      </c>
      <c r="E10">
        <v>0.52329999999999999</v>
      </c>
      <c r="F10">
        <v>0.52329999999999999</v>
      </c>
      <c r="G10">
        <v>0.68889999999999996</v>
      </c>
      <c r="H10">
        <v>0.68889999999999996</v>
      </c>
      <c r="I10">
        <v>0.68889999999999996</v>
      </c>
      <c r="J10">
        <v>0.68889999999999996</v>
      </c>
      <c r="K10">
        <v>0.68889999999999996</v>
      </c>
      <c r="L10">
        <v>0.52329999999999999</v>
      </c>
      <c r="M10">
        <v>0.52329999999999999</v>
      </c>
      <c r="N10">
        <v>0.52329999999999999</v>
      </c>
      <c r="O10">
        <v>0.52329999999999999</v>
      </c>
      <c r="P10">
        <v>0.52329999999999999</v>
      </c>
      <c r="Q10">
        <v>0.52329999999999999</v>
      </c>
      <c r="R10">
        <v>0.52329999999999999</v>
      </c>
      <c r="S10">
        <v>0.52329999999999999</v>
      </c>
      <c r="T10">
        <v>0.52329999999999999</v>
      </c>
      <c r="U10">
        <v>0.52329999999999999</v>
      </c>
      <c r="V10">
        <v>0.52329999999999999</v>
      </c>
      <c r="W10">
        <v>0.52329999999999999</v>
      </c>
      <c r="X10">
        <v>0.52329999999999999</v>
      </c>
      <c r="Y10">
        <v>0.52329999999999999</v>
      </c>
      <c r="Z10">
        <v>0.52329999999999999</v>
      </c>
      <c r="AA10">
        <v>0.52329999999999999</v>
      </c>
      <c r="AB10">
        <v>0.52329999999999999</v>
      </c>
      <c r="AC10">
        <v>0.52329999999999999</v>
      </c>
      <c r="AD10">
        <v>0.52329999999999999</v>
      </c>
      <c r="AE10">
        <v>0.52329999999999999</v>
      </c>
      <c r="AF10">
        <v>0.51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8"/>
  <sheetViews>
    <sheetView workbookViewId="0">
      <selection activeCell="D19" sqref="D19"/>
    </sheetView>
  </sheetViews>
  <sheetFormatPr defaultRowHeight="15" x14ac:dyDescent="0.25"/>
  <cols>
    <col min="1" max="1" width="3.42578125" customWidth="1"/>
    <col min="2" max="2" width="19.42578125" customWidth="1"/>
    <col min="3" max="4" width="9.140625" style="1"/>
  </cols>
  <sheetData>
    <row r="1" spans="1:4" x14ac:dyDescent="0.25">
      <c r="A1" s="2" t="s">
        <v>336</v>
      </c>
    </row>
    <row r="4" spans="1:4" x14ac:dyDescent="0.25">
      <c r="C4" s="1" t="s">
        <v>328</v>
      </c>
      <c r="D4" s="1" t="s">
        <v>329</v>
      </c>
    </row>
    <row r="5" spans="1:4" x14ac:dyDescent="0.25">
      <c r="A5" t="s">
        <v>327</v>
      </c>
    </row>
    <row r="6" spans="1:4" x14ac:dyDescent="0.25">
      <c r="B6" t="s">
        <v>330</v>
      </c>
      <c r="C6" s="1">
        <v>3100</v>
      </c>
      <c r="D6" s="1">
        <v>155232</v>
      </c>
    </row>
    <row r="7" spans="1:4" x14ac:dyDescent="0.25">
      <c r="B7" t="s">
        <v>331</v>
      </c>
      <c r="C7" s="1">
        <v>5175</v>
      </c>
      <c r="D7" s="1">
        <v>93150</v>
      </c>
    </row>
    <row r="8" spans="1:4" x14ac:dyDescent="0.25">
      <c r="B8" t="s">
        <v>333</v>
      </c>
    </row>
    <row r="10" spans="1:4" x14ac:dyDescent="0.25">
      <c r="A10" t="s">
        <v>332</v>
      </c>
    </row>
    <row r="11" spans="1:4" x14ac:dyDescent="0.25">
      <c r="B11" t="s">
        <v>330</v>
      </c>
      <c r="C11" s="1">
        <v>11025</v>
      </c>
      <c r="D11" s="1">
        <v>240000</v>
      </c>
    </row>
    <row r="12" spans="1:4" x14ac:dyDescent="0.25">
      <c r="B12" t="s">
        <v>331</v>
      </c>
      <c r="C12" s="1">
        <v>14700</v>
      </c>
      <c r="D12" s="1">
        <v>234000</v>
      </c>
    </row>
    <row r="13" spans="1:4" x14ac:dyDescent="0.25">
      <c r="B13" t="s">
        <v>333</v>
      </c>
      <c r="D13" s="1">
        <v>65000</v>
      </c>
    </row>
    <row r="15" spans="1:4" x14ac:dyDescent="0.25">
      <c r="A15" t="s">
        <v>334</v>
      </c>
    </row>
    <row r="16" spans="1:4" x14ac:dyDescent="0.25">
      <c r="B16" t="s">
        <v>335</v>
      </c>
      <c r="C16" s="1">
        <v>2000</v>
      </c>
      <c r="D16" s="1">
        <v>36000</v>
      </c>
    </row>
    <row r="18" spans="3:4" x14ac:dyDescent="0.25">
      <c r="C18" s="1">
        <f>SUM(C6:C17)</f>
        <v>36000</v>
      </c>
      <c r="D18" s="1">
        <f>SUM(D6:D17)</f>
        <v>823382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T114"/>
  <sheetViews>
    <sheetView workbookViewId="0">
      <pane xSplit="2" ySplit="3" topLeftCell="J32" activePane="bottomRight" state="frozen"/>
      <selection pane="topRight" activeCell="C1" sqref="C1"/>
      <selection pane="bottomLeft" activeCell="A3" sqref="A3"/>
      <selection pane="bottomRight" activeCell="S37" sqref="P37:T37"/>
    </sheetView>
  </sheetViews>
  <sheetFormatPr defaultRowHeight="15" x14ac:dyDescent="0.25"/>
  <cols>
    <col min="1" max="1" width="1.28515625" customWidth="1"/>
    <col min="2" max="2" width="20.140625" customWidth="1"/>
    <col min="3" max="4" width="7.7109375" customWidth="1"/>
    <col min="5" max="5" width="9.140625" bestFit="1" customWidth="1"/>
    <col min="6" max="9" width="7.7109375" customWidth="1"/>
    <col min="10" max="10" width="11" customWidth="1"/>
    <col min="11" max="11" width="8.42578125" customWidth="1"/>
    <col min="12" max="12" width="9" customWidth="1"/>
    <col min="13" max="16" width="8.7109375" customWidth="1"/>
    <col min="17" max="17" width="9.28515625" customWidth="1"/>
    <col min="18" max="43" width="10.28515625" customWidth="1"/>
    <col min="44" max="44" width="10" customWidth="1"/>
  </cols>
  <sheetData>
    <row r="1" spans="1:44" x14ac:dyDescent="0.25">
      <c r="C1" s="34">
        <v>5</v>
      </c>
      <c r="D1" s="34">
        <v>5</v>
      </c>
      <c r="E1" s="34">
        <v>5</v>
      </c>
      <c r="F1" s="34">
        <v>5</v>
      </c>
      <c r="G1" s="34">
        <v>5</v>
      </c>
      <c r="H1" s="141">
        <v>4</v>
      </c>
      <c r="I1" s="141">
        <v>4</v>
      </c>
      <c r="J1" s="141">
        <v>4</v>
      </c>
      <c r="K1" s="141">
        <v>4</v>
      </c>
      <c r="L1" s="141">
        <v>4</v>
      </c>
      <c r="M1" s="141">
        <v>4</v>
      </c>
      <c r="N1" s="141">
        <v>4</v>
      </c>
      <c r="O1" s="141">
        <v>4</v>
      </c>
      <c r="P1" s="34">
        <v>4</v>
      </c>
      <c r="Q1" s="34">
        <v>4</v>
      </c>
      <c r="R1" s="34">
        <v>4</v>
      </c>
      <c r="S1" s="34">
        <v>4</v>
      </c>
      <c r="T1" s="34">
        <v>5</v>
      </c>
      <c r="U1" s="141">
        <v>5</v>
      </c>
      <c r="V1" s="141">
        <v>5</v>
      </c>
      <c r="W1" s="141">
        <v>5</v>
      </c>
      <c r="X1" s="141">
        <v>5</v>
      </c>
      <c r="Y1" s="141">
        <v>4</v>
      </c>
      <c r="Z1" s="141">
        <v>4</v>
      </c>
      <c r="AA1" s="141">
        <v>4</v>
      </c>
      <c r="AB1" s="141">
        <v>4</v>
      </c>
      <c r="AC1" s="141">
        <v>5</v>
      </c>
      <c r="AD1" s="141">
        <v>5</v>
      </c>
      <c r="AE1" s="141">
        <v>5</v>
      </c>
      <c r="AF1" s="141">
        <v>5</v>
      </c>
      <c r="AG1" s="141">
        <v>5</v>
      </c>
      <c r="AH1" s="141">
        <v>4</v>
      </c>
      <c r="AI1" s="141">
        <v>4</v>
      </c>
      <c r="AJ1" s="141">
        <v>4</v>
      </c>
      <c r="AK1" s="141">
        <v>4</v>
      </c>
      <c r="AL1" s="141">
        <v>4</v>
      </c>
      <c r="AM1" s="141">
        <v>4</v>
      </c>
      <c r="AN1" s="141">
        <v>4</v>
      </c>
      <c r="AO1" s="141">
        <v>4</v>
      </c>
    </row>
    <row r="2" spans="1:44" x14ac:dyDescent="0.25">
      <c r="C2" s="142">
        <v>45292</v>
      </c>
      <c r="D2" s="142">
        <v>45292</v>
      </c>
      <c r="E2" s="142">
        <v>45292</v>
      </c>
      <c r="F2" s="142">
        <v>45292</v>
      </c>
      <c r="G2" s="142">
        <v>45292</v>
      </c>
      <c r="H2" s="142">
        <v>45323</v>
      </c>
      <c r="I2" s="142">
        <v>45323</v>
      </c>
      <c r="J2" s="142">
        <v>45323</v>
      </c>
      <c r="K2" s="142">
        <v>45323</v>
      </c>
      <c r="L2" s="142">
        <v>45352</v>
      </c>
      <c r="M2" s="142">
        <v>45352</v>
      </c>
      <c r="N2" s="142">
        <v>45352</v>
      </c>
      <c r="O2" s="142">
        <v>45352</v>
      </c>
      <c r="P2" s="142">
        <v>45383</v>
      </c>
      <c r="Q2" s="142">
        <v>45383</v>
      </c>
      <c r="R2" s="142">
        <v>45383</v>
      </c>
      <c r="S2" s="142">
        <v>45383</v>
      </c>
      <c r="T2" s="142">
        <v>45413</v>
      </c>
      <c r="U2" s="142">
        <v>45413</v>
      </c>
      <c r="V2" s="142">
        <v>45413</v>
      </c>
      <c r="W2" s="142">
        <v>45413</v>
      </c>
      <c r="X2" s="142">
        <v>45413</v>
      </c>
      <c r="Y2" s="142">
        <v>45444</v>
      </c>
      <c r="Z2" s="142">
        <v>45444</v>
      </c>
      <c r="AA2" s="142">
        <v>45444</v>
      </c>
      <c r="AB2" s="142">
        <v>45444</v>
      </c>
      <c r="AC2" s="142">
        <v>45474</v>
      </c>
      <c r="AD2" s="142">
        <v>45474</v>
      </c>
      <c r="AE2" s="142">
        <v>45474</v>
      </c>
      <c r="AF2" s="142">
        <v>45474</v>
      </c>
      <c r="AG2" s="142">
        <v>45474</v>
      </c>
      <c r="AH2" s="142">
        <v>45505</v>
      </c>
      <c r="AI2" s="142">
        <v>45505</v>
      </c>
      <c r="AJ2" s="142">
        <v>45505</v>
      </c>
      <c r="AK2" s="142">
        <v>45505</v>
      </c>
      <c r="AL2" s="142">
        <v>45536</v>
      </c>
      <c r="AM2" s="142">
        <v>45536</v>
      </c>
      <c r="AN2" s="142">
        <v>45536</v>
      </c>
      <c r="AO2" s="142">
        <v>45536</v>
      </c>
      <c r="AP2" s="13" t="s">
        <v>282</v>
      </c>
    </row>
    <row r="3" spans="1:44" x14ac:dyDescent="0.25">
      <c r="A3" s="31"/>
      <c r="C3" s="13" t="s">
        <v>491</v>
      </c>
      <c r="D3" s="13" t="s">
        <v>492</v>
      </c>
      <c r="E3" s="13" t="s">
        <v>493</v>
      </c>
      <c r="F3" s="13" t="s">
        <v>494</v>
      </c>
      <c r="G3" s="13" t="s">
        <v>495</v>
      </c>
      <c r="H3" s="13" t="s">
        <v>496</v>
      </c>
      <c r="I3" s="13" t="s">
        <v>263</v>
      </c>
      <c r="J3" s="13" t="s">
        <v>264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54</v>
      </c>
      <c r="U3" s="13" t="s">
        <v>20</v>
      </c>
      <c r="V3" s="13" t="s">
        <v>21</v>
      </c>
      <c r="W3" s="13" t="s">
        <v>22</v>
      </c>
      <c r="X3" s="13" t="s">
        <v>23</v>
      </c>
      <c r="Y3" s="13" t="s">
        <v>24</v>
      </c>
      <c r="Z3" s="13" t="s">
        <v>25</v>
      </c>
      <c r="AA3" s="13" t="s">
        <v>26</v>
      </c>
      <c r="AB3" s="13" t="s">
        <v>27</v>
      </c>
      <c r="AC3" s="13" t="s">
        <v>28</v>
      </c>
      <c r="AD3" s="13" t="s">
        <v>29</v>
      </c>
      <c r="AE3" s="13" t="s">
        <v>30</v>
      </c>
      <c r="AF3" s="13" t="s">
        <v>31</v>
      </c>
      <c r="AG3" s="13" t="s">
        <v>32</v>
      </c>
      <c r="AH3" s="13" t="s">
        <v>33</v>
      </c>
      <c r="AI3" s="13" t="s">
        <v>34</v>
      </c>
      <c r="AJ3" s="13" t="s">
        <v>55</v>
      </c>
      <c r="AK3" s="13" t="s">
        <v>56</v>
      </c>
      <c r="AL3" s="13" t="s">
        <v>57</v>
      </c>
      <c r="AM3" s="13" t="s">
        <v>58</v>
      </c>
      <c r="AN3" s="13" t="s">
        <v>59</v>
      </c>
      <c r="AO3" s="13" t="s">
        <v>60</v>
      </c>
      <c r="AP3" s="13" t="s">
        <v>61</v>
      </c>
      <c r="AQ3" s="5" t="s">
        <v>2</v>
      </c>
    </row>
    <row r="4" spans="1:44" ht="15" customHeight="1" x14ac:dyDescent="0.25">
      <c r="A4" t="s">
        <v>553</v>
      </c>
      <c r="B4" s="31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spans="1:44" x14ac:dyDescent="0.25">
      <c r="B5" t="s">
        <v>2</v>
      </c>
      <c r="I5" s="1">
        <f>SUM(I6:I8)</f>
        <v>0</v>
      </c>
      <c r="J5" s="1">
        <f t="shared" ref="J5:AO5" si="0">SUM(J6:J8)</f>
        <v>21150.878671998868</v>
      </c>
      <c r="K5" s="1">
        <f t="shared" si="0"/>
        <v>15843.14476521828</v>
      </c>
      <c r="L5" s="1">
        <f t="shared" si="0"/>
        <v>16337.844630277856</v>
      </c>
      <c r="M5" s="1">
        <f t="shared" si="0"/>
        <v>22872.479507871412</v>
      </c>
      <c r="N5" s="1">
        <f t="shared" si="0"/>
        <v>28496.750614274399</v>
      </c>
      <c r="O5" s="1">
        <f t="shared" si="0"/>
        <v>28130.423067553507</v>
      </c>
      <c r="P5" s="1">
        <f t="shared" si="0"/>
        <v>26504.724537938069</v>
      </c>
      <c r="Q5" s="1">
        <f t="shared" si="0"/>
        <v>28040.556969369245</v>
      </c>
      <c r="R5" s="1">
        <f t="shared" si="0"/>
        <v>36008.142718062096</v>
      </c>
      <c r="S5" s="1">
        <f t="shared" si="0"/>
        <v>28371.721217797382</v>
      </c>
      <c r="T5" s="1">
        <f t="shared" si="0"/>
        <v>28598.290661832849</v>
      </c>
      <c r="U5" s="1">
        <f t="shared" si="0"/>
        <v>25614.739398676007</v>
      </c>
      <c r="V5" s="1">
        <f t="shared" si="0"/>
        <v>17868.184744933056</v>
      </c>
      <c r="W5" s="1">
        <f t="shared" si="0"/>
        <v>14412.12072432342</v>
      </c>
      <c r="X5" s="1">
        <f t="shared" si="0"/>
        <v>9788.5457948314306</v>
      </c>
      <c r="Y5" s="1">
        <f t="shared" si="0"/>
        <v>7457.8570977862255</v>
      </c>
      <c r="Z5" s="1">
        <f t="shared" si="0"/>
        <v>3996.0384126032104</v>
      </c>
      <c r="AA5" s="1">
        <f t="shared" si="0"/>
        <v>4110.3967053800252</v>
      </c>
      <c r="AB5" s="1">
        <f t="shared" si="0"/>
        <v>4152.9184180494804</v>
      </c>
      <c r="AC5" s="1">
        <f t="shared" si="0"/>
        <v>3098.2831296937925</v>
      </c>
      <c r="AD5" s="1">
        <f t="shared" si="0"/>
        <v>2615.0471094367472</v>
      </c>
      <c r="AE5" s="1">
        <f t="shared" si="0"/>
        <v>2710.6424468202326</v>
      </c>
      <c r="AF5" s="1">
        <f t="shared" si="0"/>
        <v>13058.470101498413</v>
      </c>
      <c r="AG5" s="1">
        <f t="shared" si="0"/>
        <v>3273.0952041177247</v>
      </c>
      <c r="AH5" s="1">
        <f t="shared" si="0"/>
        <v>1835.6805521965291</v>
      </c>
      <c r="AI5" s="1">
        <f t="shared" si="0"/>
        <v>2879.163267485199</v>
      </c>
      <c r="AJ5" s="1">
        <f t="shared" si="0"/>
        <v>1860.5089798436936</v>
      </c>
      <c r="AK5" s="1">
        <f t="shared" si="0"/>
        <v>1671.7865873467435</v>
      </c>
      <c r="AL5" s="1">
        <f t="shared" si="0"/>
        <v>0</v>
      </c>
      <c r="AM5" s="1">
        <f t="shared" si="0"/>
        <v>0</v>
      </c>
      <c r="AN5" s="1">
        <f t="shared" si="0"/>
        <v>0</v>
      </c>
      <c r="AO5" s="1">
        <f t="shared" si="0"/>
        <v>0</v>
      </c>
      <c r="AP5" s="1"/>
      <c r="AQ5" s="1">
        <f>SUM(C5:AP5)</f>
        <v>400758.43603721581</v>
      </c>
    </row>
    <row r="6" spans="1:44" x14ac:dyDescent="0.25">
      <c r="B6" t="s">
        <v>551</v>
      </c>
      <c r="I6" s="1">
        <f>+[13]Stripbyweek!C9</f>
        <v>0</v>
      </c>
      <c r="J6" s="1">
        <f>+[13]Stripbyweek!D9</f>
        <v>4452.2711304795239</v>
      </c>
      <c r="K6" s="1">
        <f>+[13]Stripbyweek!E9</f>
        <v>3004.387295017923</v>
      </c>
      <c r="L6" s="1">
        <f>+[13]Stripbyweek!F9</f>
        <v>3245.1843673432477</v>
      </c>
      <c r="M6" s="1">
        <f>+[13]Stripbyweek!G9</f>
        <v>1870.470721699905</v>
      </c>
      <c r="N6" s="1">
        <f>+[13]Stripbyweek!H9</f>
        <v>2750.8258075259096</v>
      </c>
      <c r="O6" s="1">
        <f>+[13]Stripbyweek!I9</f>
        <v>3250.005132881437</v>
      </c>
      <c r="P6" s="1">
        <f>+[13]Stripbyweek!J9</f>
        <v>2828.3327453979928</v>
      </c>
      <c r="Q6" s="1">
        <f>+[13]Stripbyweek!K9</f>
        <v>1466.4954874691846</v>
      </c>
      <c r="R6" s="1">
        <f>+[13]Stripbyweek!L9</f>
        <v>3747.8826903311447</v>
      </c>
      <c r="S6" s="1">
        <f>+[13]Stripbyweek!M9</f>
        <v>1057.182988893212</v>
      </c>
      <c r="T6" s="1">
        <f>+[13]Stripbyweek!N9</f>
        <v>1144.8114821728618</v>
      </c>
      <c r="U6" s="1">
        <f>+[13]Stripbyweek!O9</f>
        <v>1027.0227633630684</v>
      </c>
      <c r="V6" s="1">
        <f>+[13]Stripbyweek!P9</f>
        <v>351.59005551195014</v>
      </c>
      <c r="W6" s="1">
        <f>+[13]Stripbyweek!Q9</f>
        <v>0</v>
      </c>
      <c r="X6" s="1">
        <f>+[13]Stripbyweek!R9</f>
        <v>0</v>
      </c>
      <c r="Y6" s="1">
        <f>+[13]Stripbyweek!S9</f>
        <v>0</v>
      </c>
      <c r="Z6" s="1">
        <f>+[13]Stripbyweek!T9</f>
        <v>0</v>
      </c>
      <c r="AA6" s="1">
        <f>+[13]Stripbyweek!U9</f>
        <v>0</v>
      </c>
      <c r="AB6" s="1">
        <f>+[13]Stripbyweek!V9</f>
        <v>0</v>
      </c>
      <c r="AC6" s="1">
        <f>+[13]Stripbyweek!W9</f>
        <v>0</v>
      </c>
      <c r="AD6" s="1">
        <f>+[13]Stripbyweek!X9</f>
        <v>0</v>
      </c>
      <c r="AE6" s="1">
        <f>+[13]Stripbyweek!Y9</f>
        <v>0</v>
      </c>
      <c r="AF6" s="1">
        <f>+[13]Stripbyweek!Z9</f>
        <v>0</v>
      </c>
      <c r="AG6" s="1">
        <f>+[13]Stripbyweek!AA9</f>
        <v>0</v>
      </c>
      <c r="AH6" s="1">
        <f>+[13]Stripbyweek!AB9</f>
        <v>0</v>
      </c>
      <c r="AI6" s="1">
        <f>+[13]Stripbyweek!AC9</f>
        <v>0</v>
      </c>
      <c r="AJ6" s="1">
        <f>+[13]Stripbyweek!AD9</f>
        <v>0</v>
      </c>
      <c r="AK6" s="1">
        <f>+[13]Stripbyweek!AE9</f>
        <v>0</v>
      </c>
      <c r="AL6" s="1">
        <f>+[13]Stripbyweek!AF9</f>
        <v>0</v>
      </c>
      <c r="AM6" s="1">
        <f>+[13]Stripbyweek!AG9</f>
        <v>0</v>
      </c>
      <c r="AN6" s="1">
        <f>+[13]Stripbyweek!AH9</f>
        <v>0</v>
      </c>
      <c r="AO6" s="1">
        <f>+[13]Stripbyweek!AI9</f>
        <v>0</v>
      </c>
      <c r="AP6" s="1"/>
      <c r="AQ6" s="1">
        <f t="shared" ref="AQ6:AQ11" si="1">SUM(C6:AP6)</f>
        <v>30196.462668087359</v>
      </c>
    </row>
    <row r="7" spans="1:44" x14ac:dyDescent="0.25">
      <c r="B7" t="s">
        <v>552</v>
      </c>
      <c r="I7" s="1">
        <f>+[13]Stripbyweek!C10</f>
        <v>0</v>
      </c>
      <c r="J7" s="1">
        <f>+[13]Stripbyweek!D10</f>
        <v>2030.8613412945347</v>
      </c>
      <c r="K7" s="1">
        <f>+[13]Stripbyweek!E10</f>
        <v>1042.0874534800321</v>
      </c>
      <c r="L7" s="1">
        <f>+[13]Stripbyweek!F10</f>
        <v>675.92379341859794</v>
      </c>
      <c r="M7" s="1">
        <f>+[13]Stripbyweek!G10</f>
        <v>571.50363013692663</v>
      </c>
      <c r="N7" s="1">
        <f>+[13]Stripbyweek!H10</f>
        <v>1707.8029188245073</v>
      </c>
      <c r="O7" s="1">
        <f>+[13]Stripbyweek!I10</f>
        <v>1835.1315729909243</v>
      </c>
      <c r="P7" s="1">
        <f>+[13]Stripbyweek!J10</f>
        <v>1070.062947510708</v>
      </c>
      <c r="Q7" s="1">
        <f>+[13]Stripbyweek!K10</f>
        <v>265.95756360098324</v>
      </c>
      <c r="R7" s="1">
        <f>+[13]Stripbyweek!L10</f>
        <v>1341.1102469299087</v>
      </c>
      <c r="S7" s="1">
        <f>+[13]Stripbyweek!M10</f>
        <v>327.3303224504462</v>
      </c>
      <c r="T7" s="1">
        <f>+[13]Stripbyweek!N10</f>
        <v>354.43241629119478</v>
      </c>
      <c r="U7" s="1">
        <f>+[13]Stripbyweek!O10</f>
        <v>509.27335200310608</v>
      </c>
      <c r="V7" s="1">
        <f>+[13]Stripbyweek!P10</f>
        <v>188.45393269642682</v>
      </c>
      <c r="W7" s="1">
        <f>+[13]Stripbyweek!Q10</f>
        <v>235.89725926993464</v>
      </c>
      <c r="X7" s="1">
        <f>+[13]Stripbyweek!R10</f>
        <v>163.19185426408737</v>
      </c>
      <c r="Y7" s="1">
        <f>+[13]Stripbyweek!S10</f>
        <v>30.723528224191973</v>
      </c>
      <c r="Z7" s="1">
        <f>+[13]Stripbyweek!T10</f>
        <v>0</v>
      </c>
      <c r="AA7" s="1">
        <f>+[13]Stripbyweek!U10</f>
        <v>0</v>
      </c>
      <c r="AB7" s="1">
        <f>+[13]Stripbyweek!V10</f>
        <v>0</v>
      </c>
      <c r="AC7" s="1">
        <f>+[13]Stripbyweek!W10</f>
        <v>0</v>
      </c>
      <c r="AD7" s="1">
        <f>+[13]Stripbyweek!X10</f>
        <v>0</v>
      </c>
      <c r="AE7" s="1">
        <f>+[13]Stripbyweek!Y10</f>
        <v>0</v>
      </c>
      <c r="AF7" s="1">
        <f>+[13]Stripbyweek!Z10</f>
        <v>0</v>
      </c>
      <c r="AG7" s="1">
        <f>+[13]Stripbyweek!AA10</f>
        <v>0</v>
      </c>
      <c r="AH7" s="1">
        <f>+[13]Stripbyweek!AB10</f>
        <v>0</v>
      </c>
      <c r="AI7" s="1">
        <f>+[13]Stripbyweek!AC10</f>
        <v>0</v>
      </c>
      <c r="AJ7" s="1">
        <f>+[13]Stripbyweek!AD10</f>
        <v>0</v>
      </c>
      <c r="AK7" s="1">
        <f>+[13]Stripbyweek!AE10</f>
        <v>0</v>
      </c>
      <c r="AL7" s="1">
        <f>+[13]Stripbyweek!AF10</f>
        <v>0</v>
      </c>
      <c r="AM7" s="1">
        <f>+[13]Stripbyweek!AG10</f>
        <v>0</v>
      </c>
      <c r="AN7" s="1">
        <f>+[13]Stripbyweek!AH10</f>
        <v>0</v>
      </c>
      <c r="AO7" s="1">
        <f>+[13]Stripbyweek!AI10</f>
        <v>0</v>
      </c>
      <c r="AP7" s="1"/>
      <c r="AQ7" s="1">
        <f t="shared" si="1"/>
        <v>12349.74413338651</v>
      </c>
    </row>
    <row r="8" spans="1:44" x14ac:dyDescent="0.25">
      <c r="B8" t="s">
        <v>288</v>
      </c>
      <c r="I8" s="1">
        <f>+[13]Stripbyweek!C8</f>
        <v>0</v>
      </c>
      <c r="J8" s="1">
        <f>+[13]Stripbyweek!D8</f>
        <v>14667.746200224808</v>
      </c>
      <c r="K8" s="1">
        <f>+[13]Stripbyweek!E8</f>
        <v>11796.670016720323</v>
      </c>
      <c r="L8" s="1">
        <f>+[13]Stripbyweek!F8</f>
        <v>12416.73646951601</v>
      </c>
      <c r="M8" s="1">
        <f>+[13]Stripbyweek!G8</f>
        <v>20430.505156034582</v>
      </c>
      <c r="N8" s="1">
        <f>+[13]Stripbyweek!H8</f>
        <v>24038.121887923982</v>
      </c>
      <c r="O8" s="1">
        <f>+[13]Stripbyweek!I8</f>
        <v>23045.286361681145</v>
      </c>
      <c r="P8" s="1">
        <f>+[13]Stripbyweek!J8</f>
        <v>22606.328845029369</v>
      </c>
      <c r="Q8" s="1">
        <f>+[13]Stripbyweek!K8</f>
        <v>26308.103918299079</v>
      </c>
      <c r="R8" s="1">
        <f>+[13]Stripbyweek!L8</f>
        <v>30919.149780801046</v>
      </c>
      <c r="S8" s="1">
        <f>+[13]Stripbyweek!M8</f>
        <v>26987.207906453725</v>
      </c>
      <c r="T8" s="1">
        <f>+[13]Stripbyweek!N8</f>
        <v>27099.046763368791</v>
      </c>
      <c r="U8" s="1">
        <f>+[13]Stripbyweek!O8</f>
        <v>24078.443283309833</v>
      </c>
      <c r="V8" s="1">
        <f>+[13]Stripbyweek!P8</f>
        <v>17328.140756724679</v>
      </c>
      <c r="W8" s="1">
        <f>+[13]Stripbyweek!Q8</f>
        <v>14176.223465053487</v>
      </c>
      <c r="X8" s="1">
        <f>+[13]Stripbyweek!R8</f>
        <v>9625.3539405673437</v>
      </c>
      <c r="Y8" s="1">
        <f>+[13]Stripbyweek!S8</f>
        <v>7427.1335695620337</v>
      </c>
      <c r="Z8" s="1">
        <f>+[13]Stripbyweek!T8</f>
        <v>3996.0384126032104</v>
      </c>
      <c r="AA8" s="1">
        <f>+[13]Stripbyweek!U8</f>
        <v>4110.3967053800252</v>
      </c>
      <c r="AB8" s="1">
        <f>+[13]Stripbyweek!V8</f>
        <v>4152.9184180494804</v>
      </c>
      <c r="AC8" s="1">
        <f>+[13]Stripbyweek!W8</f>
        <v>3098.2831296937925</v>
      </c>
      <c r="AD8" s="1">
        <f>+[13]Stripbyweek!X8</f>
        <v>2615.0471094367472</v>
      </c>
      <c r="AE8" s="1">
        <f>+[13]Stripbyweek!Y8</f>
        <v>2710.6424468202326</v>
      </c>
      <c r="AF8" s="1">
        <f>+[13]Stripbyweek!Z8</f>
        <v>13058.470101498413</v>
      </c>
      <c r="AG8" s="1">
        <f>+[13]Stripbyweek!AA8</f>
        <v>3273.0952041177247</v>
      </c>
      <c r="AH8" s="1">
        <f>+[13]Stripbyweek!AB8</f>
        <v>1835.6805521965291</v>
      </c>
      <c r="AI8" s="1">
        <f>+[13]Stripbyweek!AC8</f>
        <v>2879.163267485199</v>
      </c>
      <c r="AJ8" s="1">
        <f>+[13]Stripbyweek!AD8</f>
        <v>1860.5089798436936</v>
      </c>
      <c r="AK8" s="1">
        <f>+[13]Stripbyweek!AE8</f>
        <v>1671.7865873467435</v>
      </c>
      <c r="AL8" s="1">
        <f>+[13]Stripbyweek!AF8</f>
        <v>0</v>
      </c>
      <c r="AM8" s="1">
        <f>+[13]Stripbyweek!AG8</f>
        <v>0</v>
      </c>
      <c r="AN8" s="1">
        <f>+[13]Stripbyweek!AH8</f>
        <v>0</v>
      </c>
      <c r="AO8" s="1">
        <f>+[13]Stripbyweek!AI8</f>
        <v>0</v>
      </c>
      <c r="AP8" s="1"/>
      <c r="AQ8" s="1">
        <f t="shared" si="1"/>
        <v>358212.22923574195</v>
      </c>
      <c r="AR8" s="1"/>
    </row>
    <row r="9" spans="1:44" x14ac:dyDescent="0.25">
      <c r="B9" t="s">
        <v>569</v>
      </c>
      <c r="I9" s="1"/>
      <c r="J9" s="1"/>
      <c r="K9" s="1">
        <f>SUM(I5:K5)</f>
        <v>36994.023437217147</v>
      </c>
      <c r="L9" s="1"/>
      <c r="M9" s="1"/>
      <c r="N9" s="1"/>
      <c r="O9" s="1">
        <f>SUM(L5:O5)</f>
        <v>95837.497819977172</v>
      </c>
      <c r="P9" s="1"/>
      <c r="Q9" s="1"/>
      <c r="R9" s="1"/>
      <c r="S9" s="1">
        <f>SUM(P5:S5)</f>
        <v>118925.1454431668</v>
      </c>
      <c r="T9" s="1"/>
      <c r="U9" s="1"/>
      <c r="V9" s="1"/>
      <c r="W9" s="1"/>
      <c r="X9" s="1">
        <f>SUM(T5:X5)</f>
        <v>96281.881324596761</v>
      </c>
      <c r="Y9" s="1"/>
      <c r="Z9" s="1"/>
      <c r="AA9" s="1"/>
      <c r="AB9" s="1">
        <f>SUM(Y5:AB5)</f>
        <v>19717.210633818944</v>
      </c>
      <c r="AC9" s="1"/>
      <c r="AD9" s="1"/>
      <c r="AE9" s="1"/>
      <c r="AF9" s="1"/>
      <c r="AG9" s="1">
        <f>SUM(AC5:AG5)</f>
        <v>24755.537991566911</v>
      </c>
      <c r="AH9" s="1"/>
      <c r="AI9" s="1"/>
      <c r="AJ9" s="1"/>
      <c r="AK9" s="1">
        <f>SUM(AH5:AK5)</f>
        <v>8247.1393868721643</v>
      </c>
      <c r="AL9" s="1"/>
      <c r="AM9" s="1"/>
      <c r="AN9" s="1"/>
      <c r="AO9" s="1"/>
      <c r="AP9" s="1"/>
      <c r="AQ9" s="1">
        <f t="shared" si="1"/>
        <v>400758.43603721593</v>
      </c>
      <c r="AR9" s="1"/>
    </row>
    <row r="10" spans="1:44" x14ac:dyDescent="0.25">
      <c r="B10" t="s">
        <v>570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x14ac:dyDescent="0.25">
      <c r="B11" t="s">
        <v>571</v>
      </c>
      <c r="J11" s="1"/>
      <c r="K11" s="1">
        <f>+K10-K9</f>
        <v>-36994.023437217147</v>
      </c>
      <c r="O11" s="1">
        <f>+O10-O9</f>
        <v>-95837.497819977172</v>
      </c>
      <c r="S11" s="1">
        <f>+S10-S9</f>
        <v>-118925.1454431668</v>
      </c>
      <c r="W11" s="1"/>
      <c r="X11" s="1">
        <f>+X10-X9</f>
        <v>-96281.881324596761</v>
      </c>
      <c r="AB11" s="1">
        <f>+AB10-AB9</f>
        <v>-19717.210633818944</v>
      </c>
      <c r="AF11" s="1"/>
      <c r="AG11" s="1">
        <f>+AG10-AG9</f>
        <v>-24755.537991566911</v>
      </c>
      <c r="AJ11" s="1"/>
      <c r="AK11" s="1">
        <f t="shared" ref="AK11" si="2">+AK10-AK9</f>
        <v>-8247.1393868721643</v>
      </c>
      <c r="AQ11" s="1">
        <f t="shared" si="1"/>
        <v>-400758.43603721593</v>
      </c>
      <c r="AR11" s="1"/>
    </row>
    <row r="12" spans="1:44" x14ac:dyDescent="0.25">
      <c r="K12">
        <f>+K11/K9</f>
        <v>-1</v>
      </c>
      <c r="O12">
        <f>+O11/O9</f>
        <v>-1</v>
      </c>
      <c r="S12">
        <f>+S11/S9</f>
        <v>-1</v>
      </c>
      <c r="X12">
        <f>+X11/X9</f>
        <v>-1</v>
      </c>
      <c r="AB12">
        <f>+AB11/AB9</f>
        <v>-1</v>
      </c>
      <c r="AG12">
        <f>+AG11/AG9</f>
        <v>-1</v>
      </c>
      <c r="AK12">
        <f t="shared" ref="AK12" si="3">+AK11/AK9</f>
        <v>-1</v>
      </c>
      <c r="AQ12" s="1"/>
      <c r="AR12" s="1"/>
    </row>
    <row r="13" spans="1:44" x14ac:dyDescent="0.25">
      <c r="AQ13" s="1"/>
      <c r="AR13" s="1"/>
    </row>
    <row r="14" spans="1:44" s="121" customFormat="1" ht="14.25" customHeight="1" x14ac:dyDescent="0.25">
      <c r="B14" s="121" t="s">
        <v>573</v>
      </c>
      <c r="J14" s="117">
        <f>+J9+(J9*K12)</f>
        <v>0</v>
      </c>
      <c r="K14" s="117">
        <f>+K9+(K9*K12)</f>
        <v>0</v>
      </c>
      <c r="L14" s="117">
        <f t="shared" ref="L14:O14" si="4">+L5+(L5*$O12)</f>
        <v>0</v>
      </c>
      <c r="M14" s="117">
        <f t="shared" si="4"/>
        <v>0</v>
      </c>
      <c r="N14" s="117">
        <f t="shared" si="4"/>
        <v>0</v>
      </c>
      <c r="O14" s="117">
        <f t="shared" si="4"/>
        <v>0</v>
      </c>
      <c r="P14" s="117">
        <f>+P5+(P5*$S12)</f>
        <v>0</v>
      </c>
      <c r="Q14" s="117">
        <f t="shared" ref="Q14:S14" si="5">+Q5+(Q5*$S12)</f>
        <v>0</v>
      </c>
      <c r="R14" s="117">
        <f t="shared" si="5"/>
        <v>0</v>
      </c>
      <c r="S14" s="117">
        <f t="shared" si="5"/>
        <v>0</v>
      </c>
      <c r="T14" s="117">
        <f>+T5+(T5*$X12)</f>
        <v>0</v>
      </c>
      <c r="U14" s="117">
        <f t="shared" ref="U14:X14" si="6">+U5+(U5*$X12)</f>
        <v>0</v>
      </c>
      <c r="V14" s="117">
        <f t="shared" si="6"/>
        <v>0</v>
      </c>
      <c r="W14" s="117">
        <f t="shared" si="6"/>
        <v>0</v>
      </c>
      <c r="X14" s="117">
        <f t="shared" si="6"/>
        <v>0</v>
      </c>
      <c r="Y14" s="117">
        <f t="shared" ref="Y14:AB14" si="7">+Y5+(Y5*$AB12)</f>
        <v>0</v>
      </c>
      <c r="Z14" s="117">
        <f t="shared" si="7"/>
        <v>0</v>
      </c>
      <c r="AA14" s="117">
        <f t="shared" si="7"/>
        <v>0</v>
      </c>
      <c r="AB14" s="117">
        <f t="shared" si="7"/>
        <v>0</v>
      </c>
      <c r="AC14" s="117">
        <f>+AC5+(AC5*$AG12)</f>
        <v>0</v>
      </c>
      <c r="AD14" s="117">
        <f t="shared" ref="AD14:AG14" si="8">+AD5+(AD5*$AG12)</f>
        <v>0</v>
      </c>
      <c r="AE14" s="117">
        <f t="shared" si="8"/>
        <v>0</v>
      </c>
      <c r="AF14" s="117">
        <f t="shared" si="8"/>
        <v>0</v>
      </c>
      <c r="AG14" s="117">
        <f t="shared" si="8"/>
        <v>0</v>
      </c>
      <c r="AH14" s="117">
        <f>+AH5+(AH5*$AK12)</f>
        <v>0</v>
      </c>
      <c r="AI14" s="117">
        <f t="shared" ref="AI14:AK14" si="9">+AI5+(AI5*$AK12)</f>
        <v>0</v>
      </c>
      <c r="AJ14" s="117">
        <f t="shared" si="9"/>
        <v>0</v>
      </c>
      <c r="AK14" s="117">
        <f t="shared" si="9"/>
        <v>0</v>
      </c>
      <c r="AQ14" s="117">
        <f t="shared" ref="AQ14" si="10">SUM(C14:AP14)</f>
        <v>0</v>
      </c>
      <c r="AR14" s="117"/>
    </row>
    <row r="15" spans="1:44" ht="14.25" customHeight="1" x14ac:dyDescent="0.25">
      <c r="AQ15" s="1"/>
      <c r="AR15" s="1"/>
    </row>
    <row r="16" spans="1:44" x14ac:dyDescent="0.25">
      <c r="B16" t="s">
        <v>288</v>
      </c>
      <c r="C16">
        <f>+AQ21/AQ8</f>
        <v>8.1925505188754979</v>
      </c>
    </row>
    <row r="17" spans="1:46" x14ac:dyDescent="0.25">
      <c r="B17" t="s">
        <v>551</v>
      </c>
      <c r="C17">
        <f>+AQ22/AQ6</f>
        <v>10.407727686459177</v>
      </c>
    </row>
    <row r="18" spans="1:46" x14ac:dyDescent="0.25">
      <c r="B18" t="s">
        <v>552</v>
      </c>
      <c r="C18">
        <f>+AQ23/AQ7</f>
        <v>11.469092643538199</v>
      </c>
    </row>
    <row r="20" spans="1:46" x14ac:dyDescent="0.25">
      <c r="A20" t="s">
        <v>554</v>
      </c>
    </row>
    <row r="21" spans="1:46" x14ac:dyDescent="0.25">
      <c r="B21" t="s">
        <v>288</v>
      </c>
      <c r="C21" s="1"/>
      <c r="D21" s="1"/>
      <c r="E21" s="1"/>
      <c r="F21" s="1"/>
      <c r="G21" s="1"/>
      <c r="H21" s="1"/>
      <c r="I21" s="1">
        <f>+[13]Stripbyweek!C15</f>
        <v>0</v>
      </c>
      <c r="J21" s="1">
        <f>+[13]Stripbyweek!D15</f>
        <v>120166.25174338587</v>
      </c>
      <c r="K21" s="1">
        <f>+[13]Stripbyweek!E15</f>
        <v>96644.815066485113</v>
      </c>
      <c r="L21" s="1">
        <f>+[13]Stripbyweek!F15</f>
        <v>101724.74080607371</v>
      </c>
      <c r="M21" s="1">
        <f>+[13]Stripbyweek!G15</f>
        <v>167377.94561695965</v>
      </c>
      <c r="N21" s="1">
        <f>+[13]Stripbyweek!H15</f>
        <v>196933.52794570409</v>
      </c>
      <c r="O21" s="1">
        <f>+[13]Stripbyweek!I15</f>
        <v>188799.6727400253</v>
      </c>
      <c r="P21" s="1">
        <f>+[13]Stripbyweek!J15</f>
        <v>185203.49110921551</v>
      </c>
      <c r="Q21" s="1">
        <f>+[13]Stripbyweek!K15</f>
        <v>215530.47040649163</v>
      </c>
      <c r="R21" s="1">
        <f>+[13]Stripbyweek!L15</f>
        <v>253306.69657989085</v>
      </c>
      <c r="S21" s="1">
        <f>+[13]Stripbyweek!M15</f>
        <v>221094.0641370184</v>
      </c>
      <c r="T21" s="1">
        <f>+[13]Stripbyweek!N15</f>
        <v>222010.30962226837</v>
      </c>
      <c r="U21" s="1">
        <f>+[13]Stripbyweek!O15</f>
        <v>197263.86301439421</v>
      </c>
      <c r="V21" s="1">
        <f>+[13]Stripbyweek!P15</f>
        <v>141961.66854765243</v>
      </c>
      <c r="W21" s="1">
        <f>+[13]Stripbyweek!Q15</f>
        <v>116139.42690431896</v>
      </c>
      <c r="X21" s="1">
        <f>+[13]Stripbyweek!R15</f>
        <v>78856.198420155313</v>
      </c>
      <c r="Y21" s="1">
        <f>+[13]Stripbyweek!S15</f>
        <v>60847.166979073067</v>
      </c>
      <c r="Z21" s="1">
        <f>+[13]Stripbyweek!T15</f>
        <v>32737.746570618852</v>
      </c>
      <c r="AA21" s="1">
        <f>+[13]Stripbyweek!U15</f>
        <v>33674.632661445263</v>
      </c>
      <c r="AB21" s="1">
        <f>+[13]Stripbyweek!V15</f>
        <v>34022.99394063888</v>
      </c>
      <c r="AC21" s="1">
        <f>+[13]Stripbyweek!W15</f>
        <v>25382.84106179608</v>
      </c>
      <c r="AD21" s="1">
        <f>+[13]Stripbyweek!X15</f>
        <v>21423.905553299894</v>
      </c>
      <c r="AE21" s="1">
        <f>+[13]Stripbyweek!Y15</f>
        <v>22207.075184183046</v>
      </c>
      <c r="AF21" s="1">
        <f>+[13]Stripbyweek!Z15</f>
        <v>106982.176005751</v>
      </c>
      <c r="AG21" s="1">
        <f>+[13]Stripbyweek!AA15</f>
        <v>26814.997812823571</v>
      </c>
      <c r="AH21" s="1">
        <f>+[13]Stripbyweek!AB15</f>
        <v>15038.905660387334</v>
      </c>
      <c r="AI21" s="1">
        <f>+[13]Stripbyweek!AC15</f>
        <v>23587.69052096314</v>
      </c>
      <c r="AJ21" s="1">
        <f>+[13]Stripbyweek!AD15</f>
        <v>15242.313808190975</v>
      </c>
      <c r="AK21" s="1">
        <f>+[13]Stripbyweek!AE15</f>
        <v>13696.196073616662</v>
      </c>
      <c r="AL21" s="1">
        <f>+[13]Stripbyweek!AF15</f>
        <v>0</v>
      </c>
      <c r="AM21" s="1">
        <f>+[13]Stripbyweek!AG15</f>
        <v>0</v>
      </c>
      <c r="AN21" s="1">
        <f>+[13]Stripbyweek!AH15</f>
        <v>0</v>
      </c>
      <c r="AO21" s="1">
        <f>+[13]Stripbyweek!AI15</f>
        <v>0</v>
      </c>
      <c r="AP21" s="1"/>
      <c r="AQ21" s="1">
        <f t="shared" ref="AQ21:AQ26" si="11">SUM(C21:AP21)</f>
        <v>2934671.7844928266</v>
      </c>
    </row>
    <row r="22" spans="1:46" x14ac:dyDescent="0.25">
      <c r="B22" t="s">
        <v>551</v>
      </c>
      <c r="C22" s="1"/>
      <c r="D22" s="1"/>
      <c r="E22" s="1"/>
      <c r="F22" s="1"/>
      <c r="G22" s="1"/>
      <c r="H22" s="1"/>
      <c r="I22" s="1">
        <f>+[13]Stripbyweek!C16</f>
        <v>0</v>
      </c>
      <c r="J22" s="1">
        <f>+[13]Stripbyweek!D16</f>
        <v>46338.025512314642</v>
      </c>
      <c r="K22" s="1">
        <f>+[13]Stripbyweek!E16</f>
        <v>31268.844831204231</v>
      </c>
      <c r="L22" s="1">
        <f>+[13]Stripbyweek!F16</f>
        <v>33774.995187662826</v>
      </c>
      <c r="M22" s="1">
        <f>+[13]Stripbyweek!G16</f>
        <v>19467.34991694738</v>
      </c>
      <c r="N22" s="1">
        <f>+[13]Stripbyweek!H16</f>
        <v>28629.845917613831</v>
      </c>
      <c r="O22" s="1">
        <f>+[13]Stripbyweek!I16</f>
        <v>33825.168402624571</v>
      </c>
      <c r="P22" s="1">
        <f>+[13]Stripbyweek!J16</f>
        <v>29436.517020797783</v>
      </c>
      <c r="Q22" s="1">
        <f>+[13]Stripbyweek!K16</f>
        <v>15262.88568700048</v>
      </c>
      <c r="R22" s="1">
        <f>+[13]Stripbyweek!L16</f>
        <v>39006.942441760562</v>
      </c>
      <c r="S22" s="1">
        <f>+[13]Stripbyweek!M16</f>
        <v>11002.872663157548</v>
      </c>
      <c r="T22" s="1">
        <f>+[13]Stripbyweek!N16</f>
        <v>11914.88615878686</v>
      </c>
      <c r="U22" s="1">
        <f>+[13]Stripbyweek!O16</f>
        <v>10688.973248877619</v>
      </c>
      <c r="V22" s="1">
        <f>+[13]Stripbyweek!P16</f>
        <v>3659.2535550354423</v>
      </c>
      <c r="W22" s="1">
        <f>+[13]Stripbyweek!Q16</f>
        <v>0</v>
      </c>
      <c r="X22" s="1">
        <f>+[13]Stripbyweek!R16</f>
        <v>0</v>
      </c>
      <c r="Y22" s="1">
        <f>+[13]Stripbyweek!S16</f>
        <v>0</v>
      </c>
      <c r="Z22" s="1">
        <f>+[13]Stripbyweek!T16</f>
        <v>0</v>
      </c>
      <c r="AA22" s="1">
        <f>+[13]Stripbyweek!U16</f>
        <v>0</v>
      </c>
      <c r="AB22" s="1">
        <f>+[13]Stripbyweek!V16</f>
        <v>0</v>
      </c>
      <c r="AC22" s="1">
        <f>+[13]Stripbyweek!W16</f>
        <v>0</v>
      </c>
      <c r="AD22" s="1">
        <f>+[13]Stripbyweek!X16</f>
        <v>0</v>
      </c>
      <c r="AE22" s="1">
        <f>+[13]Stripbyweek!Y16</f>
        <v>0</v>
      </c>
      <c r="AF22" s="1">
        <f>+[13]Stripbyweek!Z16</f>
        <v>0</v>
      </c>
      <c r="AG22" s="1">
        <f>+[13]Stripbyweek!AA16</f>
        <v>0</v>
      </c>
      <c r="AH22" s="1">
        <f>+[13]Stripbyweek!AB16</f>
        <v>0</v>
      </c>
      <c r="AI22" s="1">
        <f>+[13]Stripbyweek!AC16</f>
        <v>0</v>
      </c>
      <c r="AJ22" s="1">
        <f>+[13]Stripbyweek!AD16</f>
        <v>0</v>
      </c>
      <c r="AK22" s="1">
        <f>+[13]Stripbyweek!AE16</f>
        <v>0</v>
      </c>
      <c r="AL22" s="1">
        <f>+[13]Stripbyweek!AF16</f>
        <v>0</v>
      </c>
      <c r="AM22" s="1">
        <f>+[13]Stripbyweek!AG16</f>
        <v>0</v>
      </c>
      <c r="AN22" s="1">
        <f>+[13]Stripbyweek!AH16</f>
        <v>0</v>
      </c>
      <c r="AO22" s="1">
        <f>+[13]Stripbyweek!AI16</f>
        <v>0</v>
      </c>
      <c r="AP22" s="1"/>
      <c r="AQ22" s="1">
        <f t="shared" si="11"/>
        <v>314276.56054378377</v>
      </c>
    </row>
    <row r="23" spans="1:46" x14ac:dyDescent="0.25">
      <c r="B23" t="s">
        <v>552</v>
      </c>
      <c r="C23" s="1"/>
      <c r="D23" s="1"/>
      <c r="E23" s="1"/>
      <c r="F23" s="1"/>
      <c r="G23" s="1"/>
      <c r="H23" s="1"/>
      <c r="I23" s="1">
        <f>+[13]Stripbyweek!C17</f>
        <v>0</v>
      </c>
      <c r="J23" s="1">
        <f>+[13]Stripbyweek!D17</f>
        <v>23292.136869487265</v>
      </c>
      <c r="K23" s="1">
        <f>+[13]Stripbyweek!E17</f>
        <v>11951.797546631291</v>
      </c>
      <c r="L23" s="1">
        <f>+[13]Stripbyweek!F17</f>
        <v>7752.2326066896749</v>
      </c>
      <c r="M23" s="1">
        <f>+[13]Stripbyweek!G17</f>
        <v>6554.6280801588009</v>
      </c>
      <c r="N23" s="1">
        <f>+[13]Stripbyweek!H17</f>
        <v>19586.94989290322</v>
      </c>
      <c r="O23" s="1">
        <f>+[13]Stripbyweek!I17</f>
        <v>21047.29402371489</v>
      </c>
      <c r="P23" s="1">
        <f>+[13]Stripbyweek!J17</f>
        <v>12272.651079417863</v>
      </c>
      <c r="Q23" s="1">
        <f>+[13]Stripbyweek!K17</f>
        <v>3050.2919361893796</v>
      </c>
      <c r="R23" s="1">
        <f>+[13]Stripbyweek!L17</f>
        <v>15381.317667237514</v>
      </c>
      <c r="S23" s="1">
        <f>+[13]Stripbyweek!M17</f>
        <v>3754.1817932233989</v>
      </c>
      <c r="T23" s="1">
        <f>+[13]Stripbyweek!N17</f>
        <v>4065.0182183168104</v>
      </c>
      <c r="U23" s="1">
        <f>+[13]Stripbyweek!O17</f>
        <v>5840.9032550088632</v>
      </c>
      <c r="V23" s="1">
        <f>+[13]Stripbyweek!P17</f>
        <v>2161.3956131344316</v>
      </c>
      <c r="W23" s="1">
        <f>+[13]Stripbyweek!Q17</f>
        <v>2705.5275209236306</v>
      </c>
      <c r="X23" s="1">
        <f>+[13]Stripbyweek!R17</f>
        <v>1871.6624952256022</v>
      </c>
      <c r="Y23" s="1">
        <f>+[13]Stripbyweek!S17</f>
        <v>352.37099153961839</v>
      </c>
      <c r="Z23" s="1">
        <f>+[13]Stripbyweek!T17</f>
        <v>0</v>
      </c>
      <c r="AA23" s="1">
        <f>+[13]Stripbyweek!U17</f>
        <v>0</v>
      </c>
      <c r="AB23" s="1">
        <f>+[13]Stripbyweek!V17</f>
        <v>0</v>
      </c>
      <c r="AC23" s="1">
        <f>+[13]Stripbyweek!W17</f>
        <v>0</v>
      </c>
      <c r="AD23" s="1">
        <f>+[13]Stripbyweek!X17</f>
        <v>0</v>
      </c>
      <c r="AE23" s="1">
        <f>+[13]Stripbyweek!Y17</f>
        <v>0</v>
      </c>
      <c r="AF23" s="1">
        <f>+[13]Stripbyweek!Z17</f>
        <v>0</v>
      </c>
      <c r="AG23" s="1">
        <f>+[13]Stripbyweek!AA17</f>
        <v>0</v>
      </c>
      <c r="AH23" s="1">
        <f>+[13]Stripbyweek!AB17</f>
        <v>0</v>
      </c>
      <c r="AI23" s="1">
        <f>+[13]Stripbyweek!AC17</f>
        <v>0</v>
      </c>
      <c r="AJ23" s="1">
        <f>+[13]Stripbyweek!AD17</f>
        <v>0</v>
      </c>
      <c r="AK23" s="1">
        <f>+[13]Stripbyweek!AE17</f>
        <v>0</v>
      </c>
      <c r="AL23" s="1">
        <f>+[13]Stripbyweek!AF17</f>
        <v>0</v>
      </c>
      <c r="AM23" s="1">
        <f>+[13]Stripbyweek!AG17</f>
        <v>0</v>
      </c>
      <c r="AN23" s="1">
        <f>+[13]Stripbyweek!AH17</f>
        <v>0</v>
      </c>
      <c r="AO23" s="1">
        <f>+[13]Stripbyweek!AI17</f>
        <v>0</v>
      </c>
      <c r="AP23" s="1"/>
      <c r="AQ23" s="1">
        <f t="shared" si="11"/>
        <v>141640.35958980225</v>
      </c>
    </row>
    <row r="24" spans="1:46" x14ac:dyDescent="0.25">
      <c r="B24" t="s">
        <v>2</v>
      </c>
      <c r="C24" s="1">
        <f>SUM(C21:C23)</f>
        <v>0</v>
      </c>
      <c r="D24" s="1">
        <f t="shared" ref="D24:AO24" si="12">SUM(D21:D23)</f>
        <v>0</v>
      </c>
      <c r="E24" s="1">
        <f t="shared" si="12"/>
        <v>0</v>
      </c>
      <c r="F24" s="1">
        <f t="shared" si="12"/>
        <v>0</v>
      </c>
      <c r="G24" s="1">
        <f t="shared" si="12"/>
        <v>0</v>
      </c>
      <c r="H24" s="1">
        <f t="shared" si="12"/>
        <v>0</v>
      </c>
      <c r="I24" s="1">
        <f t="shared" si="12"/>
        <v>0</v>
      </c>
      <c r="J24" s="1">
        <f t="shared" si="12"/>
        <v>189796.41412518779</v>
      </c>
      <c r="K24" s="1">
        <f t="shared" si="12"/>
        <v>139865.45744432064</v>
      </c>
      <c r="L24" s="1">
        <f t="shared" si="12"/>
        <v>143251.96860042622</v>
      </c>
      <c r="M24" s="1">
        <f t="shared" si="12"/>
        <v>193399.92361406583</v>
      </c>
      <c r="N24" s="1">
        <f t="shared" si="12"/>
        <v>245150.32375622113</v>
      </c>
      <c r="O24" s="1">
        <f t="shared" si="12"/>
        <v>243672.13516636478</v>
      </c>
      <c r="P24" s="1">
        <f t="shared" si="12"/>
        <v>226912.65920943118</v>
      </c>
      <c r="Q24" s="1">
        <f t="shared" si="12"/>
        <v>233843.64802968147</v>
      </c>
      <c r="R24" s="1">
        <f t="shared" si="12"/>
        <v>307694.95668888895</v>
      </c>
      <c r="S24" s="1">
        <f t="shared" si="12"/>
        <v>235851.11859339935</v>
      </c>
      <c r="T24" s="1">
        <f t="shared" si="12"/>
        <v>237990.21399937203</v>
      </c>
      <c r="U24" s="1">
        <f t="shared" si="12"/>
        <v>213793.73951828069</v>
      </c>
      <c r="V24" s="1">
        <f t="shared" si="12"/>
        <v>147782.31771582231</v>
      </c>
      <c r="W24" s="1">
        <f t="shared" si="12"/>
        <v>118844.95442524258</v>
      </c>
      <c r="X24" s="1">
        <f t="shared" si="12"/>
        <v>80727.860915380908</v>
      </c>
      <c r="Y24" s="1">
        <f t="shared" si="12"/>
        <v>61199.537970612684</v>
      </c>
      <c r="Z24" s="1">
        <f t="shared" si="12"/>
        <v>32737.746570618852</v>
      </c>
      <c r="AA24" s="1">
        <f t="shared" si="12"/>
        <v>33674.632661445263</v>
      </c>
      <c r="AB24" s="1">
        <f t="shared" si="12"/>
        <v>34022.99394063888</v>
      </c>
      <c r="AC24" s="1">
        <f t="shared" si="12"/>
        <v>25382.84106179608</v>
      </c>
      <c r="AD24" s="1">
        <f t="shared" si="12"/>
        <v>21423.905553299894</v>
      </c>
      <c r="AE24" s="1">
        <f t="shared" si="12"/>
        <v>22207.075184183046</v>
      </c>
      <c r="AF24" s="1">
        <f t="shared" si="12"/>
        <v>106982.176005751</v>
      </c>
      <c r="AG24" s="1">
        <f t="shared" si="12"/>
        <v>26814.997812823571</v>
      </c>
      <c r="AH24" s="1">
        <f t="shared" si="12"/>
        <v>15038.905660387334</v>
      </c>
      <c r="AI24" s="1">
        <f t="shared" si="12"/>
        <v>23587.69052096314</v>
      </c>
      <c r="AJ24" s="1">
        <f t="shared" si="12"/>
        <v>15242.313808190975</v>
      </c>
      <c r="AK24" s="1">
        <f t="shared" si="12"/>
        <v>13696.196073616662</v>
      </c>
      <c r="AL24" s="1">
        <f t="shared" si="12"/>
        <v>0</v>
      </c>
      <c r="AM24" s="1">
        <f t="shared" si="12"/>
        <v>0</v>
      </c>
      <c r="AN24" s="1">
        <f t="shared" si="12"/>
        <v>0</v>
      </c>
      <c r="AO24" s="1">
        <f t="shared" si="12"/>
        <v>0</v>
      </c>
      <c r="AP24" s="1"/>
      <c r="AQ24" s="1">
        <f>SUM(AQ21:AQ23)</f>
        <v>3390588.7046264126</v>
      </c>
    </row>
    <row r="25" spans="1:46" x14ac:dyDescent="0.25">
      <c r="B25" t="s">
        <v>569</v>
      </c>
      <c r="I25" s="1"/>
      <c r="J25" s="1"/>
      <c r="K25" s="1">
        <f>SUM(I21:K21)</f>
        <v>216811.066809871</v>
      </c>
      <c r="L25" s="1"/>
      <c r="M25" s="1"/>
      <c r="N25" s="1"/>
      <c r="O25" s="1">
        <f>SUM(L21:O21)</f>
        <v>654835.88710876275</v>
      </c>
      <c r="P25" s="1"/>
      <c r="Q25" s="1"/>
      <c r="R25" s="1"/>
      <c r="S25" s="1">
        <f>SUM(P21:S21)</f>
        <v>875134.72223261639</v>
      </c>
      <c r="T25" s="1"/>
      <c r="U25" s="1"/>
      <c r="V25" s="1"/>
      <c r="W25" s="1"/>
      <c r="X25" s="1">
        <f>SUM(T21:X21)</f>
        <v>756231.46650878934</v>
      </c>
      <c r="Y25" s="1"/>
      <c r="Z25" s="1"/>
      <c r="AA25" s="1"/>
      <c r="AB25" s="1">
        <f>SUM(Y21:AB21)</f>
        <v>161282.54015177605</v>
      </c>
      <c r="AC25" s="1"/>
      <c r="AD25" s="1"/>
      <c r="AE25" s="1"/>
      <c r="AF25" s="1"/>
      <c r="AG25" s="1">
        <f>SUM(AC21:AG21)</f>
        <v>202810.99561785359</v>
      </c>
      <c r="AH25" s="1"/>
      <c r="AI25" s="1"/>
      <c r="AJ25" s="1"/>
      <c r="AK25" s="1">
        <f>SUM(AH21:AK21)</f>
        <v>67565.10606315812</v>
      </c>
      <c r="AL25" s="1"/>
      <c r="AM25" s="1"/>
      <c r="AN25" s="1"/>
      <c r="AO25" s="1"/>
      <c r="AQ25" s="1">
        <f t="shared" si="11"/>
        <v>2934671.784492827</v>
      </c>
    </row>
    <row r="26" spans="1:46" x14ac:dyDescent="0.25">
      <c r="B26" t="s">
        <v>570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Q26" s="1">
        <f t="shared" si="11"/>
        <v>0</v>
      </c>
    </row>
    <row r="27" spans="1:46" x14ac:dyDescent="0.25">
      <c r="J27" s="1"/>
      <c r="K27" s="1">
        <f>+K26-K25</f>
        <v>-216811.066809871</v>
      </c>
      <c r="O27" s="1">
        <f>+O26-O25</f>
        <v>-654835.88710876275</v>
      </c>
      <c r="S27" s="1">
        <f>+S26-S25</f>
        <v>-875134.72223261639</v>
      </c>
      <c r="W27" s="1"/>
      <c r="X27" s="1">
        <f>+X26-X25</f>
        <v>-756231.46650878934</v>
      </c>
      <c r="AB27" s="1">
        <f>+AB26-AB25</f>
        <v>-161282.54015177605</v>
      </c>
      <c r="AF27" s="1"/>
      <c r="AG27" s="1">
        <f>+AG26-AG25</f>
        <v>-202810.99561785359</v>
      </c>
      <c r="AJ27" s="1"/>
      <c r="AK27" s="1">
        <f t="shared" ref="AK27" si="13">+AK26-AK25</f>
        <v>-67565.10606315812</v>
      </c>
    </row>
    <row r="28" spans="1:46" x14ac:dyDescent="0.25">
      <c r="K28">
        <f>+K27/K25</f>
        <v>-1</v>
      </c>
      <c r="O28">
        <f>+O27/O25</f>
        <v>-1</v>
      </c>
      <c r="S28">
        <f>+S27/S25</f>
        <v>-1</v>
      </c>
      <c r="X28">
        <f>+X27/X25</f>
        <v>-1</v>
      </c>
      <c r="AB28">
        <f>+AB27/AB25</f>
        <v>-1</v>
      </c>
      <c r="AG28">
        <f>+AG27/AG25</f>
        <v>-1</v>
      </c>
      <c r="AK28">
        <f t="shared" ref="AK28" si="14">+AK27/AK25</f>
        <v>-1</v>
      </c>
    </row>
    <row r="30" spans="1:46" s="121" customFormat="1" x14ac:dyDescent="0.25">
      <c r="B30" s="121" t="s">
        <v>572</v>
      </c>
      <c r="J30" s="117">
        <f>+J25+(J25*K28)</f>
        <v>0</v>
      </c>
      <c r="K30" s="117">
        <f>+K25+(K25*K28)</f>
        <v>0</v>
      </c>
      <c r="L30" s="117">
        <f t="shared" ref="L30:O30" si="15">+L21+(L21*$O28)</f>
        <v>0</v>
      </c>
      <c r="M30" s="117">
        <f t="shared" si="15"/>
        <v>0</v>
      </c>
      <c r="N30" s="117">
        <f t="shared" si="15"/>
        <v>0</v>
      </c>
      <c r="O30" s="117">
        <f t="shared" si="15"/>
        <v>0</v>
      </c>
      <c r="P30" s="117">
        <f>+P21+(P21*$S28)</f>
        <v>0</v>
      </c>
      <c r="Q30" s="117">
        <f t="shared" ref="Q30:S30" si="16">+Q21+(Q21*$S28)</f>
        <v>0</v>
      </c>
      <c r="R30" s="117">
        <f t="shared" si="16"/>
        <v>0</v>
      </c>
      <c r="S30" s="117">
        <f t="shared" si="16"/>
        <v>0</v>
      </c>
      <c r="T30" s="117">
        <f>+T21+(T21*$X28)</f>
        <v>0</v>
      </c>
      <c r="U30" s="117">
        <f t="shared" ref="U30:X30" si="17">+U21+(U21*$X28)</f>
        <v>0</v>
      </c>
      <c r="V30" s="117">
        <f t="shared" si="17"/>
        <v>0</v>
      </c>
      <c r="W30" s="117">
        <f t="shared" si="17"/>
        <v>0</v>
      </c>
      <c r="X30" s="117">
        <f t="shared" si="17"/>
        <v>0</v>
      </c>
      <c r="Y30" s="117">
        <f t="shared" ref="Y30:AB30" si="18">+Y21+(Y21*$AB28)</f>
        <v>0</v>
      </c>
      <c r="Z30" s="117">
        <f t="shared" si="18"/>
        <v>0</v>
      </c>
      <c r="AA30" s="117">
        <f t="shared" si="18"/>
        <v>0</v>
      </c>
      <c r="AB30" s="117">
        <f t="shared" si="18"/>
        <v>0</v>
      </c>
      <c r="AC30" s="117">
        <f>+AC21+(AC21*$AG28)</f>
        <v>0</v>
      </c>
      <c r="AD30" s="117">
        <f t="shared" ref="AD30:AG30" si="19">+AD21+(AD21*$AG28)</f>
        <v>0</v>
      </c>
      <c r="AE30" s="117">
        <f t="shared" si="19"/>
        <v>0</v>
      </c>
      <c r="AF30" s="117">
        <f t="shared" si="19"/>
        <v>0</v>
      </c>
      <c r="AG30" s="117">
        <f t="shared" si="19"/>
        <v>0</v>
      </c>
      <c r="AH30" s="117">
        <f>+AH21+(AH21*$AK28)</f>
        <v>0</v>
      </c>
      <c r="AI30" s="117">
        <f t="shared" ref="AI30:AK30" si="20">+AI21+(AI21*$AK28)</f>
        <v>0</v>
      </c>
      <c r="AJ30" s="117">
        <f t="shared" si="20"/>
        <v>0</v>
      </c>
      <c r="AK30" s="117">
        <f t="shared" si="20"/>
        <v>0</v>
      </c>
      <c r="AQ30" s="117">
        <f t="shared" ref="AQ30" si="21">SUM(C30:AP30)</f>
        <v>0</v>
      </c>
    </row>
    <row r="31" spans="1:46" x14ac:dyDescent="0.25"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Q31" s="1"/>
      <c r="AS31" s="153" t="s">
        <v>712</v>
      </c>
      <c r="AT31" s="154"/>
    </row>
    <row r="32" spans="1:46" x14ac:dyDescent="0.25">
      <c r="A32" t="s">
        <v>223</v>
      </c>
      <c r="AS32" s="136" t="s">
        <v>709</v>
      </c>
      <c r="AT32" s="136" t="s">
        <v>710</v>
      </c>
    </row>
    <row r="33" spans="2:46" x14ac:dyDescent="0.25">
      <c r="B33" t="s">
        <v>238</v>
      </c>
      <c r="C33" s="1"/>
      <c r="D33" s="1"/>
      <c r="G33" s="1"/>
      <c r="H33" s="1"/>
      <c r="I33" s="1"/>
      <c r="J33" s="1">
        <f>+[13]potbyweek!C4</f>
        <v>0</v>
      </c>
      <c r="K33" s="1">
        <f>+[13]potbyweek!D4</f>
        <v>54562.294489803622</v>
      </c>
      <c r="L33" s="1">
        <f>+[13]potbyweek!E4</f>
        <v>62034.902085385933</v>
      </c>
      <c r="M33" s="1">
        <f>+[13]potbyweek!F4</f>
        <v>89983.958771941863</v>
      </c>
      <c r="N33" s="1">
        <f>+[13]potbyweek!G4</f>
        <v>164251.67408339592</v>
      </c>
      <c r="O33" s="1">
        <f>+[13]potbyweek!H4</f>
        <v>140514.97657037777</v>
      </c>
      <c r="P33" s="1">
        <f>+[13]potbyweek!I4</f>
        <v>133027.65019726599</v>
      </c>
      <c r="Q33" s="1">
        <f>+[13]potbyweek!J4</f>
        <v>157964.60014677153</v>
      </c>
      <c r="R33" s="1">
        <f>+[13]potbyweek!K4</f>
        <v>182837.70739168639</v>
      </c>
      <c r="S33" s="1">
        <f>+[13]potbyweek!L4</f>
        <v>190344.42378776029</v>
      </c>
      <c r="T33" s="1">
        <f>+[13]potbyweek!M4</f>
        <v>167304.98067039475</v>
      </c>
      <c r="U33" s="1">
        <f>+[13]potbyweek!N4</f>
        <v>137218.07629060798</v>
      </c>
      <c r="V33" s="1">
        <f>+[13]potbyweek!O4</f>
        <v>105759.35266326141</v>
      </c>
      <c r="W33" s="1">
        <f>+[13]potbyweek!P4</f>
        <v>72468.246843786663</v>
      </c>
      <c r="X33" s="1">
        <f>+[13]potbyweek!Q4</f>
        <v>51931.203169863955</v>
      </c>
      <c r="Y33" s="1">
        <f>+[13]potbyweek!R4</f>
        <v>29877.407370471701</v>
      </c>
      <c r="Z33" s="1">
        <f>+[13]potbyweek!S4</f>
        <v>13385.809076703925</v>
      </c>
      <c r="AA33" s="1">
        <f>+[13]potbyweek!T4</f>
        <v>1731.8106701871027</v>
      </c>
      <c r="AB33" s="1">
        <f>+[13]potbyweek!U4</f>
        <v>100.62572033316553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>
        <f t="shared" ref="AQ33:AQ52" si="22">SUM(C33:AP33)</f>
        <v>1755299.6999999995</v>
      </c>
      <c r="AR33" s="1">
        <f t="shared" ref="AR33:AR42" si="23">+AQ33</f>
        <v>1755299.6999999995</v>
      </c>
      <c r="AS33" s="137">
        <f>(102359+27748+1362*1.1)*18-AT33</f>
        <v>2314965.6</v>
      </c>
      <c r="AT33" s="137">
        <f>2996*18</f>
        <v>53928</v>
      </c>
    </row>
    <row r="34" spans="2:46" x14ac:dyDescent="0.25">
      <c r="B34" t="s">
        <v>555</v>
      </c>
      <c r="C34" s="1"/>
      <c r="D34" s="1"/>
      <c r="G34" s="1"/>
      <c r="H34" s="1"/>
      <c r="I34" s="1"/>
      <c r="J34" s="1">
        <f>+[13]potbyweek!C5</f>
        <v>0</v>
      </c>
      <c r="K34" s="1">
        <f>+[13]potbyweek!D5</f>
        <v>4808.880814552117</v>
      </c>
      <c r="L34" s="1">
        <f>+[13]potbyweek!E5</f>
        <v>11518.740199389011</v>
      </c>
      <c r="M34" s="1">
        <f>+[13]potbyweek!F5</f>
        <v>24356.770568064527</v>
      </c>
      <c r="N34" s="1">
        <f>+[13]potbyweek!G5</f>
        <v>50531.607492538889</v>
      </c>
      <c r="O34" s="1">
        <f>+[13]potbyweek!H5</f>
        <v>50119.456464242088</v>
      </c>
      <c r="P34" s="1">
        <f>+[13]potbyweek!I5</f>
        <v>46801.259475408966</v>
      </c>
      <c r="Q34" s="1">
        <f>+[13]potbyweek!J5</f>
        <v>54838.251584708043</v>
      </c>
      <c r="R34" s="1">
        <f>+[13]potbyweek!K5</f>
        <v>69782.36246416693</v>
      </c>
      <c r="S34" s="1">
        <f>+[13]potbyweek!L5</f>
        <v>70966.968407000473</v>
      </c>
      <c r="T34" s="1">
        <f>+[13]potbyweek!M5</f>
        <v>58984.314328944376</v>
      </c>
      <c r="U34" s="1">
        <f>+[13]potbyweek!N5</f>
        <v>54801.856847330942</v>
      </c>
      <c r="V34" s="1">
        <f>+[13]potbyweek!O5</f>
        <v>40073.268883159108</v>
      </c>
      <c r="W34" s="1">
        <f>+[13]potbyweek!P5</f>
        <v>27491.773980974122</v>
      </c>
      <c r="X34" s="1">
        <f>+[13]potbyweek!Q5</f>
        <v>19702.99437857273</v>
      </c>
      <c r="Y34" s="1">
        <f>+[13]potbyweek!R5</f>
        <v>13116.794216954806</v>
      </c>
      <c r="Z34" s="1">
        <f>+[13]potbyweek!S5</f>
        <v>5176.8971573313001</v>
      </c>
      <c r="AA34" s="1">
        <f>+[13]potbyweek!T5</f>
        <v>1552.135351431112</v>
      </c>
      <c r="AB34" s="1">
        <f>+[13]potbyweek!U5</f>
        <v>912.76738523055144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>
        <f t="shared" si="22"/>
        <v>605537.10000000009</v>
      </c>
      <c r="AR34" s="1">
        <f t="shared" si="23"/>
        <v>605537.10000000009</v>
      </c>
      <c r="AS34" s="151" t="s">
        <v>711</v>
      </c>
      <c r="AT34" s="152"/>
    </row>
    <row r="35" spans="2:46" x14ac:dyDescent="0.25">
      <c r="B35" t="s">
        <v>556</v>
      </c>
      <c r="C35" s="1"/>
      <c r="D35" s="1"/>
      <c r="G35" s="1"/>
      <c r="H35" s="1"/>
      <c r="I35" s="1"/>
      <c r="J35" s="1">
        <f>+[13]potbyweek!C6</f>
        <v>0</v>
      </c>
      <c r="K35" s="1">
        <f>+[13]potbyweek!D6</f>
        <v>0</v>
      </c>
      <c r="L35" s="1">
        <f>+[13]potbyweek!E6</f>
        <v>7872.4800000000005</v>
      </c>
      <c r="M35" s="1">
        <f>+[13]potbyweek!F6</f>
        <v>25585.56</v>
      </c>
      <c r="N35" s="1">
        <f>+[13]potbyweek!G6</f>
        <v>9840.6</v>
      </c>
      <c r="O35" s="1">
        <f>+[13]potbyweek!H6</f>
        <v>7872.4800000000005</v>
      </c>
      <c r="P35" s="1">
        <f>+[13]potbyweek!I6</f>
        <v>6888.420000000001</v>
      </c>
      <c r="Q35" s="1">
        <f>+[13]potbyweek!J6</f>
        <v>23617.439999999999</v>
      </c>
      <c r="R35" s="1">
        <f>+[13]potbyweek!K6</f>
        <v>3936.2400000000002</v>
      </c>
      <c r="S35" s="1">
        <f>+[13]potbyweek!L6</f>
        <v>6888.420000000001</v>
      </c>
      <c r="T35" s="1">
        <f>+[13]potbyweek!M6</f>
        <v>1968.1200000000001</v>
      </c>
      <c r="U35" s="1">
        <f>+[13]potbyweek!N6</f>
        <v>0</v>
      </c>
      <c r="V35" s="1">
        <f>+[13]potbyweek!O6</f>
        <v>1968.1200000000001</v>
      </c>
      <c r="W35" s="1">
        <f>+[13]potbyweek!P6</f>
        <v>984.06000000000006</v>
      </c>
      <c r="X35" s="1">
        <f>+[13]potbyweek!Q6</f>
        <v>984.06000000000006</v>
      </c>
      <c r="Y35" s="1">
        <f>+[13]potbyweek!R6</f>
        <v>0</v>
      </c>
      <c r="Z35" s="1">
        <f>+[13]potbyweek!S6</f>
        <v>0</v>
      </c>
      <c r="AA35" s="1">
        <f>+[13]potbyweek!T6</f>
        <v>0</v>
      </c>
      <c r="AB35" s="1">
        <f>+[13]potbyweek!U6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>
        <f t="shared" si="22"/>
        <v>98405.999999999985</v>
      </c>
      <c r="AR35" s="1">
        <f t="shared" si="23"/>
        <v>98405.999999999985</v>
      </c>
      <c r="AS35" s="137">
        <f>5897*18</f>
        <v>106146</v>
      </c>
      <c r="AT35" s="137"/>
    </row>
    <row r="36" spans="2:46" x14ac:dyDescent="0.25">
      <c r="B36" t="s">
        <v>557</v>
      </c>
      <c r="C36" s="1"/>
      <c r="D36" s="1"/>
      <c r="G36" s="1"/>
      <c r="H36" s="1"/>
      <c r="I36" s="1"/>
      <c r="J36" s="1">
        <f>+[13]potbyweek!C7</f>
        <v>0</v>
      </c>
      <c r="K36" s="1">
        <f>+[13]potbyweek!D7</f>
        <v>0</v>
      </c>
      <c r="L36" s="1">
        <f>+[13]potbyweek!E7</f>
        <v>0</v>
      </c>
      <c r="M36" s="1">
        <f>+[13]potbyweek!F7</f>
        <v>0</v>
      </c>
      <c r="N36" s="1">
        <f>+[13]potbyweek!G7</f>
        <v>0</v>
      </c>
      <c r="O36" s="1">
        <f>+[13]potbyweek!H7</f>
        <v>0</v>
      </c>
      <c r="P36" s="1">
        <f>+[13]potbyweek!I7</f>
        <v>0</v>
      </c>
      <c r="Q36" s="1">
        <f>+[13]potbyweek!J7</f>
        <v>0</v>
      </c>
      <c r="R36" s="1">
        <f>+[13]potbyweek!K7</f>
        <v>0</v>
      </c>
      <c r="S36" s="1">
        <f>+[13]potbyweek!L7</f>
        <v>23500</v>
      </c>
      <c r="T36" s="1">
        <f>+[13]potbyweek!M7</f>
        <v>0</v>
      </c>
      <c r="U36" s="1">
        <f>+[13]potbyweek!N7</f>
        <v>0</v>
      </c>
      <c r="V36" s="1">
        <f>+[13]potbyweek!O7</f>
        <v>0</v>
      </c>
      <c r="W36" s="1">
        <f>+[13]potbyweek!P7</f>
        <v>0</v>
      </c>
      <c r="X36" s="1">
        <f>+[13]potbyweek!Q7</f>
        <v>0</v>
      </c>
      <c r="Y36" s="1">
        <f>+[13]potbyweek!R7</f>
        <v>0</v>
      </c>
      <c r="Z36" s="1">
        <f>+[13]potbyweek!S7</f>
        <v>0</v>
      </c>
      <c r="AA36" s="1">
        <f>+[13]potbyweek!T7</f>
        <v>0</v>
      </c>
      <c r="AB36" s="1">
        <f>+[13]potbyweek!U7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>
        <f t="shared" si="22"/>
        <v>23500</v>
      </c>
      <c r="AR36" s="1">
        <f t="shared" si="23"/>
        <v>23500</v>
      </c>
      <c r="AS36" s="137"/>
      <c r="AT36" s="137">
        <f>2393*10</f>
        <v>23930</v>
      </c>
    </row>
    <row r="37" spans="2:46" x14ac:dyDescent="0.25">
      <c r="B37" t="s">
        <v>225</v>
      </c>
      <c r="C37" s="1"/>
      <c r="D37" s="1"/>
      <c r="G37" s="1"/>
      <c r="H37" s="1"/>
      <c r="I37" s="1"/>
      <c r="J37" s="1">
        <f>+[13]potbyweek!C8</f>
        <v>0</v>
      </c>
      <c r="K37" s="1">
        <f>+[13]potbyweek!D8</f>
        <v>0</v>
      </c>
      <c r="L37" s="1">
        <f>+[13]potbyweek!E8</f>
        <v>0</v>
      </c>
      <c r="M37" s="1">
        <f>+[13]potbyweek!F8</f>
        <v>0</v>
      </c>
      <c r="N37" s="1">
        <f>+[13]potbyweek!G8</f>
        <v>0</v>
      </c>
      <c r="O37" s="1">
        <f>+[13]potbyweek!H8</f>
        <v>0</v>
      </c>
      <c r="P37" s="1">
        <f>+[13]potbyweek!I8</f>
        <v>98329.000000000015</v>
      </c>
      <c r="Q37" s="1">
        <f>+[13]potbyweek!J8</f>
        <v>0</v>
      </c>
      <c r="R37" s="1" t="s">
        <v>766</v>
      </c>
      <c r="S37" s="1">
        <f>+[13]potbyweek!L8</f>
        <v>0</v>
      </c>
      <c r="T37" s="1">
        <f>+[13]potbyweek!M8</f>
        <v>8939</v>
      </c>
      <c r="U37" s="1">
        <f>+[13]potbyweek!N8</f>
        <v>0</v>
      </c>
      <c r="V37" s="1">
        <f>+[13]potbyweek!O8</f>
        <v>0</v>
      </c>
      <c r="W37" s="1">
        <f>+[13]potbyweek!P8</f>
        <v>0</v>
      </c>
      <c r="X37" s="1">
        <f>+[13]potbyweek!Q8</f>
        <v>0</v>
      </c>
      <c r="Y37" s="1">
        <f>+[13]potbyweek!R8</f>
        <v>0</v>
      </c>
      <c r="Z37" s="1">
        <f>+[13]potbyweek!S8</f>
        <v>0</v>
      </c>
      <c r="AA37" s="1">
        <f>+[13]potbyweek!T8</f>
        <v>0</v>
      </c>
      <c r="AB37" s="1">
        <f>+[13]potbyweek!U8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>
        <f t="shared" si="22"/>
        <v>107268.00000000001</v>
      </c>
      <c r="AR37" s="1">
        <f t="shared" si="23"/>
        <v>107268.00000000001</v>
      </c>
      <c r="AS37" s="137"/>
      <c r="AT37" s="137">
        <f>18281*10</f>
        <v>182810</v>
      </c>
    </row>
    <row r="38" spans="2:46" x14ac:dyDescent="0.25">
      <c r="B38" t="s">
        <v>558</v>
      </c>
      <c r="C38" s="1"/>
      <c r="D38" s="1"/>
      <c r="G38" s="1"/>
      <c r="H38" s="1"/>
      <c r="I38" s="1"/>
      <c r="J38" s="1">
        <f>+[13]potbyweek!C9</f>
        <v>0</v>
      </c>
      <c r="K38" s="1">
        <f>+[13]potbyweek!D9</f>
        <v>0</v>
      </c>
      <c r="L38" s="1">
        <f>+[13]potbyweek!E9</f>
        <v>0</v>
      </c>
      <c r="M38" s="1">
        <f>+[13]potbyweek!F9</f>
        <v>0</v>
      </c>
      <c r="N38" s="1">
        <f>+[13]potbyweek!G9</f>
        <v>0</v>
      </c>
      <c r="O38" s="1">
        <f>+[13]potbyweek!H9</f>
        <v>0</v>
      </c>
      <c r="P38" s="1">
        <f>+[13]potbyweek!I9</f>
        <v>0</v>
      </c>
      <c r="Q38" s="1">
        <f>+[13]potbyweek!J9</f>
        <v>44984.5</v>
      </c>
      <c r="R38" s="1">
        <f>+[13]potbyweek!K9</f>
        <v>0</v>
      </c>
      <c r="S38" s="1">
        <f>+[13]potbyweek!L9</f>
        <v>36805.5</v>
      </c>
      <c r="T38" s="1">
        <f>+[13]potbyweek!M9</f>
        <v>0</v>
      </c>
      <c r="U38" s="1">
        <f>+[13]potbyweek!N9</f>
        <v>0</v>
      </c>
      <c r="V38" s="1">
        <f>+[13]potbyweek!O9</f>
        <v>0</v>
      </c>
      <c r="W38" s="1">
        <f>+[13]potbyweek!P9</f>
        <v>0</v>
      </c>
      <c r="X38" s="1">
        <f>+[13]potbyweek!Q9</f>
        <v>0</v>
      </c>
      <c r="Y38" s="1">
        <f>+[13]potbyweek!R9</f>
        <v>0</v>
      </c>
      <c r="Z38" s="1">
        <f>+[13]potbyweek!S9</f>
        <v>0</v>
      </c>
      <c r="AA38" s="1">
        <f>+[13]potbyweek!T9</f>
        <v>0</v>
      </c>
      <c r="AB38" s="1">
        <f>+[13]potbyweek!U9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>
        <f t="shared" si="22"/>
        <v>81790</v>
      </c>
      <c r="AR38" s="1">
        <f t="shared" si="23"/>
        <v>81790</v>
      </c>
      <c r="AS38" s="137"/>
      <c r="AT38" s="137">
        <f>8981*10</f>
        <v>89810</v>
      </c>
    </row>
    <row r="39" spans="2:46" x14ac:dyDescent="0.25">
      <c r="B39" t="s">
        <v>559</v>
      </c>
      <c r="C39" s="1"/>
      <c r="D39" s="1"/>
      <c r="G39" s="1"/>
      <c r="H39" s="1"/>
      <c r="I39" s="1"/>
      <c r="J39" s="1">
        <f>+[13]potbyweek!C10</f>
        <v>0</v>
      </c>
      <c r="K39" s="1">
        <f>+[13]potbyweek!D10</f>
        <v>0</v>
      </c>
      <c r="L39" s="1">
        <f>+[13]potbyweek!E10</f>
        <v>0</v>
      </c>
      <c r="M39" s="1">
        <f>+[13]potbyweek!F10</f>
        <v>0</v>
      </c>
      <c r="N39" s="1">
        <f>+[13]potbyweek!G10</f>
        <v>0</v>
      </c>
      <c r="O39" s="1">
        <f>+[13]potbyweek!H10</f>
        <v>0</v>
      </c>
      <c r="P39" s="1">
        <f>+[13]potbyweek!I10</f>
        <v>0</v>
      </c>
      <c r="Q39" s="1">
        <f>+[13]potbyweek!J10</f>
        <v>49643.000000000007</v>
      </c>
      <c r="R39" s="1">
        <f>+[13]potbyweek!K10</f>
        <v>0</v>
      </c>
      <c r="S39" s="1">
        <f>+[13]potbyweek!L10</f>
        <v>36104</v>
      </c>
      <c r="T39" s="1">
        <f>+[13]potbyweek!M10</f>
        <v>0</v>
      </c>
      <c r="U39" s="1">
        <f>+[13]potbyweek!N10</f>
        <v>4513</v>
      </c>
      <c r="V39" s="1">
        <f>+[13]potbyweek!O10</f>
        <v>0</v>
      </c>
      <c r="W39" s="1">
        <f>+[13]potbyweek!P10</f>
        <v>0</v>
      </c>
      <c r="X39" s="1">
        <f>+[13]potbyweek!Q10</f>
        <v>0</v>
      </c>
      <c r="Y39" s="1">
        <f>+[13]potbyweek!R10</f>
        <v>0</v>
      </c>
      <c r="Z39" s="1">
        <f>+[13]potbyweek!S10</f>
        <v>0</v>
      </c>
      <c r="AA39" s="1">
        <f>+[13]potbyweek!T10</f>
        <v>0</v>
      </c>
      <c r="AB39" s="1">
        <f>+[13]potbyweek!U10</f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>
        <f t="shared" si="22"/>
        <v>90260</v>
      </c>
      <c r="AR39" s="1">
        <f t="shared" si="23"/>
        <v>90260</v>
      </c>
      <c r="AS39" s="137">
        <f>9728*10</f>
        <v>97280</v>
      </c>
      <c r="AT39" s="137"/>
    </row>
    <row r="40" spans="2:46" x14ac:dyDescent="0.25">
      <c r="B40" t="s">
        <v>560</v>
      </c>
      <c r="C40" s="1"/>
      <c r="D40" s="1"/>
      <c r="G40" s="1"/>
      <c r="H40" s="1"/>
      <c r="I40" s="1"/>
      <c r="J40" s="1">
        <f>+[13]potbyweek!C11</f>
        <v>0</v>
      </c>
      <c r="K40" s="1">
        <f>+[13]potbyweek!D11</f>
        <v>33567.534</v>
      </c>
      <c r="L40" s="1">
        <f>+[13]potbyweek!E11</f>
        <v>11189.177999999998</v>
      </c>
      <c r="M40" s="1">
        <f>+[13]potbyweek!F11</f>
        <v>14918.903999999999</v>
      </c>
      <c r="N40" s="1">
        <f>+[13]potbyweek!G11</f>
        <v>7459.4519999999993</v>
      </c>
      <c r="O40" s="1">
        <f>+[13]potbyweek!H11</f>
        <v>14918.903999999999</v>
      </c>
      <c r="P40" s="1">
        <f>+[13]potbyweek!I11</f>
        <v>9324.3150000000005</v>
      </c>
      <c r="Q40" s="1">
        <f>+[13]potbyweek!J11</f>
        <v>18648.63</v>
      </c>
      <c r="R40" s="1">
        <f>+[13]potbyweek!K11</f>
        <v>11189.177999999998</v>
      </c>
      <c r="S40" s="1">
        <f>+[13]potbyweek!L11</f>
        <v>29837.807999999997</v>
      </c>
      <c r="T40" s="1">
        <f>+[13]potbyweek!M11</f>
        <v>11189.177999999998</v>
      </c>
      <c r="U40" s="1">
        <f>+[13]potbyweek!N11</f>
        <v>7459.4519999999993</v>
      </c>
      <c r="V40" s="1">
        <f>+[13]potbyweek!O11</f>
        <v>7459.4519999999993</v>
      </c>
      <c r="W40" s="1">
        <f>+[13]potbyweek!P11</f>
        <v>9324.3150000000005</v>
      </c>
      <c r="X40" s="1">
        <f>+[13]potbyweek!Q11</f>
        <v>0</v>
      </c>
      <c r="Y40" s="1">
        <f>+[13]potbyweek!R11</f>
        <v>0</v>
      </c>
      <c r="Z40" s="1">
        <f>+[13]potbyweek!S11</f>
        <v>0</v>
      </c>
      <c r="AA40" s="1">
        <f>+[13]potbyweek!T11</f>
        <v>0</v>
      </c>
      <c r="AB40" s="1">
        <f>+[13]potbyweek!U11</f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>
        <f t="shared" si="22"/>
        <v>186486.29999999996</v>
      </c>
      <c r="AR40" s="1">
        <f t="shared" si="23"/>
        <v>186486.29999999996</v>
      </c>
      <c r="AS40" s="137"/>
      <c r="AT40" s="137">
        <f>11245*18</f>
        <v>202410</v>
      </c>
    </row>
    <row r="41" spans="2:46" x14ac:dyDescent="0.25">
      <c r="B41" t="s">
        <v>561</v>
      </c>
      <c r="C41" s="1"/>
      <c r="D41" s="1"/>
      <c r="G41" s="1"/>
      <c r="H41" s="1"/>
      <c r="I41" s="1"/>
      <c r="J41" s="1">
        <f>+[13]potbyweek!C12</f>
        <v>0</v>
      </c>
      <c r="K41" s="1">
        <f>+[13]potbyweek!D12</f>
        <v>0</v>
      </c>
      <c r="L41" s="1">
        <f>+[13]potbyweek!E12</f>
        <v>0</v>
      </c>
      <c r="M41" s="1">
        <f>+[13]potbyweek!F12</f>
        <v>0</v>
      </c>
      <c r="N41" s="1">
        <f>+[13]potbyweek!G12</f>
        <v>0</v>
      </c>
      <c r="O41" s="1">
        <f>+[13]potbyweek!H12</f>
        <v>0</v>
      </c>
      <c r="P41" s="1">
        <f>+[13]potbyweek!I12</f>
        <v>0</v>
      </c>
      <c r="Q41" s="1">
        <f>+[13]potbyweek!J12</f>
        <v>0</v>
      </c>
      <c r="R41" s="1">
        <f>+[13]potbyweek!K12</f>
        <v>0</v>
      </c>
      <c r="S41" s="1">
        <f>+[13]potbyweek!L12</f>
        <v>0</v>
      </c>
      <c r="T41" s="1">
        <f>+[13]potbyweek!M12</f>
        <v>0</v>
      </c>
      <c r="U41" s="1">
        <f>+[13]potbyweek!N12</f>
        <v>0</v>
      </c>
      <c r="V41" s="1">
        <f>+[13]potbyweek!O12</f>
        <v>40264</v>
      </c>
      <c r="W41" s="1">
        <f>+[13]potbyweek!P12</f>
        <v>0</v>
      </c>
      <c r="X41" s="1">
        <f>+[13]potbyweek!Q12</f>
        <v>0</v>
      </c>
      <c r="Y41" s="1">
        <f>+[13]potbyweek!R12</f>
        <v>0</v>
      </c>
      <c r="Z41" s="1">
        <f>+[13]potbyweek!S12</f>
        <v>0</v>
      </c>
      <c r="AA41" s="1">
        <f>+[13]potbyweek!T12</f>
        <v>0</v>
      </c>
      <c r="AB41" s="1">
        <f>+[13]potbyweek!U12</f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>
        <f t="shared" si="22"/>
        <v>40264</v>
      </c>
      <c r="AR41" s="1">
        <f t="shared" si="23"/>
        <v>40264</v>
      </c>
      <c r="AS41" s="137">
        <f>(4108+1238)*8</f>
        <v>42768</v>
      </c>
      <c r="AT41" s="137"/>
    </row>
    <row r="42" spans="2:46" x14ac:dyDescent="0.25">
      <c r="B42" t="s">
        <v>562</v>
      </c>
      <c r="C42" s="1"/>
      <c r="D42" s="1"/>
      <c r="G42" s="1"/>
      <c r="H42" s="1"/>
      <c r="I42" s="1"/>
      <c r="J42" s="1">
        <f>+[13]potbyweek!C13</f>
        <v>0</v>
      </c>
      <c r="K42" s="1">
        <f>+[13]potbyweek!D13</f>
        <v>0</v>
      </c>
      <c r="L42" s="1">
        <f>+[13]potbyweek!E13</f>
        <v>0</v>
      </c>
      <c r="M42" s="1">
        <f>+[13]potbyweek!F13</f>
        <v>0</v>
      </c>
      <c r="N42" s="1">
        <f>+[13]potbyweek!G13</f>
        <v>0</v>
      </c>
      <c r="O42" s="1">
        <f>+[13]potbyweek!H13</f>
        <v>0</v>
      </c>
      <c r="P42" s="1">
        <f>+[13]potbyweek!I13</f>
        <v>0</v>
      </c>
      <c r="Q42" s="1">
        <f>+[13]potbyweek!J13</f>
        <v>0</v>
      </c>
      <c r="R42" s="1">
        <f>+[13]potbyweek!K13</f>
        <v>0</v>
      </c>
      <c r="S42" s="1">
        <f>+[13]potbyweek!L13</f>
        <v>0</v>
      </c>
      <c r="T42" s="1">
        <f>+[13]potbyweek!M13</f>
        <v>0</v>
      </c>
      <c r="U42" s="1">
        <f>+[13]potbyweek!N13</f>
        <v>0</v>
      </c>
      <c r="V42" s="1">
        <f>+[13]potbyweek!O13</f>
        <v>0</v>
      </c>
      <c r="W42" s="1">
        <f>+[13]potbyweek!P13</f>
        <v>0</v>
      </c>
      <c r="X42" s="1">
        <f>+[13]potbyweek!Q13</f>
        <v>0</v>
      </c>
      <c r="Y42" s="1">
        <f>+[13]potbyweek!R13</f>
        <v>0</v>
      </c>
      <c r="Z42" s="1">
        <f>+[13]potbyweek!S13</f>
        <v>0</v>
      </c>
      <c r="AA42" s="1">
        <f>+[13]potbyweek!T13</f>
        <v>0</v>
      </c>
      <c r="AB42" s="1">
        <f>+[13]potbyweek!U13</f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>
        <f t="shared" si="22"/>
        <v>0</v>
      </c>
      <c r="AR42" s="1">
        <f t="shared" si="23"/>
        <v>0</v>
      </c>
      <c r="AS42" s="137"/>
      <c r="AT42" s="137"/>
    </row>
    <row r="43" spans="2:46" x14ac:dyDescent="0.25">
      <c r="B43" t="s">
        <v>563</v>
      </c>
      <c r="C43" s="1"/>
      <c r="D43" s="1"/>
      <c r="G43" s="1"/>
      <c r="H43" s="1"/>
      <c r="I43" s="1"/>
      <c r="J43" s="1">
        <f>+[13]potbyweek!C14</f>
        <v>0</v>
      </c>
      <c r="K43" s="1">
        <f>+[13]potbyweek!D14</f>
        <v>0</v>
      </c>
      <c r="L43" s="1">
        <f>+[13]potbyweek!E14</f>
        <v>0</v>
      </c>
      <c r="M43" s="1">
        <f>+[13]potbyweek!F14</f>
        <v>0</v>
      </c>
      <c r="N43" s="1">
        <f>+[13]potbyweek!G14</f>
        <v>0</v>
      </c>
      <c r="O43" s="1">
        <f>+[13]potbyweek!H14</f>
        <v>0</v>
      </c>
      <c r="P43" s="1">
        <f>+[13]potbyweek!I14</f>
        <v>0</v>
      </c>
      <c r="Q43" s="1">
        <f>+[13]potbyweek!J14</f>
        <v>0</v>
      </c>
      <c r="R43" s="1">
        <f>+[13]potbyweek!K14</f>
        <v>0</v>
      </c>
      <c r="S43" s="1">
        <f>+[13]potbyweek!L14</f>
        <v>0</v>
      </c>
      <c r="T43" s="1">
        <f>+[13]potbyweek!M14</f>
        <v>0</v>
      </c>
      <c r="U43" s="1">
        <f>+[13]potbyweek!N14</f>
        <v>0</v>
      </c>
      <c r="V43" s="1">
        <f>+[13]potbyweek!O14</f>
        <v>0</v>
      </c>
      <c r="W43" s="1">
        <f>+[13]potbyweek!P14</f>
        <v>0</v>
      </c>
      <c r="X43" s="1">
        <f>+[13]potbyweek!Q14</f>
        <v>0</v>
      </c>
      <c r="Y43" s="1">
        <f>+[13]potbyweek!R14</f>
        <v>0</v>
      </c>
      <c r="Z43" s="1">
        <f>+[13]potbyweek!S14</f>
        <v>0</v>
      </c>
      <c r="AA43" s="1">
        <f>+[13]potbyweek!T14</f>
        <v>0</v>
      </c>
      <c r="AB43" s="1">
        <f>+[13]potbyweek!U14</f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>
        <f t="shared" si="22"/>
        <v>0</v>
      </c>
      <c r="AS43" s="137"/>
      <c r="AT43" s="137"/>
    </row>
    <row r="44" spans="2:46" x14ac:dyDescent="0.25">
      <c r="B44" t="s">
        <v>564</v>
      </c>
      <c r="C44" s="1"/>
      <c r="D44" s="1"/>
      <c r="G44" s="1"/>
      <c r="H44" s="1"/>
      <c r="I44" s="1"/>
      <c r="J44" s="1">
        <f>+[13]potbyweek!C15</f>
        <v>0</v>
      </c>
      <c r="K44" s="1">
        <f>+[13]potbyweek!D15</f>
        <v>0</v>
      </c>
      <c r="L44" s="1">
        <f>+[13]potbyweek!E15</f>
        <v>0</v>
      </c>
      <c r="M44" s="1">
        <f>+[13]potbyweek!F15</f>
        <v>0</v>
      </c>
      <c r="N44" s="1">
        <f>+[13]potbyweek!G15</f>
        <v>0</v>
      </c>
      <c r="O44" s="1">
        <f>+[13]potbyweek!H15</f>
        <v>0</v>
      </c>
      <c r="P44" s="1">
        <f>+[13]potbyweek!I15</f>
        <v>0</v>
      </c>
      <c r="Q44" s="1">
        <f>+[13]potbyweek!J15</f>
        <v>0</v>
      </c>
      <c r="R44" s="1">
        <f>+[13]potbyweek!K15</f>
        <v>0</v>
      </c>
      <c r="S44" s="1">
        <f>+[13]potbyweek!L15</f>
        <v>0</v>
      </c>
      <c r="T44" s="1">
        <f>+[13]potbyweek!M15</f>
        <v>0</v>
      </c>
      <c r="U44" s="1">
        <f>+[13]potbyweek!N15</f>
        <v>35830</v>
      </c>
      <c r="V44" s="1">
        <f>+[13]potbyweek!O15</f>
        <v>0</v>
      </c>
      <c r="W44" s="1">
        <f>+[13]potbyweek!P15</f>
        <v>0</v>
      </c>
      <c r="X44" s="1">
        <f>+[13]potbyweek!Q15</f>
        <v>0</v>
      </c>
      <c r="Y44" s="1">
        <f>+[13]potbyweek!R15</f>
        <v>0</v>
      </c>
      <c r="Z44" s="1">
        <f>+[13]potbyweek!S15</f>
        <v>0</v>
      </c>
      <c r="AA44" s="1">
        <f>+[13]potbyweek!T15</f>
        <v>0</v>
      </c>
      <c r="AB44" s="1">
        <f>+[13]potbyweek!U15</f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>
        <f t="shared" si="22"/>
        <v>35830</v>
      </c>
      <c r="AR44" s="1">
        <f>+AQ44</f>
        <v>35830</v>
      </c>
      <c r="AS44" s="137">
        <f>3878*10</f>
        <v>38780</v>
      </c>
      <c r="AT44" s="137"/>
    </row>
    <row r="45" spans="2:46" x14ac:dyDescent="0.25">
      <c r="B45" t="s">
        <v>565</v>
      </c>
      <c r="J45" s="1">
        <f>+[13]potbyweek!C16</f>
        <v>0</v>
      </c>
      <c r="K45" s="1">
        <f>+[13]potbyweek!D16</f>
        <v>0</v>
      </c>
      <c r="L45" s="1">
        <f>+[13]potbyweek!E16</f>
        <v>0</v>
      </c>
      <c r="M45" s="1">
        <f>+[13]potbyweek!F16</f>
        <v>0</v>
      </c>
      <c r="N45" s="1">
        <f>+[13]potbyweek!G16</f>
        <v>0</v>
      </c>
      <c r="O45" s="1">
        <f>+[13]potbyweek!H16</f>
        <v>0</v>
      </c>
      <c r="P45" s="1">
        <f>+[13]potbyweek!I16</f>
        <v>0</v>
      </c>
      <c r="Q45" s="1">
        <f>+[13]potbyweek!J16</f>
        <v>0</v>
      </c>
      <c r="R45" s="1">
        <f>+[13]potbyweek!K16</f>
        <v>0</v>
      </c>
      <c r="S45" s="1">
        <f>+[13]potbyweek!L16</f>
        <v>0</v>
      </c>
      <c r="T45" s="1">
        <f>+[13]potbyweek!M16</f>
        <v>0</v>
      </c>
      <c r="U45" s="1">
        <f>+[13]potbyweek!N16</f>
        <v>0</v>
      </c>
      <c r="V45" s="1">
        <f>+[13]potbyweek!O16</f>
        <v>0</v>
      </c>
      <c r="W45" s="1">
        <f>+[13]potbyweek!P16</f>
        <v>0</v>
      </c>
      <c r="X45" s="1">
        <f>+[13]potbyweek!Q16</f>
        <v>0</v>
      </c>
      <c r="Y45" s="1">
        <f>+[13]potbyweek!R16</f>
        <v>0</v>
      </c>
      <c r="Z45" s="1">
        <f>+[13]potbyweek!S16</f>
        <v>0</v>
      </c>
      <c r="AA45" s="1">
        <f>+[13]potbyweek!T16</f>
        <v>0</v>
      </c>
      <c r="AB45" s="1">
        <f>+[13]potbyweek!U16</f>
        <v>0</v>
      </c>
      <c r="AC45" s="1"/>
      <c r="AD45" s="1"/>
      <c r="AQ45" s="1">
        <f t="shared" si="22"/>
        <v>0</v>
      </c>
      <c r="AS45" s="138"/>
      <c r="AT45" s="138"/>
    </row>
    <row r="46" spans="2:46" x14ac:dyDescent="0.25">
      <c r="B46" t="s">
        <v>566</v>
      </c>
      <c r="J46" s="1">
        <f>+[13]potbyweek!C17</f>
        <v>0</v>
      </c>
      <c r="K46" s="1">
        <f>+[13]potbyweek!D17</f>
        <v>0</v>
      </c>
      <c r="L46" s="1">
        <f>+[13]potbyweek!E17</f>
        <v>0</v>
      </c>
      <c r="M46" s="1">
        <f>+[13]potbyweek!F17</f>
        <v>0</v>
      </c>
      <c r="N46" s="1">
        <f>+[13]potbyweek!G17</f>
        <v>0</v>
      </c>
      <c r="O46" s="1">
        <f>+[13]potbyweek!H17</f>
        <v>0</v>
      </c>
      <c r="P46" s="1">
        <f>+[13]potbyweek!I17</f>
        <v>0</v>
      </c>
      <c r="Q46" s="1">
        <f>+[13]potbyweek!J17</f>
        <v>0</v>
      </c>
      <c r="R46" s="1">
        <f>+[13]potbyweek!K17</f>
        <v>0</v>
      </c>
      <c r="S46" s="1">
        <f>+[13]potbyweek!L17</f>
        <v>0</v>
      </c>
      <c r="T46" s="1">
        <f>+[13]potbyweek!M17</f>
        <v>0</v>
      </c>
      <c r="U46" s="1">
        <f>+[13]potbyweek!N17</f>
        <v>0</v>
      </c>
      <c r="V46" s="1">
        <f>+[13]potbyweek!O17</f>
        <v>0</v>
      </c>
      <c r="W46" s="1">
        <f>+[13]potbyweek!P17</f>
        <v>0</v>
      </c>
      <c r="X46" s="1">
        <f>+[13]potbyweek!Q17</f>
        <v>0</v>
      </c>
      <c r="Y46" s="1">
        <f>+[13]potbyweek!R17</f>
        <v>0</v>
      </c>
      <c r="Z46" s="1">
        <f>+[13]potbyweek!S17</f>
        <v>0</v>
      </c>
      <c r="AA46" s="1">
        <f>+[13]potbyweek!T17</f>
        <v>0</v>
      </c>
      <c r="AB46" s="1">
        <f>+[13]potbyweek!U17</f>
        <v>0</v>
      </c>
      <c r="AC46" s="1"/>
      <c r="AD46" s="1"/>
      <c r="AQ46" s="1">
        <f t="shared" si="22"/>
        <v>0</v>
      </c>
      <c r="AS46" s="138"/>
      <c r="AT46" s="138"/>
    </row>
    <row r="47" spans="2:46" x14ac:dyDescent="0.25">
      <c r="J47" s="1">
        <f>SUM(J33:J46)</f>
        <v>0</v>
      </c>
      <c r="K47" s="1">
        <f>SUM(K33:K46)</f>
        <v>92938.70930435574</v>
      </c>
      <c r="L47" s="1">
        <f t="shared" ref="L47:AD47" si="24">SUM(L33:L46)</f>
        <v>92615.300284774945</v>
      </c>
      <c r="M47" s="1">
        <f t="shared" si="24"/>
        <v>154845.1933400064</v>
      </c>
      <c r="N47" s="1">
        <f t="shared" si="24"/>
        <v>232083.33357593481</v>
      </c>
      <c r="O47" s="1">
        <f t="shared" si="24"/>
        <v>213425.81703461986</v>
      </c>
      <c r="P47" s="1">
        <f t="shared" si="24"/>
        <v>294370.644672675</v>
      </c>
      <c r="Q47" s="1">
        <f t="shared" si="24"/>
        <v>349696.42173147958</v>
      </c>
      <c r="R47" s="1">
        <f t="shared" si="24"/>
        <v>267745.48785585334</v>
      </c>
      <c r="S47" s="1">
        <f t="shared" si="24"/>
        <v>394447.12019476079</v>
      </c>
      <c r="T47" s="1">
        <f t="shared" si="24"/>
        <v>248385.5929993391</v>
      </c>
      <c r="U47" s="1">
        <f t="shared" si="24"/>
        <v>239822.38513793889</v>
      </c>
      <c r="V47" s="1">
        <f t="shared" si="24"/>
        <v>195524.19354642049</v>
      </c>
      <c r="W47" s="1">
        <f t="shared" si="24"/>
        <v>110268.39582476078</v>
      </c>
      <c r="X47" s="1">
        <f t="shared" si="24"/>
        <v>72618.257548436683</v>
      </c>
      <c r="Y47" s="1">
        <f t="shared" si="24"/>
        <v>42994.201587426505</v>
      </c>
      <c r="Z47" s="1">
        <f t="shared" si="24"/>
        <v>18562.706234035224</v>
      </c>
      <c r="AA47" s="1">
        <f t="shared" si="24"/>
        <v>3283.9460216182147</v>
      </c>
      <c r="AB47" s="1">
        <f t="shared" si="24"/>
        <v>1013.393105563717</v>
      </c>
      <c r="AC47" s="1">
        <f t="shared" si="24"/>
        <v>0</v>
      </c>
      <c r="AD47" s="1">
        <f t="shared" si="24"/>
        <v>0</v>
      </c>
      <c r="AR47" s="1"/>
      <c r="AS47" s="139">
        <f>SUM(AS33,AS35:AS46)</f>
        <v>2599939.6</v>
      </c>
      <c r="AT47" s="139">
        <f>SUM(AT33,AT35:AT46)</f>
        <v>552888</v>
      </c>
    </row>
    <row r="48" spans="2:46" x14ac:dyDescent="0.25">
      <c r="B48" t="s">
        <v>569</v>
      </c>
      <c r="J48" s="1"/>
      <c r="K48" s="1">
        <f>SUM(J47:K47)</f>
        <v>92938.70930435574</v>
      </c>
      <c r="L48" s="1"/>
      <c r="M48" s="1"/>
      <c r="N48" s="1"/>
      <c r="O48" s="1">
        <f>SUM(L47:O47)</f>
        <v>692969.64423533599</v>
      </c>
      <c r="P48" s="1"/>
      <c r="Q48" s="1"/>
      <c r="R48" s="1"/>
      <c r="S48" s="1">
        <f>SUM(P47:S47)</f>
        <v>1306259.6744547687</v>
      </c>
      <c r="T48" s="1"/>
      <c r="U48" s="1"/>
      <c r="V48" s="1"/>
      <c r="W48" s="1"/>
      <c r="X48" s="1">
        <f>SUM(T47:X47)</f>
        <v>866618.82505689585</v>
      </c>
      <c r="Y48" s="1"/>
      <c r="Z48" s="1"/>
      <c r="AA48" s="1"/>
      <c r="AB48" s="1">
        <f>SUM(Y47:AB47)</f>
        <v>65854.24694864366</v>
      </c>
      <c r="AC48" s="1"/>
      <c r="AD48" s="1"/>
      <c r="AQ48" s="1">
        <f t="shared" si="22"/>
        <v>3024641.0999999996</v>
      </c>
      <c r="AR48" s="1"/>
    </row>
    <row r="49" spans="1:44" x14ac:dyDescent="0.25">
      <c r="B49" t="s">
        <v>570</v>
      </c>
      <c r="J49" s="1"/>
      <c r="K49" s="1">
        <v>92939</v>
      </c>
      <c r="L49" s="1"/>
      <c r="M49" s="1"/>
      <c r="N49" s="1"/>
      <c r="O49" s="1">
        <v>692970</v>
      </c>
      <c r="P49" s="1"/>
      <c r="Q49" s="1"/>
      <c r="R49" s="1"/>
      <c r="S49" s="1">
        <v>1377772</v>
      </c>
      <c r="T49" s="1"/>
      <c r="U49" s="1"/>
      <c r="V49" s="1"/>
      <c r="W49" s="1"/>
      <c r="X49" s="1">
        <v>866619</v>
      </c>
      <c r="Y49" s="1"/>
      <c r="Z49" s="1"/>
      <c r="AA49" s="1"/>
      <c r="AB49" s="1">
        <v>65854</v>
      </c>
      <c r="AC49" s="1"/>
      <c r="AD49" s="1"/>
      <c r="AQ49" s="1">
        <f t="shared" si="22"/>
        <v>3096154</v>
      </c>
      <c r="AR49" s="1"/>
    </row>
    <row r="50" spans="1:44" x14ac:dyDescent="0.25">
      <c r="B50" t="s">
        <v>571</v>
      </c>
      <c r="J50" s="1"/>
      <c r="K50" s="1"/>
      <c r="L50" s="1"/>
      <c r="M50" s="1"/>
      <c r="N50" s="1"/>
      <c r="O50" s="1">
        <f>+O49-O48</f>
        <v>0.35576466401107609</v>
      </c>
      <c r="P50" s="1"/>
      <c r="Q50" s="1"/>
      <c r="R50" s="1"/>
      <c r="S50" s="1">
        <f>+S49-S48</f>
        <v>71512.325545231346</v>
      </c>
      <c r="T50" s="1"/>
      <c r="U50" s="1"/>
      <c r="V50" s="1"/>
      <c r="W50" s="1"/>
      <c r="X50" s="1">
        <f>+X49-X48</f>
        <v>0.17494310415349901</v>
      </c>
      <c r="Y50" s="1"/>
      <c r="Z50" s="1"/>
      <c r="AA50" s="1"/>
      <c r="AB50" s="1">
        <f>+AB49-AB48</f>
        <v>-0.24694864366028924</v>
      </c>
      <c r="AC50" s="1"/>
      <c r="AD50" s="1"/>
      <c r="AQ50" s="1">
        <f t="shared" si="22"/>
        <v>71512.60930435585</v>
      </c>
      <c r="AR50" s="1"/>
    </row>
    <row r="51" spans="1:44" x14ac:dyDescent="0.25"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Q51" s="1"/>
      <c r="AR51" s="1"/>
    </row>
    <row r="52" spans="1:44" s="121" customFormat="1" x14ac:dyDescent="0.25">
      <c r="B52" s="121" t="s">
        <v>574</v>
      </c>
      <c r="J52" s="117"/>
      <c r="K52" s="117">
        <f>+K47</f>
        <v>92938.70930435574</v>
      </c>
      <c r="L52" s="117">
        <f t="shared" ref="L52:AB52" si="25">+L47</f>
        <v>92615.300284774945</v>
      </c>
      <c r="M52" s="117">
        <f t="shared" si="25"/>
        <v>154845.1933400064</v>
      </c>
      <c r="N52" s="117">
        <f t="shared" si="25"/>
        <v>232083.33357593481</v>
      </c>
      <c r="O52" s="117">
        <f t="shared" si="25"/>
        <v>213425.81703461986</v>
      </c>
      <c r="P52" s="117">
        <f t="shared" si="25"/>
        <v>294370.644672675</v>
      </c>
      <c r="Q52" s="117">
        <f t="shared" si="25"/>
        <v>349696.42173147958</v>
      </c>
      <c r="R52" s="117">
        <f t="shared" si="25"/>
        <v>267745.48785585334</v>
      </c>
      <c r="S52" s="117">
        <f t="shared" si="25"/>
        <v>394447.12019476079</v>
      </c>
      <c r="T52" s="117">
        <f t="shared" si="25"/>
        <v>248385.5929993391</v>
      </c>
      <c r="U52" s="117">
        <f t="shared" si="25"/>
        <v>239822.38513793889</v>
      </c>
      <c r="V52" s="117">
        <f t="shared" si="25"/>
        <v>195524.19354642049</v>
      </c>
      <c r="W52" s="117">
        <f t="shared" si="25"/>
        <v>110268.39582476078</v>
      </c>
      <c r="X52" s="117">
        <f t="shared" si="25"/>
        <v>72618.257548436683</v>
      </c>
      <c r="Y52" s="117">
        <f t="shared" si="25"/>
        <v>42994.201587426505</v>
      </c>
      <c r="Z52" s="117">
        <f t="shared" si="25"/>
        <v>18562.706234035224</v>
      </c>
      <c r="AA52" s="117">
        <f t="shared" si="25"/>
        <v>3283.9460216182147</v>
      </c>
      <c r="AB52" s="117">
        <f t="shared" si="25"/>
        <v>1013.393105563717</v>
      </c>
      <c r="AC52" s="117"/>
      <c r="AD52" s="117"/>
      <c r="AQ52" s="1">
        <f t="shared" si="22"/>
        <v>3024641.0999999996</v>
      </c>
      <c r="AR52" s="117"/>
    </row>
    <row r="53" spans="1:44" x14ac:dyDescent="0.25"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Q53" s="1"/>
      <c r="AR53" s="1"/>
    </row>
    <row r="54" spans="1:44" x14ac:dyDescent="0.25"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R54" s="1"/>
    </row>
    <row r="55" spans="1:44" x14ac:dyDescent="0.25">
      <c r="A55" t="s">
        <v>68</v>
      </c>
    </row>
    <row r="56" spans="1:44" x14ac:dyDescent="0.25">
      <c r="B56" t="s">
        <v>238</v>
      </c>
      <c r="C56" s="6">
        <f>0.5957</f>
        <v>0.59570000000000001</v>
      </c>
      <c r="J56" s="1">
        <f>+[13]potbyweek!C20</f>
        <v>0</v>
      </c>
      <c r="K56" s="1">
        <f>+[13]potbyweek!D20</f>
        <v>37441.513684686426</v>
      </c>
      <c r="L56" s="1">
        <f>+[13]potbyweek!E20</f>
        <v>42569.335785396877</v>
      </c>
      <c r="M56" s="1">
        <f>+[13]potbyweek!F20</f>
        <v>61748.422702266143</v>
      </c>
      <c r="N56" s="1">
        <f>+[13]potbyweek!G20</f>
        <v>112712.10935008203</v>
      </c>
      <c r="O56" s="1">
        <f>+[13]potbyweek!H20</f>
        <v>96423.610248765544</v>
      </c>
      <c r="P56" s="1">
        <f>+[13]potbyweek!I20</f>
        <v>91285.687888976099</v>
      </c>
      <c r="Q56" s="1">
        <f>+[13]potbyweek!J20</f>
        <v>108397.81928886131</v>
      </c>
      <c r="R56" s="1">
        <f>+[13]potbyweek!K20</f>
        <v>125466.14081014902</v>
      </c>
      <c r="S56" s="1">
        <f>+[13]potbyweek!L20</f>
        <v>130617.36891187749</v>
      </c>
      <c r="T56" s="1">
        <f>+[13]potbyweek!M20</f>
        <v>114807.33685892558</v>
      </c>
      <c r="U56" s="1">
        <f>+[13]potbyweek!N20</f>
        <v>94161.224876297099</v>
      </c>
      <c r="V56" s="1">
        <f>+[13]potbyweek!O20</f>
        <v>72573.748722482153</v>
      </c>
      <c r="W56" s="1">
        <f>+[13]potbyweek!P20</f>
        <v>49728.862784792283</v>
      </c>
      <c r="X56" s="1">
        <f>+[13]potbyweek!Q20</f>
        <v>35636.017002731634</v>
      </c>
      <c r="Y56" s="1">
        <f>+[13]potbyweek!R20</f>
        <v>20502.351805119139</v>
      </c>
      <c r="Z56" s="1">
        <f>+[13]potbyweek!S20</f>
        <v>9185.554940686543</v>
      </c>
      <c r="AA56" s="1">
        <f>+[13]potbyweek!T20</f>
        <v>1188.3960070486719</v>
      </c>
      <c r="AB56" s="1">
        <f>+[13]potbyweek!U20</f>
        <v>69.05096862430733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>
        <f>SUM(D56:AP56)</f>
        <v>1204514.5526377682</v>
      </c>
    </row>
    <row r="57" spans="1:44" x14ac:dyDescent="0.25">
      <c r="B57" t="s">
        <v>555</v>
      </c>
      <c r="C57" s="6">
        <f>0.71</f>
        <v>0.71</v>
      </c>
      <c r="J57" s="1">
        <f>+[13]potbyweek!C21</f>
        <v>0</v>
      </c>
      <c r="K57" s="1">
        <f>+[13]potbyweek!D21</f>
        <v>3812.5847377574869</v>
      </c>
      <c r="L57" s="1">
        <f>+[13]potbyweek!E21</f>
        <v>9132.3064089028321</v>
      </c>
      <c r="M57" s="1">
        <f>+[13]potbyweek!F21</f>
        <v>19310.574603523928</v>
      </c>
      <c r="N57" s="1">
        <f>+[13]potbyweek!G21</f>
        <v>40062.551543679496</v>
      </c>
      <c r="O57" s="1">
        <f>+[13]potbyweek!H21</f>
        <v>39735.78929260013</v>
      </c>
      <c r="P57" s="1">
        <f>+[13]potbyweek!I21</f>
        <v>37105.050939049092</v>
      </c>
      <c r="Q57" s="1">
        <f>+[13]potbyweek!J21</f>
        <v>43476.952143309834</v>
      </c>
      <c r="R57" s="1">
        <f>+[13]potbyweek!K21</f>
        <v>55324.966526608099</v>
      </c>
      <c r="S57" s="1">
        <f>+[13]potbyweek!L21</f>
        <v>56264.147744041664</v>
      </c>
      <c r="T57" s="1">
        <f>+[13]potbyweek!M21</f>
        <v>46764.040376527482</v>
      </c>
      <c r="U57" s="1">
        <f>+[13]potbyweek!N21</f>
        <v>43448.097608209122</v>
      </c>
      <c r="V57" s="1">
        <f>+[13]potbyweek!O21</f>
        <v>31770.954454443905</v>
      </c>
      <c r="W57" s="1">
        <f>+[13]potbyweek!P21</f>
        <v>21796.073127152853</v>
      </c>
      <c r="X57" s="1">
        <f>+[13]potbyweek!Q21</f>
        <v>15620.960167810752</v>
      </c>
      <c r="Y57" s="1">
        <f>+[13]potbyweek!R21</f>
        <v>10399.278203888116</v>
      </c>
      <c r="Z57" s="1">
        <f>+[13]potbyweek!S21</f>
        <v>4104.3560554161304</v>
      </c>
      <c r="AA57" s="1">
        <f>+[13]potbyweek!T21</f>
        <v>1230.5664831394372</v>
      </c>
      <c r="AB57" s="1">
        <f>+[13]potbyweek!U21</f>
        <v>723.66172842587378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>
        <f t="shared" ref="AQ57:AQ69" si="26">SUM(D57:AP57)</f>
        <v>480082.91214448615</v>
      </c>
    </row>
    <row r="58" spans="1:44" x14ac:dyDescent="0.25">
      <c r="B58" t="s">
        <v>556</v>
      </c>
      <c r="C58" s="6">
        <f>0.8</f>
        <v>0.8</v>
      </c>
      <c r="J58" s="1">
        <f>+[13]potbyweek!C22</f>
        <v>0</v>
      </c>
      <c r="K58" s="1">
        <f>+[13]potbyweek!D22</f>
        <v>0</v>
      </c>
      <c r="L58" s="1">
        <f>+[13]potbyweek!E22</f>
        <v>7279.9068160000015</v>
      </c>
      <c r="M58" s="1">
        <f>+[13]potbyweek!F22</f>
        <v>23659.697152000008</v>
      </c>
      <c r="N58" s="1">
        <f>+[13]potbyweek!G22</f>
        <v>9099.8835200000012</v>
      </c>
      <c r="O58" s="1">
        <f>+[13]potbyweek!H22</f>
        <v>7279.9068160000015</v>
      </c>
      <c r="P58" s="1">
        <f>+[13]potbyweek!I22</f>
        <v>6369.9184640000021</v>
      </c>
      <c r="Q58" s="1">
        <f>+[13]potbyweek!J22</f>
        <v>21839.720448000004</v>
      </c>
      <c r="R58" s="1">
        <f>+[13]potbyweek!K22</f>
        <v>3639.9534080000008</v>
      </c>
      <c r="S58" s="1">
        <f>+[13]potbyweek!L22</f>
        <v>6369.9184640000021</v>
      </c>
      <c r="T58" s="1">
        <f>+[13]potbyweek!M22</f>
        <v>1819.9767040000004</v>
      </c>
      <c r="U58" s="1">
        <f>+[13]potbyweek!N22</f>
        <v>0</v>
      </c>
      <c r="V58" s="1">
        <f>+[13]potbyweek!O22</f>
        <v>1819.9767040000004</v>
      </c>
      <c r="W58" s="1">
        <f>+[13]potbyweek!P22</f>
        <v>909.98835200000019</v>
      </c>
      <c r="X58" s="1">
        <f>+[13]potbyweek!Q22</f>
        <v>909.98835200000019</v>
      </c>
      <c r="Y58" s="1">
        <f>+[13]potbyweek!R22</f>
        <v>0</v>
      </c>
      <c r="Z58" s="1">
        <f>+[13]potbyweek!S22</f>
        <v>0</v>
      </c>
      <c r="AA58" s="1">
        <f>+[13]potbyweek!T22</f>
        <v>0</v>
      </c>
      <c r="AB58" s="1">
        <f>+[13]potbyweek!U22</f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>
        <f t="shared" si="26"/>
        <v>90998.83520000003</v>
      </c>
    </row>
    <row r="59" spans="1:44" x14ac:dyDescent="0.25">
      <c r="B59" t="s">
        <v>557</v>
      </c>
      <c r="C59" s="6">
        <f>2.12</f>
        <v>2.12</v>
      </c>
      <c r="J59" s="1">
        <f>+[13]potbyweek!C23</f>
        <v>0</v>
      </c>
      <c r="K59" s="1">
        <f>+[13]potbyweek!D23</f>
        <v>0</v>
      </c>
      <c r="L59" s="1">
        <f>+[13]potbyweek!E23</f>
        <v>0</v>
      </c>
      <c r="M59" s="1">
        <f>+[13]potbyweek!F23</f>
        <v>0</v>
      </c>
      <c r="N59" s="1">
        <f>+[13]potbyweek!G23</f>
        <v>0</v>
      </c>
      <c r="O59" s="1">
        <f>+[13]potbyweek!H23</f>
        <v>0</v>
      </c>
      <c r="P59" s="1">
        <f>+[13]potbyweek!I23</f>
        <v>0</v>
      </c>
      <c r="Q59" s="1">
        <f>+[13]potbyweek!J23</f>
        <v>0</v>
      </c>
      <c r="R59" s="1">
        <f>+[13]potbyweek!K23</f>
        <v>0</v>
      </c>
      <c r="S59" s="1">
        <f>+[13]potbyweek!L23</f>
        <v>56556.136000000006</v>
      </c>
      <c r="T59" s="1">
        <f>+[13]potbyweek!M23</f>
        <v>0</v>
      </c>
      <c r="U59" s="1">
        <f>+[13]potbyweek!N23</f>
        <v>0</v>
      </c>
      <c r="V59" s="1">
        <f>+[13]potbyweek!O23</f>
        <v>0</v>
      </c>
      <c r="W59" s="1">
        <f>+[13]potbyweek!P23</f>
        <v>0</v>
      </c>
      <c r="X59" s="1">
        <f>+[13]potbyweek!Q23</f>
        <v>0</v>
      </c>
      <c r="Y59" s="1">
        <f>+[13]potbyweek!R23</f>
        <v>0</v>
      </c>
      <c r="Z59" s="1">
        <f>+[13]potbyweek!S23</f>
        <v>0</v>
      </c>
      <c r="AA59" s="1">
        <f>+[13]potbyweek!T23</f>
        <v>0</v>
      </c>
      <c r="AB59" s="1">
        <f>+[13]potbyweek!U23</f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>
        <f t="shared" si="26"/>
        <v>56556.136000000006</v>
      </c>
    </row>
    <row r="60" spans="1:44" x14ac:dyDescent="0.25">
      <c r="B60" t="s">
        <v>225</v>
      </c>
      <c r="C60" s="6">
        <f>2.55</f>
        <v>2.5499999999999998</v>
      </c>
      <c r="J60" s="1">
        <f>+[13]potbyweek!C24</f>
        <v>0</v>
      </c>
      <c r="K60" s="1">
        <f>+[13]potbyweek!D24</f>
        <v>0</v>
      </c>
      <c r="L60" s="1">
        <f>+[13]potbyweek!E24</f>
        <v>0</v>
      </c>
      <c r="M60" s="1">
        <f>+[13]potbyweek!F24</f>
        <v>0</v>
      </c>
      <c r="N60" s="1">
        <f>+[13]potbyweek!G24</f>
        <v>0</v>
      </c>
      <c r="O60" s="1">
        <f>+[13]potbyweek!H24</f>
        <v>0</v>
      </c>
      <c r="P60" s="1">
        <f>+[13]potbyweek!I24</f>
        <v>280993.62720000005</v>
      </c>
      <c r="Q60" s="1">
        <f>+[13]potbyweek!J24</f>
        <v>0</v>
      </c>
      <c r="R60" s="1">
        <f>+[13]potbyweek!K24</f>
        <v>204359.00160000005</v>
      </c>
      <c r="S60" s="1">
        <f>+[13]potbyweek!L24</f>
        <v>0</v>
      </c>
      <c r="T60" s="1">
        <f>+[13]potbyweek!M24</f>
        <v>25544.875200000006</v>
      </c>
      <c r="U60" s="1">
        <f>+[13]potbyweek!N24</f>
        <v>0</v>
      </c>
      <c r="V60" s="1">
        <f>+[13]potbyweek!O24</f>
        <v>0</v>
      </c>
      <c r="W60" s="1">
        <f>+[13]potbyweek!P24</f>
        <v>0</v>
      </c>
      <c r="X60" s="1">
        <f>+[13]potbyweek!Q24</f>
        <v>0</v>
      </c>
      <c r="Y60" s="1">
        <f>+[13]potbyweek!R24</f>
        <v>0</v>
      </c>
      <c r="Z60" s="1">
        <f>+[13]potbyweek!S24</f>
        <v>0</v>
      </c>
      <c r="AA60" s="1">
        <f>+[13]potbyweek!T24</f>
        <v>0</v>
      </c>
      <c r="AB60" s="1">
        <f>+[13]potbyweek!U24</f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>
        <f t="shared" si="26"/>
        <v>510897.50400000007</v>
      </c>
    </row>
    <row r="61" spans="1:44" x14ac:dyDescent="0.25">
      <c r="B61" t="s">
        <v>558</v>
      </c>
      <c r="C61" s="6">
        <f>1.72</f>
        <v>1.72</v>
      </c>
      <c r="J61" s="1">
        <f>+[13]potbyweek!C25</f>
        <v>0</v>
      </c>
      <c r="K61" s="1">
        <f>+[13]potbyweek!D25</f>
        <v>0</v>
      </c>
      <c r="L61" s="1">
        <f>+[13]potbyweek!E25</f>
        <v>0</v>
      </c>
      <c r="M61" s="1">
        <f>+[13]potbyweek!F25</f>
        <v>0</v>
      </c>
      <c r="N61" s="1">
        <f>+[13]potbyweek!G25</f>
        <v>0</v>
      </c>
      <c r="O61" s="1">
        <f>+[13]potbyweek!H25</f>
        <v>0</v>
      </c>
      <c r="P61" s="1">
        <f>+[13]potbyweek!I25</f>
        <v>0</v>
      </c>
      <c r="Q61" s="1">
        <f>+[13]potbyweek!J25</f>
        <v>87091.919200000004</v>
      </c>
      <c r="R61" s="1">
        <f>+[13]potbyweek!K25</f>
        <v>0</v>
      </c>
      <c r="S61" s="1">
        <f>+[13]potbyweek!L25</f>
        <v>71257.024799999999</v>
      </c>
      <c r="T61" s="1">
        <f>+[13]potbyweek!M25</f>
        <v>0</v>
      </c>
      <c r="U61" s="1">
        <f>+[13]potbyweek!N25</f>
        <v>0</v>
      </c>
      <c r="V61" s="1">
        <f>+[13]potbyweek!O25</f>
        <v>0</v>
      </c>
      <c r="W61" s="1">
        <f>+[13]potbyweek!P25</f>
        <v>0</v>
      </c>
      <c r="X61" s="1">
        <f>+[13]potbyweek!Q25</f>
        <v>0</v>
      </c>
      <c r="Y61" s="1">
        <f>+[13]potbyweek!R25</f>
        <v>0</v>
      </c>
      <c r="Z61" s="1">
        <f>+[13]potbyweek!S25</f>
        <v>0</v>
      </c>
      <c r="AA61" s="1">
        <f>+[13]potbyweek!T25</f>
        <v>0</v>
      </c>
      <c r="AB61" s="1">
        <f>+[13]potbyweek!U25</f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>
        <f t="shared" si="26"/>
        <v>158348.94400000002</v>
      </c>
    </row>
    <row r="62" spans="1:44" x14ac:dyDescent="0.25">
      <c r="B62" t="s">
        <v>559</v>
      </c>
      <c r="C62" s="6">
        <f>1.04</f>
        <v>1.04</v>
      </c>
      <c r="J62" s="1">
        <f>+[13]potbyweek!C26</f>
        <v>0</v>
      </c>
      <c r="K62" s="1">
        <f>+[13]potbyweek!D26</f>
        <v>0</v>
      </c>
      <c r="L62" s="1">
        <f>+[13]potbyweek!E26</f>
        <v>0</v>
      </c>
      <c r="M62" s="1">
        <f>+[13]potbyweek!F26</f>
        <v>0</v>
      </c>
      <c r="N62" s="1">
        <f>+[13]potbyweek!G26</f>
        <v>0</v>
      </c>
      <c r="O62" s="1">
        <f>+[13]potbyweek!H26</f>
        <v>0</v>
      </c>
      <c r="P62" s="1">
        <f>+[13]potbyweek!I26</f>
        <v>0</v>
      </c>
      <c r="Q62" s="1">
        <f>+[13]potbyweek!J26</f>
        <v>54331.591600000007</v>
      </c>
      <c r="R62" s="1">
        <f>+[13]potbyweek!K26</f>
        <v>0</v>
      </c>
      <c r="S62" s="1">
        <f>+[13]potbyweek!L26</f>
        <v>39513.8848</v>
      </c>
      <c r="T62" s="1">
        <f>+[13]potbyweek!M26</f>
        <v>0</v>
      </c>
      <c r="U62" s="1">
        <f>+[13]potbyweek!N26</f>
        <v>4939.2356</v>
      </c>
      <c r="V62" s="1">
        <f>+[13]potbyweek!O26</f>
        <v>0</v>
      </c>
      <c r="W62" s="1">
        <f>+[13]potbyweek!P26</f>
        <v>0</v>
      </c>
      <c r="X62" s="1">
        <f>+[13]potbyweek!Q26</f>
        <v>0</v>
      </c>
      <c r="Y62" s="1">
        <f>+[13]potbyweek!R26</f>
        <v>0</v>
      </c>
      <c r="Z62" s="1">
        <f>+[13]potbyweek!S26</f>
        <v>0</v>
      </c>
      <c r="AA62" s="1">
        <f>+[13]potbyweek!T26</f>
        <v>0</v>
      </c>
      <c r="AB62" s="1">
        <f>+[13]potbyweek!U26</f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>
        <f t="shared" si="26"/>
        <v>98784.712000000014</v>
      </c>
    </row>
    <row r="63" spans="1:44" x14ac:dyDescent="0.25">
      <c r="B63" t="s">
        <v>560</v>
      </c>
      <c r="C63" s="6">
        <f>0.95</f>
        <v>0.95</v>
      </c>
      <c r="J63" s="1">
        <f>+[13]potbyweek!C27</f>
        <v>0</v>
      </c>
      <c r="K63" s="1">
        <f>+[13]potbyweek!D27</f>
        <v>36326.705688000009</v>
      </c>
      <c r="L63" s="1">
        <f>+[13]potbyweek!E27</f>
        <v>12108.901895999999</v>
      </c>
      <c r="M63" s="1">
        <f>+[13]potbyweek!F27</f>
        <v>16145.202528000002</v>
      </c>
      <c r="N63" s="1">
        <f>+[13]potbyweek!G27</f>
        <v>8072.6012640000008</v>
      </c>
      <c r="O63" s="1">
        <f>+[13]potbyweek!H27</f>
        <v>16145.202528000002</v>
      </c>
      <c r="P63" s="1">
        <f>+[13]potbyweek!I27</f>
        <v>10090.751580000002</v>
      </c>
      <c r="Q63" s="1">
        <f>+[13]potbyweek!J27</f>
        <v>20181.503160000004</v>
      </c>
      <c r="R63" s="1">
        <f>+[13]potbyweek!K27</f>
        <v>12108.901895999999</v>
      </c>
      <c r="S63" s="1">
        <f>+[13]potbyweek!L27</f>
        <v>32290.405056000003</v>
      </c>
      <c r="T63" s="1">
        <f>+[13]potbyweek!M27</f>
        <v>12108.901895999999</v>
      </c>
      <c r="U63" s="1">
        <f>+[13]potbyweek!N27</f>
        <v>8072.6012640000008</v>
      </c>
      <c r="V63" s="1">
        <f>+[13]potbyweek!O27</f>
        <v>8072.6012640000008</v>
      </c>
      <c r="W63" s="1">
        <f>+[13]potbyweek!P27</f>
        <v>10090.751580000002</v>
      </c>
      <c r="X63" s="1">
        <f>+[13]potbyweek!Q27</f>
        <v>0</v>
      </c>
      <c r="Y63" s="1">
        <f>+[13]potbyweek!R27</f>
        <v>0</v>
      </c>
      <c r="Z63" s="1">
        <f>+[13]potbyweek!S27</f>
        <v>0</v>
      </c>
      <c r="AA63" s="1">
        <f>+[13]potbyweek!T27</f>
        <v>0</v>
      </c>
      <c r="AB63" s="1">
        <f>+[13]potbyweek!U27</f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>
        <f t="shared" si="26"/>
        <v>201815.03160000005</v>
      </c>
    </row>
    <row r="64" spans="1:44" x14ac:dyDescent="0.25">
      <c r="B64" t="s">
        <v>561</v>
      </c>
      <c r="C64" s="6">
        <f>1.45</f>
        <v>1.45</v>
      </c>
      <c r="J64" s="1">
        <f>+[13]potbyweek!C28</f>
        <v>0</v>
      </c>
      <c r="K64" s="1">
        <f>+[13]potbyweek!D28</f>
        <v>0</v>
      </c>
      <c r="L64" s="1">
        <f>+[13]potbyweek!E28</f>
        <v>0</v>
      </c>
      <c r="M64" s="1">
        <f>+[13]potbyweek!F28</f>
        <v>0</v>
      </c>
      <c r="N64" s="1">
        <f>+[13]potbyweek!G28</f>
        <v>0</v>
      </c>
      <c r="O64" s="1">
        <f>+[13]potbyweek!H28</f>
        <v>0</v>
      </c>
      <c r="P64" s="1">
        <f>+[13]potbyweek!I28</f>
        <v>0</v>
      </c>
      <c r="Q64" s="1">
        <f>+[13]potbyweek!J28</f>
        <v>0</v>
      </c>
      <c r="R64" s="1">
        <f>+[13]potbyweek!K28</f>
        <v>0</v>
      </c>
      <c r="S64" s="1">
        <f>+[13]potbyweek!L28</f>
        <v>0</v>
      </c>
      <c r="T64" s="1">
        <f>+[13]potbyweek!M28</f>
        <v>0</v>
      </c>
      <c r="U64" s="1">
        <f>+[13]potbyweek!N28</f>
        <v>0</v>
      </c>
      <c r="V64" s="1">
        <f>+[13]potbyweek!O28</f>
        <v>66083.804800000013</v>
      </c>
      <c r="W64" s="1">
        <f>+[13]potbyweek!P28</f>
        <v>0</v>
      </c>
      <c r="X64" s="1">
        <f>+[13]potbyweek!Q28</f>
        <v>0</v>
      </c>
      <c r="Y64" s="1">
        <f>+[13]potbyweek!R28</f>
        <v>0</v>
      </c>
      <c r="Z64" s="1">
        <f>+[13]potbyweek!S28</f>
        <v>0</v>
      </c>
      <c r="AA64" s="1">
        <f>+[13]potbyweek!T28</f>
        <v>0</v>
      </c>
      <c r="AB64" s="1">
        <f>+[13]potbyweek!U28</f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>
        <f t="shared" si="26"/>
        <v>66083.804800000013</v>
      </c>
    </row>
    <row r="65" spans="1:44" x14ac:dyDescent="0.25">
      <c r="B65" t="s">
        <v>562</v>
      </c>
      <c r="C65" s="6">
        <v>6.7</v>
      </c>
      <c r="J65" s="1">
        <f>+[13]potbyweek!C29</f>
        <v>0</v>
      </c>
      <c r="K65" s="1">
        <f>+[13]potbyweek!D29</f>
        <v>0</v>
      </c>
      <c r="L65" s="1">
        <f>+[13]potbyweek!E29</f>
        <v>0</v>
      </c>
      <c r="M65" s="1">
        <f>+[13]potbyweek!F29</f>
        <v>0</v>
      </c>
      <c r="N65" s="1">
        <f>+[13]potbyweek!G29</f>
        <v>0</v>
      </c>
      <c r="O65" s="1">
        <f>+[13]potbyweek!H29</f>
        <v>0</v>
      </c>
      <c r="P65" s="1">
        <f>+[13]potbyweek!I29</f>
        <v>0</v>
      </c>
      <c r="Q65" s="1">
        <f>+[13]potbyweek!J29</f>
        <v>0</v>
      </c>
      <c r="R65" s="1">
        <f>+[13]potbyweek!K29</f>
        <v>0</v>
      </c>
      <c r="S65" s="1">
        <f>+[13]potbyweek!L29</f>
        <v>0</v>
      </c>
      <c r="T65" s="1">
        <f>+[13]potbyweek!M29</f>
        <v>0</v>
      </c>
      <c r="U65" s="1">
        <f>+[13]potbyweek!N29</f>
        <v>0</v>
      </c>
      <c r="V65" s="1">
        <f>+[13]potbyweek!O29</f>
        <v>0</v>
      </c>
      <c r="W65" s="1">
        <f>+[13]potbyweek!P29</f>
        <v>0</v>
      </c>
      <c r="X65" s="1">
        <f>+[13]potbyweek!Q29</f>
        <v>0</v>
      </c>
      <c r="Y65" s="1">
        <f>+[13]potbyweek!R29</f>
        <v>0</v>
      </c>
      <c r="Z65" s="1">
        <f>+[13]potbyweek!S29</f>
        <v>0</v>
      </c>
      <c r="AA65" s="1">
        <f>+[13]potbyweek!T29</f>
        <v>0</v>
      </c>
      <c r="AB65" s="1">
        <f>+[13]potbyweek!U29</f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>
        <f t="shared" si="26"/>
        <v>0</v>
      </c>
    </row>
    <row r="66" spans="1:44" x14ac:dyDescent="0.25">
      <c r="B66" t="s">
        <v>563</v>
      </c>
      <c r="C66" s="6"/>
      <c r="J66" s="1">
        <f>+[13]potbyweek!C30</f>
        <v>0</v>
      </c>
      <c r="K66" s="1">
        <f>+[13]potbyweek!D30</f>
        <v>0</v>
      </c>
      <c r="L66" s="1">
        <f>+[13]potbyweek!E30</f>
        <v>0</v>
      </c>
      <c r="M66" s="1">
        <f>+[13]potbyweek!F30</f>
        <v>0</v>
      </c>
      <c r="N66" s="1">
        <f>+[13]potbyweek!G30</f>
        <v>0</v>
      </c>
      <c r="O66" s="1">
        <f>+[13]potbyweek!H30</f>
        <v>0</v>
      </c>
      <c r="P66" s="1">
        <f>+[13]potbyweek!I30</f>
        <v>0</v>
      </c>
      <c r="Q66" s="1">
        <f>+[13]potbyweek!J30</f>
        <v>0</v>
      </c>
      <c r="R66" s="1">
        <f>+[13]potbyweek!K30</f>
        <v>0</v>
      </c>
      <c r="S66" s="1">
        <f>+[13]potbyweek!L30</f>
        <v>0</v>
      </c>
      <c r="T66" s="1">
        <f>+[13]potbyweek!M30</f>
        <v>0</v>
      </c>
      <c r="U66" s="1">
        <f>+[13]potbyweek!N30</f>
        <v>0</v>
      </c>
      <c r="V66" s="1">
        <f>+[13]potbyweek!O30</f>
        <v>0</v>
      </c>
      <c r="W66" s="1">
        <f>+[13]potbyweek!P30</f>
        <v>0</v>
      </c>
      <c r="X66" s="1">
        <f>+[13]potbyweek!Q30</f>
        <v>0</v>
      </c>
      <c r="Y66" s="1">
        <f>+[13]potbyweek!R30</f>
        <v>0</v>
      </c>
      <c r="Z66" s="1">
        <f>+[13]potbyweek!S30</f>
        <v>0</v>
      </c>
      <c r="AA66" s="1">
        <f>+[13]potbyweek!T30</f>
        <v>0</v>
      </c>
      <c r="AB66" s="1">
        <f>+[13]potbyweek!U30</f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>
        <f t="shared" si="26"/>
        <v>0</v>
      </c>
    </row>
    <row r="67" spans="1:44" x14ac:dyDescent="0.25">
      <c r="B67" t="s">
        <v>564</v>
      </c>
      <c r="C67" s="6">
        <f>1.03</f>
        <v>1.03</v>
      </c>
      <c r="J67" s="1">
        <f>+[13]potbyweek!C31</f>
        <v>0</v>
      </c>
      <c r="K67" s="1">
        <f>+[13]potbyweek!D31</f>
        <v>0</v>
      </c>
      <c r="L67" s="1">
        <f>+[13]potbyweek!E31</f>
        <v>0</v>
      </c>
      <c r="M67" s="1">
        <f>+[13]potbyweek!F31</f>
        <v>0</v>
      </c>
      <c r="N67" s="1">
        <f>+[13]potbyweek!G31</f>
        <v>0</v>
      </c>
      <c r="O67" s="1">
        <f>+[13]potbyweek!H31</f>
        <v>0</v>
      </c>
      <c r="P67" s="1">
        <f>+[13]potbyweek!I31</f>
        <v>0</v>
      </c>
      <c r="Q67" s="1">
        <f>+[13]potbyweek!J31</f>
        <v>0</v>
      </c>
      <c r="R67" s="1">
        <f>+[13]potbyweek!K31</f>
        <v>0</v>
      </c>
      <c r="S67" s="1">
        <f>+[13]potbyweek!L31</f>
        <v>0</v>
      </c>
      <c r="T67" s="1">
        <f>+[13]potbyweek!M31</f>
        <v>0</v>
      </c>
      <c r="U67" s="1">
        <f>+[13]potbyweek!N31</f>
        <v>40781.312000000005</v>
      </c>
      <c r="V67" s="1">
        <f>+[13]potbyweek!O31</f>
        <v>0</v>
      </c>
      <c r="W67" s="1">
        <f>+[13]potbyweek!P31</f>
        <v>0</v>
      </c>
      <c r="X67" s="1">
        <f>+[13]potbyweek!Q31</f>
        <v>0</v>
      </c>
      <c r="Y67" s="1">
        <f>+[13]potbyweek!R31</f>
        <v>0</v>
      </c>
      <c r="Z67" s="1">
        <f>+[13]potbyweek!S31</f>
        <v>0</v>
      </c>
      <c r="AA67" s="1">
        <f>+[13]potbyweek!T31</f>
        <v>0</v>
      </c>
      <c r="AB67" s="1">
        <f>+[13]potbyweek!U31</f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>
        <f t="shared" si="26"/>
        <v>40781.312000000005</v>
      </c>
    </row>
    <row r="68" spans="1:44" x14ac:dyDescent="0.25">
      <c r="B68" t="s">
        <v>565</v>
      </c>
      <c r="C68" s="6"/>
      <c r="J68" s="1">
        <f>+[13]potbyweek!C32</f>
        <v>0</v>
      </c>
      <c r="K68" s="1">
        <f>+[13]potbyweek!D32</f>
        <v>0</v>
      </c>
      <c r="L68" s="1">
        <f>+[13]potbyweek!E32</f>
        <v>0</v>
      </c>
      <c r="M68" s="1">
        <f>+[13]potbyweek!F32</f>
        <v>0</v>
      </c>
      <c r="N68" s="1">
        <f>+[13]potbyweek!G32</f>
        <v>0</v>
      </c>
      <c r="O68" s="1">
        <f>+[13]potbyweek!H32</f>
        <v>0</v>
      </c>
      <c r="P68" s="1">
        <f>+[13]potbyweek!I32</f>
        <v>0</v>
      </c>
      <c r="Q68" s="1">
        <f>+[13]potbyweek!J32</f>
        <v>0</v>
      </c>
      <c r="R68" s="1">
        <f>+[13]potbyweek!K32</f>
        <v>0</v>
      </c>
      <c r="S68" s="1">
        <f>+[13]potbyweek!L32</f>
        <v>0</v>
      </c>
      <c r="T68" s="1">
        <f>+[13]potbyweek!M32</f>
        <v>0</v>
      </c>
      <c r="U68" s="1">
        <f>+[13]potbyweek!N32</f>
        <v>0</v>
      </c>
      <c r="V68" s="1">
        <f>+[13]potbyweek!O32</f>
        <v>0</v>
      </c>
      <c r="W68" s="1">
        <f>+[13]potbyweek!P32</f>
        <v>0</v>
      </c>
      <c r="X68" s="1">
        <f>+[13]potbyweek!Q32</f>
        <v>0</v>
      </c>
      <c r="Y68" s="1">
        <f>+[13]potbyweek!R32</f>
        <v>0</v>
      </c>
      <c r="Z68" s="1">
        <f>+[13]potbyweek!S32</f>
        <v>0</v>
      </c>
      <c r="AA68" s="1">
        <f>+[13]potbyweek!T32</f>
        <v>0</v>
      </c>
      <c r="AB68" s="1">
        <f>+[13]potbyweek!U32</f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>
        <f t="shared" si="26"/>
        <v>0</v>
      </c>
    </row>
    <row r="69" spans="1:44" x14ac:dyDescent="0.25">
      <c r="B69" t="s">
        <v>566</v>
      </c>
      <c r="C69" s="6"/>
      <c r="J69" s="1">
        <f>+[13]potbyweek!C33</f>
        <v>0</v>
      </c>
      <c r="K69" s="1">
        <f>+[13]potbyweek!D33</f>
        <v>0</v>
      </c>
      <c r="L69" s="1">
        <f>+[13]potbyweek!E33</f>
        <v>0</v>
      </c>
      <c r="M69" s="1">
        <f>+[13]potbyweek!F33</f>
        <v>0</v>
      </c>
      <c r="N69" s="1">
        <f>+[13]potbyweek!G33</f>
        <v>0</v>
      </c>
      <c r="O69" s="1">
        <f>+[13]potbyweek!H33</f>
        <v>0</v>
      </c>
      <c r="P69" s="1">
        <f>+[13]potbyweek!I33</f>
        <v>0</v>
      </c>
      <c r="Q69" s="1">
        <f>+[13]potbyweek!J33</f>
        <v>0</v>
      </c>
      <c r="R69" s="1">
        <f>+[13]potbyweek!K33</f>
        <v>0</v>
      </c>
      <c r="S69" s="1">
        <f>+[13]potbyweek!L33</f>
        <v>0</v>
      </c>
      <c r="T69" s="1">
        <f>+[13]potbyweek!M33</f>
        <v>0</v>
      </c>
      <c r="U69" s="1">
        <f>+[13]potbyweek!N33</f>
        <v>0</v>
      </c>
      <c r="V69" s="1">
        <f>+[13]potbyweek!O33</f>
        <v>0</v>
      </c>
      <c r="W69" s="1">
        <f>+[13]potbyweek!P33</f>
        <v>0</v>
      </c>
      <c r="X69" s="1">
        <f>+[13]potbyweek!Q33</f>
        <v>0</v>
      </c>
      <c r="Y69" s="1">
        <f>+[13]potbyweek!R33</f>
        <v>0</v>
      </c>
      <c r="Z69" s="1">
        <f>+[13]potbyweek!S33</f>
        <v>0</v>
      </c>
      <c r="AA69" s="1">
        <f>+[13]potbyweek!T33</f>
        <v>0</v>
      </c>
      <c r="AB69" s="1">
        <f>+[13]potbyweek!U33</f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>
        <f t="shared" si="26"/>
        <v>0</v>
      </c>
    </row>
    <row r="70" spans="1:44" x14ac:dyDescent="0.25">
      <c r="J70" s="1">
        <f t="shared" ref="J70:AP70" si="27">SUM(J56:J69)</f>
        <v>0</v>
      </c>
      <c r="K70" s="1">
        <f t="shared" si="27"/>
        <v>77580.804110443918</v>
      </c>
      <c r="L70" s="1">
        <f t="shared" si="27"/>
        <v>71090.450906299709</v>
      </c>
      <c r="M70" s="1">
        <f t="shared" si="27"/>
        <v>120863.89698579008</v>
      </c>
      <c r="N70" s="1">
        <f t="shared" si="27"/>
        <v>169947.14567776152</v>
      </c>
      <c r="O70" s="1">
        <f t="shared" si="27"/>
        <v>159584.50888536568</v>
      </c>
      <c r="P70" s="1">
        <f t="shared" si="27"/>
        <v>425845.03607202525</v>
      </c>
      <c r="Q70" s="1">
        <f t="shared" si="27"/>
        <v>335319.50584017119</v>
      </c>
      <c r="R70" s="1">
        <f t="shared" si="27"/>
        <v>400898.96424075717</v>
      </c>
      <c r="S70" s="1">
        <f t="shared" si="27"/>
        <v>392868.88577591913</v>
      </c>
      <c r="T70" s="1">
        <f t="shared" si="27"/>
        <v>201045.13103545306</v>
      </c>
      <c r="U70" s="1">
        <f t="shared" si="27"/>
        <v>191402.47134850625</v>
      </c>
      <c r="V70" s="1">
        <f t="shared" si="27"/>
        <v>180321.08594492608</v>
      </c>
      <c r="W70" s="1">
        <f t="shared" si="27"/>
        <v>82525.675843945137</v>
      </c>
      <c r="X70" s="1">
        <f t="shared" si="27"/>
        <v>52166.965522542385</v>
      </c>
      <c r="Y70" s="1">
        <f t="shared" si="27"/>
        <v>30901.630009007255</v>
      </c>
      <c r="Z70" s="1">
        <f t="shared" si="27"/>
        <v>13289.910996102673</v>
      </c>
      <c r="AA70" s="1">
        <f t="shared" si="27"/>
        <v>2418.9624901881089</v>
      </c>
      <c r="AB70" s="1">
        <f t="shared" si="27"/>
        <v>792.71269705018108</v>
      </c>
      <c r="AD70" s="1">
        <f t="shared" si="27"/>
        <v>0</v>
      </c>
      <c r="AE70" s="1">
        <f t="shared" si="27"/>
        <v>0</v>
      </c>
      <c r="AF70" s="1">
        <f t="shared" si="27"/>
        <v>0</v>
      </c>
      <c r="AG70" s="1">
        <f t="shared" si="27"/>
        <v>0</v>
      </c>
      <c r="AH70" s="1">
        <f t="shared" si="27"/>
        <v>0</v>
      </c>
      <c r="AI70" s="1">
        <f t="shared" si="27"/>
        <v>0</v>
      </c>
      <c r="AJ70" s="1">
        <f t="shared" si="27"/>
        <v>0</v>
      </c>
      <c r="AK70" s="1">
        <f t="shared" si="27"/>
        <v>0</v>
      </c>
      <c r="AL70" s="1">
        <f t="shared" si="27"/>
        <v>0</v>
      </c>
      <c r="AM70" s="1">
        <f t="shared" si="27"/>
        <v>0</v>
      </c>
      <c r="AN70" s="1">
        <f t="shared" si="27"/>
        <v>0</v>
      </c>
      <c r="AO70" s="1">
        <f t="shared" si="27"/>
        <v>0</v>
      </c>
      <c r="AP70" s="1">
        <f t="shared" si="27"/>
        <v>0</v>
      </c>
      <c r="AQ70" s="1">
        <f>SUM(AQ56:AQ69)</f>
        <v>2908863.7443822543</v>
      </c>
    </row>
    <row r="71" spans="1:44" x14ac:dyDescent="0.25">
      <c r="B71" t="s">
        <v>569</v>
      </c>
      <c r="K71" s="1">
        <f>SUM(J70:K70)</f>
        <v>77580.804110443918</v>
      </c>
      <c r="L71" s="1"/>
      <c r="M71" s="1"/>
      <c r="N71" s="1"/>
      <c r="O71" s="1">
        <f>SUM(L70:O70)</f>
        <v>521486.00245521701</v>
      </c>
      <c r="P71" s="1"/>
      <c r="Q71" s="1"/>
      <c r="R71" s="1"/>
      <c r="S71" s="1">
        <f>SUM(P70:S70)</f>
        <v>1554932.3919288726</v>
      </c>
      <c r="T71" s="1"/>
      <c r="U71" s="1"/>
      <c r="V71" s="1"/>
      <c r="W71" s="1"/>
      <c r="X71" s="1">
        <f>SUM(T70:X70)</f>
        <v>707461.32969537296</v>
      </c>
      <c r="Y71" s="1"/>
      <c r="Z71" s="1"/>
      <c r="AA71" s="1"/>
      <c r="AB71" s="1">
        <f>SUM(Y70:AB70)</f>
        <v>47403.21619234822</v>
      </c>
      <c r="AC71" s="1"/>
    </row>
    <row r="72" spans="1:44" x14ac:dyDescent="0.25">
      <c r="B72" t="s">
        <v>570</v>
      </c>
      <c r="K72" s="1">
        <v>77587</v>
      </c>
      <c r="O72" s="1">
        <v>521536</v>
      </c>
      <c r="P72" s="1"/>
      <c r="Q72" s="1"/>
      <c r="R72" s="1"/>
      <c r="S72" s="1">
        <v>1555005</v>
      </c>
      <c r="T72" s="1"/>
      <c r="U72" s="1"/>
      <c r="V72" s="1"/>
      <c r="W72" s="1"/>
      <c r="X72" s="1">
        <v>707520</v>
      </c>
      <c r="Y72" s="1"/>
      <c r="Z72" s="1"/>
      <c r="AA72" s="1"/>
      <c r="AB72" s="1">
        <v>47408</v>
      </c>
    </row>
    <row r="73" spans="1:44" x14ac:dyDescent="0.25">
      <c r="B73" t="s">
        <v>571</v>
      </c>
      <c r="K73" s="1">
        <f>+K72-K71</f>
        <v>6.1958895560819656</v>
      </c>
      <c r="O73" s="1">
        <f>+O72-O71</f>
        <v>49.997544782992918</v>
      </c>
      <c r="P73" s="1"/>
      <c r="Q73" s="1"/>
      <c r="R73" s="1"/>
      <c r="S73" s="1">
        <f>+S72-S71</f>
        <v>72.60807112744078</v>
      </c>
      <c r="T73" s="1"/>
      <c r="U73" s="1"/>
      <c r="V73" s="1"/>
      <c r="W73" s="1"/>
      <c r="X73" s="1">
        <f>+X72-X71</f>
        <v>58.670304627041332</v>
      </c>
      <c r="Y73" s="1"/>
      <c r="Z73" s="1"/>
      <c r="AA73" s="1"/>
      <c r="AB73" s="1">
        <f>+AB72-AB71</f>
        <v>4.7838076517800801</v>
      </c>
      <c r="AQ73" s="1">
        <f t="shared" ref="AQ73" si="28">SUM(D73:AP73)</f>
        <v>192.25561774533708</v>
      </c>
    </row>
    <row r="75" spans="1:44" s="121" customFormat="1" x14ac:dyDescent="0.25">
      <c r="B75" s="121" t="s">
        <v>575</v>
      </c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Q75" s="1">
        <f t="shared" ref="AQ75" si="29">SUM(C75:AP75)</f>
        <v>0</v>
      </c>
      <c r="AR75" s="117"/>
    </row>
    <row r="78" spans="1:44" x14ac:dyDescent="0.25">
      <c r="A78" t="s">
        <v>567</v>
      </c>
      <c r="AR78" t="s">
        <v>121</v>
      </c>
    </row>
    <row r="79" spans="1:44" x14ac:dyDescent="0.25">
      <c r="B79" t="s">
        <v>556</v>
      </c>
      <c r="L79" s="34">
        <f>+'[14]2022'!BL3</f>
        <v>950</v>
      </c>
      <c r="M79" s="34">
        <f>+'[14]2022'!BM3</f>
        <v>1450</v>
      </c>
      <c r="N79" s="34">
        <f>+'[14]2022'!BN3</f>
        <v>450</v>
      </c>
      <c r="O79" s="34">
        <f>+'[14]2022'!BO3</f>
        <v>500</v>
      </c>
      <c r="P79" s="34">
        <f>+'[14]2022'!BP3</f>
        <v>350</v>
      </c>
      <c r="Q79" s="34">
        <f>+'[14]2022'!BQ3</f>
        <v>1550</v>
      </c>
      <c r="R79" s="34">
        <f>+'[14]2022'!BR3</f>
        <v>300</v>
      </c>
      <c r="S79" s="34">
        <f>+'[14]2022'!BS3</f>
        <v>300</v>
      </c>
      <c r="T79" s="34">
        <f>+'[14]2022'!BT3</f>
        <v>200</v>
      </c>
      <c r="U79" s="34">
        <f>+'[14]2022'!BU3</f>
        <v>200</v>
      </c>
      <c r="V79" s="34"/>
      <c r="W79" s="34"/>
      <c r="X79" s="34"/>
      <c r="AQ79">
        <f t="shared" ref="AQ79:AQ83" si="30">SUM(C79:AP79)</f>
        <v>6250</v>
      </c>
      <c r="AR79">
        <f>101202/18</f>
        <v>5622.333333333333</v>
      </c>
    </row>
    <row r="80" spans="1:44" x14ac:dyDescent="0.25">
      <c r="B80" t="s">
        <v>557</v>
      </c>
      <c r="R80" s="34">
        <f>+'[14]2022'!$DJ$4</f>
        <v>604</v>
      </c>
      <c r="T80" s="34">
        <f>+'[14]2022'!$DL$4</f>
        <v>1540</v>
      </c>
      <c r="AQ80">
        <f t="shared" si="30"/>
        <v>2144</v>
      </c>
      <c r="AR80">
        <f>22020/10</f>
        <v>2202</v>
      </c>
    </row>
    <row r="81" spans="2:44" x14ac:dyDescent="0.25">
      <c r="B81" t="s">
        <v>225</v>
      </c>
      <c r="O81" s="34">
        <f>+'[14]2022'!$CA$3</f>
        <v>3346</v>
      </c>
      <c r="Q81" s="34">
        <f>+'[14]2022'!$CB$3+1000</f>
        <v>9278</v>
      </c>
      <c r="S81" s="34">
        <f>+'[14]2022'!$CC$3+549</f>
        <v>4679</v>
      </c>
      <c r="U81" s="34">
        <f>+'[14]2022'!$CD$3+300</f>
        <v>3160</v>
      </c>
      <c r="AQ81">
        <f t="shared" si="30"/>
        <v>20463</v>
      </c>
      <c r="AR81">
        <f>118960/10</f>
        <v>11896</v>
      </c>
    </row>
    <row r="82" spans="2:44" x14ac:dyDescent="0.25">
      <c r="B82" t="s">
        <v>558</v>
      </c>
      <c r="R82" s="34">
        <f>+'[14]2022'!$CS$4</f>
        <v>7104</v>
      </c>
      <c r="T82" s="34">
        <f>+'[14]2022'!$CU$4</f>
        <v>3144</v>
      </c>
      <c r="AQ82">
        <f t="shared" si="30"/>
        <v>10248</v>
      </c>
      <c r="AR82">
        <f>65450/10</f>
        <v>6545</v>
      </c>
    </row>
    <row r="83" spans="2:44" x14ac:dyDescent="0.25">
      <c r="B83" t="s">
        <v>559</v>
      </c>
      <c r="Q83" s="34">
        <f>+'[14]2022'!$DB$3</f>
        <v>5760</v>
      </c>
      <c r="S83" s="34">
        <f>+'[14]2022'!$DC$3</f>
        <v>5574</v>
      </c>
      <c r="U83" s="34">
        <f>+'[14]2022'!$DD$3</f>
        <v>2490</v>
      </c>
      <c r="AQ83">
        <f t="shared" si="30"/>
        <v>13824</v>
      </c>
      <c r="AR83">
        <f>86220/10</f>
        <v>8622</v>
      </c>
    </row>
    <row r="84" spans="2:44" x14ac:dyDescent="0.25">
      <c r="B84" t="s">
        <v>560</v>
      </c>
      <c r="K84" s="34">
        <f>+'[14]2022'!AD3</f>
        <v>2204</v>
      </c>
      <c r="L84" s="34">
        <f>+'[14]2022'!AE3</f>
        <v>1256</v>
      </c>
      <c r="M84" s="34">
        <f>+'[14]2022'!AF3</f>
        <v>608</v>
      </c>
      <c r="N84" s="34">
        <f>+'[14]2022'!AG3</f>
        <v>704</v>
      </c>
      <c r="O84" s="34">
        <f>+'[14]2022'!AH3</f>
        <v>1412</v>
      </c>
      <c r="P84" s="34">
        <f>+'[14]2022'!AI3</f>
        <v>903</v>
      </c>
      <c r="Q84" s="34">
        <f>+'[14]2022'!AJ3</f>
        <v>999</v>
      </c>
      <c r="R84" s="34">
        <f>+'[14]2022'!AK3</f>
        <v>603</v>
      </c>
      <c r="S84" s="34">
        <f>+'[14]2022'!AL3</f>
        <v>879</v>
      </c>
      <c r="T84" s="34">
        <f>+'[14]2022'!AM3</f>
        <v>1035</v>
      </c>
      <c r="U84" s="34">
        <f>+'[14]2022'!AN3</f>
        <v>543</v>
      </c>
      <c r="V84" s="34">
        <f>+'[14]2022'!AO3</f>
        <v>243</v>
      </c>
      <c r="W84" s="34">
        <f>+'[14]2022'!AP3</f>
        <v>279</v>
      </c>
      <c r="X84" s="34"/>
      <c r="AQ84">
        <f>SUM(C84:AP84)</f>
        <v>11668</v>
      </c>
      <c r="AR84">
        <f>153000/18</f>
        <v>8500</v>
      </c>
    </row>
    <row r="85" spans="2:44" x14ac:dyDescent="0.25">
      <c r="B85" t="s">
        <v>561</v>
      </c>
      <c r="V85" s="34">
        <f>+'[14]2022'!$DZ$3</f>
        <v>3190</v>
      </c>
      <c r="X85" s="34">
        <f>+'[14]2022'!$EA$3</f>
        <v>3850</v>
      </c>
      <c r="AQ85">
        <f t="shared" ref="AQ85:AQ90" si="31">SUM(C85:AP85)</f>
        <v>7040</v>
      </c>
      <c r="AR85">
        <f>42000/8</f>
        <v>5250</v>
      </c>
    </row>
    <row r="86" spans="2:44" x14ac:dyDescent="0.25">
      <c r="B86" t="s">
        <v>562</v>
      </c>
      <c r="Y86">
        <v>6300</v>
      </c>
      <c r="AQ86">
        <f t="shared" si="31"/>
        <v>6300</v>
      </c>
      <c r="AR86">
        <v>10000</v>
      </c>
    </row>
    <row r="87" spans="2:44" x14ac:dyDescent="0.25">
      <c r="B87" t="s">
        <v>563</v>
      </c>
      <c r="AQ87">
        <f t="shared" si="31"/>
        <v>0</v>
      </c>
    </row>
    <row r="88" spans="2:44" x14ac:dyDescent="0.25">
      <c r="B88" t="s">
        <v>564</v>
      </c>
      <c r="T88" s="34">
        <f>+'[14]2022'!$DS$3</f>
        <v>5024</v>
      </c>
      <c r="V88" s="34">
        <f>+'[14]2022'!$DT$3</f>
        <v>698</v>
      </c>
      <c r="AQ88">
        <f t="shared" si="31"/>
        <v>5722</v>
      </c>
      <c r="AR88">
        <f>42360/10</f>
        <v>4236</v>
      </c>
    </row>
    <row r="89" spans="2:44" x14ac:dyDescent="0.25">
      <c r="B89" t="s">
        <v>565</v>
      </c>
      <c r="AQ89">
        <f t="shared" si="31"/>
        <v>0</v>
      </c>
    </row>
    <row r="90" spans="2:44" x14ac:dyDescent="0.25">
      <c r="B90" t="s">
        <v>566</v>
      </c>
      <c r="AQ90">
        <f t="shared" si="31"/>
        <v>0</v>
      </c>
    </row>
    <row r="93" spans="2:44" x14ac:dyDescent="0.25">
      <c r="B93" t="s">
        <v>576</v>
      </c>
    </row>
    <row r="94" spans="2:44" x14ac:dyDescent="0.25">
      <c r="B94" t="s">
        <v>577</v>
      </c>
      <c r="C94" s="1">
        <f>+[13]herbsbyweek!C4</f>
        <v>0</v>
      </c>
      <c r="D94" s="1">
        <f>+[13]herbsbyweek!D4</f>
        <v>0</v>
      </c>
      <c r="E94" s="1">
        <f>+[13]herbsbyweek!E4</f>
        <v>0</v>
      </c>
      <c r="F94" s="1">
        <f>+[13]herbsbyweek!F4</f>
        <v>36288</v>
      </c>
      <c r="G94" s="1">
        <f>+[13]herbsbyweek!G4</f>
        <v>4941</v>
      </c>
      <c r="H94" s="1">
        <f>+[13]herbsbyweek!H4</f>
        <v>0</v>
      </c>
      <c r="I94" s="1">
        <f>+[13]herbsbyweek!I4</f>
        <v>793.80000000000007</v>
      </c>
      <c r="J94" s="1">
        <f>+[13]herbsbyweek!J4</f>
        <v>20088</v>
      </c>
      <c r="K94" s="1">
        <f>+[13]herbsbyweek!K4</f>
        <v>70534.8</v>
      </c>
      <c r="L94" s="1">
        <f>+[13]herbsbyweek!L4</f>
        <v>28657.800000000003</v>
      </c>
      <c r="M94" s="1">
        <f>+[13]herbsbyweek!M4</f>
        <v>46014.246000000006</v>
      </c>
      <c r="N94" s="1">
        <f>+[13]herbsbyweek!N4</f>
        <v>29642.760000000006</v>
      </c>
      <c r="O94" s="1">
        <f>+[13]herbsbyweek!O4</f>
        <v>50459.364000000001</v>
      </c>
      <c r="P94" s="1">
        <f>+[13]herbsbyweek!P4</f>
        <v>59369.759999999987</v>
      </c>
      <c r="Q94" s="1">
        <f>+[13]herbsbyweek!Q4</f>
        <v>66337.946999999986</v>
      </c>
      <c r="R94" s="1">
        <f>+[13]herbsbyweek!R4</f>
        <v>50342.922000000006</v>
      </c>
      <c r="S94" s="1">
        <f>+[13]herbsbyweek!S4</f>
        <v>73259.64</v>
      </c>
      <c r="T94" s="1">
        <f>+[13]herbsbyweek!T4</f>
        <v>64453.12200000001</v>
      </c>
      <c r="U94" s="1">
        <f>+[13]herbsbyweek!U4</f>
        <v>60160.117499999986</v>
      </c>
      <c r="V94" s="1">
        <f>+[13]herbsbyweek!V4</f>
        <v>32173.001999999997</v>
      </c>
      <c r="W94" s="1">
        <f>+[13]herbsbyweek!W4</f>
        <v>44744.4</v>
      </c>
      <c r="X94" s="1">
        <f>+[13]herbsbyweek!X4</f>
        <v>37256.76</v>
      </c>
      <c r="Y94" s="1">
        <f>+[13]herbsbyweek!Y4</f>
        <v>28003.320000000007</v>
      </c>
      <c r="Z94" s="1">
        <f>+[13]herbsbyweek!Z4</f>
        <v>15827.400000000001</v>
      </c>
      <c r="AA94" s="1">
        <f>+[13]herbsbyweek!AA4</f>
        <v>20332.822500000002</v>
      </c>
      <c r="AB94" s="1">
        <f>+[13]herbsbyweek!AB4</f>
        <v>21683.753999999997</v>
      </c>
      <c r="AC94" s="1">
        <f>+[13]herbsbyweek!AC4</f>
        <v>12976.199999999999</v>
      </c>
      <c r="AD94" s="1">
        <f>+[13]herbsbyweek!AD4</f>
        <v>13101.021000000001</v>
      </c>
      <c r="AE94" s="1">
        <f>+[13]herbsbyweek!AE4</f>
        <v>14887.800000000001</v>
      </c>
      <c r="AF94" s="1">
        <f>+[13]herbsbyweek!AF4</f>
        <v>7646.4000000000005</v>
      </c>
      <c r="AG94" s="1">
        <f>+[13]herbsbyweek!AG4</f>
        <v>18306</v>
      </c>
      <c r="AH94" s="1">
        <f>+[13]herbsbyweek!AH4</f>
        <v>9212.8319999999985</v>
      </c>
      <c r="AI94" s="1">
        <f>+[13]herbsbyweek!AI4</f>
        <v>10449</v>
      </c>
      <c r="AJ94" s="1">
        <f>+[13]herbsbyweek!AJ4</f>
        <v>10935</v>
      </c>
      <c r="AK94" s="1">
        <f>+[13]herbsbyweek!AK4</f>
        <v>3272.4</v>
      </c>
      <c r="AL94" s="1">
        <f>+[13]herbsbyweek!AL4</f>
        <v>6447.5999999999995</v>
      </c>
      <c r="AM94" s="1">
        <f>+[13]herbsbyweek!AM4</f>
        <v>4698</v>
      </c>
      <c r="AN94" s="1">
        <f>+[13]herbsbyweek!AN4</f>
        <v>6253.2000000000007</v>
      </c>
      <c r="AO94" s="1">
        <f>+[13]herbsbyweek!AO4</f>
        <v>0</v>
      </c>
      <c r="AP94" s="1"/>
      <c r="AQ94" s="1">
        <f t="shared" ref="AQ94:AQ98" si="32">SUM(D94:AP94)</f>
        <v>979550.18999999983</v>
      </c>
      <c r="AR94" s="1">
        <f>+AQ94/18</f>
        <v>54419.454999999987</v>
      </c>
    </row>
    <row r="95" spans="2:44" x14ac:dyDescent="0.25">
      <c r="B95" t="s">
        <v>578</v>
      </c>
      <c r="C95" s="1">
        <f>+[13]herbsbyweek!C5</f>
        <v>0</v>
      </c>
      <c r="D95" s="1">
        <f>+[13]herbsbyweek!D5</f>
        <v>0</v>
      </c>
      <c r="E95" s="1">
        <f>+[13]herbsbyweek!E5</f>
        <v>0</v>
      </c>
      <c r="F95" s="1">
        <f>+[13]herbsbyweek!F5</f>
        <v>15040.800000000001</v>
      </c>
      <c r="G95" s="1">
        <f>+[13]herbsbyweek!G5</f>
        <v>3312</v>
      </c>
      <c r="H95" s="1">
        <f>+[13]herbsbyweek!H5</f>
        <v>0</v>
      </c>
      <c r="I95" s="1">
        <f>+[13]herbsbyweek!I5</f>
        <v>2440.8000000000002</v>
      </c>
      <c r="J95" s="1">
        <f>+[13]herbsbyweek!J5</f>
        <v>9568.8000000000011</v>
      </c>
      <c r="K95" s="1">
        <f>+[13]herbsbyweek!K5</f>
        <v>20239.2</v>
      </c>
      <c r="L95" s="1">
        <f>+[13]herbsbyweek!L5</f>
        <v>16790.400000000001</v>
      </c>
      <c r="M95" s="1">
        <f>+[13]herbsbyweek!M5</f>
        <v>13298.4</v>
      </c>
      <c r="N95" s="1">
        <f>+[13]herbsbyweek!N5</f>
        <v>20507.362559999998</v>
      </c>
      <c r="O95" s="1">
        <f>+[13]herbsbyweek!O5</f>
        <v>16735.679999999997</v>
      </c>
      <c r="P95" s="1">
        <f>+[13]herbsbyweek!P5</f>
        <v>24219.359999999997</v>
      </c>
      <c r="Q95" s="1">
        <f>+[13]herbsbyweek!Q5</f>
        <v>18781.199999999997</v>
      </c>
      <c r="R95" s="1">
        <f>+[13]herbsbyweek!R5</f>
        <v>20232.408960000004</v>
      </c>
      <c r="S95" s="1">
        <f>+[13]herbsbyweek!S5</f>
        <v>28527.84</v>
      </c>
      <c r="T95" s="1">
        <f>+[13]herbsbyweek!T5</f>
        <v>22397.040000000005</v>
      </c>
      <c r="U95" s="1">
        <f>+[13]herbsbyweek!U5</f>
        <v>28887.390719999996</v>
      </c>
      <c r="V95" s="1">
        <f>+[13]herbsbyweek!V5</f>
        <v>19766.16</v>
      </c>
      <c r="W95" s="1">
        <f>+[13]herbsbyweek!W5</f>
        <v>23176.799999999999</v>
      </c>
      <c r="X95" s="1">
        <f>+[13]herbsbyweek!X5</f>
        <v>19104.48</v>
      </c>
      <c r="Y95" s="1">
        <f>+[13]herbsbyweek!Y5</f>
        <v>14423.040000000005</v>
      </c>
      <c r="Z95" s="1">
        <f>+[13]herbsbyweek!Z5</f>
        <v>12751.67808</v>
      </c>
      <c r="AA95" s="1">
        <f>+[13]herbsbyweek!AA5</f>
        <v>6739.2</v>
      </c>
      <c r="AB95" s="1">
        <f>+[13]herbsbyweek!AB5</f>
        <v>6120</v>
      </c>
      <c r="AC95" s="1">
        <f>+[13]herbsbyweek!AC5</f>
        <v>9999.0316800000001</v>
      </c>
      <c r="AD95" s="1">
        <f>+[13]herbsbyweek!AD5</f>
        <v>4363.2</v>
      </c>
      <c r="AE95" s="1">
        <f>+[13]herbsbyweek!AE5</f>
        <v>5220</v>
      </c>
      <c r="AF95" s="1">
        <f>+[13]herbsbyweek!AF5</f>
        <v>3441.6</v>
      </c>
      <c r="AG95" s="1">
        <f>+[13]herbsbyweek!AG5</f>
        <v>10768.32</v>
      </c>
      <c r="AH95" s="1">
        <f>+[13]herbsbyweek!AH5</f>
        <v>2988</v>
      </c>
      <c r="AI95" s="1">
        <f>+[13]herbsbyweek!AI5</f>
        <v>5572.8</v>
      </c>
      <c r="AJ95" s="1">
        <f>+[13]herbsbyweek!AJ5</f>
        <v>2872.8</v>
      </c>
      <c r="AK95" s="1">
        <f>+[13]herbsbyweek!AK5</f>
        <v>1987.2</v>
      </c>
      <c r="AL95" s="1">
        <f>+[13]herbsbyweek!AL5</f>
        <v>1980</v>
      </c>
      <c r="AM95" s="1">
        <f>+[13]herbsbyweek!AM5</f>
        <v>2872.8</v>
      </c>
      <c r="AN95" s="1">
        <f>+[13]herbsbyweek!AN5</f>
        <v>2037.6000000000001</v>
      </c>
      <c r="AO95" s="1">
        <f>+[13]herbsbyweek!AO5</f>
        <v>0</v>
      </c>
      <c r="AP95" s="1"/>
      <c r="AQ95" s="1">
        <f t="shared" si="32"/>
        <v>417163.39199999988</v>
      </c>
      <c r="AR95" s="1">
        <f>+AQ95/8</f>
        <v>52145.423999999985</v>
      </c>
    </row>
    <row r="96" spans="2:44" x14ac:dyDescent="0.25">
      <c r="B96" t="s">
        <v>248</v>
      </c>
      <c r="D96" s="1">
        <f>+D95+D94</f>
        <v>0</v>
      </c>
      <c r="E96" s="1">
        <f t="shared" ref="E96:AQ96" si="33">+E95+E94</f>
        <v>0</v>
      </c>
      <c r="F96" s="1">
        <f t="shared" si="33"/>
        <v>51328.800000000003</v>
      </c>
      <c r="G96" s="1">
        <f t="shared" si="33"/>
        <v>8253</v>
      </c>
      <c r="H96" s="1">
        <f t="shared" si="33"/>
        <v>0</v>
      </c>
      <c r="I96" s="1">
        <f t="shared" si="33"/>
        <v>3234.6000000000004</v>
      </c>
      <c r="J96" s="1">
        <f t="shared" si="33"/>
        <v>29656.800000000003</v>
      </c>
      <c r="K96" s="1">
        <f t="shared" si="33"/>
        <v>90774</v>
      </c>
      <c r="L96" s="1">
        <f t="shared" si="33"/>
        <v>45448.200000000004</v>
      </c>
      <c r="M96" s="1">
        <f t="shared" si="33"/>
        <v>59312.646000000008</v>
      </c>
      <c r="N96" s="1">
        <f t="shared" si="33"/>
        <v>50150.122560000003</v>
      </c>
      <c r="O96" s="1">
        <f t="shared" si="33"/>
        <v>67195.043999999994</v>
      </c>
      <c r="P96" s="1">
        <f t="shared" si="33"/>
        <v>83589.119999999981</v>
      </c>
      <c r="Q96" s="1">
        <f t="shared" si="33"/>
        <v>85119.146999999983</v>
      </c>
      <c r="R96" s="1">
        <f t="shared" si="33"/>
        <v>70575.330960000007</v>
      </c>
      <c r="S96" s="1">
        <f t="shared" si="33"/>
        <v>101787.48</v>
      </c>
      <c r="T96" s="1">
        <f t="shared" si="33"/>
        <v>86850.162000000011</v>
      </c>
      <c r="U96" s="1">
        <f t="shared" si="33"/>
        <v>89047.508219999989</v>
      </c>
      <c r="V96" s="1">
        <f t="shared" si="33"/>
        <v>51939.161999999997</v>
      </c>
      <c r="W96" s="1">
        <f t="shared" si="33"/>
        <v>67921.2</v>
      </c>
      <c r="X96" s="1">
        <f t="shared" si="33"/>
        <v>56361.240000000005</v>
      </c>
      <c r="Y96" s="1">
        <f t="shared" si="33"/>
        <v>42426.360000000015</v>
      </c>
      <c r="Z96" s="1">
        <f t="shared" si="33"/>
        <v>28579.078079999999</v>
      </c>
      <c r="AA96" s="1">
        <f t="shared" si="33"/>
        <v>27072.022500000003</v>
      </c>
      <c r="AB96" s="1">
        <f t="shared" si="33"/>
        <v>27803.753999999997</v>
      </c>
      <c r="AC96" s="1">
        <f t="shared" si="33"/>
        <v>22975.231679999997</v>
      </c>
      <c r="AD96" s="1">
        <f t="shared" si="33"/>
        <v>17464.221000000001</v>
      </c>
      <c r="AE96" s="1">
        <f t="shared" si="33"/>
        <v>20107.800000000003</v>
      </c>
      <c r="AF96" s="1">
        <f t="shared" si="33"/>
        <v>11088</v>
      </c>
      <c r="AG96" s="1">
        <f t="shared" si="33"/>
        <v>29074.32</v>
      </c>
      <c r="AH96" s="1">
        <f t="shared" si="33"/>
        <v>12200.831999999999</v>
      </c>
      <c r="AI96" s="1">
        <f t="shared" si="33"/>
        <v>16021.8</v>
      </c>
      <c r="AJ96" s="1">
        <f t="shared" si="33"/>
        <v>13807.8</v>
      </c>
      <c r="AK96" s="1">
        <f t="shared" si="33"/>
        <v>5259.6</v>
      </c>
      <c r="AL96" s="1">
        <f t="shared" si="33"/>
        <v>8427.5999999999985</v>
      </c>
      <c r="AM96" s="1">
        <f t="shared" si="33"/>
        <v>7570.8</v>
      </c>
      <c r="AN96" s="1">
        <f t="shared" si="33"/>
        <v>8290.8000000000011</v>
      </c>
      <c r="AO96" s="1">
        <f t="shared" si="33"/>
        <v>0</v>
      </c>
      <c r="AP96" s="1">
        <f t="shared" si="33"/>
        <v>0</v>
      </c>
      <c r="AQ96" s="1">
        <f t="shared" si="33"/>
        <v>1396713.5819999997</v>
      </c>
    </row>
    <row r="97" spans="2:43" s="1" customFormat="1" x14ac:dyDescent="0.25">
      <c r="B97" s="1" t="s">
        <v>568</v>
      </c>
      <c r="G97" s="1">
        <f>SUM(C96:G96)</f>
        <v>59581.8</v>
      </c>
      <c r="K97" s="1">
        <f>SUM(H96:K96)</f>
        <v>123665.4</v>
      </c>
      <c r="O97" s="1">
        <f>SUM(L96:O96)</f>
        <v>222106.01256</v>
      </c>
      <c r="S97" s="1">
        <f>SUM(P96:S96)</f>
        <v>341071.07795999997</v>
      </c>
      <c r="X97" s="1">
        <f>SUM(T96:X96)</f>
        <v>352119.27221999998</v>
      </c>
      <c r="AB97" s="1">
        <f>SUM(Y96:AB96)</f>
        <v>125881.21458000003</v>
      </c>
      <c r="AG97" s="1">
        <f>SUM(AC96:AG96)</f>
        <v>100709.57268000001</v>
      </c>
      <c r="AK97" s="1">
        <f>SUM(AH96:AK96)</f>
        <v>47290.031999999999</v>
      </c>
      <c r="AO97" s="1">
        <f>SUM(AL96:AO96)</f>
        <v>24289.199999999997</v>
      </c>
      <c r="AQ97" s="1">
        <f t="shared" si="32"/>
        <v>1396713.5819999997</v>
      </c>
    </row>
    <row r="98" spans="2:43" s="1" customFormat="1" x14ac:dyDescent="0.25">
      <c r="B98" s="1" t="s">
        <v>579</v>
      </c>
      <c r="AQ98" s="1">
        <f t="shared" si="32"/>
        <v>0</v>
      </c>
    </row>
    <row r="99" spans="2:43" s="1" customFormat="1" x14ac:dyDescent="0.25">
      <c r="G99" s="1">
        <f>+G98-G97</f>
        <v>-59581.8</v>
      </c>
      <c r="K99" s="1">
        <f>+K98-K97</f>
        <v>-123665.4</v>
      </c>
      <c r="L99"/>
      <c r="M99"/>
      <c r="N99"/>
      <c r="O99" s="1">
        <f>+O98-O97</f>
        <v>-222106.01256</v>
      </c>
      <c r="S99" s="1">
        <f>+S98-S97</f>
        <v>-341071.07795999997</v>
      </c>
      <c r="X99" s="1">
        <f>+X98-X97</f>
        <v>-352119.27221999998</v>
      </c>
      <c r="AB99" s="1">
        <f>+AB98-AB97</f>
        <v>-125881.21458000003</v>
      </c>
      <c r="AG99" s="1">
        <f>+AG98-AG97</f>
        <v>-100709.57268000001</v>
      </c>
      <c r="AK99" s="1">
        <f>+AK98-AK97</f>
        <v>-47290.031999999999</v>
      </c>
      <c r="AO99" s="1">
        <f>+AO98-AO97</f>
        <v>-24289.199999999997</v>
      </c>
    </row>
    <row r="100" spans="2:43" s="1" customFormat="1" x14ac:dyDescent="0.25">
      <c r="F100"/>
      <c r="G100">
        <f>+G99/G97</f>
        <v>-1</v>
      </c>
      <c r="J100"/>
      <c r="K100">
        <f>+K99/K97</f>
        <v>-1</v>
      </c>
      <c r="L100"/>
      <c r="M100"/>
      <c r="N100"/>
      <c r="O100">
        <f>+O99/O97</f>
        <v>-1</v>
      </c>
      <c r="S100">
        <f>+S99/S97</f>
        <v>-1</v>
      </c>
      <c r="W100"/>
      <c r="X100">
        <f>+X99/X97</f>
        <v>-1</v>
      </c>
      <c r="AB100">
        <f>+AB99/AB97</f>
        <v>-1</v>
      </c>
      <c r="AF100"/>
      <c r="AG100">
        <f>+AG99/AG97</f>
        <v>-1</v>
      </c>
      <c r="AJ100"/>
      <c r="AK100">
        <f>+AK99/AK97</f>
        <v>-1</v>
      </c>
      <c r="AO100">
        <f>+AO99/AO97</f>
        <v>-1</v>
      </c>
    </row>
    <row r="101" spans="2:43" s="117" customFormat="1" x14ac:dyDescent="0.25">
      <c r="B101" s="117" t="s">
        <v>580</v>
      </c>
      <c r="D101" s="117">
        <f>+D96+(D96*$G100)</f>
        <v>0</v>
      </c>
      <c r="E101" s="117">
        <f t="shared" ref="E101:G101" si="34">+E96+(E96*$G100)</f>
        <v>0</v>
      </c>
      <c r="F101" s="117">
        <f t="shared" si="34"/>
        <v>0</v>
      </c>
      <c r="G101" s="117">
        <f t="shared" si="34"/>
        <v>0</v>
      </c>
      <c r="H101" s="117">
        <f>+H96+(H96*$K100)</f>
        <v>0</v>
      </c>
      <c r="I101" s="117">
        <f t="shared" ref="I101:K101" si="35">+I96+(I96*$K100)</f>
        <v>0</v>
      </c>
      <c r="J101" s="117">
        <f t="shared" si="35"/>
        <v>0</v>
      </c>
      <c r="K101" s="117">
        <f t="shared" si="35"/>
        <v>0</v>
      </c>
      <c r="L101" s="117">
        <f t="shared" ref="L101:O101" si="36">+L96+(L96*$O100)</f>
        <v>0</v>
      </c>
      <c r="M101" s="117">
        <f t="shared" si="36"/>
        <v>0</v>
      </c>
      <c r="N101" s="117">
        <f t="shared" si="36"/>
        <v>0</v>
      </c>
      <c r="O101" s="117">
        <f t="shared" si="36"/>
        <v>0</v>
      </c>
      <c r="P101" s="117">
        <f>+P96+(P96*$S100)</f>
        <v>0</v>
      </c>
      <c r="Q101" s="117">
        <f t="shared" ref="Q101:S101" si="37">+Q96+(Q96*$S100)</f>
        <v>0</v>
      </c>
      <c r="R101" s="117">
        <f t="shared" si="37"/>
        <v>0</v>
      </c>
      <c r="S101" s="117">
        <f t="shared" si="37"/>
        <v>0</v>
      </c>
      <c r="T101" s="117">
        <f>+T96+(T96*$X100)</f>
        <v>0</v>
      </c>
      <c r="U101" s="117">
        <f t="shared" ref="U101:X101" si="38">+U96+(U96*$X100)</f>
        <v>0</v>
      </c>
      <c r="V101" s="117">
        <f t="shared" si="38"/>
        <v>0</v>
      </c>
      <c r="W101" s="117">
        <f t="shared" si="38"/>
        <v>0</v>
      </c>
      <c r="X101" s="117">
        <f t="shared" si="38"/>
        <v>0</v>
      </c>
      <c r="Y101" s="117">
        <f t="shared" ref="Y101:AB101" si="39">+Y96+(Y96*$AB100)</f>
        <v>0</v>
      </c>
      <c r="Z101" s="117">
        <f t="shared" si="39"/>
        <v>0</v>
      </c>
      <c r="AA101" s="117">
        <f t="shared" si="39"/>
        <v>0</v>
      </c>
      <c r="AB101" s="117">
        <f t="shared" si="39"/>
        <v>0</v>
      </c>
      <c r="AC101" s="117">
        <f>+AC96+(AC96*$AG100)</f>
        <v>0</v>
      </c>
      <c r="AD101" s="117">
        <f t="shared" ref="AD101:AG101" si="40">+AD96+(AD96*$AG100)</f>
        <v>0</v>
      </c>
      <c r="AE101" s="117">
        <f t="shared" si="40"/>
        <v>0</v>
      </c>
      <c r="AF101" s="117">
        <f t="shared" si="40"/>
        <v>0</v>
      </c>
      <c r="AG101" s="117">
        <f t="shared" si="40"/>
        <v>0</v>
      </c>
      <c r="AH101" s="117">
        <f>+AH96+(AH96*$AK100)</f>
        <v>0</v>
      </c>
      <c r="AI101" s="117">
        <f t="shared" ref="AI101:AK101" si="41">+AI96+(AI96*$AK100)</f>
        <v>0</v>
      </c>
      <c r="AJ101" s="117">
        <f t="shared" si="41"/>
        <v>0</v>
      </c>
      <c r="AK101" s="117">
        <f t="shared" si="41"/>
        <v>0</v>
      </c>
      <c r="AL101" s="117">
        <f t="shared" ref="AL101:AO101" si="42">+AL96+(AL96*$AO100)</f>
        <v>0</v>
      </c>
      <c r="AM101" s="117">
        <f t="shared" si="42"/>
        <v>0</v>
      </c>
      <c r="AN101" s="117">
        <f t="shared" si="42"/>
        <v>0</v>
      </c>
      <c r="AO101" s="117">
        <f t="shared" si="42"/>
        <v>0</v>
      </c>
      <c r="AQ101" s="117">
        <f t="shared" ref="AQ101" si="43">SUM(D101:AP101)</f>
        <v>0</v>
      </c>
    </row>
    <row r="102" spans="2:43" s="1" customFormat="1" x14ac:dyDescent="0.25"/>
    <row r="103" spans="2:43" s="1" customFormat="1" x14ac:dyDescent="0.25">
      <c r="B103" s="1" t="s">
        <v>581</v>
      </c>
      <c r="D103" s="8">
        <v>0.81</v>
      </c>
    </row>
    <row r="104" spans="2:43" s="1" customFormat="1" x14ac:dyDescent="0.25">
      <c r="B104" s="1" t="s">
        <v>582</v>
      </c>
      <c r="D104" s="8">
        <v>1.59</v>
      </c>
    </row>
    <row r="105" spans="2:43" s="1" customFormat="1" x14ac:dyDescent="0.25"/>
    <row r="106" spans="2:43" s="1" customFormat="1" x14ac:dyDescent="0.25">
      <c r="B106" t="s">
        <v>305</v>
      </c>
    </row>
    <row r="107" spans="2:43" s="1" customFormat="1" x14ac:dyDescent="0.25">
      <c r="B107" t="s">
        <v>577</v>
      </c>
      <c r="C107" s="1">
        <f>+[13]herbsbyweek!C10</f>
        <v>0</v>
      </c>
      <c r="D107" s="1">
        <f>+[13]herbsbyweek!D10</f>
        <v>0</v>
      </c>
      <c r="E107" s="1">
        <f>+[13]herbsbyweek!E10</f>
        <v>0</v>
      </c>
      <c r="F107" s="1">
        <f>+[13]herbsbyweek!F10</f>
        <v>33008.48983309594</v>
      </c>
      <c r="G107" s="1">
        <f>+[13]herbsbyweek!G10</f>
        <v>4494.4595531670811</v>
      </c>
      <c r="H107" s="1">
        <f>+[13]herbsbyweek!H10</f>
        <v>0</v>
      </c>
      <c r="I107" s="1">
        <f>+[13]herbsbyweek!I10</f>
        <v>722.06071509897379</v>
      </c>
      <c r="J107" s="1">
        <f>+[13]herbsbyweek!J10</f>
        <v>18272.556871892397</v>
      </c>
      <c r="K107" s="1">
        <f>+[13]herbsbyweek!K10</f>
        <v>64160.252113080242</v>
      </c>
      <c r="L107" s="1">
        <f>+[13]herbsbyweek!L10</f>
        <v>21067.865408369074</v>
      </c>
      <c r="M107" s="1">
        <f>+[13]herbsbyweek!M10</f>
        <v>36855.731130637563</v>
      </c>
      <c r="N107" s="1">
        <f>+[13]herbsbyweek!N10</f>
        <v>21963.810132410254</v>
      </c>
      <c r="O107" s="1">
        <f>+[13]herbsbyweek!O10</f>
        <v>40899.123775862201</v>
      </c>
      <c r="P107" s="1">
        <f>+[13]herbsbyweek!P10</f>
        <v>54004.247116218743</v>
      </c>
      <c r="Q107" s="1">
        <f>+[13]herbsbyweek!Q10</f>
        <v>60342.68764048603</v>
      </c>
      <c r="R107" s="1">
        <f>+[13]herbsbyweek!R10</f>
        <v>45793.205164388841</v>
      </c>
      <c r="S107" s="1">
        <f>+[13]herbsbyweek!S10</f>
        <v>66638.836037154673</v>
      </c>
      <c r="T107" s="1">
        <f>+[13]herbsbyweek!T10</f>
        <v>58628.202773597135</v>
      </c>
      <c r="U107" s="1">
        <f>+[13]herbsbyweek!U10</f>
        <v>54723.176445563462</v>
      </c>
      <c r="V107" s="1">
        <f>+[13]herbsbyweek!V10</f>
        <v>29265.382755102935</v>
      </c>
      <c r="W107" s="1">
        <f>+[13]herbsbyweek!W10</f>
        <v>40700.646838844194</v>
      </c>
      <c r="X107" s="1">
        <f>+[13]herbsbyweek!X10</f>
        <v>33889.698624175915</v>
      </c>
      <c r="Y107" s="1">
        <f>+[13]herbsbyweek!Y10</f>
        <v>25472.533716736456</v>
      </c>
      <c r="Z107" s="1">
        <f>+[13]herbsbyweek!Z10</f>
        <v>14397.006503095865</v>
      </c>
      <c r="AA107" s="1">
        <f>+[13]herbsbyweek!AA10</f>
        <v>18495.253658768586</v>
      </c>
      <c r="AB107" s="1">
        <f>+[13]herbsbyweek!AB10</f>
        <v>19724.095388347479</v>
      </c>
      <c r="AC107" s="1">
        <f>+[13]herbsbyweek!AC10</f>
        <v>11803.482301924039</v>
      </c>
      <c r="AD107" s="1">
        <f>+[13]herbsbyweek!AD10</f>
        <v>11917.022665390114</v>
      </c>
      <c r="AE107" s="1">
        <f>+[13]herbsbyweek!AE10</f>
        <v>13542.322391346059</v>
      </c>
      <c r="AF107" s="1">
        <f>+[13]herbsbyweek!AF10</f>
        <v>6955.3603576880741</v>
      </c>
      <c r="AG107" s="1">
        <f>+[13]herbsbyweek!AG10</f>
        <v>16651.604246160008</v>
      </c>
      <c r="AH107" s="1">
        <f>+[13]herbsbyweek!AH10</f>
        <v>8380.2268354833795</v>
      </c>
      <c r="AI107" s="1">
        <f>+[13]herbsbyweek!AI10</f>
        <v>9504.6767599762861</v>
      </c>
      <c r="AJ107" s="1">
        <f>+[13]herbsbyweek!AJ10</f>
        <v>9946.7547488123928</v>
      </c>
      <c r="AK107" s="1">
        <f>+[13]herbsbyweek!AK10</f>
        <v>2976.6584581631164</v>
      </c>
      <c r="AL107" s="1">
        <f>+[13]herbsbyweek!AL10</f>
        <v>5864.9013185590111</v>
      </c>
      <c r="AM107" s="1">
        <f>+[13]herbsbyweek!AM10</f>
        <v>4273.4205587490278</v>
      </c>
      <c r="AN107" s="1">
        <f>+[13]herbsbyweek!AN10</f>
        <v>5688.0701230245695</v>
      </c>
      <c r="AO107" s="1">
        <f>+[13]herbsbyweek!AO10</f>
        <v>0</v>
      </c>
      <c r="AQ107" s="1">
        <f t="shared" ref="AQ107:AQ111" si="44">SUM(D107:AP107)</f>
        <v>871023.82296137011</v>
      </c>
    </row>
    <row r="108" spans="2:43" s="1" customFormat="1" x14ac:dyDescent="0.25">
      <c r="B108" t="s">
        <v>578</v>
      </c>
      <c r="C108" s="1">
        <f>+[13]herbsbyweek!C11</f>
        <v>0</v>
      </c>
      <c r="D108" s="1">
        <f>+[13]herbsbyweek!D11</f>
        <v>0</v>
      </c>
      <c r="E108" s="1">
        <f>+[13]herbsbyweek!E11</f>
        <v>0</v>
      </c>
      <c r="F108" s="1">
        <f>+[13]herbsbyweek!F11</f>
        <v>26166.457792644673</v>
      </c>
      <c r="G108" s="1">
        <f>+[13]herbsbyweek!G11</f>
        <v>5761.881562765222</v>
      </c>
      <c r="H108" s="1">
        <f>+[13]herbsbyweek!H11</f>
        <v>0</v>
      </c>
      <c r="I108" s="1">
        <f>+[13]herbsbyweek!I11</f>
        <v>4246.2561951682837</v>
      </c>
      <c r="J108" s="1">
        <f>+[13]herbsbyweek!J11</f>
        <v>16646.827384597786</v>
      </c>
      <c r="K108" s="1">
        <f>+[13]herbsbyweek!K11</f>
        <v>35210.106680289216</v>
      </c>
      <c r="L108" s="1">
        <f>+[13]herbsbyweek!L11</f>
        <v>29210.234357322825</v>
      </c>
      <c r="M108" s="1">
        <f>+[13]herbsbyweek!M11</f>
        <v>23135.207057450792</v>
      </c>
      <c r="N108" s="1">
        <f>+[13]herbsbyweek!N11</f>
        <v>35676.628694265033</v>
      </c>
      <c r="O108" s="1">
        <f>+[13]herbsbyweek!O11</f>
        <v>29115.038053242348</v>
      </c>
      <c r="P108" s="1">
        <f>+[13]herbsbyweek!P11</f>
        <v>42134.385219194897</v>
      </c>
      <c r="Q108" s="1">
        <f>+[13]herbsbyweek!Q11</f>
        <v>32673.626209724087</v>
      </c>
      <c r="R108" s="1">
        <f>+[13]herbsbyweek!R11</f>
        <v>35198.292317919659</v>
      </c>
      <c r="S108" s="1">
        <f>+[13]herbsbyweek!S11</f>
        <v>49629.841582583402</v>
      </c>
      <c r="T108" s="1">
        <f>+[13]herbsbyweek!T11</f>
        <v>38964.097776725612</v>
      </c>
      <c r="U108" s="1">
        <f>+[13]herbsbyweek!U11</f>
        <v>50255.35144503718</v>
      </c>
      <c r="V108" s="1">
        <f>+[13]herbsbyweek!V11</f>
        <v>34387.159683172533</v>
      </c>
      <c r="W108" s="1">
        <f>+[13]herbsbyweek!W11</f>
        <v>40320.645109872283</v>
      </c>
      <c r="X108" s="1">
        <f>+[13]herbsbyweek!X11</f>
        <v>33236.035953567916</v>
      </c>
      <c r="Y108" s="1">
        <f>+[13]herbsbyweek!Y11</f>
        <v>25091.741622894122</v>
      </c>
      <c r="Z108" s="1">
        <f>+[13]herbsbyweek!Z11</f>
        <v>22184.07573172386</v>
      </c>
      <c r="AA108" s="1">
        <f>+[13]herbsbyweek!AA11</f>
        <v>11724.176397278799</v>
      </c>
      <c r="AB108" s="1">
        <f>+[13]herbsbyweek!AB11</f>
        <v>10646.955061631388</v>
      </c>
      <c r="AC108" s="1">
        <f>+[13]herbsbyweek!AC11</f>
        <v>17395.300809932778</v>
      </c>
      <c r="AD108" s="1">
        <f>+[13]herbsbyweek!AD11</f>
        <v>7590.6526674689667</v>
      </c>
      <c r="AE108" s="1">
        <f>+[13]herbsbyweek!AE11</f>
        <v>9081.2263760973601</v>
      </c>
      <c r="AF108" s="1">
        <f>+[13]herbsbyweek!AF11</f>
        <v>5987.3464934821222</v>
      </c>
      <c r="AG108" s="1">
        <f>+[13]herbsbyweek!AG11</f>
        <v>18733.630576677533</v>
      </c>
      <c r="AH108" s="1">
        <f>+[13]herbsbyweek!AH11</f>
        <v>5198.2192359729725</v>
      </c>
      <c r="AI108" s="1">
        <f>+[13]herbsbyweek!AI11</f>
        <v>9694.9920208266994</v>
      </c>
      <c r="AJ108" s="1">
        <f>+[13]herbsbyweek!AJ11</f>
        <v>4997.8059642246171</v>
      </c>
      <c r="AK108" s="1">
        <f>+[13]herbsbyweek!AK11</f>
        <v>3457.1289376591335</v>
      </c>
      <c r="AL108" s="1">
        <f>+[13]herbsbyweek!AL11</f>
        <v>3444.6031081748611</v>
      </c>
      <c r="AM108" s="1">
        <f>+[13]herbsbyweek!AM11</f>
        <v>4997.8059642246171</v>
      </c>
      <c r="AN108" s="1">
        <f>+[13]herbsbyweek!AN11</f>
        <v>3544.8097440490392</v>
      </c>
      <c r="AO108" s="1">
        <f>+[13]herbsbyweek!AO11</f>
        <v>0</v>
      </c>
      <c r="AQ108" s="1">
        <f t="shared" si="44"/>
        <v>725738.54378786264</v>
      </c>
    </row>
    <row r="109" spans="2:43" x14ac:dyDescent="0.25">
      <c r="B109" t="s">
        <v>248</v>
      </c>
      <c r="D109" s="1">
        <f>+D108+D107</f>
        <v>0</v>
      </c>
      <c r="E109" s="1">
        <f t="shared" ref="E109:AP109" si="45">+E108+E107</f>
        <v>0</v>
      </c>
      <c r="F109" s="1">
        <f t="shared" si="45"/>
        <v>59174.947625740613</v>
      </c>
      <c r="G109" s="1">
        <f t="shared" si="45"/>
        <v>10256.341115932304</v>
      </c>
      <c r="H109" s="1">
        <f t="shared" si="45"/>
        <v>0</v>
      </c>
      <c r="I109" s="1">
        <f t="shared" si="45"/>
        <v>4968.3169102672573</v>
      </c>
      <c r="J109" s="1">
        <f t="shared" si="45"/>
        <v>34919.384256490186</v>
      </c>
      <c r="K109" s="1">
        <f t="shared" si="45"/>
        <v>99370.358793369465</v>
      </c>
      <c r="L109" s="1">
        <f t="shared" si="45"/>
        <v>50278.099765691899</v>
      </c>
      <c r="M109" s="1">
        <f t="shared" si="45"/>
        <v>59990.938188088359</v>
      </c>
      <c r="N109" s="1">
        <f t="shared" si="45"/>
        <v>57640.438826675287</v>
      </c>
      <c r="O109" s="1">
        <f t="shared" si="45"/>
        <v>70014.161829104545</v>
      </c>
      <c r="P109" s="1">
        <f t="shared" si="45"/>
        <v>96138.63233541364</v>
      </c>
      <c r="Q109" s="1">
        <f t="shared" si="45"/>
        <v>93016.313850210121</v>
      </c>
      <c r="R109" s="1">
        <f t="shared" si="45"/>
        <v>80991.497482308507</v>
      </c>
      <c r="S109" s="1">
        <f t="shared" si="45"/>
        <v>116268.67761973807</v>
      </c>
      <c r="T109" s="1">
        <f t="shared" si="45"/>
        <v>97592.300550322747</v>
      </c>
      <c r="U109" s="1">
        <f t="shared" si="45"/>
        <v>104978.52789060064</v>
      </c>
      <c r="V109" s="1">
        <f t="shared" si="45"/>
        <v>63652.542438275472</v>
      </c>
      <c r="W109" s="1">
        <f t="shared" si="45"/>
        <v>81021.291948716476</v>
      </c>
      <c r="X109" s="1">
        <f t="shared" si="45"/>
        <v>67125.734577743831</v>
      </c>
      <c r="Y109" s="1">
        <f t="shared" si="45"/>
        <v>50564.275339630578</v>
      </c>
      <c r="Z109" s="1">
        <f t="shared" si="45"/>
        <v>36581.082234819725</v>
      </c>
      <c r="AA109" s="1">
        <f t="shared" si="45"/>
        <v>30219.430056047386</v>
      </c>
      <c r="AB109" s="1">
        <f t="shared" si="45"/>
        <v>30371.050449978866</v>
      </c>
      <c r="AC109" s="1">
        <f t="shared" si="45"/>
        <v>29198.783111856817</v>
      </c>
      <c r="AD109" s="1">
        <f t="shared" si="45"/>
        <v>19507.675332859078</v>
      </c>
      <c r="AE109" s="1">
        <f t="shared" si="45"/>
        <v>22623.548767443419</v>
      </c>
      <c r="AF109" s="1">
        <f t="shared" si="45"/>
        <v>12942.706851170196</v>
      </c>
      <c r="AG109" s="1">
        <f t="shared" si="45"/>
        <v>35385.234822837541</v>
      </c>
      <c r="AH109" s="1">
        <f t="shared" si="45"/>
        <v>13578.446071456352</v>
      </c>
      <c r="AI109" s="1">
        <f t="shared" si="45"/>
        <v>19199.668780802986</v>
      </c>
      <c r="AJ109" s="1">
        <f t="shared" si="45"/>
        <v>14944.56071303701</v>
      </c>
      <c r="AK109" s="1">
        <f t="shared" si="45"/>
        <v>6433.7873958222499</v>
      </c>
      <c r="AL109" s="1">
        <f t="shared" si="45"/>
        <v>9309.5044267338726</v>
      </c>
      <c r="AM109" s="1">
        <f t="shared" si="45"/>
        <v>9271.226522973644</v>
      </c>
      <c r="AN109" s="1">
        <f t="shared" si="45"/>
        <v>9232.8798670736087</v>
      </c>
      <c r="AO109" s="1">
        <f t="shared" si="45"/>
        <v>0</v>
      </c>
      <c r="AP109" s="1">
        <f t="shared" si="45"/>
        <v>0</v>
      </c>
      <c r="AQ109" s="1">
        <f t="shared" si="44"/>
        <v>1596762.3667492329</v>
      </c>
    </row>
    <row r="110" spans="2:43" x14ac:dyDescent="0.25">
      <c r="B110" s="1" t="s">
        <v>568</v>
      </c>
      <c r="C110" s="1"/>
      <c r="D110" s="1"/>
      <c r="E110" s="1"/>
      <c r="F110" s="1"/>
      <c r="G110" s="1">
        <f>SUM(C109:G109)</f>
        <v>69431.288741672921</v>
      </c>
      <c r="H110" s="1"/>
      <c r="I110" s="1"/>
      <c r="J110" s="1"/>
      <c r="K110" s="1">
        <f>SUM(H109:K109)</f>
        <v>139258.05996012691</v>
      </c>
      <c r="L110" s="1"/>
      <c r="M110" s="1"/>
      <c r="N110" s="1"/>
      <c r="O110" s="1">
        <f>SUM(L109:O109)</f>
        <v>237923.63860956009</v>
      </c>
      <c r="P110" s="1"/>
      <c r="Q110" s="1"/>
      <c r="R110" s="1"/>
      <c r="S110" s="1">
        <f>SUM(P109:S109)</f>
        <v>386415.12128767034</v>
      </c>
      <c r="T110" s="1"/>
      <c r="U110" s="1"/>
      <c r="V110" s="1"/>
      <c r="W110" s="1"/>
      <c r="X110" s="1">
        <f>SUM(T109:X109)</f>
        <v>414370.3974056592</v>
      </c>
      <c r="Y110" s="1"/>
      <c r="Z110" s="1"/>
      <c r="AA110" s="1"/>
      <c r="AB110" s="1">
        <f>SUM(Y109:AB109)</f>
        <v>147735.83808047656</v>
      </c>
      <c r="AC110" s="1"/>
      <c r="AD110" s="1"/>
      <c r="AE110" s="1"/>
      <c r="AF110" s="1"/>
      <c r="AG110" s="1">
        <f>SUM(AC109:AG109)</f>
        <v>119657.94888616705</v>
      </c>
      <c r="AH110" s="1"/>
      <c r="AI110" s="1"/>
      <c r="AJ110" s="1"/>
      <c r="AK110" s="1">
        <f>SUM(AH109:AK109)</f>
        <v>54156.462961118596</v>
      </c>
      <c r="AL110" s="1"/>
      <c r="AM110" s="1"/>
      <c r="AN110" s="1"/>
      <c r="AO110" s="1">
        <f>SUM(AL109:AO109)</f>
        <v>27813.610816781125</v>
      </c>
      <c r="AP110" s="1"/>
      <c r="AQ110" s="1">
        <f t="shared" si="44"/>
        <v>1596762.3667492326</v>
      </c>
    </row>
    <row r="111" spans="2:43" x14ac:dyDescent="0.25">
      <c r="B111" s="1" t="s">
        <v>579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>
        <f t="shared" si="44"/>
        <v>0</v>
      </c>
    </row>
    <row r="112" spans="2:43" x14ac:dyDescent="0.25">
      <c r="B112" s="1"/>
      <c r="C112" s="1"/>
      <c r="D112" s="1"/>
      <c r="E112" s="1"/>
      <c r="F112" s="1"/>
      <c r="G112" s="1">
        <f>+G111-G110</f>
        <v>-69431.288741672921</v>
      </c>
      <c r="H112" s="1"/>
      <c r="I112" s="1"/>
      <c r="J112" s="1"/>
      <c r="K112" s="1">
        <f>+K111-K110</f>
        <v>-139258.05996012691</v>
      </c>
      <c r="O112" s="1">
        <f>+O111-O110</f>
        <v>-237923.63860956009</v>
      </c>
      <c r="P112" s="1"/>
      <c r="Q112" s="1"/>
      <c r="R112" s="1"/>
      <c r="S112" s="1">
        <f>+S111-S110</f>
        <v>-386415.12128767034</v>
      </c>
      <c r="T112" s="1"/>
      <c r="U112" s="1"/>
      <c r="V112" s="1"/>
      <c r="W112" s="1"/>
      <c r="X112" s="1">
        <f>+X111-X110</f>
        <v>-414370.3974056592</v>
      </c>
      <c r="Y112" s="1"/>
      <c r="Z112" s="1"/>
      <c r="AA112" s="1"/>
      <c r="AB112" s="1">
        <f>+AB111-AB110</f>
        <v>-147735.83808047656</v>
      </c>
      <c r="AC112" s="1"/>
      <c r="AD112" s="1"/>
      <c r="AE112" s="1"/>
      <c r="AF112" s="1"/>
      <c r="AG112" s="1">
        <f>+AG111-AG110</f>
        <v>-119657.94888616705</v>
      </c>
      <c r="AH112" s="1"/>
      <c r="AI112" s="1"/>
      <c r="AJ112" s="1"/>
      <c r="AK112" s="1">
        <f>+AK111-AK110</f>
        <v>-54156.462961118596</v>
      </c>
      <c r="AL112" s="1"/>
      <c r="AM112" s="1"/>
      <c r="AN112" s="1"/>
      <c r="AO112" s="1">
        <f>+AO111-AO110</f>
        <v>-27813.610816781125</v>
      </c>
      <c r="AP112" s="1"/>
      <c r="AQ112" s="1"/>
    </row>
    <row r="113" spans="2:43" x14ac:dyDescent="0.25">
      <c r="B113" s="1"/>
      <c r="C113" s="1"/>
      <c r="D113" s="1"/>
      <c r="E113" s="1"/>
      <c r="G113">
        <f>+G112/G110</f>
        <v>-1</v>
      </c>
      <c r="H113" s="1"/>
      <c r="I113" s="1"/>
      <c r="K113">
        <f>+K112/K110</f>
        <v>-1</v>
      </c>
      <c r="O113">
        <f>+O112/O110</f>
        <v>-1</v>
      </c>
      <c r="P113" s="1"/>
      <c r="Q113" s="1"/>
      <c r="R113" s="1"/>
      <c r="S113">
        <f>+S112/S110</f>
        <v>-1</v>
      </c>
      <c r="T113" s="1"/>
      <c r="U113" s="1"/>
      <c r="V113" s="1"/>
      <c r="X113">
        <f>+X112/X110</f>
        <v>-1</v>
      </c>
      <c r="Y113" s="1"/>
      <c r="Z113" s="1"/>
      <c r="AA113" s="1"/>
      <c r="AB113">
        <f>+AB112/AB110</f>
        <v>-1</v>
      </c>
      <c r="AC113" s="1"/>
      <c r="AD113" s="1"/>
      <c r="AE113" s="1"/>
      <c r="AG113">
        <f>+AG112/AG110</f>
        <v>-1</v>
      </c>
      <c r="AH113" s="1"/>
      <c r="AI113" s="1"/>
      <c r="AK113">
        <f>+AK112/AK110</f>
        <v>-1</v>
      </c>
      <c r="AL113" s="1"/>
      <c r="AM113" s="1"/>
      <c r="AN113" s="1"/>
      <c r="AO113">
        <f>+AO112/AO110</f>
        <v>-1</v>
      </c>
      <c r="AP113" s="1"/>
      <c r="AQ113" s="1"/>
    </row>
    <row r="114" spans="2:43" x14ac:dyDescent="0.25">
      <c r="B114" s="117" t="s">
        <v>583</v>
      </c>
      <c r="D114" s="117">
        <f>+D109+(D109*$G113)</f>
        <v>0</v>
      </c>
      <c r="E114" s="117">
        <f t="shared" ref="E114:G114" si="46">+E109+(E109*$G113)</f>
        <v>0</v>
      </c>
      <c r="F114" s="117">
        <f t="shared" si="46"/>
        <v>0</v>
      </c>
      <c r="G114" s="117">
        <f t="shared" si="46"/>
        <v>0</v>
      </c>
      <c r="H114" s="117">
        <f>+H109+(H109*$K113)</f>
        <v>0</v>
      </c>
      <c r="I114" s="117">
        <f t="shared" ref="I114:K114" si="47">+I109+(I109*$K113)</f>
        <v>0</v>
      </c>
      <c r="J114" s="117">
        <f t="shared" si="47"/>
        <v>0</v>
      </c>
      <c r="K114" s="117">
        <f t="shared" si="47"/>
        <v>0</v>
      </c>
      <c r="L114" s="117">
        <f t="shared" ref="L114" si="48">+L109+(L109*$O113)</f>
        <v>0</v>
      </c>
      <c r="M114" s="117">
        <f t="shared" ref="M114" si="49">+M109+(M109*$O113)</f>
        <v>0</v>
      </c>
      <c r="N114" s="117">
        <f t="shared" ref="N114" si="50">+N109+(N109*$O113)</f>
        <v>0</v>
      </c>
      <c r="O114" s="117">
        <f t="shared" ref="O114" si="51">+O109+(O109*$O113)</f>
        <v>0</v>
      </c>
      <c r="P114" s="117">
        <f>+P109+(P109*$S113)</f>
        <v>0</v>
      </c>
      <c r="Q114" s="117">
        <f t="shared" ref="Q114" si="52">+Q109+(Q109*$S113)</f>
        <v>0</v>
      </c>
      <c r="R114" s="117">
        <f t="shared" ref="R114" si="53">+R109+(R109*$S113)</f>
        <v>0</v>
      </c>
      <c r="S114" s="117">
        <f t="shared" ref="S114" si="54">+S109+(S109*$S113)</f>
        <v>0</v>
      </c>
      <c r="T114" s="117">
        <f>+T109+(T109*$X113)</f>
        <v>0</v>
      </c>
      <c r="U114" s="117">
        <f t="shared" ref="U114:X114" si="55">+U109+(U109*$X113)</f>
        <v>0</v>
      </c>
      <c r="V114" s="117">
        <f t="shared" si="55"/>
        <v>0</v>
      </c>
      <c r="W114" s="117">
        <f t="shared" si="55"/>
        <v>0</v>
      </c>
      <c r="X114" s="117">
        <f t="shared" si="55"/>
        <v>0</v>
      </c>
      <c r="Y114" s="117">
        <f t="shared" ref="Y114" si="56">+Y109+(Y109*$AB113)</f>
        <v>0</v>
      </c>
      <c r="Z114" s="117">
        <f t="shared" ref="Z114" si="57">+Z109+(Z109*$AB113)</f>
        <v>0</v>
      </c>
      <c r="AA114" s="117">
        <f t="shared" ref="AA114:AB114" si="58">+AA109+(AA109*$AB113)</f>
        <v>0</v>
      </c>
      <c r="AB114" s="117">
        <f t="shared" si="58"/>
        <v>0</v>
      </c>
      <c r="AC114" s="117">
        <f>+AC109+(AC109*$AG113)</f>
        <v>0</v>
      </c>
      <c r="AD114" s="117">
        <f t="shared" ref="AD114" si="59">+AD109+(AD109*$AG113)</f>
        <v>0</v>
      </c>
      <c r="AE114" s="117">
        <f t="shared" ref="AE114" si="60">+AE109+(AE109*$AG113)</f>
        <v>0</v>
      </c>
      <c r="AF114" s="117">
        <f t="shared" ref="AF114" si="61">+AF109+(AF109*$AG113)</f>
        <v>0</v>
      </c>
      <c r="AG114" s="117">
        <f t="shared" ref="AG114" si="62">+AG109+(AG109*$AG113)</f>
        <v>0</v>
      </c>
      <c r="AH114" s="117">
        <f>+AH109+(AH109*$AK113)</f>
        <v>0</v>
      </c>
      <c r="AI114" s="117">
        <f t="shared" ref="AI114" si="63">+AI109+(AI109*$AK113)</f>
        <v>0</v>
      </c>
      <c r="AJ114" s="117">
        <f t="shared" ref="AJ114" si="64">+AJ109+(AJ109*$AK113)</f>
        <v>0</v>
      </c>
      <c r="AK114" s="117">
        <f t="shared" ref="AK114" si="65">+AK109+(AK109*$AK113)</f>
        <v>0</v>
      </c>
      <c r="AL114" s="117">
        <f t="shared" ref="AL114:AO114" si="66">+AL109+(AL109*$AO113)</f>
        <v>0</v>
      </c>
      <c r="AM114" s="117">
        <f t="shared" si="66"/>
        <v>0</v>
      </c>
      <c r="AN114" s="117">
        <f t="shared" si="66"/>
        <v>0</v>
      </c>
      <c r="AO114" s="117">
        <f t="shared" si="66"/>
        <v>0</v>
      </c>
      <c r="AP114" s="117"/>
      <c r="AQ114" s="117">
        <f t="shared" ref="AQ114" si="67">SUM(D114:AP114)</f>
        <v>0</v>
      </c>
    </row>
  </sheetData>
  <mergeCells count="2">
    <mergeCell ref="AS34:AT34"/>
    <mergeCell ref="AS31:AT3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829F-0131-4EEA-9FB9-2CF45BF72150}">
  <dimension ref="A1:AR14"/>
  <sheetViews>
    <sheetView workbookViewId="0">
      <selection activeCell="V12" sqref="V12"/>
    </sheetView>
  </sheetViews>
  <sheetFormatPr defaultRowHeight="15" x14ac:dyDescent="0.25"/>
  <cols>
    <col min="1" max="1" width="1.28515625" customWidth="1"/>
    <col min="2" max="2" width="20.140625" customWidth="1"/>
    <col min="3" max="13" width="9.28515625" customWidth="1"/>
    <col min="14" max="43" width="10.28515625" customWidth="1"/>
    <col min="44" max="44" width="5.5703125" customWidth="1"/>
  </cols>
  <sheetData>
    <row r="1" spans="1:44" ht="15.75" x14ac:dyDescent="0.25">
      <c r="A1" s="33" t="s">
        <v>119</v>
      </c>
    </row>
    <row r="2" spans="1:44" x14ac:dyDescent="0.25">
      <c r="C2" s="142">
        <v>45292</v>
      </c>
      <c r="D2" s="142">
        <v>45292</v>
      </c>
      <c r="E2" s="142">
        <v>45292</v>
      </c>
      <c r="F2" s="142">
        <v>45292</v>
      </c>
      <c r="G2" s="142">
        <v>45292</v>
      </c>
      <c r="H2" s="142">
        <v>45323</v>
      </c>
      <c r="I2" s="142">
        <v>45323</v>
      </c>
      <c r="J2" s="142">
        <v>45323</v>
      </c>
      <c r="K2" s="142">
        <v>45323</v>
      </c>
      <c r="L2" s="142">
        <v>45352</v>
      </c>
      <c r="M2" s="142">
        <v>45352</v>
      </c>
      <c r="N2" s="142">
        <v>45352</v>
      </c>
      <c r="O2" s="142">
        <v>45352</v>
      </c>
      <c r="P2" s="142">
        <v>45383</v>
      </c>
      <c r="Q2" s="142">
        <v>45383</v>
      </c>
      <c r="R2" s="142">
        <v>45383</v>
      </c>
      <c r="S2" s="142">
        <v>45383</v>
      </c>
      <c r="T2" s="142">
        <v>45413</v>
      </c>
      <c r="U2" s="142">
        <v>45413</v>
      </c>
      <c r="V2" s="142">
        <v>45413</v>
      </c>
      <c r="W2" s="142">
        <v>45413</v>
      </c>
      <c r="X2" s="142">
        <v>45413</v>
      </c>
      <c r="Y2" s="142">
        <v>45444</v>
      </c>
      <c r="Z2" s="142">
        <v>45444</v>
      </c>
      <c r="AA2" s="142">
        <v>45444</v>
      </c>
      <c r="AB2" s="142">
        <v>45444</v>
      </c>
      <c r="AC2" s="142">
        <v>45474</v>
      </c>
      <c r="AD2" s="142">
        <v>45474</v>
      </c>
      <c r="AE2" s="142">
        <v>45474</v>
      </c>
      <c r="AF2" s="142">
        <v>45474</v>
      </c>
      <c r="AG2" s="142">
        <v>45474</v>
      </c>
      <c r="AH2" s="142">
        <v>45505</v>
      </c>
      <c r="AI2" s="142">
        <v>45505</v>
      </c>
      <c r="AJ2" s="142">
        <v>45505</v>
      </c>
      <c r="AK2" s="142">
        <v>45505</v>
      </c>
      <c r="AL2" s="142">
        <v>45536</v>
      </c>
      <c r="AM2" s="142">
        <v>45536</v>
      </c>
      <c r="AN2" s="142">
        <v>45536</v>
      </c>
      <c r="AO2" s="142">
        <v>45536</v>
      </c>
      <c r="AP2" s="13" t="s">
        <v>282</v>
      </c>
    </row>
    <row r="3" spans="1:44" x14ac:dyDescent="0.25">
      <c r="A3" s="31"/>
      <c r="C3" s="13" t="s">
        <v>491</v>
      </c>
      <c r="D3" s="13" t="s">
        <v>492</v>
      </c>
      <c r="E3" s="13" t="s">
        <v>493</v>
      </c>
      <c r="F3" s="13" t="s">
        <v>494</v>
      </c>
      <c r="G3" s="13" t="s">
        <v>495</v>
      </c>
      <c r="H3" s="13" t="s">
        <v>496</v>
      </c>
      <c r="I3" s="13" t="s">
        <v>263</v>
      </c>
      <c r="J3" s="13" t="s">
        <v>264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54</v>
      </c>
      <c r="U3" s="13" t="s">
        <v>20</v>
      </c>
      <c r="V3" s="13" t="s">
        <v>21</v>
      </c>
      <c r="W3" s="13" t="s">
        <v>22</v>
      </c>
      <c r="X3" s="13" t="s">
        <v>23</v>
      </c>
      <c r="Y3" s="13" t="s">
        <v>24</v>
      </c>
      <c r="Z3" s="13" t="s">
        <v>25</v>
      </c>
      <c r="AA3" s="13" t="s">
        <v>26</v>
      </c>
      <c r="AB3" s="13" t="s">
        <v>27</v>
      </c>
      <c r="AC3" s="13" t="s">
        <v>28</v>
      </c>
      <c r="AD3" s="13" t="s">
        <v>29</v>
      </c>
      <c r="AE3" s="13" t="s">
        <v>30</v>
      </c>
      <c r="AF3" s="13" t="s">
        <v>31</v>
      </c>
      <c r="AG3" s="13" t="s">
        <v>32</v>
      </c>
      <c r="AH3" s="13" t="s">
        <v>33</v>
      </c>
      <c r="AI3" s="13" t="s">
        <v>34</v>
      </c>
      <c r="AJ3" s="13" t="s">
        <v>55</v>
      </c>
      <c r="AK3" s="13" t="s">
        <v>56</v>
      </c>
      <c r="AL3" s="13" t="s">
        <v>57</v>
      </c>
      <c r="AM3" s="13" t="s">
        <v>58</v>
      </c>
      <c r="AN3" s="13" t="s">
        <v>59</v>
      </c>
      <c r="AO3" s="13" t="s">
        <v>60</v>
      </c>
      <c r="AP3" s="13" t="s">
        <v>61</v>
      </c>
      <c r="AQ3" s="5" t="s">
        <v>2</v>
      </c>
    </row>
    <row r="4" spans="1:44" ht="15" customHeight="1" x14ac:dyDescent="0.25">
      <c r="A4" s="31" t="s">
        <v>120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spans="1:44" s="1" customFormat="1" x14ac:dyDescent="0.25">
      <c r="B5" s="1" t="s">
        <v>121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>+Analysis!J5</f>
        <v>21150.878671998868</v>
      </c>
      <c r="L5" s="1">
        <f>+Analysis!K5</f>
        <v>15843.14476521828</v>
      </c>
      <c r="M5" s="1">
        <f>+Analysis!L5</f>
        <v>16337.844630277856</v>
      </c>
      <c r="N5" s="1">
        <f>+Analysis!M5</f>
        <v>22872.479507871412</v>
      </c>
      <c r="O5" s="1">
        <f>+Analysis!N5</f>
        <v>28496.750614274399</v>
      </c>
      <c r="P5" s="1">
        <f>+Analysis!O5</f>
        <v>28130.423067553507</v>
      </c>
      <c r="Q5" s="1">
        <f>+Analysis!P5</f>
        <v>26504.724537938069</v>
      </c>
      <c r="R5" s="1">
        <f>+Analysis!Q5</f>
        <v>28040.556969369245</v>
      </c>
      <c r="S5" s="1">
        <f>+Analysis!R5</f>
        <v>36008.142718062096</v>
      </c>
      <c r="T5" s="1">
        <f>+Analysis!S5</f>
        <v>28371.721217797382</v>
      </c>
      <c r="U5" s="1">
        <f>+Analysis!T5</f>
        <v>28598.290661832849</v>
      </c>
      <c r="V5" s="1">
        <f>+Analysis!U5</f>
        <v>25614.739398676007</v>
      </c>
      <c r="W5" s="1">
        <f>+Analysis!V5</f>
        <v>17868.184744933056</v>
      </c>
      <c r="X5" s="1">
        <f>+Analysis!W5</f>
        <v>14412.12072432342</v>
      </c>
      <c r="Y5" s="1">
        <f>+Analysis!X5</f>
        <v>9788.5457948314306</v>
      </c>
      <c r="Z5" s="1">
        <f>+Analysis!Y5</f>
        <v>7457.8570977862255</v>
      </c>
      <c r="AA5" s="1">
        <f>+Analysis!Z5</f>
        <v>3996.0384126032104</v>
      </c>
      <c r="AB5" s="1">
        <f>+Analysis!AA5</f>
        <v>4110.3967053800252</v>
      </c>
      <c r="AC5" s="1">
        <f>+Analysis!AB5</f>
        <v>4152.9184180494804</v>
      </c>
      <c r="AD5" s="1">
        <f>+Analysis!AC5</f>
        <v>3098.2831296937925</v>
      </c>
      <c r="AE5" s="1">
        <f>+Analysis!AD5</f>
        <v>2615.0471094367472</v>
      </c>
      <c r="AF5" s="1">
        <f>+Analysis!AE5</f>
        <v>2710.6424468202326</v>
      </c>
      <c r="AG5" s="1">
        <f>+Analysis!AF5</f>
        <v>13058.470101498413</v>
      </c>
      <c r="AH5" s="1">
        <f>+Analysis!AG5</f>
        <v>3273.0952041177247</v>
      </c>
      <c r="AI5" s="1">
        <f>+Analysis!AH5</f>
        <v>1835.6805521965291</v>
      </c>
      <c r="AJ5" s="1">
        <f>+Analysis!AI5</f>
        <v>2879.163267485199</v>
      </c>
      <c r="AK5" s="1">
        <f>+Analysis!AJ5</f>
        <v>1860.5089798436936</v>
      </c>
      <c r="AL5" s="1">
        <f>+Analysis!AK5</f>
        <v>1671.7865873467435</v>
      </c>
      <c r="AM5" s="1">
        <f>+Analysis!AL5</f>
        <v>0</v>
      </c>
      <c r="AN5" s="1">
        <f>+Analysis!AM5</f>
        <v>0</v>
      </c>
      <c r="AO5" s="1">
        <f>+Analysis!AN5</f>
        <v>0</v>
      </c>
      <c r="AP5" s="1">
        <f>+Analysis!AO5</f>
        <v>0</v>
      </c>
      <c r="AQ5" s="1">
        <f>SUM(C5:AP5)</f>
        <v>400758.43603721581</v>
      </c>
    </row>
    <row r="6" spans="1:44" s="1" customFormat="1" x14ac:dyDescent="0.25">
      <c r="B6" s="1" t="s">
        <v>89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f>+Analysis!K6</f>
        <v>23183</v>
      </c>
      <c r="L6" s="1">
        <f>+Analysis!L6</f>
        <v>12890</v>
      </c>
      <c r="M6" s="1">
        <f>+Analysis!M6</f>
        <v>13658</v>
      </c>
      <c r="N6" s="1">
        <f>+Analysis!N6</f>
        <v>21966</v>
      </c>
      <c r="O6" s="1">
        <f>+Analysis!O6</f>
        <v>26529</v>
      </c>
      <c r="P6" s="1">
        <f>+Analysis!P6</f>
        <v>26904</v>
      </c>
      <c r="Q6" s="1">
        <f>+Analysis!Q6</f>
        <v>27739</v>
      </c>
      <c r="R6" s="1">
        <f>+Analysis!R6</f>
        <v>25903</v>
      </c>
      <c r="S6" s="1">
        <f>+Analysis!S6</f>
        <v>26759</v>
      </c>
      <c r="T6" s="1">
        <f>+Analysis!T6</f>
        <v>31438</v>
      </c>
      <c r="U6" s="1">
        <f>+Analysis!U6</f>
        <v>24515</v>
      </c>
      <c r="V6" s="1">
        <f>+Analysis!V6</f>
        <v>30205</v>
      </c>
      <c r="W6" s="1">
        <f>+Analysis!W6</f>
        <v>27556</v>
      </c>
      <c r="X6" s="1">
        <f>+Analysis!X6</f>
        <v>14779</v>
      </c>
      <c r="Y6" s="1">
        <f>+Analysis!Y6</f>
        <v>10023</v>
      </c>
      <c r="Z6" s="1">
        <f>+Analysis!Z6</f>
        <v>8365</v>
      </c>
      <c r="AA6" s="1">
        <f>+Analysis!AA6</f>
        <v>6458</v>
      </c>
      <c r="AB6" s="1">
        <f>+Analysis!AB6</f>
        <v>5371</v>
      </c>
      <c r="AC6" s="1">
        <f>+Analysis!AC6</f>
        <v>4099</v>
      </c>
      <c r="AD6" s="1">
        <f>+Analysis!AD6</f>
        <v>3964</v>
      </c>
      <c r="AE6" s="1">
        <f>+Analysis!AE6</f>
        <v>1756</v>
      </c>
      <c r="AF6" s="1">
        <f>+Analysis!AF6</f>
        <v>1779</v>
      </c>
      <c r="AG6" s="1">
        <f>+Analysis!AG6</f>
        <v>12147</v>
      </c>
      <c r="AH6" s="1">
        <f>+Analysis!AH6</f>
        <v>2253</v>
      </c>
      <c r="AI6" s="1">
        <f>+Analysis!AI6</f>
        <v>2324</v>
      </c>
      <c r="AJ6" s="1">
        <f>+Analysis!AJ6</f>
        <v>2349</v>
      </c>
      <c r="AK6" s="1">
        <f>+Analysis!AK6</f>
        <v>1761</v>
      </c>
      <c r="AL6" s="1">
        <f>+Analysis!AL6</f>
        <v>958</v>
      </c>
      <c r="AM6" s="1">
        <f>+Analysis!AM6</f>
        <v>477</v>
      </c>
      <c r="AN6" s="1">
        <f>+Analysis!AN6</f>
        <v>0</v>
      </c>
      <c r="AO6" s="1">
        <f>+Analysis!AO6</f>
        <v>0</v>
      </c>
      <c r="AP6" s="1">
        <f>+Analysis!AP6</f>
        <v>0</v>
      </c>
      <c r="AQ6" s="1">
        <f t="shared" ref="AQ6:AQ7" si="0">SUM(C6:AP6)</f>
        <v>398108</v>
      </c>
      <c r="AR6" s="1">
        <v>0.65247285268804101</v>
      </c>
    </row>
    <row r="7" spans="1:44" s="1" customFormat="1" x14ac:dyDescent="0.25">
      <c r="B7" s="1" t="s">
        <v>189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f>+K6-K5</f>
        <v>2032.1213280011325</v>
      </c>
      <c r="L7" s="1">
        <f t="shared" ref="L7:AP7" si="1">+L6-L5</f>
        <v>-2953.1447652182796</v>
      </c>
      <c r="M7" s="1">
        <f t="shared" si="1"/>
        <v>-2679.8446302778557</v>
      </c>
      <c r="N7" s="1">
        <f t="shared" si="1"/>
        <v>-906.47950787141235</v>
      </c>
      <c r="O7" s="1">
        <f t="shared" si="1"/>
        <v>-1967.7506142743987</v>
      </c>
      <c r="P7" s="1">
        <f t="shared" si="1"/>
        <v>-1226.4230675535073</v>
      </c>
      <c r="Q7" s="1">
        <f t="shared" si="1"/>
        <v>1234.2754620619307</v>
      </c>
      <c r="R7" s="1">
        <f t="shared" si="1"/>
        <v>-2137.5569693692451</v>
      </c>
      <c r="S7" s="1">
        <f t="shared" si="1"/>
        <v>-9249.1427180620958</v>
      </c>
      <c r="T7" s="1">
        <f t="shared" si="1"/>
        <v>3066.2787822026185</v>
      </c>
      <c r="U7" s="1">
        <f t="shared" si="1"/>
        <v>-4083.2906618328489</v>
      </c>
      <c r="V7" s="1">
        <f t="shared" si="1"/>
        <v>4590.2606013239929</v>
      </c>
      <c r="W7" s="1">
        <f t="shared" si="1"/>
        <v>9687.8152550669438</v>
      </c>
      <c r="X7" s="1">
        <f t="shared" si="1"/>
        <v>366.87927567657971</v>
      </c>
      <c r="Y7" s="1">
        <f t="shared" si="1"/>
        <v>234.45420516856939</v>
      </c>
      <c r="Z7" s="1">
        <f t="shared" si="1"/>
        <v>907.14290221377451</v>
      </c>
      <c r="AA7" s="1">
        <f t="shared" si="1"/>
        <v>2461.9615873967896</v>
      </c>
      <c r="AB7" s="1">
        <f t="shared" si="1"/>
        <v>1260.6032946199748</v>
      </c>
      <c r="AC7" s="1">
        <f t="shared" si="1"/>
        <v>-53.918418049480351</v>
      </c>
      <c r="AD7" s="1">
        <f t="shared" si="1"/>
        <v>865.71687030620751</v>
      </c>
      <c r="AE7" s="1">
        <f t="shared" si="1"/>
        <v>-859.04710943674718</v>
      </c>
      <c r="AF7" s="1">
        <f t="shared" si="1"/>
        <v>-931.64244682023264</v>
      </c>
      <c r="AG7" s="1">
        <f t="shared" si="1"/>
        <v>-911.47010149841299</v>
      </c>
      <c r="AH7" s="1">
        <f t="shared" si="1"/>
        <v>-1020.0952041177247</v>
      </c>
      <c r="AI7" s="1">
        <f t="shared" si="1"/>
        <v>488.31944780347089</v>
      </c>
      <c r="AJ7" s="1">
        <f t="shared" si="1"/>
        <v>-530.16326748519896</v>
      </c>
      <c r="AK7" s="1">
        <f t="shared" si="1"/>
        <v>-99.508979843693623</v>
      </c>
      <c r="AL7" s="1">
        <f t="shared" si="1"/>
        <v>-713.78658734674354</v>
      </c>
      <c r="AM7" s="1">
        <f t="shared" si="1"/>
        <v>477</v>
      </c>
      <c r="AN7" s="1">
        <f t="shared" si="1"/>
        <v>0</v>
      </c>
      <c r="AO7" s="1">
        <f t="shared" si="1"/>
        <v>0</v>
      </c>
      <c r="AP7" s="1">
        <f t="shared" si="1"/>
        <v>0</v>
      </c>
      <c r="AQ7" s="1">
        <f t="shared" si="0"/>
        <v>-2650.4360372158908</v>
      </c>
    </row>
    <row r="8" spans="1:44" s="1" customFormat="1" x14ac:dyDescent="0.25">
      <c r="B8" s="1" t="s">
        <v>158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>+K7</f>
        <v>2032.1213280011325</v>
      </c>
      <c r="L8" s="1">
        <f>+K8+L7</f>
        <v>-921.02343721714715</v>
      </c>
      <c r="M8" s="1">
        <f t="shared" ref="M8:AP8" si="2">+L8+M7</f>
        <v>-3600.8680674950028</v>
      </c>
      <c r="N8" s="1">
        <f t="shared" si="2"/>
        <v>-4507.3475753664152</v>
      </c>
      <c r="O8" s="1">
        <f t="shared" si="2"/>
        <v>-6475.0981896408139</v>
      </c>
      <c r="P8" s="1">
        <f t="shared" si="2"/>
        <v>-7701.5212571943212</v>
      </c>
      <c r="Q8" s="1">
        <f t="shared" si="2"/>
        <v>-6467.2457951323904</v>
      </c>
      <c r="R8" s="1">
        <f t="shared" si="2"/>
        <v>-8604.8027645016355</v>
      </c>
      <c r="S8" s="1">
        <f t="shared" si="2"/>
        <v>-17853.945482563729</v>
      </c>
      <c r="T8" s="1">
        <f t="shared" si="2"/>
        <v>-14787.666700361111</v>
      </c>
      <c r="U8" s="1">
        <f t="shared" si="2"/>
        <v>-18870.95736219396</v>
      </c>
      <c r="V8" s="1">
        <f t="shared" si="2"/>
        <v>-14280.696760869967</v>
      </c>
      <c r="W8" s="1">
        <f t="shared" si="2"/>
        <v>-4592.8815058030232</v>
      </c>
      <c r="X8" s="1">
        <f t="shared" si="2"/>
        <v>-4226.0022301264435</v>
      </c>
      <c r="Y8" s="1">
        <f t="shared" si="2"/>
        <v>-3991.5480249578741</v>
      </c>
      <c r="Z8" s="1">
        <f t="shared" si="2"/>
        <v>-3084.4051227440996</v>
      </c>
      <c r="AA8" s="1">
        <f t="shared" si="2"/>
        <v>-622.44353534730999</v>
      </c>
      <c r="AB8" s="1">
        <f t="shared" si="2"/>
        <v>638.15975927266481</v>
      </c>
      <c r="AC8" s="1">
        <f t="shared" si="2"/>
        <v>584.24134122318446</v>
      </c>
      <c r="AD8" s="1">
        <f t="shared" si="2"/>
        <v>1449.958211529392</v>
      </c>
      <c r="AE8" s="1">
        <f t="shared" si="2"/>
        <v>590.9111020926448</v>
      </c>
      <c r="AF8" s="1">
        <f t="shared" si="2"/>
        <v>-340.73134472758784</v>
      </c>
      <c r="AG8" s="1">
        <f t="shared" si="2"/>
        <v>-1252.2014462260008</v>
      </c>
      <c r="AH8" s="1">
        <f t="shared" si="2"/>
        <v>-2272.2966503437256</v>
      </c>
      <c r="AI8" s="1">
        <f t="shared" si="2"/>
        <v>-1783.9772025402547</v>
      </c>
      <c r="AJ8" s="1">
        <f t="shared" si="2"/>
        <v>-2314.1404700254534</v>
      </c>
      <c r="AK8" s="1">
        <f t="shared" si="2"/>
        <v>-2413.6494498691472</v>
      </c>
      <c r="AL8" s="1">
        <f t="shared" si="2"/>
        <v>-3127.4360372158908</v>
      </c>
      <c r="AM8" s="1">
        <f t="shared" si="2"/>
        <v>-2650.4360372158908</v>
      </c>
      <c r="AN8" s="1">
        <f t="shared" si="2"/>
        <v>-2650.4360372158908</v>
      </c>
      <c r="AO8" s="1">
        <f t="shared" si="2"/>
        <v>-2650.4360372158908</v>
      </c>
      <c r="AP8" s="1">
        <f t="shared" si="2"/>
        <v>-2650.4360372158908</v>
      </c>
    </row>
    <row r="10" spans="1:44" x14ac:dyDescent="0.25">
      <c r="A10" s="31" t="s">
        <v>159</v>
      </c>
    </row>
    <row r="11" spans="1:44" x14ac:dyDescent="0.25">
      <c r="B11" t="s">
        <v>121</v>
      </c>
      <c r="K11" s="1">
        <f>+Analysis!J11</f>
        <v>189796.41412518779</v>
      </c>
      <c r="L11" s="1">
        <f>+Analysis!K11</f>
        <v>139865.45744432064</v>
      </c>
      <c r="M11" s="1">
        <f>+Analysis!L11</f>
        <v>143251.96860042622</v>
      </c>
      <c r="N11" s="1">
        <f>+Analysis!M11</f>
        <v>193399.92361406583</v>
      </c>
      <c r="O11" s="1">
        <f>+Analysis!N11</f>
        <v>245150.32375622113</v>
      </c>
      <c r="P11" s="1">
        <f>+Analysis!O11</f>
        <v>243672.13516636478</v>
      </c>
      <c r="Q11" s="1">
        <f>+Analysis!P11</f>
        <v>226912.65920943118</v>
      </c>
      <c r="R11" s="1">
        <f>+Analysis!Q11</f>
        <v>233843.64802968147</v>
      </c>
      <c r="S11" s="1">
        <f>+Analysis!R11</f>
        <v>307694.95668888895</v>
      </c>
      <c r="T11" s="1">
        <f>+Analysis!S11</f>
        <v>235851.11859339935</v>
      </c>
      <c r="U11" s="1">
        <f>+Analysis!T11</f>
        <v>237990.21399937203</v>
      </c>
      <c r="V11" s="1">
        <f>+Analysis!U11</f>
        <v>213793.73951828069</v>
      </c>
      <c r="W11" s="1">
        <f>+Analysis!V11</f>
        <v>147782.31771582231</v>
      </c>
      <c r="X11" s="1">
        <f>+Analysis!W11</f>
        <v>118844.95442524258</v>
      </c>
      <c r="Y11" s="1">
        <f>+Analysis!X11</f>
        <v>80727.860915380908</v>
      </c>
      <c r="Z11" s="1">
        <f>+Analysis!Y11</f>
        <v>61199.537970612684</v>
      </c>
      <c r="AA11" s="1">
        <f>+Analysis!Z11</f>
        <v>32737.746570618852</v>
      </c>
      <c r="AB11" s="1">
        <f>+Analysis!AA11</f>
        <v>33674.632661445263</v>
      </c>
      <c r="AC11" s="1">
        <f>+Analysis!AB11</f>
        <v>34022.99394063888</v>
      </c>
      <c r="AD11" s="1">
        <f>+Analysis!AC11</f>
        <v>25382.84106179608</v>
      </c>
      <c r="AE11" s="1">
        <f>+Analysis!AD11</f>
        <v>21423.905553299894</v>
      </c>
      <c r="AF11" s="1">
        <f>+Analysis!AE11</f>
        <v>22207.075184183046</v>
      </c>
      <c r="AG11" s="1">
        <f>+Analysis!AF11</f>
        <v>106982.176005751</v>
      </c>
      <c r="AH11" s="1">
        <f>+Analysis!AG11</f>
        <v>26814.997812823571</v>
      </c>
      <c r="AI11" s="1">
        <f>+Analysis!AH11</f>
        <v>15038.905660387334</v>
      </c>
      <c r="AJ11" s="1">
        <f>+Analysis!AI11</f>
        <v>23587.69052096314</v>
      </c>
      <c r="AK11" s="1">
        <f>+Analysis!AJ11</f>
        <v>15242.313808190975</v>
      </c>
      <c r="AL11" s="1">
        <f>+Analysis!AK11</f>
        <v>13696.196073616662</v>
      </c>
      <c r="AM11" s="1">
        <f>+Analysis!AL11</f>
        <v>0</v>
      </c>
      <c r="AN11" s="1">
        <f>+Analysis!AM11</f>
        <v>0</v>
      </c>
      <c r="AO11" s="1">
        <f>+Analysis!AN11</f>
        <v>0</v>
      </c>
      <c r="AP11" s="1">
        <f>+Analysis!AO11</f>
        <v>0</v>
      </c>
      <c r="AQ11" s="1">
        <f>SUM(C11:AP11)</f>
        <v>3390588.7046264131</v>
      </c>
    </row>
    <row r="12" spans="1:44" x14ac:dyDescent="0.25">
      <c r="B12" t="s">
        <v>89</v>
      </c>
      <c r="K12" s="1">
        <f>+Analysis!K12</f>
        <v>187056.38975000003</v>
      </c>
      <c r="L12" s="1">
        <f>+Analysis!L12</f>
        <v>110379.05</v>
      </c>
      <c r="M12" s="1">
        <f>+Analysis!M12</f>
        <v>115065.14400000001</v>
      </c>
      <c r="N12" s="1">
        <f>+Analysis!N12</f>
        <v>189479.97005</v>
      </c>
      <c r="O12" s="1">
        <f>+Analysis!O12</f>
        <v>238418.26310000004</v>
      </c>
      <c r="P12" s="1">
        <f>+Analysis!P12</f>
        <v>215552.87495</v>
      </c>
      <c r="Q12" s="1">
        <f>+Analysis!Q12</f>
        <v>243550.37330000001</v>
      </c>
      <c r="R12" s="1">
        <f>+Analysis!R12</f>
        <v>224286.45215000003</v>
      </c>
      <c r="S12" s="1">
        <f>+Analysis!S12</f>
        <v>232564.36599999998</v>
      </c>
      <c r="T12" s="1">
        <f>+Analysis!T12</f>
        <v>272743.41235</v>
      </c>
      <c r="U12" s="1">
        <f>+Analysis!U12</f>
        <v>214067.86620000005</v>
      </c>
      <c r="V12" s="1">
        <f>+Analysis!V12</f>
        <v>264799.90229999996</v>
      </c>
      <c r="W12" s="1">
        <f>+Analysis!W12</f>
        <v>239739.19870000004</v>
      </c>
      <c r="X12" s="1">
        <f>+Analysis!X12</f>
        <v>120715.9198</v>
      </c>
      <c r="Y12" s="1">
        <f>+Analysis!Y12</f>
        <v>84380.088800000012</v>
      </c>
      <c r="Z12" s="1">
        <f>+Analysis!Z12</f>
        <v>67315.373999999996</v>
      </c>
      <c r="AA12" s="1">
        <f>+Analysis!AA12</f>
        <v>52179.860800000009</v>
      </c>
      <c r="AB12" s="1">
        <f>+Analysis!AB12</f>
        <v>41434.040800000002</v>
      </c>
      <c r="AC12" s="1">
        <f>+Analysis!AC12</f>
        <v>32402.357199999999</v>
      </c>
      <c r="AD12" s="1">
        <f>+Analysis!AD12</f>
        <v>29417.166499999999</v>
      </c>
      <c r="AE12" s="1">
        <f>+Analysis!AE12</f>
        <v>14916.918999999998</v>
      </c>
      <c r="AF12" s="1">
        <f>+Analysis!AF12</f>
        <v>14554.029449999998</v>
      </c>
      <c r="AG12" s="1">
        <f>+Analysis!AG12</f>
        <v>86107.193150000006</v>
      </c>
      <c r="AH12" s="1">
        <f>+Analysis!AH12</f>
        <v>19464.68665</v>
      </c>
      <c r="AI12" s="1">
        <f>+Analysis!AI12</f>
        <v>20242.978450000002</v>
      </c>
      <c r="AJ12" s="1">
        <f>+Analysis!AJ12</f>
        <v>19351.817300000002</v>
      </c>
      <c r="AK12" s="1">
        <f>+Analysis!AK12</f>
        <v>15003.6268</v>
      </c>
      <c r="AL12" s="1">
        <f>+Analysis!AL12</f>
        <v>7738.1</v>
      </c>
      <c r="AM12" s="1">
        <f>+Analysis!AM12</f>
        <v>3836.9425000000001</v>
      </c>
      <c r="AN12" s="1">
        <f>+Analysis!AN12</f>
        <v>-329.73400000000004</v>
      </c>
      <c r="AO12" s="1">
        <f>+Analysis!AO12</f>
        <v>0</v>
      </c>
      <c r="AP12" s="1">
        <f>+Analysis!AP12</f>
        <v>0</v>
      </c>
      <c r="AQ12" s="1">
        <f t="shared" ref="AQ12:AQ13" si="3">SUM(C12:AP12)</f>
        <v>3376434.6300499998</v>
      </c>
    </row>
    <row r="13" spans="1:44" x14ac:dyDescent="0.25">
      <c r="B13" s="24" t="s">
        <v>189</v>
      </c>
      <c r="K13" s="1">
        <f>+K12-K11</f>
        <v>-2740.024375187757</v>
      </c>
      <c r="L13" s="1">
        <f t="shared" ref="L13:AP13" si="4">+L12-L11</f>
        <v>-29486.407444320634</v>
      </c>
      <c r="M13" s="1">
        <f t="shared" si="4"/>
        <v>-28186.824600426204</v>
      </c>
      <c r="N13" s="1">
        <f t="shared" si="4"/>
        <v>-3919.9535640658287</v>
      </c>
      <c r="O13" s="1">
        <f t="shared" si="4"/>
        <v>-6732.0606562210887</v>
      </c>
      <c r="P13" s="1">
        <f t="shared" si="4"/>
        <v>-28119.260216364783</v>
      </c>
      <c r="Q13" s="1">
        <f t="shared" si="4"/>
        <v>16637.714090568828</v>
      </c>
      <c r="R13" s="1">
        <f t="shared" si="4"/>
        <v>-9557.1958796814433</v>
      </c>
      <c r="S13" s="1">
        <f t="shared" si="4"/>
        <v>-75130.590688888973</v>
      </c>
      <c r="T13" s="1">
        <f t="shared" si="4"/>
        <v>36892.293756600644</v>
      </c>
      <c r="U13" s="1">
        <f t="shared" si="4"/>
        <v>-23922.347799371986</v>
      </c>
      <c r="V13" s="1">
        <f t="shared" si="4"/>
        <v>51006.162781719264</v>
      </c>
      <c r="W13" s="1">
        <f t="shared" si="4"/>
        <v>91956.880984177726</v>
      </c>
      <c r="X13" s="1">
        <f t="shared" si="4"/>
        <v>1870.9653747574193</v>
      </c>
      <c r="Y13" s="1">
        <f t="shared" si="4"/>
        <v>3652.2278846191039</v>
      </c>
      <c r="Z13" s="1">
        <f t="shared" si="4"/>
        <v>6115.836029387312</v>
      </c>
      <c r="AA13" s="1">
        <f t="shared" si="4"/>
        <v>19442.114229381157</v>
      </c>
      <c r="AB13" s="1">
        <f t="shared" si="4"/>
        <v>7759.4081385547397</v>
      </c>
      <c r="AC13" s="1">
        <f t="shared" si="4"/>
        <v>-1620.6367406388817</v>
      </c>
      <c r="AD13" s="1">
        <f t="shared" si="4"/>
        <v>4034.3254382039195</v>
      </c>
      <c r="AE13" s="1">
        <f t="shared" si="4"/>
        <v>-6506.9865532998956</v>
      </c>
      <c r="AF13" s="1">
        <f t="shared" si="4"/>
        <v>-7653.0457341830479</v>
      </c>
      <c r="AG13" s="1">
        <f t="shared" si="4"/>
        <v>-20874.98285575099</v>
      </c>
      <c r="AH13" s="1">
        <f t="shared" si="4"/>
        <v>-7350.3111628235711</v>
      </c>
      <c r="AI13" s="1">
        <f t="shared" si="4"/>
        <v>5204.0727896126682</v>
      </c>
      <c r="AJ13" s="1">
        <f t="shared" si="4"/>
        <v>-4235.873220963138</v>
      </c>
      <c r="AK13" s="1">
        <f t="shared" si="4"/>
        <v>-238.68700819097467</v>
      </c>
      <c r="AL13" s="1">
        <f t="shared" si="4"/>
        <v>-5958.0960736166617</v>
      </c>
      <c r="AM13" s="1">
        <f t="shared" si="4"/>
        <v>3836.9425000000001</v>
      </c>
      <c r="AN13" s="1">
        <f t="shared" si="4"/>
        <v>-329.73400000000004</v>
      </c>
      <c r="AO13" s="1">
        <f t="shared" si="4"/>
        <v>0</v>
      </c>
      <c r="AP13" s="1">
        <f t="shared" si="4"/>
        <v>0</v>
      </c>
      <c r="AQ13" s="1">
        <f t="shared" si="3"/>
        <v>-14154.074576413077</v>
      </c>
    </row>
    <row r="14" spans="1:44" x14ac:dyDescent="0.25">
      <c r="A14" s="24"/>
      <c r="B14" s="24" t="s">
        <v>158</v>
      </c>
      <c r="K14" s="1">
        <f>+K13</f>
        <v>-2740.024375187757</v>
      </c>
      <c r="L14" s="1">
        <f>+K14+L13</f>
        <v>-32226.431819508391</v>
      </c>
      <c r="M14" s="1">
        <f t="shared" ref="M14:AP14" si="5">+L14+M13</f>
        <v>-60413.256419934594</v>
      </c>
      <c r="N14" s="1">
        <f t="shared" si="5"/>
        <v>-64333.209984000423</v>
      </c>
      <c r="O14" s="1">
        <f t="shared" si="5"/>
        <v>-71065.270640221512</v>
      </c>
      <c r="P14" s="1">
        <f t="shared" si="5"/>
        <v>-99184.530856586294</v>
      </c>
      <c r="Q14" s="1">
        <f t="shared" si="5"/>
        <v>-82546.816766017466</v>
      </c>
      <c r="R14" s="1">
        <f t="shared" si="5"/>
        <v>-92104.012645698909</v>
      </c>
      <c r="S14" s="1">
        <f t="shared" si="5"/>
        <v>-167234.60333458788</v>
      </c>
      <c r="T14" s="1">
        <f t="shared" si="5"/>
        <v>-130342.30957798724</v>
      </c>
      <c r="U14" s="1">
        <f t="shared" si="5"/>
        <v>-154264.65737735922</v>
      </c>
      <c r="V14" s="1">
        <f t="shared" si="5"/>
        <v>-103258.49459563996</v>
      </c>
      <c r="W14" s="1">
        <f t="shared" si="5"/>
        <v>-11301.613611462235</v>
      </c>
      <c r="X14" s="1">
        <f t="shared" si="5"/>
        <v>-9430.6482367048156</v>
      </c>
      <c r="Y14" s="1">
        <f t="shared" si="5"/>
        <v>-5778.4203520857118</v>
      </c>
      <c r="Z14" s="1">
        <f t="shared" si="5"/>
        <v>337.41567730160023</v>
      </c>
      <c r="AA14" s="1">
        <f t="shared" si="5"/>
        <v>19779.529906682757</v>
      </c>
      <c r="AB14" s="1">
        <f t="shared" si="5"/>
        <v>27538.938045237497</v>
      </c>
      <c r="AC14" s="1">
        <f t="shared" si="5"/>
        <v>25918.301304598615</v>
      </c>
      <c r="AD14" s="1">
        <f t="shared" si="5"/>
        <v>29952.626742802535</v>
      </c>
      <c r="AE14" s="1">
        <f t="shared" si="5"/>
        <v>23445.640189502639</v>
      </c>
      <c r="AF14" s="1">
        <f t="shared" si="5"/>
        <v>15792.594455319591</v>
      </c>
      <c r="AG14" s="1">
        <f t="shared" si="5"/>
        <v>-5082.3884004313986</v>
      </c>
      <c r="AH14" s="1">
        <f t="shared" si="5"/>
        <v>-12432.69956325497</v>
      </c>
      <c r="AI14" s="1">
        <f t="shared" si="5"/>
        <v>-7228.6267736423015</v>
      </c>
      <c r="AJ14" s="1">
        <f t="shared" si="5"/>
        <v>-11464.499994605439</v>
      </c>
      <c r="AK14" s="1">
        <f t="shared" si="5"/>
        <v>-11703.187002796414</v>
      </c>
      <c r="AL14" s="1">
        <f t="shared" si="5"/>
        <v>-17661.283076413078</v>
      </c>
      <c r="AM14" s="1">
        <f t="shared" si="5"/>
        <v>-13824.340576413077</v>
      </c>
      <c r="AN14" s="1">
        <f t="shared" si="5"/>
        <v>-14154.074576413077</v>
      </c>
      <c r="AO14" s="1">
        <f t="shared" si="5"/>
        <v>-14154.074576413077</v>
      </c>
      <c r="AP14" s="1">
        <f t="shared" si="5"/>
        <v>-14154.074576413077</v>
      </c>
    </row>
  </sheetData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86"/>
  <sheetViews>
    <sheetView zoomScaleNormal="100" workbookViewId="0">
      <pane xSplit="3" ySplit="2" topLeftCell="Y35" activePane="bottomRight" state="frozen"/>
      <selection activeCell="AT77" activeCellId="3" sqref="AT4:AT23 AT28:AT47 AT52:AT71 AT77:AT90"/>
      <selection pane="topRight" activeCell="AT77" activeCellId="3" sqref="AT4:AT23 AT28:AT47 AT52:AT71 AT77:AT90"/>
      <selection pane="bottomLeft" activeCell="AT77" activeCellId="3" sqref="AT4:AT23 AT28:AT47 AT52:AT71 AT77:AT90"/>
      <selection pane="bottomRight" activeCell="AT73" sqref="AT73:AT81"/>
    </sheetView>
  </sheetViews>
  <sheetFormatPr defaultRowHeight="15" x14ac:dyDescent="0.25"/>
  <cols>
    <col min="1" max="1" width="3.42578125" style="2" customWidth="1"/>
    <col min="2" max="2" width="5.42578125" style="2" customWidth="1"/>
    <col min="3" max="3" width="28.85546875" customWidth="1"/>
    <col min="4" max="43" width="9.140625" style="1" customWidth="1"/>
    <col min="44" max="44" width="9.140625" style="3" customWidth="1"/>
    <col min="46" max="46" width="10" customWidth="1"/>
  </cols>
  <sheetData>
    <row r="1" spans="1:46" x14ac:dyDescent="0.25">
      <c r="A1" s="2" t="s">
        <v>532</v>
      </c>
      <c r="D1" s="142">
        <v>45292</v>
      </c>
      <c r="E1" s="142">
        <v>45292</v>
      </c>
      <c r="F1" s="142">
        <v>45292</v>
      </c>
      <c r="G1" s="142">
        <v>45292</v>
      </c>
      <c r="H1" s="142">
        <v>45292</v>
      </c>
      <c r="I1" s="142">
        <v>45323</v>
      </c>
      <c r="J1" s="142">
        <v>45323</v>
      </c>
      <c r="K1" s="142">
        <v>45323</v>
      </c>
      <c r="L1" s="142">
        <v>45323</v>
      </c>
      <c r="M1" s="142">
        <v>45352</v>
      </c>
      <c r="N1" s="142">
        <v>45352</v>
      </c>
      <c r="O1" s="142">
        <v>45352</v>
      </c>
      <c r="P1" s="142">
        <v>45352</v>
      </c>
      <c r="Q1" s="142">
        <v>45383</v>
      </c>
      <c r="R1" s="142">
        <v>45383</v>
      </c>
      <c r="S1" s="142">
        <v>45383</v>
      </c>
      <c r="T1" s="142">
        <v>45383</v>
      </c>
      <c r="U1" s="142">
        <v>45413</v>
      </c>
      <c r="V1" s="142">
        <v>45413</v>
      </c>
      <c r="W1" s="142">
        <v>45413</v>
      </c>
      <c r="X1" s="142">
        <v>45413</v>
      </c>
      <c r="Y1" s="142">
        <v>45413</v>
      </c>
      <c r="Z1" s="142">
        <v>45444</v>
      </c>
      <c r="AA1" s="142">
        <v>45444</v>
      </c>
      <c r="AB1" s="142">
        <v>45444</v>
      </c>
      <c r="AC1" s="142">
        <v>45444</v>
      </c>
      <c r="AD1" s="142">
        <v>45474</v>
      </c>
      <c r="AE1" s="142">
        <v>45474</v>
      </c>
      <c r="AF1" s="142">
        <v>45474</v>
      </c>
      <c r="AG1" s="142">
        <v>45474</v>
      </c>
      <c r="AH1" s="142">
        <v>45474</v>
      </c>
      <c r="AI1" s="142">
        <v>45505</v>
      </c>
      <c r="AJ1" s="142">
        <v>45505</v>
      </c>
      <c r="AK1" s="142">
        <v>45505</v>
      </c>
      <c r="AL1" s="142">
        <v>45505</v>
      </c>
      <c r="AM1" s="142">
        <v>45536</v>
      </c>
      <c r="AN1" s="142">
        <v>45536</v>
      </c>
      <c r="AO1" s="142">
        <v>45536</v>
      </c>
      <c r="AP1" s="142">
        <v>45536</v>
      </c>
      <c r="AQ1" s="13" t="s">
        <v>282</v>
      </c>
      <c r="AT1" s="4" t="str">
        <f>+Accrualstrip!AT1</f>
        <v>SEPT YTD</v>
      </c>
    </row>
    <row r="2" spans="1:46" x14ac:dyDescent="0.25">
      <c r="D2" s="13" t="s">
        <v>491</v>
      </c>
      <c r="E2" s="13" t="s">
        <v>492</v>
      </c>
      <c r="F2" s="13" t="s">
        <v>493</v>
      </c>
      <c r="G2" s="13" t="s">
        <v>494</v>
      </c>
      <c r="H2" s="13" t="s">
        <v>495</v>
      </c>
      <c r="I2" s="13" t="s">
        <v>496</v>
      </c>
      <c r="J2" s="13" t="s">
        <v>263</v>
      </c>
      <c r="K2" s="13" t="s">
        <v>264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3" t="s">
        <v>54</v>
      </c>
      <c r="V2" s="13" t="s">
        <v>20</v>
      </c>
      <c r="W2" s="13" t="s">
        <v>21</v>
      </c>
      <c r="X2" s="13" t="s">
        <v>22</v>
      </c>
      <c r="Y2" s="13" t="s">
        <v>23</v>
      </c>
      <c r="Z2" s="13" t="s">
        <v>24</v>
      </c>
      <c r="AA2" s="13" t="s">
        <v>25</v>
      </c>
      <c r="AB2" s="13" t="s">
        <v>26</v>
      </c>
      <c r="AC2" s="13" t="s">
        <v>27</v>
      </c>
      <c r="AD2" s="13" t="s">
        <v>28</v>
      </c>
      <c r="AE2" s="13" t="s">
        <v>29</v>
      </c>
      <c r="AF2" s="13" t="s">
        <v>30</v>
      </c>
      <c r="AG2" s="13" t="s">
        <v>31</v>
      </c>
      <c r="AH2" s="13" t="s">
        <v>32</v>
      </c>
      <c r="AI2" s="13" t="s">
        <v>33</v>
      </c>
      <c r="AJ2" s="13" t="s">
        <v>34</v>
      </c>
      <c r="AK2" s="13" t="s">
        <v>55</v>
      </c>
      <c r="AL2" s="13" t="s">
        <v>56</v>
      </c>
      <c r="AM2" s="13" t="s">
        <v>57</v>
      </c>
      <c r="AN2" s="13" t="s">
        <v>58</v>
      </c>
      <c r="AO2" s="13" t="s">
        <v>59</v>
      </c>
      <c r="AP2" s="13" t="s">
        <v>60</v>
      </c>
      <c r="AQ2" s="4" t="s">
        <v>61</v>
      </c>
      <c r="AR2" s="52" t="s">
        <v>2</v>
      </c>
      <c r="AT2" s="4" t="s">
        <v>88</v>
      </c>
    </row>
    <row r="3" spans="1:46" x14ac:dyDescent="0.25">
      <c r="A3" s="2" t="s">
        <v>309</v>
      </c>
    </row>
    <row r="4" spans="1:46" x14ac:dyDescent="0.25">
      <c r="C4" t="s">
        <v>190</v>
      </c>
      <c r="D4" s="1">
        <f>+'PassRev Pot'!D419</f>
        <v>0</v>
      </c>
      <c r="E4" s="1">
        <f>+'PassRev Pot'!E419</f>
        <v>0</v>
      </c>
      <c r="F4" s="1">
        <f>+'PassRev Pot'!F419</f>
        <v>0</v>
      </c>
      <c r="G4" s="1">
        <f>+'PassRev Pot'!G419</f>
        <v>0</v>
      </c>
      <c r="H4" s="1">
        <f>+'PassRev Pot'!H419</f>
        <v>0</v>
      </c>
      <c r="I4" s="1">
        <f>+'PassRev Pot'!I419</f>
        <v>0</v>
      </c>
      <c r="J4" s="1">
        <f>+'PassRev Pot'!J419</f>
        <v>0</v>
      </c>
      <c r="K4" s="1">
        <f>+'PassRev Pot'!K419</f>
        <v>0</v>
      </c>
      <c r="L4" s="1">
        <f>+'PassRev Pot'!L419</f>
        <v>222.48</v>
      </c>
      <c r="M4" s="1">
        <f>+'PassRev Pot'!M419</f>
        <v>0</v>
      </c>
      <c r="N4" s="1">
        <f>+'PassRev Pot'!N419</f>
        <v>536.76</v>
      </c>
      <c r="O4" s="1">
        <f>+'PassRev Pot'!O419</f>
        <v>1533.97</v>
      </c>
      <c r="P4" s="1">
        <f>+'PassRev Pot'!P419</f>
        <v>3171.06</v>
      </c>
      <c r="Q4" s="1">
        <f>+'PassRev Pot'!Q419</f>
        <v>49521.41</v>
      </c>
      <c r="R4" s="1">
        <f>+'PassRev Pot'!R419</f>
        <v>7324.02</v>
      </c>
      <c r="S4" s="1">
        <f>+'PassRev Pot'!S419</f>
        <v>28502.839999999997</v>
      </c>
      <c r="T4" s="1">
        <f>+'PassRev Pot'!T419</f>
        <v>10883.65</v>
      </c>
      <c r="U4" s="1">
        <f>+'PassRev Pot'!U419</f>
        <v>14805.24</v>
      </c>
      <c r="V4" s="1">
        <f>+'PassRev Pot'!V419</f>
        <v>5595.8000000000011</v>
      </c>
      <c r="W4" s="1">
        <f>+'PassRev Pot'!W419</f>
        <v>3304.26</v>
      </c>
      <c r="X4" s="1">
        <f>+'PassRev Pot'!X419</f>
        <v>5328.0000000000009</v>
      </c>
      <c r="Y4" s="1">
        <f>+'PassRev Pot'!Y419</f>
        <v>1811.4</v>
      </c>
      <c r="Z4" s="1">
        <f>+'PassRev Pot'!Z419</f>
        <v>17.100000000000001</v>
      </c>
      <c r="AA4" s="1">
        <f>+'PassRev Pot'!AA419</f>
        <v>-621.29999999999995</v>
      </c>
      <c r="AB4" s="1">
        <f>+'PassRev Pot'!AB419</f>
        <v>55.980000000000004</v>
      </c>
      <c r="AC4" s="1">
        <f>+'PassRev Pot'!AC419</f>
        <v>0</v>
      </c>
      <c r="AD4" s="1">
        <f>+'PassRev Pot'!AD419</f>
        <v>17.100000000000001</v>
      </c>
      <c r="AE4" s="1">
        <f>+'PassRev Pot'!AE419</f>
        <v>0</v>
      </c>
      <c r="AF4" s="1">
        <f>+'PassRev Pot'!AF419</f>
        <v>0</v>
      </c>
      <c r="AG4" s="1">
        <f>+'PassRev Pot'!AG419</f>
        <v>-17.23</v>
      </c>
      <c r="AH4" s="1">
        <f>+'PassRev Pot'!AH419</f>
        <v>0</v>
      </c>
      <c r="AI4" s="1">
        <f>+'PassRev Pot'!AI419</f>
        <v>0</v>
      </c>
      <c r="AJ4" s="1">
        <f>+'PassRev Pot'!AJ419</f>
        <v>0</v>
      </c>
      <c r="AK4" s="1">
        <f>+'PassRev Pot'!AK419</f>
        <v>0</v>
      </c>
      <c r="AL4" s="1">
        <f>+'PassRev Pot'!AL419</f>
        <v>0</v>
      </c>
      <c r="AM4" s="1">
        <f>+'PassRev Pot'!AM419</f>
        <v>-8.52</v>
      </c>
      <c r="AN4" s="1">
        <f>+'PassRev Pot'!AN419</f>
        <v>0</v>
      </c>
      <c r="AO4" s="1">
        <f>+'PassRev Pot'!AO419</f>
        <v>0</v>
      </c>
      <c r="AP4" s="1">
        <f>+'PassRev Pot'!AP419</f>
        <v>-10.65</v>
      </c>
      <c r="AQ4" s="1">
        <f>+'PassRev Pot'!AQ419</f>
        <v>0</v>
      </c>
      <c r="AR4" s="3">
        <f t="shared" ref="AR4:AR23" si="0">SUM(D4:AQ4)</f>
        <v>131973.37000000005</v>
      </c>
      <c r="AT4" s="1">
        <f>SUM(D4:AP4)</f>
        <v>131973.37000000005</v>
      </c>
    </row>
    <row r="5" spans="1:46" x14ac:dyDescent="0.25">
      <c r="C5" t="s">
        <v>424</v>
      </c>
      <c r="D5" s="1">
        <f>+'PassRev Pot'!D420</f>
        <v>0</v>
      </c>
      <c r="E5" s="1">
        <f>+'PassRev Pot'!E420</f>
        <v>0</v>
      </c>
      <c r="F5" s="1">
        <f>+'PassRev Pot'!F420</f>
        <v>0</v>
      </c>
      <c r="G5" s="1">
        <f>+'PassRev Pot'!G420</f>
        <v>0</v>
      </c>
      <c r="H5" s="1">
        <f>+'PassRev Pot'!H420</f>
        <v>0</v>
      </c>
      <c r="I5" s="1">
        <f>+'PassRev Pot'!I420</f>
        <v>0</v>
      </c>
      <c r="J5" s="1">
        <f>+'PassRev Pot'!J420</f>
        <v>0</v>
      </c>
      <c r="K5" s="1">
        <f>+'PassRev Pot'!K420</f>
        <v>0</v>
      </c>
      <c r="L5" s="1">
        <f>+'PassRev Pot'!L420</f>
        <v>1366.2</v>
      </c>
      <c r="M5" s="1">
        <f>+'PassRev Pot'!M420</f>
        <v>4683.6000000000004</v>
      </c>
      <c r="N5" s="1">
        <f>+'PassRev Pot'!N420</f>
        <v>1255.32</v>
      </c>
      <c r="O5" s="1">
        <f>+'PassRev Pot'!O420</f>
        <v>4208.4000000000005</v>
      </c>
      <c r="P5" s="1">
        <f>+'PassRev Pot'!P420</f>
        <v>6241.3200000000006</v>
      </c>
      <c r="Q5" s="1">
        <f>+'PassRev Pot'!Q420</f>
        <v>9520.0400000000009</v>
      </c>
      <c r="R5" s="1">
        <f>+'PassRev Pot'!R420</f>
        <v>8770.2000000000007</v>
      </c>
      <c r="S5" s="1">
        <f>+'PassRev Pot'!S420</f>
        <v>12195.630000000001</v>
      </c>
      <c r="T5" s="1">
        <f>+'PassRev Pot'!T420</f>
        <v>13155.4</v>
      </c>
      <c r="U5" s="1">
        <f>+'PassRev Pot'!U420</f>
        <v>10472.36</v>
      </c>
      <c r="V5" s="1">
        <f>+'PassRev Pot'!V420</f>
        <v>6779.3799999999992</v>
      </c>
      <c r="W5" s="1">
        <f>+'PassRev Pot'!W420</f>
        <v>8484.24</v>
      </c>
      <c r="X5" s="1">
        <f>+'PassRev Pot'!X420</f>
        <v>3123.3599999999997</v>
      </c>
      <c r="Y5" s="1">
        <f>+'PassRev Pot'!Y420</f>
        <v>3788.24</v>
      </c>
      <c r="Z5" s="1">
        <f>+'PassRev Pot'!Z420</f>
        <v>-30.139999999999986</v>
      </c>
      <c r="AA5" s="1">
        <f>+'PassRev Pot'!AA420</f>
        <v>575.6400000000001</v>
      </c>
      <c r="AB5" s="1">
        <f>+'PassRev Pot'!AB420</f>
        <v>511.91999999999996</v>
      </c>
      <c r="AC5" s="1">
        <f>+'PassRev Pot'!AC420</f>
        <v>15.12</v>
      </c>
      <c r="AD5" s="1">
        <f>+'PassRev Pot'!AD420</f>
        <v>0</v>
      </c>
      <c r="AE5" s="1">
        <f>+'PassRev Pot'!AE420</f>
        <v>0</v>
      </c>
      <c r="AF5" s="1">
        <f>+'PassRev Pot'!AF420</f>
        <v>0</v>
      </c>
      <c r="AG5" s="1">
        <f>+'PassRev Pot'!AG420</f>
        <v>0</v>
      </c>
      <c r="AH5" s="1">
        <f>+'PassRev Pot'!AH420</f>
        <v>0</v>
      </c>
      <c r="AI5" s="1">
        <f>+'PassRev Pot'!AI420</f>
        <v>0</v>
      </c>
      <c r="AJ5" s="1">
        <f>+'PassRev Pot'!AJ420</f>
        <v>0</v>
      </c>
      <c r="AK5" s="1">
        <f>+'PassRev Pot'!AK420</f>
        <v>0</v>
      </c>
      <c r="AL5" s="1">
        <f>+'PassRev Pot'!AL420</f>
        <v>0</v>
      </c>
      <c r="AM5" s="1">
        <f>+'PassRev Pot'!AM420</f>
        <v>0</v>
      </c>
      <c r="AN5" s="1">
        <f>+'PassRev Pot'!AN420</f>
        <v>-246.24</v>
      </c>
      <c r="AO5" s="1">
        <f>+'PassRev Pot'!AO420</f>
        <v>0</v>
      </c>
      <c r="AP5" s="1">
        <f>+'PassRev Pot'!AP420</f>
        <v>0</v>
      </c>
      <c r="AQ5" s="1">
        <f>+'PassRev Pot'!AQ420</f>
        <v>0</v>
      </c>
      <c r="AR5" s="3">
        <f t="shared" si="0"/>
        <v>94869.99</v>
      </c>
      <c r="AT5" s="1">
        <f t="shared" ref="AT5:AT24" si="1">SUM(D5:AP5)</f>
        <v>94869.99</v>
      </c>
    </row>
    <row r="6" spans="1:46" x14ac:dyDescent="0.25">
      <c r="C6" t="s">
        <v>347</v>
      </c>
      <c r="D6" s="1">
        <f>+'PassRev Pot'!D421</f>
        <v>0</v>
      </c>
      <c r="E6" s="1">
        <f>+'PassRev Pot'!E421</f>
        <v>0</v>
      </c>
      <c r="F6" s="1">
        <f>+'PassRev Pot'!F421</f>
        <v>0</v>
      </c>
      <c r="G6" s="1">
        <f>+'PassRev Pot'!G421</f>
        <v>0</v>
      </c>
      <c r="H6" s="1">
        <f>+'PassRev Pot'!H421</f>
        <v>0</v>
      </c>
      <c r="I6" s="1">
        <f>+'PassRev Pot'!I421</f>
        <v>0</v>
      </c>
      <c r="J6" s="1">
        <f>+'PassRev Pot'!J421</f>
        <v>0</v>
      </c>
      <c r="K6" s="1">
        <f>+'PassRev Pot'!K421</f>
        <v>0</v>
      </c>
      <c r="L6" s="1">
        <f>+'PassRev Pot'!L421</f>
        <v>1425.6</v>
      </c>
      <c r="M6" s="1">
        <f>+'PassRev Pot'!M421</f>
        <v>4466.88</v>
      </c>
      <c r="N6" s="1">
        <f>+'PassRev Pot'!N421</f>
        <v>2251.5</v>
      </c>
      <c r="O6" s="1">
        <f>+'PassRev Pot'!O421</f>
        <v>2981.52</v>
      </c>
      <c r="P6" s="1">
        <f>+'PassRev Pot'!P421</f>
        <v>7768.2</v>
      </c>
      <c r="Q6" s="1">
        <f>+'PassRev Pot'!Q421</f>
        <v>13810.960000000001</v>
      </c>
      <c r="R6" s="1">
        <f>+'PassRev Pot'!R421</f>
        <v>14156.880000000001</v>
      </c>
      <c r="S6" s="1">
        <f>+'PassRev Pot'!S421</f>
        <v>16356.320000000002</v>
      </c>
      <c r="T6" s="1">
        <f>+'PassRev Pot'!T421</f>
        <v>13594.68</v>
      </c>
      <c r="U6" s="1">
        <f>+'PassRev Pot'!U421</f>
        <v>16448.8</v>
      </c>
      <c r="V6" s="1">
        <f>+'PassRev Pot'!V421</f>
        <v>7554.0999999999995</v>
      </c>
      <c r="W6" s="1">
        <f>+'PassRev Pot'!W421</f>
        <v>8541.08</v>
      </c>
      <c r="X6" s="1">
        <f>+'PassRev Pot'!X421</f>
        <v>4366.4400000000005</v>
      </c>
      <c r="Y6" s="1">
        <f>+'PassRev Pot'!Y421</f>
        <v>3241.76</v>
      </c>
      <c r="Z6" s="1">
        <f>+'PassRev Pot'!Z421</f>
        <v>-142.91999999999996</v>
      </c>
      <c r="AA6" s="1">
        <f>+'PassRev Pot'!AA421</f>
        <v>103.67999999999999</v>
      </c>
      <c r="AB6" s="1">
        <f>+'PassRev Pot'!AB421</f>
        <v>29.159999999999997</v>
      </c>
      <c r="AC6" s="1">
        <f>+'PassRev Pot'!AC421</f>
        <v>0</v>
      </c>
      <c r="AD6" s="1">
        <f>+'PassRev Pot'!AD421</f>
        <v>37.44</v>
      </c>
      <c r="AE6" s="1">
        <f>+'PassRev Pot'!AE421</f>
        <v>0</v>
      </c>
      <c r="AF6" s="1">
        <f>+'PassRev Pot'!AF421</f>
        <v>0</v>
      </c>
      <c r="AG6" s="1">
        <f>+'PassRev Pot'!AG421</f>
        <v>0</v>
      </c>
      <c r="AH6" s="1">
        <f>+'PassRev Pot'!AH421</f>
        <v>0</v>
      </c>
      <c r="AI6" s="1">
        <f>+'PassRev Pot'!AI421</f>
        <v>0</v>
      </c>
      <c r="AJ6" s="1">
        <f>+'PassRev Pot'!AJ421</f>
        <v>0</v>
      </c>
      <c r="AK6" s="1">
        <f>+'PassRev Pot'!AK421</f>
        <v>0</v>
      </c>
      <c r="AL6" s="1">
        <f>+'PassRev Pot'!AL421</f>
        <v>0</v>
      </c>
      <c r="AM6" s="1">
        <f>+'PassRev Pot'!AM421</f>
        <v>0</v>
      </c>
      <c r="AN6" s="1">
        <f>+'PassRev Pot'!AN421</f>
        <v>0</v>
      </c>
      <c r="AO6" s="1">
        <f>+'PassRev Pot'!AO421</f>
        <v>0</v>
      </c>
      <c r="AP6" s="1">
        <f>+'PassRev Pot'!AP421</f>
        <v>0</v>
      </c>
      <c r="AQ6" s="1">
        <f>+'PassRev Pot'!AQ421</f>
        <v>0</v>
      </c>
      <c r="AR6" s="3">
        <f t="shared" si="0"/>
        <v>116992.08000000002</v>
      </c>
      <c r="AT6" s="1">
        <f t="shared" si="1"/>
        <v>116992.08000000002</v>
      </c>
    </row>
    <row r="7" spans="1:46" x14ac:dyDescent="0.25">
      <c r="C7" t="s">
        <v>0</v>
      </c>
      <c r="D7" s="1">
        <f>+'PassRev Pot'!D422</f>
        <v>0</v>
      </c>
      <c r="E7" s="1">
        <f>+'PassRev Pot'!E422</f>
        <v>0</v>
      </c>
      <c r="F7" s="1">
        <f>+'PassRev Pot'!F422</f>
        <v>0</v>
      </c>
      <c r="G7" s="1">
        <f>+'PassRev Pot'!G422</f>
        <v>0</v>
      </c>
      <c r="H7" s="1">
        <f>+'PassRev Pot'!H422</f>
        <v>0</v>
      </c>
      <c r="I7" s="1">
        <f>+'PassRev Pot'!I422</f>
        <v>0</v>
      </c>
      <c r="J7" s="1">
        <f>+'PassRev Pot'!J422</f>
        <v>0</v>
      </c>
      <c r="K7" s="1">
        <f>+'PassRev Pot'!K422</f>
        <v>0</v>
      </c>
      <c r="L7" s="1">
        <f>+'PassRev Pot'!L422</f>
        <v>0</v>
      </c>
      <c r="M7" s="1">
        <f>+'PassRev Pot'!M422</f>
        <v>25721.82</v>
      </c>
      <c r="N7" s="1">
        <f>+'PassRev Pot'!N422</f>
        <v>20977.38</v>
      </c>
      <c r="O7" s="1">
        <f>+'PassRev Pot'!O422</f>
        <v>23126.04</v>
      </c>
      <c r="P7" s="1">
        <f>+'PassRev Pot'!P422</f>
        <v>25336.799999999999</v>
      </c>
      <c r="Q7" s="1">
        <f>+'PassRev Pot'!Q422</f>
        <v>80049.78</v>
      </c>
      <c r="R7" s="1">
        <f>+'PassRev Pot'!R422</f>
        <v>51440.9</v>
      </c>
      <c r="S7" s="1">
        <f>+'PassRev Pot'!S422</f>
        <v>66888</v>
      </c>
      <c r="T7" s="1">
        <f>+'PassRev Pot'!T422</f>
        <v>53772.639999999999</v>
      </c>
      <c r="U7" s="1">
        <f>+'PassRev Pot'!U422</f>
        <v>48767.759999999995</v>
      </c>
      <c r="V7" s="1">
        <f>+'PassRev Pot'!V422</f>
        <v>25970.219999999998</v>
      </c>
      <c r="W7" s="1">
        <f>+'PassRev Pot'!W422</f>
        <v>27249.48</v>
      </c>
      <c r="X7" s="1">
        <f>+'PassRev Pot'!X422</f>
        <v>31856.160000000003</v>
      </c>
      <c r="Y7" s="1">
        <f>+'PassRev Pot'!Y422</f>
        <v>28777.14</v>
      </c>
      <c r="Z7" s="1">
        <f>+'PassRev Pot'!Z422</f>
        <v>18791.46</v>
      </c>
      <c r="AA7" s="1">
        <f>+'PassRev Pot'!AA422</f>
        <v>5378.9400000000005</v>
      </c>
      <c r="AB7" s="1">
        <f>+'PassRev Pot'!AB422</f>
        <v>39.989999999999782</v>
      </c>
      <c r="AC7" s="1">
        <f>+'PassRev Pot'!AC422</f>
        <v>0</v>
      </c>
      <c r="AD7" s="1">
        <f>+'PassRev Pot'!AD422</f>
        <v>0</v>
      </c>
      <c r="AE7" s="1">
        <f>+'PassRev Pot'!AE422</f>
        <v>0</v>
      </c>
      <c r="AF7" s="1">
        <f>+'PassRev Pot'!AF422</f>
        <v>0</v>
      </c>
      <c r="AG7" s="1">
        <f>+'PassRev Pot'!AG422</f>
        <v>0</v>
      </c>
      <c r="AH7" s="1">
        <f>+'PassRev Pot'!AH422</f>
        <v>0</v>
      </c>
      <c r="AI7" s="1">
        <f>+'PassRev Pot'!AI422</f>
        <v>0</v>
      </c>
      <c r="AJ7" s="1">
        <f>+'PassRev Pot'!AJ422</f>
        <v>0</v>
      </c>
      <c r="AK7" s="1">
        <f>+'PassRev Pot'!AK422</f>
        <v>0</v>
      </c>
      <c r="AL7" s="1">
        <f>+'PassRev Pot'!AL422</f>
        <v>0</v>
      </c>
      <c r="AM7" s="1">
        <f>+'PassRev Pot'!AM422</f>
        <v>0</v>
      </c>
      <c r="AN7" s="1">
        <f>+'PassRev Pot'!AN422</f>
        <v>0</v>
      </c>
      <c r="AO7" s="1">
        <f>+'PassRev Pot'!AO422</f>
        <v>0</v>
      </c>
      <c r="AP7" s="1">
        <f>+'PassRev Pot'!AP422</f>
        <v>0</v>
      </c>
      <c r="AQ7" s="1">
        <f>+'PassRev Pot'!AQ422</f>
        <v>0</v>
      </c>
      <c r="AR7" s="3">
        <f t="shared" si="0"/>
        <v>534144.50999999989</v>
      </c>
      <c r="AT7" s="1">
        <f t="shared" si="1"/>
        <v>534144.50999999989</v>
      </c>
    </row>
    <row r="8" spans="1:46" x14ac:dyDescent="0.25">
      <c r="C8" t="s">
        <v>354</v>
      </c>
      <c r="D8" s="1">
        <f>+'PassRev Pot'!D423</f>
        <v>0</v>
      </c>
      <c r="E8" s="1">
        <f>+'PassRev Pot'!E423</f>
        <v>0</v>
      </c>
      <c r="F8" s="1">
        <f>+'PassRev Pot'!F423</f>
        <v>0</v>
      </c>
      <c r="G8" s="1">
        <f>+'PassRev Pot'!G423</f>
        <v>0</v>
      </c>
      <c r="H8" s="1">
        <f>+'PassRev Pot'!H423</f>
        <v>0</v>
      </c>
      <c r="I8" s="1">
        <f>+'PassRev Pot'!I423</f>
        <v>0</v>
      </c>
      <c r="J8" s="1">
        <f>+'PassRev Pot'!J423</f>
        <v>0</v>
      </c>
      <c r="K8" s="1">
        <f>+'PassRev Pot'!K423</f>
        <v>0</v>
      </c>
      <c r="L8" s="1">
        <f>+'PassRev Pot'!L423</f>
        <v>1267.2</v>
      </c>
      <c r="M8" s="1">
        <f>+'PassRev Pot'!M423</f>
        <v>56.16</v>
      </c>
      <c r="N8" s="1">
        <f>+'PassRev Pot'!N423</f>
        <v>413.82000000000005</v>
      </c>
      <c r="O8" s="1">
        <f>+'PassRev Pot'!O423</f>
        <v>1508.0400000000002</v>
      </c>
      <c r="P8" s="1">
        <f>+'PassRev Pot'!P423</f>
        <v>1823.1</v>
      </c>
      <c r="Q8" s="1">
        <f>+'PassRev Pot'!Q423</f>
        <v>1566.3600000000001</v>
      </c>
      <c r="R8" s="1">
        <f>+'PassRev Pot'!R423</f>
        <v>2380.44</v>
      </c>
      <c r="S8" s="1">
        <f>+'PassRev Pot'!S423</f>
        <v>2391.12</v>
      </c>
      <c r="T8" s="1">
        <f>+'PassRev Pot'!T423</f>
        <v>3651.18</v>
      </c>
      <c r="U8" s="1">
        <f>+'PassRev Pot'!U423</f>
        <v>1273.3800000000001</v>
      </c>
      <c r="V8" s="1">
        <f>+'PassRev Pot'!V423</f>
        <v>745.2</v>
      </c>
      <c r="W8" s="1">
        <f>+'PassRev Pot'!W423</f>
        <v>1922.76</v>
      </c>
      <c r="X8" s="1">
        <f>+'PassRev Pot'!X423</f>
        <v>1405.0800000000002</v>
      </c>
      <c r="Y8" s="1">
        <f>+'PassRev Pot'!Y423</f>
        <v>2464.84</v>
      </c>
      <c r="Z8" s="1">
        <f>+'PassRev Pot'!Z423</f>
        <v>31.360000000000014</v>
      </c>
      <c r="AA8" s="1">
        <f>+'PassRev Pot'!AA423</f>
        <v>422.28000000000003</v>
      </c>
      <c r="AB8" s="1">
        <f>+'PassRev Pot'!AB423</f>
        <v>143.63999999999999</v>
      </c>
      <c r="AC8" s="1">
        <f>+'PassRev Pot'!AC423</f>
        <v>0</v>
      </c>
      <c r="AD8" s="1">
        <f>+'PassRev Pot'!AD423</f>
        <v>0</v>
      </c>
      <c r="AE8" s="1">
        <f>+'PassRev Pot'!AE423</f>
        <v>0</v>
      </c>
      <c r="AF8" s="1">
        <f>+'PassRev Pot'!AF423</f>
        <v>0</v>
      </c>
      <c r="AG8" s="1">
        <f>+'PassRev Pot'!AG423</f>
        <v>0</v>
      </c>
      <c r="AH8" s="1">
        <f>+'PassRev Pot'!AH423</f>
        <v>0</v>
      </c>
      <c r="AI8" s="1">
        <f>+'PassRev Pot'!AI423</f>
        <v>0</v>
      </c>
      <c r="AJ8" s="1">
        <f>+'PassRev Pot'!AJ423</f>
        <v>0</v>
      </c>
      <c r="AK8" s="1">
        <f>+'PassRev Pot'!AK423</f>
        <v>0</v>
      </c>
      <c r="AL8" s="1">
        <f>+'PassRev Pot'!AL423</f>
        <v>0</v>
      </c>
      <c r="AM8" s="1">
        <f>+'PassRev Pot'!AM423</f>
        <v>0</v>
      </c>
      <c r="AN8" s="1">
        <f>+'PassRev Pot'!AN423</f>
        <v>0</v>
      </c>
      <c r="AO8" s="1">
        <f>+'PassRev Pot'!AO423</f>
        <v>0</v>
      </c>
      <c r="AP8" s="1">
        <f>+'PassRev Pot'!AP423</f>
        <v>0</v>
      </c>
      <c r="AQ8" s="1">
        <f>+'PassRev Pot'!AQ423</f>
        <v>-1.62</v>
      </c>
      <c r="AR8" s="3">
        <f t="shared" si="0"/>
        <v>23464.340000000004</v>
      </c>
      <c r="AT8" s="1">
        <f t="shared" si="1"/>
        <v>23465.960000000003</v>
      </c>
    </row>
    <row r="9" spans="1:46" x14ac:dyDescent="0.25">
      <c r="C9" t="s">
        <v>265</v>
      </c>
      <c r="D9" s="1">
        <f>+'PassRev Pot'!D424</f>
        <v>0</v>
      </c>
      <c r="E9" s="1">
        <f>+'PassRev Pot'!E424</f>
        <v>0</v>
      </c>
      <c r="F9" s="1">
        <f>+'PassRev Pot'!F424</f>
        <v>0</v>
      </c>
      <c r="G9" s="1">
        <f>+'PassRev Pot'!G424</f>
        <v>0</v>
      </c>
      <c r="H9" s="1">
        <f>+'PassRev Pot'!H424</f>
        <v>0</v>
      </c>
      <c r="I9" s="1">
        <f>+'PassRev Pot'!I424</f>
        <v>0</v>
      </c>
      <c r="J9" s="1">
        <f>+'PassRev Pot'!J424</f>
        <v>0</v>
      </c>
      <c r="K9" s="1">
        <f>+'PassRev Pot'!K424</f>
        <v>0</v>
      </c>
      <c r="L9" s="1">
        <f>+'PassRev Pot'!L424</f>
        <v>0</v>
      </c>
      <c r="M9" s="1">
        <f>+'PassRev Pot'!M424</f>
        <v>2358</v>
      </c>
      <c r="N9" s="1">
        <f>+'PassRev Pot'!N424</f>
        <v>1298.32</v>
      </c>
      <c r="O9" s="1">
        <f>+'PassRev Pot'!O424</f>
        <v>1663.5600000000002</v>
      </c>
      <c r="P9" s="1">
        <f>+'PassRev Pot'!P424</f>
        <v>5866.02</v>
      </c>
      <c r="Q9" s="1">
        <f>+'PassRev Pot'!Q424</f>
        <v>11002.14</v>
      </c>
      <c r="R9" s="1">
        <f>+'PassRev Pot'!R424</f>
        <v>6994.02</v>
      </c>
      <c r="S9" s="1">
        <f>+'PassRev Pot'!S424</f>
        <v>11960.46</v>
      </c>
      <c r="T9" s="1">
        <f>+'PassRev Pot'!T424</f>
        <v>6709.1599999999989</v>
      </c>
      <c r="U9" s="1">
        <f>+'PassRev Pot'!U424</f>
        <v>10792.02</v>
      </c>
      <c r="V9" s="1">
        <f>+'PassRev Pot'!V424</f>
        <v>3840.6600000000003</v>
      </c>
      <c r="W9" s="1">
        <f>+'PassRev Pot'!W424</f>
        <v>3800.9199999999996</v>
      </c>
      <c r="X9" s="1">
        <f>+'PassRev Pot'!X424</f>
        <v>4793.22</v>
      </c>
      <c r="Y9" s="1">
        <f>+'PassRev Pot'!Y424</f>
        <v>1177.9000000000001</v>
      </c>
      <c r="Z9" s="1">
        <f>+'PassRev Pot'!Z424</f>
        <v>-312.24</v>
      </c>
      <c r="AA9" s="1">
        <f>+'PassRev Pot'!AA424</f>
        <v>-348.12</v>
      </c>
      <c r="AB9" s="1">
        <f>+'PassRev Pot'!AB424</f>
        <v>0</v>
      </c>
      <c r="AC9" s="1">
        <f>+'PassRev Pot'!AC424</f>
        <v>0</v>
      </c>
      <c r="AD9" s="1">
        <f>+'PassRev Pot'!AD424</f>
        <v>0</v>
      </c>
      <c r="AE9" s="1">
        <f>+'PassRev Pot'!AE424</f>
        <v>0</v>
      </c>
      <c r="AF9" s="1">
        <f>+'PassRev Pot'!AF424</f>
        <v>0</v>
      </c>
      <c r="AG9" s="1">
        <f>+'PassRev Pot'!AG424</f>
        <v>0</v>
      </c>
      <c r="AH9" s="1">
        <f>+'PassRev Pot'!AH424</f>
        <v>0</v>
      </c>
      <c r="AI9" s="1">
        <f>+'PassRev Pot'!AI424</f>
        <v>0</v>
      </c>
      <c r="AJ9" s="1">
        <f>+'PassRev Pot'!AJ424</f>
        <v>0</v>
      </c>
      <c r="AK9" s="1">
        <f>+'PassRev Pot'!AK424</f>
        <v>0</v>
      </c>
      <c r="AL9" s="1">
        <f>+'PassRev Pot'!AL424</f>
        <v>0</v>
      </c>
      <c r="AM9" s="1">
        <f>+'PassRev Pot'!AM424</f>
        <v>0</v>
      </c>
      <c r="AN9" s="1">
        <f>+'PassRev Pot'!AN424</f>
        <v>0</v>
      </c>
      <c r="AO9" s="1">
        <f>+'PassRev Pot'!AO424</f>
        <v>0</v>
      </c>
      <c r="AP9" s="1">
        <f>+'PassRev Pot'!AP424</f>
        <v>0</v>
      </c>
      <c r="AQ9" s="1">
        <f>+'PassRev Pot'!AQ424</f>
        <v>0</v>
      </c>
      <c r="AR9" s="3">
        <f t="shared" si="0"/>
        <v>71596.039999999994</v>
      </c>
      <c r="AT9" s="1">
        <f t="shared" si="1"/>
        <v>71596.039999999994</v>
      </c>
    </row>
    <row r="10" spans="1:46" x14ac:dyDescent="0.25">
      <c r="C10" t="s">
        <v>191</v>
      </c>
      <c r="D10" s="1">
        <f>+'PassRev Pot'!D425</f>
        <v>0</v>
      </c>
      <c r="E10" s="1">
        <f>+'PassRev Pot'!E425</f>
        <v>0</v>
      </c>
      <c r="F10" s="1">
        <f>+'PassRev Pot'!F425</f>
        <v>0</v>
      </c>
      <c r="G10" s="1">
        <f>+'PassRev Pot'!G425</f>
        <v>0</v>
      </c>
      <c r="H10" s="1">
        <f>+'PassRev Pot'!H425</f>
        <v>0</v>
      </c>
      <c r="I10" s="1">
        <f>+'PassRev Pot'!I425</f>
        <v>0</v>
      </c>
      <c r="J10" s="1">
        <f>+'PassRev Pot'!J425</f>
        <v>0</v>
      </c>
      <c r="K10" s="1">
        <f>+'PassRev Pot'!K425</f>
        <v>0</v>
      </c>
      <c r="L10" s="1">
        <f>+'PassRev Pot'!L425</f>
        <v>0</v>
      </c>
      <c r="M10" s="1">
        <f>+'PassRev Pot'!M425</f>
        <v>8306.2800000000007</v>
      </c>
      <c r="N10" s="1">
        <f>+'PassRev Pot'!N425</f>
        <v>1632.5400000000002</v>
      </c>
      <c r="O10" s="1">
        <f>+'PassRev Pot'!O425</f>
        <v>1757.52</v>
      </c>
      <c r="P10" s="1">
        <f>+'PassRev Pot'!P425</f>
        <v>9960.7800000000007</v>
      </c>
      <c r="Q10" s="1">
        <f>+'PassRev Pot'!Q425</f>
        <v>24822.799999999999</v>
      </c>
      <c r="R10" s="1">
        <f>+'PassRev Pot'!R425</f>
        <v>25886.039999999997</v>
      </c>
      <c r="S10" s="1">
        <f>+'PassRev Pot'!S425</f>
        <v>27999.399999999998</v>
      </c>
      <c r="T10" s="1">
        <f>+'PassRev Pot'!T425</f>
        <v>7233.36</v>
      </c>
      <c r="U10" s="1">
        <f>+'PassRev Pot'!U425</f>
        <v>11101.5</v>
      </c>
      <c r="V10" s="1">
        <f>+'PassRev Pot'!V425</f>
        <v>-3116.06</v>
      </c>
      <c r="W10" s="1">
        <f>+'PassRev Pot'!W425</f>
        <v>14755.04</v>
      </c>
      <c r="X10" s="1">
        <f>+'PassRev Pot'!X425</f>
        <v>9302.7799999999988</v>
      </c>
      <c r="Y10" s="1">
        <f>+'PassRev Pot'!Y425</f>
        <v>7104.28</v>
      </c>
      <c r="Z10" s="1">
        <f>+'PassRev Pot'!Z425</f>
        <v>3952.02</v>
      </c>
      <c r="AA10" s="1">
        <f>+'PassRev Pot'!AA425</f>
        <v>3887.16</v>
      </c>
      <c r="AB10" s="1">
        <f>+'PassRev Pot'!AB425</f>
        <v>-71.600000000000009</v>
      </c>
      <c r="AC10" s="1">
        <f>+'PassRev Pot'!AC425</f>
        <v>-74.52</v>
      </c>
      <c r="AD10" s="1">
        <f>+'PassRev Pot'!AD425</f>
        <v>-73.44</v>
      </c>
      <c r="AE10" s="1">
        <f>+'PassRev Pot'!AE425</f>
        <v>-29.16</v>
      </c>
      <c r="AF10" s="1">
        <f>+'PassRev Pot'!AF425</f>
        <v>-14.04</v>
      </c>
      <c r="AG10" s="1">
        <f>+'PassRev Pot'!AG425</f>
        <v>0</v>
      </c>
      <c r="AH10" s="1">
        <f>+'PassRev Pot'!AH425</f>
        <v>0</v>
      </c>
      <c r="AI10" s="1">
        <f>+'PassRev Pot'!AI425</f>
        <v>-445.86</v>
      </c>
      <c r="AJ10" s="1">
        <f>+'PassRev Pot'!AJ425</f>
        <v>0</v>
      </c>
      <c r="AK10" s="1">
        <f>+'PassRev Pot'!AK425</f>
        <v>0</v>
      </c>
      <c r="AL10" s="1">
        <f>+'PassRev Pot'!AL425</f>
        <v>0</v>
      </c>
      <c r="AM10" s="1">
        <f>+'PassRev Pot'!AM425</f>
        <v>0</v>
      </c>
      <c r="AN10" s="1">
        <f>+'PassRev Pot'!AN425</f>
        <v>0</v>
      </c>
      <c r="AO10" s="1">
        <f>+'PassRev Pot'!AO425</f>
        <v>0</v>
      </c>
      <c r="AP10" s="1">
        <f>+'PassRev Pot'!AP425</f>
        <v>0</v>
      </c>
      <c r="AQ10" s="1">
        <f>+'PassRev Pot'!AQ425</f>
        <v>0</v>
      </c>
      <c r="AR10" s="3">
        <f t="shared" si="0"/>
        <v>153876.81999999998</v>
      </c>
      <c r="AT10" s="1">
        <f t="shared" si="1"/>
        <v>153876.81999999998</v>
      </c>
    </row>
    <row r="11" spans="1:46" x14ac:dyDescent="0.25">
      <c r="C11" t="s">
        <v>549</v>
      </c>
      <c r="D11" s="1">
        <f>+'PassRev Pot'!D426</f>
        <v>0</v>
      </c>
      <c r="E11" s="1">
        <f>+'PassRev Pot'!E426</f>
        <v>0</v>
      </c>
      <c r="F11" s="1">
        <f>+'PassRev Pot'!F426</f>
        <v>0</v>
      </c>
      <c r="G11" s="1">
        <f>+'PassRev Pot'!G426</f>
        <v>0</v>
      </c>
      <c r="H11" s="1">
        <f>+'PassRev Pot'!H426</f>
        <v>0</v>
      </c>
      <c r="I11" s="1">
        <f>+'PassRev Pot'!I426</f>
        <v>0</v>
      </c>
      <c r="J11" s="1">
        <f>+'PassRev Pot'!J426</f>
        <v>0</v>
      </c>
      <c r="K11" s="1">
        <f>+'PassRev Pot'!K426</f>
        <v>0</v>
      </c>
      <c r="L11" s="1">
        <f>+'PassRev Pot'!L426</f>
        <v>0</v>
      </c>
      <c r="M11" s="1">
        <f>+'PassRev Pot'!M426</f>
        <v>0</v>
      </c>
      <c r="N11" s="1">
        <f>+'PassRev Pot'!N426</f>
        <v>0</v>
      </c>
      <c r="O11" s="1">
        <f>+'PassRev Pot'!O426</f>
        <v>0</v>
      </c>
      <c r="P11" s="1">
        <f>+'PassRev Pot'!P426</f>
        <v>0</v>
      </c>
      <c r="Q11" s="1">
        <f>+'PassRev Pot'!Q426</f>
        <v>0</v>
      </c>
      <c r="R11" s="1">
        <f>+'PassRev Pot'!R426</f>
        <v>0</v>
      </c>
      <c r="S11" s="1">
        <f>+'PassRev Pot'!S426</f>
        <v>0</v>
      </c>
      <c r="T11" s="1">
        <f>+'PassRev Pot'!T426</f>
        <v>0</v>
      </c>
      <c r="U11" s="1">
        <f>+'PassRev Pot'!U426</f>
        <v>0</v>
      </c>
      <c r="V11" s="1">
        <f>+'PassRev Pot'!V426</f>
        <v>0</v>
      </c>
      <c r="W11" s="1">
        <f>+'PassRev Pot'!W426</f>
        <v>0</v>
      </c>
      <c r="X11" s="1">
        <f>+'PassRev Pot'!X426</f>
        <v>0</v>
      </c>
      <c r="Y11" s="1">
        <f>+'PassRev Pot'!Y426</f>
        <v>0</v>
      </c>
      <c r="Z11" s="1">
        <f>+'PassRev Pot'!Z426</f>
        <v>0</v>
      </c>
      <c r="AA11" s="1">
        <f>+'PassRev Pot'!AA426</f>
        <v>0</v>
      </c>
      <c r="AB11" s="1">
        <f>+'PassRev Pot'!AB426</f>
        <v>0</v>
      </c>
      <c r="AC11" s="1">
        <f>+'PassRev Pot'!AC426</f>
        <v>0</v>
      </c>
      <c r="AD11" s="1">
        <f>+'PassRev Pot'!AD426</f>
        <v>0</v>
      </c>
      <c r="AE11" s="1">
        <f>+'PassRev Pot'!AE426</f>
        <v>0</v>
      </c>
      <c r="AF11" s="1">
        <f>+'PassRev Pot'!AF426</f>
        <v>0</v>
      </c>
      <c r="AG11" s="1">
        <f>+'PassRev Pot'!AG426</f>
        <v>0</v>
      </c>
      <c r="AH11" s="1">
        <f>+'PassRev Pot'!AH426</f>
        <v>0</v>
      </c>
      <c r="AI11" s="1">
        <f>+'PassRev Pot'!AI426</f>
        <v>0</v>
      </c>
      <c r="AJ11" s="1">
        <f>+'PassRev Pot'!AJ426</f>
        <v>0</v>
      </c>
      <c r="AK11" s="1">
        <f>+'PassRev Pot'!AK426</f>
        <v>0</v>
      </c>
      <c r="AL11" s="1">
        <f>+'PassRev Pot'!AL426</f>
        <v>0</v>
      </c>
      <c r="AM11" s="1">
        <f>+'PassRev Pot'!AM426</f>
        <v>0</v>
      </c>
      <c r="AN11" s="1">
        <f>+'PassRev Pot'!AN426</f>
        <v>0</v>
      </c>
      <c r="AO11" s="1">
        <f>+'PassRev Pot'!AO426</f>
        <v>0</v>
      </c>
      <c r="AP11" s="1">
        <f>+'PassRev Pot'!AP426</f>
        <v>0</v>
      </c>
      <c r="AQ11" s="1">
        <f>+'PassRev Pot'!AQ426</f>
        <v>0</v>
      </c>
      <c r="AR11" s="3">
        <f t="shared" si="0"/>
        <v>0</v>
      </c>
      <c r="AT11" s="1">
        <f t="shared" si="1"/>
        <v>0</v>
      </c>
    </row>
    <row r="12" spans="1:46" x14ac:dyDescent="0.25">
      <c r="C12" t="s">
        <v>550</v>
      </c>
      <c r="D12" s="1">
        <f>+'PassRev Pot'!D427</f>
        <v>0</v>
      </c>
      <c r="E12" s="1">
        <f>+'PassRev Pot'!E427</f>
        <v>0</v>
      </c>
      <c r="F12" s="1">
        <f>+'PassRev Pot'!F427</f>
        <v>0</v>
      </c>
      <c r="G12" s="1">
        <f>+'PassRev Pot'!G427</f>
        <v>0</v>
      </c>
      <c r="H12" s="1">
        <f>+'PassRev Pot'!H427</f>
        <v>0</v>
      </c>
      <c r="I12" s="1">
        <f>+'PassRev Pot'!I427</f>
        <v>0</v>
      </c>
      <c r="J12" s="1">
        <f>+'PassRev Pot'!J427</f>
        <v>0</v>
      </c>
      <c r="K12" s="1">
        <f>+'PassRev Pot'!K427</f>
        <v>0</v>
      </c>
      <c r="L12" s="1">
        <f>+'PassRev Pot'!L427</f>
        <v>0</v>
      </c>
      <c r="M12" s="1">
        <f>+'PassRev Pot'!M427</f>
        <v>7776</v>
      </c>
      <c r="N12" s="1">
        <f>+'PassRev Pot'!N427</f>
        <v>-99.84</v>
      </c>
      <c r="O12" s="1">
        <f>+'PassRev Pot'!O427</f>
        <v>256.74</v>
      </c>
      <c r="P12" s="1">
        <f>+'PassRev Pot'!P427</f>
        <v>0</v>
      </c>
      <c r="Q12" s="1">
        <f>+'PassRev Pot'!Q427</f>
        <v>23773.32</v>
      </c>
      <c r="R12" s="1">
        <f>+'PassRev Pot'!R427</f>
        <v>6793.92</v>
      </c>
      <c r="S12" s="1">
        <f>+'PassRev Pot'!S427</f>
        <v>9465.119999999999</v>
      </c>
      <c r="T12" s="1">
        <f>+'PassRev Pot'!T427</f>
        <v>29059.8</v>
      </c>
      <c r="U12" s="1">
        <f>+'PassRev Pot'!U427</f>
        <v>4607.46</v>
      </c>
      <c r="V12" s="1">
        <f>+'PassRev Pot'!V427</f>
        <v>5271.4800000000005</v>
      </c>
      <c r="W12" s="1">
        <f>+'PassRev Pot'!W427</f>
        <v>4864.32</v>
      </c>
      <c r="X12" s="1">
        <f>+'PassRev Pot'!X427</f>
        <v>3088.8</v>
      </c>
      <c r="Y12" s="1">
        <f>+'PassRev Pot'!Y427</f>
        <v>2008.8</v>
      </c>
      <c r="Z12" s="1">
        <f>+'PassRev Pot'!Z427</f>
        <v>682.56000000000006</v>
      </c>
      <c r="AA12" s="1">
        <f>+'PassRev Pot'!AA427</f>
        <v>608.04000000000008</v>
      </c>
      <c r="AB12" s="1">
        <f>+'PassRev Pot'!AB427</f>
        <v>425.88</v>
      </c>
      <c r="AC12" s="1">
        <f>+'PassRev Pot'!AC427</f>
        <v>147.96</v>
      </c>
      <c r="AD12" s="1">
        <f>+'PassRev Pot'!AD427</f>
        <v>37.44</v>
      </c>
      <c r="AE12" s="1">
        <f>+'PassRev Pot'!AE427</f>
        <v>0</v>
      </c>
      <c r="AF12" s="1">
        <f>+'PassRev Pot'!AF427</f>
        <v>0</v>
      </c>
      <c r="AG12" s="1">
        <f>+'PassRev Pot'!AG427</f>
        <v>0</v>
      </c>
      <c r="AH12" s="1">
        <f>+'PassRev Pot'!AH427</f>
        <v>0</v>
      </c>
      <c r="AI12" s="1">
        <f>+'PassRev Pot'!AI427</f>
        <v>0</v>
      </c>
      <c r="AJ12" s="1">
        <f>+'PassRev Pot'!AJ427</f>
        <v>0</v>
      </c>
      <c r="AK12" s="1">
        <f>+'PassRev Pot'!AK427</f>
        <v>0</v>
      </c>
      <c r="AL12" s="1">
        <f>+'PassRev Pot'!AL427</f>
        <v>0</v>
      </c>
      <c r="AM12" s="1">
        <f>+'PassRev Pot'!AM427</f>
        <v>0</v>
      </c>
      <c r="AN12" s="1">
        <f>+'PassRev Pot'!AN427</f>
        <v>0</v>
      </c>
      <c r="AO12" s="1">
        <f>+'PassRev Pot'!AO427</f>
        <v>0</v>
      </c>
      <c r="AP12" s="1">
        <f>+'PassRev Pot'!AP427</f>
        <v>0</v>
      </c>
      <c r="AQ12" s="1">
        <f>+'PassRev Pot'!AQ427</f>
        <v>-86.4</v>
      </c>
      <c r="AR12" s="3">
        <f t="shared" si="0"/>
        <v>98681.400000000023</v>
      </c>
      <c r="AT12" s="1">
        <f t="shared" si="1"/>
        <v>98767.800000000017</v>
      </c>
    </row>
    <row r="13" spans="1:46" x14ac:dyDescent="0.25">
      <c r="C13" t="s">
        <v>6</v>
      </c>
      <c r="D13" s="1">
        <f>+'PassRev Pot'!D428</f>
        <v>0</v>
      </c>
      <c r="E13" s="1">
        <f>+'PassRev Pot'!E428</f>
        <v>0</v>
      </c>
      <c r="F13" s="1">
        <f>+'PassRev Pot'!F428</f>
        <v>0</v>
      </c>
      <c r="G13" s="1">
        <f>+'PassRev Pot'!G428</f>
        <v>0</v>
      </c>
      <c r="H13" s="1">
        <f>+'PassRev Pot'!H428</f>
        <v>0</v>
      </c>
      <c r="I13" s="1">
        <f>+'PassRev Pot'!I428</f>
        <v>0</v>
      </c>
      <c r="J13" s="1">
        <f>+'PassRev Pot'!J428</f>
        <v>0</v>
      </c>
      <c r="K13" s="1">
        <f>+'PassRev Pot'!K428</f>
        <v>0</v>
      </c>
      <c r="L13" s="1">
        <f>+'PassRev Pot'!L428</f>
        <v>0</v>
      </c>
      <c r="M13" s="1">
        <f>+'PassRev Pot'!M428</f>
        <v>0</v>
      </c>
      <c r="N13" s="1">
        <f>+'PassRev Pot'!N428</f>
        <v>0</v>
      </c>
      <c r="O13" s="1">
        <f>+'PassRev Pot'!O428</f>
        <v>0</v>
      </c>
      <c r="P13" s="1">
        <f>+'PassRev Pot'!P428</f>
        <v>0</v>
      </c>
      <c r="Q13" s="1">
        <f>+'PassRev Pot'!Q428</f>
        <v>0</v>
      </c>
      <c r="R13" s="1">
        <f>+'PassRev Pot'!R428</f>
        <v>30018</v>
      </c>
      <c r="S13" s="1">
        <f>+'PassRev Pot'!S428</f>
        <v>0</v>
      </c>
      <c r="T13" s="1">
        <f>+'PassRev Pot'!T428</f>
        <v>17632.5</v>
      </c>
      <c r="U13" s="1">
        <f>+'PassRev Pot'!U428</f>
        <v>5400</v>
      </c>
      <c r="V13" s="1">
        <f>+'PassRev Pot'!V428</f>
        <v>14934.400000000001</v>
      </c>
      <c r="W13" s="1">
        <f>+'PassRev Pot'!W428</f>
        <v>0</v>
      </c>
      <c r="X13" s="1">
        <f>+'PassRev Pot'!X428</f>
        <v>0</v>
      </c>
      <c r="Y13" s="1">
        <f>+'PassRev Pot'!Y428</f>
        <v>0</v>
      </c>
      <c r="Z13" s="1">
        <f>+'PassRev Pot'!Z428</f>
        <v>0</v>
      </c>
      <c r="AA13" s="1">
        <f>+'PassRev Pot'!AA428</f>
        <v>0</v>
      </c>
      <c r="AB13" s="1">
        <f>+'PassRev Pot'!AB428</f>
        <v>0</v>
      </c>
      <c r="AC13" s="1">
        <f>+'PassRev Pot'!AC428</f>
        <v>0</v>
      </c>
      <c r="AD13" s="1">
        <f>+'PassRev Pot'!AD428</f>
        <v>0</v>
      </c>
      <c r="AE13" s="1">
        <f>+'PassRev Pot'!AE428</f>
        <v>0</v>
      </c>
      <c r="AF13" s="1">
        <f>+'PassRev Pot'!AF428</f>
        <v>0</v>
      </c>
      <c r="AG13" s="1">
        <f>+'PassRev Pot'!AG428</f>
        <v>0</v>
      </c>
      <c r="AH13" s="1">
        <f>+'PassRev Pot'!AH428</f>
        <v>0</v>
      </c>
      <c r="AI13" s="1">
        <f>+'PassRev Pot'!AI428</f>
        <v>0</v>
      </c>
      <c r="AJ13" s="1">
        <f>+'PassRev Pot'!AJ428</f>
        <v>0</v>
      </c>
      <c r="AK13" s="1">
        <f>+'PassRev Pot'!AK428</f>
        <v>0</v>
      </c>
      <c r="AL13" s="1">
        <f>+'PassRev Pot'!AL428</f>
        <v>0</v>
      </c>
      <c r="AM13" s="1">
        <f>+'PassRev Pot'!AM428</f>
        <v>0</v>
      </c>
      <c r="AN13" s="1">
        <f>+'PassRev Pot'!AN428</f>
        <v>0</v>
      </c>
      <c r="AO13" s="1">
        <f>+'PassRev Pot'!AO428</f>
        <v>0</v>
      </c>
      <c r="AP13" s="1">
        <f>+'PassRev Pot'!AP428</f>
        <v>0</v>
      </c>
      <c r="AQ13" s="1">
        <f>+'PassRev Pot'!AQ428</f>
        <v>0</v>
      </c>
      <c r="AR13" s="3">
        <f t="shared" si="0"/>
        <v>67984.899999999994</v>
      </c>
      <c r="AT13" s="1">
        <f t="shared" si="1"/>
        <v>67984.899999999994</v>
      </c>
    </row>
    <row r="14" spans="1:46" x14ac:dyDescent="0.25">
      <c r="C14" t="s">
        <v>262</v>
      </c>
      <c r="D14" s="1">
        <f>+'PassRev Pot'!D429</f>
        <v>0</v>
      </c>
      <c r="E14" s="1">
        <f>+'PassRev Pot'!E429</f>
        <v>0</v>
      </c>
      <c r="F14" s="1">
        <f>+'PassRev Pot'!F429</f>
        <v>0</v>
      </c>
      <c r="G14" s="1">
        <f>+'PassRev Pot'!G429</f>
        <v>0</v>
      </c>
      <c r="H14" s="1">
        <f>+'PassRev Pot'!H429</f>
        <v>0</v>
      </c>
      <c r="I14" s="1">
        <f>+'PassRev Pot'!I429</f>
        <v>0</v>
      </c>
      <c r="J14" s="1">
        <f>+'PassRev Pot'!J429</f>
        <v>0</v>
      </c>
      <c r="K14" s="1">
        <f>+'PassRev Pot'!K429</f>
        <v>0</v>
      </c>
      <c r="L14" s="1">
        <f>+'PassRev Pot'!L429</f>
        <v>712.8</v>
      </c>
      <c r="M14" s="1">
        <f>+'PassRev Pot'!M429</f>
        <v>5916.6</v>
      </c>
      <c r="N14" s="1">
        <f>+'PassRev Pot'!N429</f>
        <v>3318.84</v>
      </c>
      <c r="O14" s="1">
        <f>+'PassRev Pot'!O429</f>
        <v>3764.8800000000006</v>
      </c>
      <c r="P14" s="1">
        <f>+'PassRev Pot'!P429</f>
        <v>4379.3999999999996</v>
      </c>
      <c r="Q14" s="1">
        <f>+'PassRev Pot'!Q429</f>
        <v>17212.599999999999</v>
      </c>
      <c r="R14" s="1">
        <f>+'PassRev Pot'!R429</f>
        <v>10681.56</v>
      </c>
      <c r="S14" s="1">
        <f>+'PassRev Pot'!S429</f>
        <v>4734.66</v>
      </c>
      <c r="T14" s="1">
        <f>+'PassRev Pot'!T429</f>
        <v>11731.289999999999</v>
      </c>
      <c r="U14" s="1">
        <f>+'PassRev Pot'!U429</f>
        <v>4416.04</v>
      </c>
      <c r="V14" s="1">
        <f>+'PassRev Pot'!V429</f>
        <v>3628.52</v>
      </c>
      <c r="W14" s="1">
        <f>+'PassRev Pot'!W429</f>
        <v>3533.4</v>
      </c>
      <c r="X14" s="1">
        <f>+'PassRev Pot'!X429</f>
        <v>1361.8799999999999</v>
      </c>
      <c r="Y14" s="1">
        <f>+'PassRev Pot'!Y429</f>
        <v>370.44000000000005</v>
      </c>
      <c r="Z14" s="1">
        <f>+'PassRev Pot'!Z429</f>
        <v>177.12</v>
      </c>
      <c r="AA14" s="1">
        <f>+'PassRev Pot'!AA429</f>
        <v>-142.74</v>
      </c>
      <c r="AB14" s="1">
        <f>+'PassRev Pot'!AB429</f>
        <v>509.76000000000005</v>
      </c>
      <c r="AC14" s="1">
        <f>+'PassRev Pot'!AC429</f>
        <v>113.39999999999999</v>
      </c>
      <c r="AD14" s="1">
        <f>+'PassRev Pot'!AD429</f>
        <v>0</v>
      </c>
      <c r="AE14" s="1">
        <f>+'PassRev Pot'!AE429</f>
        <v>0</v>
      </c>
      <c r="AF14" s="1">
        <f>+'PassRev Pot'!AF429</f>
        <v>0</v>
      </c>
      <c r="AG14" s="1">
        <f>+'PassRev Pot'!AG429</f>
        <v>0</v>
      </c>
      <c r="AH14" s="1">
        <f>+'PassRev Pot'!AH429</f>
        <v>0</v>
      </c>
      <c r="AI14" s="1">
        <f>+'PassRev Pot'!AI429</f>
        <v>-28.08</v>
      </c>
      <c r="AJ14" s="1">
        <f>+'PassRev Pot'!AJ429</f>
        <v>0</v>
      </c>
      <c r="AK14" s="1">
        <f>+'PassRev Pot'!AK429</f>
        <v>0</v>
      </c>
      <c r="AL14" s="1">
        <f>+'PassRev Pot'!AL429</f>
        <v>0</v>
      </c>
      <c r="AM14" s="1">
        <f>+'PassRev Pot'!AM429</f>
        <v>0</v>
      </c>
      <c r="AN14" s="1">
        <f>+'PassRev Pot'!AN429</f>
        <v>-214.92000000000002</v>
      </c>
      <c r="AO14" s="1">
        <f>+'PassRev Pot'!AO429</f>
        <v>0</v>
      </c>
      <c r="AP14" s="1">
        <f>+'PassRev Pot'!AP429</f>
        <v>0</v>
      </c>
      <c r="AQ14" s="1">
        <f>+'PassRev Pot'!AQ429</f>
        <v>0</v>
      </c>
      <c r="AR14" s="3">
        <f t="shared" si="0"/>
        <v>76177.449999999983</v>
      </c>
      <c r="AT14" s="1">
        <f t="shared" si="1"/>
        <v>76177.449999999983</v>
      </c>
    </row>
    <row r="15" spans="1:46" x14ac:dyDescent="0.25">
      <c r="C15" t="s">
        <v>42</v>
      </c>
      <c r="D15" s="1">
        <f>+'PassRev Pot'!D430</f>
        <v>0</v>
      </c>
      <c r="E15" s="1">
        <f>+'PassRev Pot'!E430</f>
        <v>0</v>
      </c>
      <c r="F15" s="1">
        <f>+'PassRev Pot'!F430</f>
        <v>0</v>
      </c>
      <c r="G15" s="1">
        <f>+'PassRev Pot'!G430</f>
        <v>0</v>
      </c>
      <c r="H15" s="1">
        <f>+'PassRev Pot'!H430</f>
        <v>0</v>
      </c>
      <c r="I15" s="1">
        <f>+'PassRev Pot'!I430</f>
        <v>0</v>
      </c>
      <c r="J15" s="1">
        <f>+'PassRev Pot'!J430</f>
        <v>0</v>
      </c>
      <c r="K15" s="1">
        <f>+'PassRev Pot'!K430</f>
        <v>0</v>
      </c>
      <c r="L15" s="1">
        <f>+'PassRev Pot'!L430</f>
        <v>5636.16</v>
      </c>
      <c r="M15" s="1">
        <f>+'PassRev Pot'!M430</f>
        <v>7805.52</v>
      </c>
      <c r="N15" s="1">
        <f>+'PassRev Pot'!N430</f>
        <v>5403.24</v>
      </c>
      <c r="O15" s="1">
        <f>+'PassRev Pot'!O430</f>
        <v>2700.76</v>
      </c>
      <c r="P15" s="1">
        <f>+'PassRev Pot'!P430</f>
        <v>10480.140000000001</v>
      </c>
      <c r="Q15" s="1">
        <f>+'PassRev Pot'!Q430</f>
        <v>14645.88</v>
      </c>
      <c r="R15" s="1">
        <f>+'PassRev Pot'!R430</f>
        <v>9799.5600000000013</v>
      </c>
      <c r="S15" s="1">
        <f>+'PassRev Pot'!S430</f>
        <v>6660.72</v>
      </c>
      <c r="T15" s="1">
        <f>+'PassRev Pot'!T430</f>
        <v>6332.76</v>
      </c>
      <c r="U15" s="1">
        <f>+'PassRev Pot'!U430</f>
        <v>12363.36</v>
      </c>
      <c r="V15" s="1">
        <f>+'PassRev Pot'!V430</f>
        <v>2573.04</v>
      </c>
      <c r="W15" s="1">
        <f>+'PassRev Pot'!W430</f>
        <v>8131.2399999999989</v>
      </c>
      <c r="X15" s="1">
        <f>+'PassRev Pot'!X430</f>
        <v>2551.0800000000004</v>
      </c>
      <c r="Y15" s="1">
        <f>+'PassRev Pot'!Y430</f>
        <v>6874.4400000000005</v>
      </c>
      <c r="Z15" s="1">
        <f>+'PassRev Pot'!Z430</f>
        <v>-809.78</v>
      </c>
      <c r="AA15" s="1">
        <f>+'PassRev Pot'!AA430</f>
        <v>-1259.22</v>
      </c>
      <c r="AB15" s="1">
        <f>+'PassRev Pot'!AB430</f>
        <v>0</v>
      </c>
      <c r="AC15" s="1">
        <f>+'PassRev Pot'!AC430</f>
        <v>0</v>
      </c>
      <c r="AD15" s="1">
        <f>+'PassRev Pot'!AD430</f>
        <v>-220.16</v>
      </c>
      <c r="AE15" s="1">
        <f>+'PassRev Pot'!AE430</f>
        <v>0</v>
      </c>
      <c r="AF15" s="1">
        <f>+'PassRev Pot'!AF430</f>
        <v>0</v>
      </c>
      <c r="AG15" s="1">
        <f>+'PassRev Pot'!AG430</f>
        <v>0</v>
      </c>
      <c r="AH15" s="1">
        <f>+'PassRev Pot'!AH430</f>
        <v>0</v>
      </c>
      <c r="AI15" s="1">
        <f>+'PassRev Pot'!AI430</f>
        <v>0</v>
      </c>
      <c r="AJ15" s="1">
        <f>+'PassRev Pot'!AJ430</f>
        <v>0</v>
      </c>
      <c r="AK15" s="1">
        <f>+'PassRev Pot'!AK430</f>
        <v>0</v>
      </c>
      <c r="AL15" s="1">
        <f>+'PassRev Pot'!AL430</f>
        <v>0</v>
      </c>
      <c r="AM15" s="1">
        <f>+'PassRev Pot'!AM430</f>
        <v>0</v>
      </c>
      <c r="AN15" s="1">
        <f>+'PassRev Pot'!AN430</f>
        <v>0</v>
      </c>
      <c r="AO15" s="1">
        <f>+'PassRev Pot'!AO430</f>
        <v>0</v>
      </c>
      <c r="AP15" s="1">
        <f>+'PassRev Pot'!AP430</f>
        <v>0</v>
      </c>
      <c r="AQ15" s="1">
        <f>+'PassRev Pot'!AQ430</f>
        <v>0</v>
      </c>
      <c r="AR15" s="3">
        <f t="shared" si="0"/>
        <v>99668.739999999991</v>
      </c>
      <c r="AT15" s="1">
        <f t="shared" si="1"/>
        <v>99668.739999999991</v>
      </c>
    </row>
    <row r="16" spans="1:46" x14ac:dyDescent="0.25">
      <c r="C16" t="s">
        <v>192</v>
      </c>
      <c r="D16" s="1">
        <f>+'PassRev Pot'!D431</f>
        <v>0</v>
      </c>
      <c r="E16" s="1">
        <f>+'PassRev Pot'!E431</f>
        <v>0</v>
      </c>
      <c r="F16" s="1">
        <f>+'PassRev Pot'!F431</f>
        <v>0</v>
      </c>
      <c r="G16" s="1">
        <f>+'PassRev Pot'!G431</f>
        <v>0</v>
      </c>
      <c r="H16" s="1">
        <f>+'PassRev Pot'!H431</f>
        <v>0</v>
      </c>
      <c r="I16" s="1">
        <f>+'PassRev Pot'!I431</f>
        <v>0</v>
      </c>
      <c r="J16" s="1">
        <f>+'PassRev Pot'!J431</f>
        <v>0</v>
      </c>
      <c r="K16" s="1">
        <f>+'PassRev Pot'!K431</f>
        <v>0</v>
      </c>
      <c r="L16" s="1">
        <f>+'PassRev Pot'!L431</f>
        <v>0</v>
      </c>
      <c r="M16" s="1">
        <f>+'PassRev Pot'!M431</f>
        <v>16562.52</v>
      </c>
      <c r="N16" s="1">
        <f>+'PassRev Pot'!N431</f>
        <v>1548.5</v>
      </c>
      <c r="O16" s="1">
        <f>+'PassRev Pot'!O431</f>
        <v>4303.26</v>
      </c>
      <c r="P16" s="1">
        <f>+'PassRev Pot'!P431</f>
        <v>9748.8000000000011</v>
      </c>
      <c r="Q16" s="1">
        <f>+'PassRev Pot'!Q431</f>
        <v>22819.48</v>
      </c>
      <c r="R16" s="1">
        <f>+'PassRev Pot'!R431</f>
        <v>19730.68</v>
      </c>
      <c r="S16" s="1">
        <f>+'PassRev Pot'!S431</f>
        <v>8263.5700000000015</v>
      </c>
      <c r="T16" s="1">
        <f>+'PassRev Pot'!T431</f>
        <v>7095.3</v>
      </c>
      <c r="U16" s="1">
        <f>+'PassRev Pot'!U431</f>
        <v>17350.960000000003</v>
      </c>
      <c r="V16" s="1">
        <f>+'PassRev Pot'!V431</f>
        <v>2767.5599999999995</v>
      </c>
      <c r="W16" s="1">
        <f>+'PassRev Pot'!W431</f>
        <v>10258.039999999999</v>
      </c>
      <c r="X16" s="1">
        <f>+'PassRev Pot'!X431</f>
        <v>3996.24</v>
      </c>
      <c r="Y16" s="1">
        <f>+'PassRev Pot'!Y431</f>
        <v>6517.3200000000006</v>
      </c>
      <c r="Z16" s="1">
        <f>+'PassRev Pot'!Z431</f>
        <v>-358.91999999999996</v>
      </c>
      <c r="AA16" s="1">
        <f>+'PassRev Pot'!AA431</f>
        <v>66.600000000000009</v>
      </c>
      <c r="AB16" s="1">
        <f>+'PassRev Pot'!AB431</f>
        <v>-194.04</v>
      </c>
      <c r="AC16" s="1">
        <f>+'PassRev Pot'!AC431</f>
        <v>108.72</v>
      </c>
      <c r="AD16" s="1">
        <f>+'PassRev Pot'!AD431</f>
        <v>0</v>
      </c>
      <c r="AE16" s="1">
        <f>+'PassRev Pot'!AE431</f>
        <v>0</v>
      </c>
      <c r="AF16" s="1">
        <f>+'PassRev Pot'!AF431</f>
        <v>-72.960000000000008</v>
      </c>
      <c r="AG16" s="1">
        <f>+'PassRev Pot'!AG431</f>
        <v>-704.68</v>
      </c>
      <c r="AH16" s="1">
        <f>+'PassRev Pot'!AH431</f>
        <v>0</v>
      </c>
      <c r="AI16" s="1">
        <f>+'PassRev Pot'!AI431</f>
        <v>0</v>
      </c>
      <c r="AJ16" s="1">
        <f>+'PassRev Pot'!AJ431</f>
        <v>0</v>
      </c>
      <c r="AK16" s="1">
        <f>+'PassRev Pot'!AK431</f>
        <v>0</v>
      </c>
      <c r="AL16" s="1">
        <f>+'PassRev Pot'!AL431</f>
        <v>0</v>
      </c>
      <c r="AM16" s="1">
        <f>+'PassRev Pot'!AM431</f>
        <v>0</v>
      </c>
      <c r="AN16" s="1">
        <f>+'PassRev Pot'!AN431</f>
        <v>0</v>
      </c>
      <c r="AO16" s="1">
        <f>+'PassRev Pot'!AO431</f>
        <v>0</v>
      </c>
      <c r="AP16" s="1">
        <f>+'PassRev Pot'!AP431</f>
        <v>0</v>
      </c>
      <c r="AQ16" s="1">
        <f>+'PassRev Pot'!AQ431</f>
        <v>0</v>
      </c>
      <c r="AR16" s="3">
        <f t="shared" si="0"/>
        <v>129806.95000000003</v>
      </c>
      <c r="AT16" s="1">
        <f t="shared" si="1"/>
        <v>129806.95000000003</v>
      </c>
    </row>
    <row r="17" spans="1:46" x14ac:dyDescent="0.25">
      <c r="C17" t="s">
        <v>133</v>
      </c>
      <c r="D17" s="1">
        <f>+'PassRev Pot'!D432</f>
        <v>0</v>
      </c>
      <c r="E17" s="1">
        <f>+'PassRev Pot'!E432</f>
        <v>0</v>
      </c>
      <c r="F17" s="1">
        <f>+'PassRev Pot'!F432</f>
        <v>0</v>
      </c>
      <c r="G17" s="1">
        <f>+'PassRev Pot'!G432</f>
        <v>0</v>
      </c>
      <c r="H17" s="1">
        <f>+'PassRev Pot'!H432</f>
        <v>0</v>
      </c>
      <c r="I17" s="1">
        <f>+'PassRev Pot'!I432</f>
        <v>0</v>
      </c>
      <c r="J17" s="1">
        <f>+'PassRev Pot'!J432</f>
        <v>0</v>
      </c>
      <c r="K17" s="1">
        <f>+'PassRev Pot'!K432</f>
        <v>0</v>
      </c>
      <c r="L17" s="1">
        <f>+'PassRev Pot'!L432</f>
        <v>475.2</v>
      </c>
      <c r="M17" s="1">
        <f>+'PassRev Pot'!M432</f>
        <v>874.80000000000007</v>
      </c>
      <c r="N17" s="1">
        <f>+'PassRev Pot'!N432</f>
        <v>1740.96</v>
      </c>
      <c r="O17" s="1">
        <f>+'PassRev Pot'!O432</f>
        <v>2234.8799999999997</v>
      </c>
      <c r="P17" s="1">
        <f>+'PassRev Pot'!P432</f>
        <v>5077.9799999999996</v>
      </c>
      <c r="Q17" s="1">
        <f>+'PassRev Pot'!Q432</f>
        <v>5264.19</v>
      </c>
      <c r="R17" s="1">
        <f>+'PassRev Pot'!R432</f>
        <v>3265.2</v>
      </c>
      <c r="S17" s="1">
        <f>+'PassRev Pot'!S432</f>
        <v>5426.98</v>
      </c>
      <c r="T17" s="1">
        <f>+'PassRev Pot'!T432</f>
        <v>6352.56</v>
      </c>
      <c r="U17" s="1">
        <f>+'PassRev Pot'!U432</f>
        <v>4835.8799999999992</v>
      </c>
      <c r="V17" s="1">
        <f>+'PassRev Pot'!V432</f>
        <v>2159.7600000000002</v>
      </c>
      <c r="W17" s="1">
        <f>+'PassRev Pot'!W432</f>
        <v>2852.62</v>
      </c>
      <c r="X17" s="1">
        <f>+'PassRev Pot'!X432</f>
        <v>2807.0200000000004</v>
      </c>
      <c r="Y17" s="1">
        <f>+'PassRev Pot'!Y432</f>
        <v>2452.6800000000003</v>
      </c>
      <c r="Z17" s="1">
        <f>+'PassRev Pot'!Z432</f>
        <v>572.4</v>
      </c>
      <c r="AA17" s="1">
        <f>+'PassRev Pot'!AA432</f>
        <v>704.52</v>
      </c>
      <c r="AB17" s="1">
        <f>+'PassRev Pot'!AB432</f>
        <v>613.44000000000005</v>
      </c>
      <c r="AC17" s="1">
        <f>+'PassRev Pot'!AC432</f>
        <v>70.199999999999989</v>
      </c>
      <c r="AD17" s="1">
        <f>+'PassRev Pot'!AD432</f>
        <v>0</v>
      </c>
      <c r="AE17" s="1">
        <f>+'PassRev Pot'!AE432</f>
        <v>0</v>
      </c>
      <c r="AF17" s="1">
        <f>+'PassRev Pot'!AF432</f>
        <v>0</v>
      </c>
      <c r="AG17" s="1">
        <f>+'PassRev Pot'!AG432</f>
        <v>0</v>
      </c>
      <c r="AH17" s="1">
        <f>+'PassRev Pot'!AH432</f>
        <v>0</v>
      </c>
      <c r="AI17" s="1">
        <f>+'PassRev Pot'!AI432</f>
        <v>0</v>
      </c>
      <c r="AJ17" s="1">
        <f>+'PassRev Pot'!AJ432</f>
        <v>0</v>
      </c>
      <c r="AK17" s="1">
        <f>+'PassRev Pot'!AK432</f>
        <v>0</v>
      </c>
      <c r="AL17" s="1">
        <f>+'PassRev Pot'!AL432</f>
        <v>0</v>
      </c>
      <c r="AM17" s="1">
        <f>+'PassRev Pot'!AM432</f>
        <v>0</v>
      </c>
      <c r="AN17" s="1">
        <f>+'PassRev Pot'!AN432</f>
        <v>0</v>
      </c>
      <c r="AO17" s="1">
        <f>+'PassRev Pot'!AO432</f>
        <v>0</v>
      </c>
      <c r="AP17" s="1">
        <f>+'PassRev Pot'!AP432</f>
        <v>0</v>
      </c>
      <c r="AQ17" s="1">
        <f>+'PassRev Pot'!AQ432</f>
        <v>0</v>
      </c>
      <c r="AR17" s="3">
        <f t="shared" si="0"/>
        <v>47781.27</v>
      </c>
      <c r="AT17" s="1">
        <f t="shared" si="1"/>
        <v>47781.27</v>
      </c>
    </row>
    <row r="18" spans="1:46" x14ac:dyDescent="0.25">
      <c r="C18" t="s">
        <v>41</v>
      </c>
      <c r="D18" s="1">
        <f>+'PassRev Pot'!D433</f>
        <v>0</v>
      </c>
      <c r="E18" s="1">
        <f>+'PassRev Pot'!E433</f>
        <v>0</v>
      </c>
      <c r="F18" s="1">
        <f>+'PassRev Pot'!F433</f>
        <v>0</v>
      </c>
      <c r="G18" s="1">
        <f>+'PassRev Pot'!G433</f>
        <v>0</v>
      </c>
      <c r="H18" s="1">
        <f>+'PassRev Pot'!H433</f>
        <v>0</v>
      </c>
      <c r="I18" s="1">
        <f>+'PassRev Pot'!I433</f>
        <v>0</v>
      </c>
      <c r="J18" s="1">
        <f>+'PassRev Pot'!J433</f>
        <v>0</v>
      </c>
      <c r="K18" s="1">
        <f>+'PassRev Pot'!K433</f>
        <v>0</v>
      </c>
      <c r="L18" s="1">
        <f>+'PassRev Pot'!L433</f>
        <v>2178</v>
      </c>
      <c r="M18" s="1">
        <f>+'PassRev Pot'!M433</f>
        <v>10754.64</v>
      </c>
      <c r="N18" s="1">
        <f>+'PassRev Pot'!N433</f>
        <v>4499.28</v>
      </c>
      <c r="O18" s="1">
        <f>+'PassRev Pot'!O433</f>
        <v>12401.28</v>
      </c>
      <c r="P18" s="1">
        <f>+'PassRev Pot'!P433</f>
        <v>18608.520000000004</v>
      </c>
      <c r="Q18" s="1">
        <f>+'PassRev Pot'!Q433</f>
        <v>46154.38</v>
      </c>
      <c r="R18" s="1">
        <f>+'PassRev Pot'!R433</f>
        <v>30867.599999999999</v>
      </c>
      <c r="S18" s="1">
        <f>+'PassRev Pot'!S433</f>
        <v>30873.719999999998</v>
      </c>
      <c r="T18" s="1">
        <f>+'PassRev Pot'!T433</f>
        <v>35277.56</v>
      </c>
      <c r="U18" s="1">
        <f>+'PassRev Pot'!U433</f>
        <v>41604.020000000004</v>
      </c>
      <c r="V18" s="1">
        <f>+'PassRev Pot'!V433</f>
        <v>13330.779999999999</v>
      </c>
      <c r="W18" s="1">
        <f>+'PassRev Pot'!W433</f>
        <v>19667.96</v>
      </c>
      <c r="X18" s="1">
        <f>+'PassRev Pot'!X433</f>
        <v>20227.319999999996</v>
      </c>
      <c r="Y18" s="1">
        <f>+'PassRev Pot'!Y433</f>
        <v>17812.98</v>
      </c>
      <c r="Z18" s="1">
        <f>+'PassRev Pot'!Z433</f>
        <v>2776.5400000000004</v>
      </c>
      <c r="AA18" s="1">
        <f>+'PassRev Pot'!AA433</f>
        <v>1078.92</v>
      </c>
      <c r="AB18" s="1">
        <f>+'PassRev Pot'!AB433</f>
        <v>477.35999999999996</v>
      </c>
      <c r="AC18" s="1">
        <f>+'PassRev Pot'!AC433</f>
        <v>171.72</v>
      </c>
      <c r="AD18" s="1">
        <f>+'PassRev Pot'!AD433</f>
        <v>-86.399999999999991</v>
      </c>
      <c r="AE18" s="1">
        <f>+'PassRev Pot'!AE433</f>
        <v>-85.8</v>
      </c>
      <c r="AF18" s="1">
        <f>+'PassRev Pot'!AF433</f>
        <v>0</v>
      </c>
      <c r="AG18" s="1">
        <f>+'PassRev Pot'!AG433</f>
        <v>-59</v>
      </c>
      <c r="AH18" s="1">
        <f>+'PassRev Pot'!AH433</f>
        <v>0</v>
      </c>
      <c r="AI18" s="1">
        <f>+'PassRev Pot'!AI433</f>
        <v>0</v>
      </c>
      <c r="AJ18" s="1">
        <f>+'PassRev Pot'!AJ433</f>
        <v>0</v>
      </c>
      <c r="AK18" s="1">
        <f>+'PassRev Pot'!AK433</f>
        <v>0</v>
      </c>
      <c r="AL18" s="1">
        <f>+'PassRev Pot'!AL433</f>
        <v>0</v>
      </c>
      <c r="AM18" s="1">
        <f>+'PassRev Pot'!AM433</f>
        <v>0</v>
      </c>
      <c r="AN18" s="1">
        <f>+'PassRev Pot'!AN433</f>
        <v>0</v>
      </c>
      <c r="AO18" s="1">
        <f>+'PassRev Pot'!AO433</f>
        <v>0</v>
      </c>
      <c r="AP18" s="1">
        <f>+'PassRev Pot'!AP433</f>
        <v>0</v>
      </c>
      <c r="AQ18" s="1">
        <f>+'PassRev Pot'!AQ433</f>
        <v>0</v>
      </c>
      <c r="AR18" s="3">
        <f t="shared" si="0"/>
        <v>308531.37999999989</v>
      </c>
      <c r="AT18" s="1">
        <f t="shared" si="1"/>
        <v>308531.37999999989</v>
      </c>
    </row>
    <row r="19" spans="1:46" x14ac:dyDescent="0.25">
      <c r="C19" t="s">
        <v>193</v>
      </c>
      <c r="D19" s="1">
        <f>+'PassRev Pot'!D434</f>
        <v>0</v>
      </c>
      <c r="E19" s="1">
        <f>+'PassRev Pot'!E434</f>
        <v>0</v>
      </c>
      <c r="F19" s="1">
        <f>+'PassRev Pot'!F434</f>
        <v>0</v>
      </c>
      <c r="G19" s="1">
        <f>+'PassRev Pot'!G434</f>
        <v>0</v>
      </c>
      <c r="H19" s="1">
        <f>+'PassRev Pot'!H434</f>
        <v>0</v>
      </c>
      <c r="I19" s="1">
        <f>+'PassRev Pot'!I434</f>
        <v>0</v>
      </c>
      <c r="J19" s="1">
        <f>+'PassRev Pot'!J434</f>
        <v>0</v>
      </c>
      <c r="K19" s="1">
        <f>+'PassRev Pot'!K434</f>
        <v>0</v>
      </c>
      <c r="L19" s="1">
        <f>+'PassRev Pot'!L434</f>
        <v>0</v>
      </c>
      <c r="M19" s="1">
        <f>+'PassRev Pot'!M434</f>
        <v>0</v>
      </c>
      <c r="N19" s="1">
        <f>+'PassRev Pot'!N434</f>
        <v>0</v>
      </c>
      <c r="O19" s="1">
        <f>+'PassRev Pot'!O434</f>
        <v>0</v>
      </c>
      <c r="P19" s="1">
        <f>+'PassRev Pot'!P434</f>
        <v>0</v>
      </c>
      <c r="Q19" s="1">
        <f>+'PassRev Pot'!Q434</f>
        <v>0</v>
      </c>
      <c r="R19" s="1">
        <f>+'PassRev Pot'!R434</f>
        <v>0</v>
      </c>
      <c r="S19" s="1">
        <f>+'PassRev Pot'!S434</f>
        <v>0</v>
      </c>
      <c r="T19" s="1">
        <f>+'PassRev Pot'!T434</f>
        <v>0</v>
      </c>
      <c r="U19" s="1">
        <f>+'PassRev Pot'!U434</f>
        <v>0</v>
      </c>
      <c r="V19" s="1">
        <f>+'PassRev Pot'!V434</f>
        <v>0</v>
      </c>
      <c r="W19" s="1">
        <f>+'PassRev Pot'!W434</f>
        <v>0</v>
      </c>
      <c r="X19" s="1">
        <f>+'PassRev Pot'!X434</f>
        <v>0</v>
      </c>
      <c r="Y19" s="1">
        <f>+'PassRev Pot'!Y434</f>
        <v>0</v>
      </c>
      <c r="Z19" s="1">
        <f>+'PassRev Pot'!Z434</f>
        <v>0</v>
      </c>
      <c r="AA19" s="1">
        <f>+'PassRev Pot'!AA434</f>
        <v>0</v>
      </c>
      <c r="AB19" s="1">
        <f>+'PassRev Pot'!AB434</f>
        <v>0</v>
      </c>
      <c r="AC19" s="1">
        <f>+'PassRev Pot'!AC434</f>
        <v>0</v>
      </c>
      <c r="AD19" s="1">
        <f>+'PassRev Pot'!AD434</f>
        <v>0</v>
      </c>
      <c r="AE19" s="1">
        <f>+'PassRev Pot'!AE434</f>
        <v>0</v>
      </c>
      <c r="AF19" s="1">
        <f>+'PassRev Pot'!AF434</f>
        <v>0</v>
      </c>
      <c r="AG19" s="1">
        <f>+'PassRev Pot'!AG434</f>
        <v>0</v>
      </c>
      <c r="AH19" s="1">
        <f>+'PassRev Pot'!AH434</f>
        <v>0</v>
      </c>
      <c r="AI19" s="1">
        <f>+'PassRev Pot'!AI434</f>
        <v>0</v>
      </c>
      <c r="AJ19" s="1">
        <f>+'PassRev Pot'!AJ434</f>
        <v>0</v>
      </c>
      <c r="AK19" s="1">
        <f>+'PassRev Pot'!AK434</f>
        <v>0</v>
      </c>
      <c r="AL19" s="1">
        <f>+'PassRev Pot'!AL434</f>
        <v>0</v>
      </c>
      <c r="AM19" s="1">
        <f>+'PassRev Pot'!AM434</f>
        <v>0</v>
      </c>
      <c r="AN19" s="1">
        <f>+'PassRev Pot'!AN434</f>
        <v>0</v>
      </c>
      <c r="AO19" s="1">
        <f>+'PassRev Pot'!AO434</f>
        <v>0</v>
      </c>
      <c r="AP19" s="1">
        <f>+'PassRev Pot'!AP434</f>
        <v>0</v>
      </c>
      <c r="AQ19" s="1">
        <f>+'PassRev Pot'!AQ434</f>
        <v>0</v>
      </c>
      <c r="AR19" s="3">
        <f t="shared" si="0"/>
        <v>0</v>
      </c>
      <c r="AT19" s="1">
        <f t="shared" si="1"/>
        <v>0</v>
      </c>
    </row>
    <row r="20" spans="1:46" x14ac:dyDescent="0.25">
      <c r="C20" t="s">
        <v>194</v>
      </c>
      <c r="D20" s="1">
        <f>+'PassRev Pot'!D435</f>
        <v>0</v>
      </c>
      <c r="E20" s="1">
        <f>+'PassRev Pot'!E435</f>
        <v>0</v>
      </c>
      <c r="F20" s="1">
        <f>+'PassRev Pot'!F435</f>
        <v>0</v>
      </c>
      <c r="G20" s="1">
        <f>+'PassRev Pot'!G435</f>
        <v>0</v>
      </c>
      <c r="H20" s="1">
        <f>+'PassRev Pot'!H435</f>
        <v>0</v>
      </c>
      <c r="I20" s="1">
        <f>+'PassRev Pot'!I435</f>
        <v>0</v>
      </c>
      <c r="J20" s="1">
        <f>+'PassRev Pot'!J435</f>
        <v>0</v>
      </c>
      <c r="K20" s="1">
        <f>+'PassRev Pot'!K435</f>
        <v>0</v>
      </c>
      <c r="L20" s="1">
        <f>+'PassRev Pot'!L435</f>
        <v>0</v>
      </c>
      <c r="M20" s="1">
        <f>+'PassRev Pot'!M435</f>
        <v>0</v>
      </c>
      <c r="N20" s="1">
        <f>+'PassRev Pot'!N435</f>
        <v>0</v>
      </c>
      <c r="O20" s="1">
        <f>+'PassRev Pot'!O435</f>
        <v>0</v>
      </c>
      <c r="P20" s="1">
        <f>+'PassRev Pot'!P435</f>
        <v>0</v>
      </c>
      <c r="Q20" s="1">
        <f>+'PassRev Pot'!Q435</f>
        <v>0</v>
      </c>
      <c r="R20" s="1">
        <f>+'PassRev Pot'!R435</f>
        <v>0</v>
      </c>
      <c r="S20" s="1">
        <f>+'PassRev Pot'!S435</f>
        <v>0</v>
      </c>
      <c r="T20" s="1">
        <f>+'PassRev Pot'!T435</f>
        <v>0</v>
      </c>
      <c r="U20" s="1">
        <f>+'PassRev Pot'!U435</f>
        <v>0</v>
      </c>
      <c r="V20" s="1">
        <f>+'PassRev Pot'!V435</f>
        <v>0</v>
      </c>
      <c r="W20" s="1">
        <f>+'PassRev Pot'!W435</f>
        <v>0</v>
      </c>
      <c r="X20" s="1">
        <f>+'PassRev Pot'!X435</f>
        <v>0</v>
      </c>
      <c r="Y20" s="1">
        <f>+'PassRev Pot'!Y435</f>
        <v>0</v>
      </c>
      <c r="Z20" s="1">
        <f>+'PassRev Pot'!Z435</f>
        <v>0</v>
      </c>
      <c r="AA20" s="1">
        <f>+'PassRev Pot'!AA435</f>
        <v>0</v>
      </c>
      <c r="AB20" s="1">
        <f>+'PassRev Pot'!AB435</f>
        <v>0</v>
      </c>
      <c r="AC20" s="1">
        <f>+'PassRev Pot'!AC435</f>
        <v>0</v>
      </c>
      <c r="AD20" s="1">
        <f>+'PassRev Pot'!AD435</f>
        <v>0</v>
      </c>
      <c r="AE20" s="1">
        <f>+'PassRev Pot'!AE435</f>
        <v>0</v>
      </c>
      <c r="AF20" s="1">
        <f>+'PassRev Pot'!AF435</f>
        <v>0</v>
      </c>
      <c r="AG20" s="1">
        <f>+'PassRev Pot'!AG435</f>
        <v>0</v>
      </c>
      <c r="AH20" s="1">
        <f>+'PassRev Pot'!AH435</f>
        <v>0</v>
      </c>
      <c r="AI20" s="1">
        <f>+'PassRev Pot'!AI435</f>
        <v>0</v>
      </c>
      <c r="AJ20" s="1">
        <f>+'PassRev Pot'!AJ435</f>
        <v>0</v>
      </c>
      <c r="AK20" s="1">
        <f>+'PassRev Pot'!AK435</f>
        <v>0</v>
      </c>
      <c r="AL20" s="1">
        <f>+'PassRev Pot'!AL435</f>
        <v>0</v>
      </c>
      <c r="AM20" s="1">
        <f>+'PassRev Pot'!AM435</f>
        <v>0</v>
      </c>
      <c r="AN20" s="1">
        <f>+'PassRev Pot'!AN435</f>
        <v>0</v>
      </c>
      <c r="AO20" s="1">
        <f>+'PassRev Pot'!AO435</f>
        <v>0</v>
      </c>
      <c r="AP20" s="1">
        <f>+'PassRev Pot'!AP435</f>
        <v>0</v>
      </c>
      <c r="AQ20" s="1">
        <f>+'PassRev Pot'!AQ435</f>
        <v>0</v>
      </c>
      <c r="AR20" s="3">
        <f t="shared" si="0"/>
        <v>0</v>
      </c>
      <c r="AT20" s="1">
        <f t="shared" si="1"/>
        <v>0</v>
      </c>
    </row>
    <row r="21" spans="1:46" x14ac:dyDescent="0.25">
      <c r="C21" t="s">
        <v>296</v>
      </c>
      <c r="D21" s="1">
        <f>+'PassRev Pot'!D436</f>
        <v>0</v>
      </c>
      <c r="E21" s="1">
        <f>+'PassRev Pot'!E436</f>
        <v>0</v>
      </c>
      <c r="F21" s="1">
        <f>+'PassRev Pot'!F436</f>
        <v>0</v>
      </c>
      <c r="G21" s="1">
        <f>+'PassRev Pot'!G436</f>
        <v>0</v>
      </c>
      <c r="H21" s="1">
        <f>+'PassRev Pot'!H436</f>
        <v>0</v>
      </c>
      <c r="I21" s="1">
        <f>+'PassRev Pot'!I436</f>
        <v>0</v>
      </c>
      <c r="J21" s="1">
        <f>+'PassRev Pot'!J436</f>
        <v>0</v>
      </c>
      <c r="K21" s="1">
        <f>+'PassRev Pot'!K436</f>
        <v>0</v>
      </c>
      <c r="L21" s="1">
        <f>+'PassRev Pot'!L436</f>
        <v>0</v>
      </c>
      <c r="M21" s="1">
        <f>+'PassRev Pot'!M436</f>
        <v>559.07999999999993</v>
      </c>
      <c r="N21" s="1">
        <f>+'PassRev Pot'!N436</f>
        <v>977.40000000000009</v>
      </c>
      <c r="O21" s="1">
        <f>+'PassRev Pot'!O436</f>
        <v>1090.9199999999998</v>
      </c>
      <c r="P21" s="1">
        <f>+'PassRev Pot'!P436</f>
        <v>1572.48</v>
      </c>
      <c r="Q21" s="1">
        <f>+'PassRev Pot'!Q436</f>
        <v>1736.6399999999999</v>
      </c>
      <c r="R21" s="1">
        <f>+'PassRev Pot'!R436</f>
        <v>2141.4</v>
      </c>
      <c r="S21" s="1">
        <f>+'PassRev Pot'!S436</f>
        <v>3043.64</v>
      </c>
      <c r="T21" s="1">
        <f>+'PassRev Pot'!T436</f>
        <v>3110</v>
      </c>
      <c r="U21" s="1">
        <f>+'PassRev Pot'!U436</f>
        <v>3466.02</v>
      </c>
      <c r="V21" s="1">
        <f>+'PassRev Pot'!V436</f>
        <v>1642.5</v>
      </c>
      <c r="W21" s="1">
        <f>+'PassRev Pot'!W436</f>
        <v>1527.6599999999999</v>
      </c>
      <c r="X21" s="1">
        <f>+'PassRev Pot'!X436</f>
        <v>807.90000000000009</v>
      </c>
      <c r="Y21" s="1">
        <f>+'PassRev Pot'!Y436</f>
        <v>899.40000000000009</v>
      </c>
      <c r="Z21" s="1">
        <f>+'PassRev Pot'!Z436</f>
        <v>235.32</v>
      </c>
      <c r="AA21" s="1">
        <f>+'PassRev Pot'!AA436</f>
        <v>691.19999999999993</v>
      </c>
      <c r="AB21" s="1">
        <f>+'PassRev Pot'!AB436</f>
        <v>183.60000000000002</v>
      </c>
      <c r="AC21" s="1">
        <f>+'PassRev Pot'!AC436</f>
        <v>56.16</v>
      </c>
      <c r="AD21" s="1">
        <f>+'PassRev Pot'!AD436</f>
        <v>0</v>
      </c>
      <c r="AE21" s="1">
        <f>+'PassRev Pot'!AE436</f>
        <v>0</v>
      </c>
      <c r="AF21" s="1">
        <f>+'PassRev Pot'!AF436</f>
        <v>0</v>
      </c>
      <c r="AG21" s="1">
        <f>+'PassRev Pot'!AG436</f>
        <v>0</v>
      </c>
      <c r="AH21" s="1">
        <f>+'PassRev Pot'!AH436</f>
        <v>0</v>
      </c>
      <c r="AI21" s="1">
        <f>+'PassRev Pot'!AI436</f>
        <v>0</v>
      </c>
      <c r="AJ21" s="1">
        <f>+'PassRev Pot'!AJ436</f>
        <v>-14.04</v>
      </c>
      <c r="AK21" s="1">
        <f>+'PassRev Pot'!AK436</f>
        <v>0</v>
      </c>
      <c r="AL21" s="1">
        <f>+'PassRev Pot'!AL436</f>
        <v>0</v>
      </c>
      <c r="AM21" s="1">
        <f>+'PassRev Pot'!AM436</f>
        <v>0</v>
      </c>
      <c r="AN21" s="1">
        <f>+'PassRev Pot'!AN436</f>
        <v>0</v>
      </c>
      <c r="AO21" s="1">
        <f>+'PassRev Pot'!AO436</f>
        <v>0</v>
      </c>
      <c r="AP21" s="1">
        <f>+'PassRev Pot'!AP436</f>
        <v>0</v>
      </c>
      <c r="AQ21" s="1">
        <f>+'PassRev Pot'!AQ436</f>
        <v>0</v>
      </c>
      <c r="AR21" s="3">
        <f t="shared" si="0"/>
        <v>23727.279999999999</v>
      </c>
      <c r="AT21" s="1">
        <f t="shared" si="1"/>
        <v>23727.279999999999</v>
      </c>
    </row>
    <row r="22" spans="1:46" x14ac:dyDescent="0.25">
      <c r="C22" t="s">
        <v>44</v>
      </c>
      <c r="D22" s="1">
        <f>+'PassRev Pot'!D437</f>
        <v>0</v>
      </c>
      <c r="E22" s="1">
        <f>+'PassRev Pot'!E437</f>
        <v>0</v>
      </c>
      <c r="F22" s="1">
        <f>+'PassRev Pot'!F437</f>
        <v>0</v>
      </c>
      <c r="G22" s="1">
        <f>+'PassRev Pot'!G437</f>
        <v>0</v>
      </c>
      <c r="H22" s="1">
        <f>+'PassRev Pot'!H437</f>
        <v>0</v>
      </c>
      <c r="I22" s="1">
        <f>+'PassRev Pot'!I437</f>
        <v>0</v>
      </c>
      <c r="J22" s="1">
        <f>+'PassRev Pot'!J437</f>
        <v>0</v>
      </c>
      <c r="K22" s="1">
        <f>+'PassRev Pot'!K437</f>
        <v>0</v>
      </c>
      <c r="L22" s="1">
        <f>+'PassRev Pot'!L437</f>
        <v>15879.240000000002</v>
      </c>
      <c r="M22" s="1">
        <f>+'PassRev Pot'!M437</f>
        <v>36570.659999999996</v>
      </c>
      <c r="N22" s="1">
        <f>+'PassRev Pot'!N437</f>
        <v>33612.200000000004</v>
      </c>
      <c r="O22" s="1">
        <f>+'PassRev Pot'!O437</f>
        <v>59635.749999999993</v>
      </c>
      <c r="P22" s="1">
        <f>+'PassRev Pot'!P437</f>
        <v>84349.34</v>
      </c>
      <c r="Q22" s="1">
        <f>+'PassRev Pot'!Q437</f>
        <v>122305.18999999999</v>
      </c>
      <c r="R22" s="1">
        <f>+'PassRev Pot'!R437</f>
        <v>126893.02000000002</v>
      </c>
      <c r="S22" s="1">
        <f>+'PassRev Pot'!S437</f>
        <v>149427.46000000002</v>
      </c>
      <c r="T22" s="1">
        <f>+'PassRev Pot'!T437</f>
        <v>138456.93999999997</v>
      </c>
      <c r="U22" s="1">
        <f>+'PassRev Pot'!U437</f>
        <v>135512.07</v>
      </c>
      <c r="V22" s="1">
        <f>+'PassRev Pot'!V437</f>
        <v>90426.000000000015</v>
      </c>
      <c r="W22" s="1">
        <f>+'PassRev Pot'!W437</f>
        <v>89870.939999999988</v>
      </c>
      <c r="X22" s="1">
        <f>+'PassRev Pot'!X437</f>
        <v>56953.62</v>
      </c>
      <c r="Y22" s="1">
        <f>+'PassRev Pot'!Y437</f>
        <v>31591.380000000005</v>
      </c>
      <c r="Z22" s="1">
        <f>+'PassRev Pot'!Z437</f>
        <v>5762.050000000002</v>
      </c>
      <c r="AA22" s="1">
        <f>+'PassRev Pot'!AA437</f>
        <v>6923.12</v>
      </c>
      <c r="AB22" s="1">
        <f>+'PassRev Pot'!AB437</f>
        <v>3155.8099999999995</v>
      </c>
      <c r="AC22" s="1">
        <f>+'PassRev Pot'!AC437</f>
        <v>-507.84</v>
      </c>
      <c r="AD22" s="1">
        <f>+'PassRev Pot'!AD437</f>
        <v>-23.419999999999959</v>
      </c>
      <c r="AE22" s="1">
        <f>+'PassRev Pot'!AE437</f>
        <v>-472.28</v>
      </c>
      <c r="AF22" s="1">
        <f>+'PassRev Pot'!AF437</f>
        <v>-42.120000000000005</v>
      </c>
      <c r="AG22" s="1">
        <f>+'PassRev Pot'!AG437</f>
        <v>-18.450000000000045</v>
      </c>
      <c r="AH22" s="1">
        <f>+'PassRev Pot'!AH437</f>
        <v>0</v>
      </c>
      <c r="AI22" s="1">
        <f>+'PassRev Pot'!AI437</f>
        <v>-413.53999999999996</v>
      </c>
      <c r="AJ22" s="1">
        <f>+'PassRev Pot'!AJ437</f>
        <v>0</v>
      </c>
      <c r="AK22" s="1">
        <f>+'PassRev Pot'!AK437</f>
        <v>-252.423</v>
      </c>
      <c r="AL22" s="1">
        <f>+'PassRev Pot'!AL437</f>
        <v>0</v>
      </c>
      <c r="AM22" s="1">
        <f>+'PassRev Pot'!AM437</f>
        <v>-4.92</v>
      </c>
      <c r="AN22" s="1">
        <f>+'PassRev Pot'!AN437</f>
        <v>0</v>
      </c>
      <c r="AO22" s="1">
        <f>+'PassRev Pot'!AO437</f>
        <v>0</v>
      </c>
      <c r="AP22" s="1">
        <f>+'PassRev Pot'!AP437</f>
        <v>0</v>
      </c>
      <c r="AQ22" s="1">
        <f>+'PassRev Pot'!AQ437</f>
        <v>0</v>
      </c>
      <c r="AR22" s="3">
        <f t="shared" si="0"/>
        <v>1185589.7970000003</v>
      </c>
      <c r="AT22" s="1">
        <f t="shared" si="1"/>
        <v>1185589.7970000003</v>
      </c>
    </row>
    <row r="23" spans="1:46" x14ac:dyDescent="0.25">
      <c r="C23" t="s">
        <v>217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3">
        <f t="shared" si="0"/>
        <v>0</v>
      </c>
      <c r="AT23" s="1">
        <f t="shared" si="1"/>
        <v>0</v>
      </c>
    </row>
    <row r="24" spans="1:46" s="2" customFormat="1" x14ac:dyDescent="0.25">
      <c r="A24" s="2" t="s">
        <v>2</v>
      </c>
      <c r="D24" s="3">
        <f>SUM(D4:D23)</f>
        <v>0</v>
      </c>
      <c r="E24" s="3">
        <f t="shared" ref="E24:K24" si="2">SUM(E4:E23)</f>
        <v>0</v>
      </c>
      <c r="F24" s="3">
        <f t="shared" si="2"/>
        <v>0</v>
      </c>
      <c r="G24" s="3">
        <f t="shared" si="2"/>
        <v>0</v>
      </c>
      <c r="H24" s="3">
        <f t="shared" si="2"/>
        <v>0</v>
      </c>
      <c r="I24" s="3">
        <f t="shared" si="2"/>
        <v>0</v>
      </c>
      <c r="J24" s="3">
        <f t="shared" si="2"/>
        <v>0</v>
      </c>
      <c r="K24" s="3">
        <f t="shared" si="2"/>
        <v>0</v>
      </c>
      <c r="L24" s="3">
        <f>SUM(L4:L23)</f>
        <v>29162.880000000001</v>
      </c>
      <c r="M24" s="3">
        <f t="shared" ref="M24:AR24" si="3">SUM(M4:M23)</f>
        <v>132412.56</v>
      </c>
      <c r="N24" s="3">
        <f t="shared" si="3"/>
        <v>79366.22</v>
      </c>
      <c r="O24" s="3">
        <f t="shared" si="3"/>
        <v>123167.51999999999</v>
      </c>
      <c r="P24" s="3">
        <f t="shared" si="3"/>
        <v>194383.94</v>
      </c>
      <c r="Q24" s="3">
        <f t="shared" si="3"/>
        <v>444205.17000000004</v>
      </c>
      <c r="R24" s="3">
        <f t="shared" si="3"/>
        <v>357143.44</v>
      </c>
      <c r="S24" s="3">
        <f t="shared" si="3"/>
        <v>384189.64</v>
      </c>
      <c r="T24" s="3">
        <f t="shared" si="3"/>
        <v>364048.77999999997</v>
      </c>
      <c r="U24" s="3">
        <f t="shared" si="3"/>
        <v>343216.87</v>
      </c>
      <c r="V24" s="3">
        <f t="shared" si="3"/>
        <v>184103.34000000003</v>
      </c>
      <c r="W24" s="3">
        <f t="shared" si="3"/>
        <v>208763.95999999996</v>
      </c>
      <c r="X24" s="3">
        <f t="shared" si="3"/>
        <v>151968.9</v>
      </c>
      <c r="Y24" s="3">
        <f t="shared" si="3"/>
        <v>116893.00000000001</v>
      </c>
      <c r="Z24" s="3">
        <f t="shared" si="3"/>
        <v>31343.930000000008</v>
      </c>
      <c r="AA24" s="3">
        <f t="shared" si="3"/>
        <v>18068.720000000005</v>
      </c>
      <c r="AB24" s="3">
        <f t="shared" si="3"/>
        <v>5880.9</v>
      </c>
      <c r="AC24" s="3">
        <f t="shared" si="3"/>
        <v>100.9199999999999</v>
      </c>
      <c r="AD24" s="3">
        <f t="shared" si="3"/>
        <v>-311.43999999999994</v>
      </c>
      <c r="AE24" s="3">
        <f t="shared" si="3"/>
        <v>-587.24</v>
      </c>
      <c r="AF24" s="3">
        <f t="shared" si="3"/>
        <v>-129.12</v>
      </c>
      <c r="AG24" s="3">
        <f t="shared" si="3"/>
        <v>-799.36</v>
      </c>
      <c r="AH24" s="3">
        <f t="shared" si="3"/>
        <v>0</v>
      </c>
      <c r="AI24" s="3">
        <f t="shared" si="3"/>
        <v>-887.48</v>
      </c>
      <c r="AJ24" s="3">
        <f t="shared" si="3"/>
        <v>-14.04</v>
      </c>
      <c r="AK24" s="3">
        <f t="shared" si="3"/>
        <v>-252.423</v>
      </c>
      <c r="AL24" s="3">
        <f t="shared" si="3"/>
        <v>0</v>
      </c>
      <c r="AM24" s="3">
        <f t="shared" si="3"/>
        <v>-13.44</v>
      </c>
      <c r="AN24" s="3">
        <f t="shared" si="3"/>
        <v>-461.16</v>
      </c>
      <c r="AO24" s="3">
        <f t="shared" si="3"/>
        <v>0</v>
      </c>
      <c r="AP24" s="3">
        <f t="shared" si="3"/>
        <v>-10.65</v>
      </c>
      <c r="AQ24" s="3">
        <f t="shared" si="3"/>
        <v>-88.02000000000001</v>
      </c>
      <c r="AR24" s="3">
        <f t="shared" si="3"/>
        <v>3164866.3169999998</v>
      </c>
      <c r="AS24" s="3"/>
      <c r="AT24" s="3">
        <f t="shared" si="1"/>
        <v>3164954.3369999998</v>
      </c>
    </row>
    <row r="25" spans="1:46" s="10" customFormat="1" ht="12.75" x14ac:dyDescent="0.2">
      <c r="D25" s="11">
        <f>+D24</f>
        <v>0</v>
      </c>
      <c r="E25" s="11">
        <f>+D25+E24</f>
        <v>0</v>
      </c>
      <c r="F25" s="11">
        <f t="shared" ref="F25:AQ25" si="4">+E25+F24</f>
        <v>0</v>
      </c>
      <c r="G25" s="11">
        <f t="shared" si="4"/>
        <v>0</v>
      </c>
      <c r="H25" s="11">
        <f t="shared" si="4"/>
        <v>0</v>
      </c>
      <c r="I25" s="11">
        <f t="shared" si="4"/>
        <v>0</v>
      </c>
      <c r="J25" s="11">
        <f t="shared" si="4"/>
        <v>0</v>
      </c>
      <c r="K25" s="11">
        <f t="shared" si="4"/>
        <v>0</v>
      </c>
      <c r="L25" s="11">
        <f t="shared" si="4"/>
        <v>29162.880000000001</v>
      </c>
      <c r="M25" s="11">
        <f t="shared" si="4"/>
        <v>161575.44</v>
      </c>
      <c r="N25" s="11">
        <f t="shared" si="4"/>
        <v>240941.66</v>
      </c>
      <c r="O25" s="11">
        <f t="shared" si="4"/>
        <v>364109.18</v>
      </c>
      <c r="P25" s="11">
        <f t="shared" si="4"/>
        <v>558493.12</v>
      </c>
      <c r="Q25" s="11">
        <f t="shared" si="4"/>
        <v>1002698.29</v>
      </c>
      <c r="R25" s="11">
        <f t="shared" si="4"/>
        <v>1359841.73</v>
      </c>
      <c r="S25" s="11">
        <f t="shared" si="4"/>
        <v>1744031.37</v>
      </c>
      <c r="T25" s="11">
        <f t="shared" si="4"/>
        <v>2108080.15</v>
      </c>
      <c r="U25" s="11">
        <f t="shared" si="4"/>
        <v>2451297.02</v>
      </c>
      <c r="V25" s="11">
        <f t="shared" si="4"/>
        <v>2635400.36</v>
      </c>
      <c r="W25" s="11">
        <f t="shared" si="4"/>
        <v>2844164.32</v>
      </c>
      <c r="X25" s="11">
        <f t="shared" si="4"/>
        <v>2996133.2199999997</v>
      </c>
      <c r="Y25" s="11">
        <f t="shared" si="4"/>
        <v>3113026.2199999997</v>
      </c>
      <c r="Z25" s="11">
        <f t="shared" si="4"/>
        <v>3144370.15</v>
      </c>
      <c r="AA25" s="11">
        <f t="shared" si="4"/>
        <v>3162438.87</v>
      </c>
      <c r="AB25" s="11">
        <f t="shared" si="4"/>
        <v>3168319.77</v>
      </c>
      <c r="AC25" s="11">
        <f t="shared" si="4"/>
        <v>3168420.69</v>
      </c>
      <c r="AD25" s="11">
        <f t="shared" si="4"/>
        <v>3168109.25</v>
      </c>
      <c r="AE25" s="11">
        <f t="shared" si="4"/>
        <v>3167522.01</v>
      </c>
      <c r="AF25" s="11">
        <f t="shared" si="4"/>
        <v>3167392.8899999997</v>
      </c>
      <c r="AG25" s="11">
        <f t="shared" si="4"/>
        <v>3166593.53</v>
      </c>
      <c r="AH25" s="11">
        <f t="shared" si="4"/>
        <v>3166593.53</v>
      </c>
      <c r="AI25" s="11">
        <f t="shared" si="4"/>
        <v>3165706.05</v>
      </c>
      <c r="AJ25" s="11">
        <f t="shared" si="4"/>
        <v>3165692.01</v>
      </c>
      <c r="AK25" s="11">
        <f t="shared" si="4"/>
        <v>3165439.5869999998</v>
      </c>
      <c r="AL25" s="11">
        <f t="shared" si="4"/>
        <v>3165439.5869999998</v>
      </c>
      <c r="AM25" s="11">
        <f t="shared" si="4"/>
        <v>3165426.1469999999</v>
      </c>
      <c r="AN25" s="11">
        <f t="shared" si="4"/>
        <v>3164964.9869999997</v>
      </c>
      <c r="AO25" s="11">
        <f t="shared" si="4"/>
        <v>3164964.9869999997</v>
      </c>
      <c r="AP25" s="11">
        <f t="shared" si="4"/>
        <v>3164954.3369999998</v>
      </c>
      <c r="AQ25" s="11">
        <f t="shared" si="4"/>
        <v>3164866.3169999998</v>
      </c>
      <c r="AR25" s="40"/>
    </row>
    <row r="26" spans="1:46" x14ac:dyDescent="0.25">
      <c r="A26" s="2" t="s">
        <v>80</v>
      </c>
    </row>
    <row r="27" spans="1:46" x14ac:dyDescent="0.25">
      <c r="B27" s="59">
        <f>+Accrualstrip!B28</f>
        <v>1.4999999999999999E-2</v>
      </c>
      <c r="C27" t="s">
        <v>435</v>
      </c>
      <c r="D27" s="1">
        <f t="shared" ref="D27:AQ28" si="5">-D4*$B27</f>
        <v>0</v>
      </c>
      <c r="E27" s="1">
        <f t="shared" si="5"/>
        <v>0</v>
      </c>
      <c r="F27" s="1">
        <f t="shared" si="5"/>
        <v>0</v>
      </c>
      <c r="G27" s="1">
        <f t="shared" si="5"/>
        <v>0</v>
      </c>
      <c r="H27" s="1">
        <f t="shared" si="5"/>
        <v>0</v>
      </c>
      <c r="I27" s="1">
        <f t="shared" si="5"/>
        <v>0</v>
      </c>
      <c r="J27" s="1">
        <f t="shared" si="5"/>
        <v>0</v>
      </c>
      <c r="K27" s="1">
        <f t="shared" si="5"/>
        <v>0</v>
      </c>
      <c r="L27" s="1">
        <f t="shared" si="5"/>
        <v>-3.3371999999999997</v>
      </c>
      <c r="M27" s="1">
        <f t="shared" si="5"/>
        <v>0</v>
      </c>
      <c r="N27" s="1">
        <f t="shared" si="5"/>
        <v>-8.0513999999999992</v>
      </c>
      <c r="O27" s="1">
        <f t="shared" si="5"/>
        <v>-23.009550000000001</v>
      </c>
      <c r="P27" s="1">
        <f t="shared" si="5"/>
        <v>-47.565899999999999</v>
      </c>
      <c r="Q27" s="1">
        <f t="shared" si="5"/>
        <v>-742.82114999999999</v>
      </c>
      <c r="R27" s="1">
        <f t="shared" si="5"/>
        <v>-109.86030000000001</v>
      </c>
      <c r="S27" s="1">
        <f t="shared" si="5"/>
        <v>-427.54259999999994</v>
      </c>
      <c r="T27" s="1">
        <f t="shared" si="5"/>
        <v>-163.25475</v>
      </c>
      <c r="U27" s="1">
        <f t="shared" si="5"/>
        <v>-222.07859999999999</v>
      </c>
      <c r="V27" s="1">
        <f t="shared" si="5"/>
        <v>-83.937000000000012</v>
      </c>
      <c r="W27" s="1">
        <f t="shared" si="5"/>
        <v>-49.563900000000004</v>
      </c>
      <c r="X27" s="1">
        <f t="shared" si="5"/>
        <v>-79.920000000000016</v>
      </c>
      <c r="Y27" s="1">
        <f t="shared" si="5"/>
        <v>-27.170999999999999</v>
      </c>
      <c r="Z27" s="1">
        <f t="shared" si="5"/>
        <v>-0.25650000000000001</v>
      </c>
      <c r="AA27" s="1">
        <f t="shared" si="5"/>
        <v>9.3194999999999997</v>
      </c>
      <c r="AB27" s="1">
        <f t="shared" si="5"/>
        <v>-0.8397</v>
      </c>
      <c r="AC27" s="1">
        <f t="shared" si="5"/>
        <v>0</v>
      </c>
      <c r="AD27" s="1">
        <f t="shared" si="5"/>
        <v>-0.25650000000000001</v>
      </c>
      <c r="AE27" s="1">
        <f t="shared" si="5"/>
        <v>0</v>
      </c>
      <c r="AF27" s="1">
        <f t="shared" si="5"/>
        <v>0</v>
      </c>
      <c r="AG27" s="1">
        <f t="shared" si="5"/>
        <v>0.25845000000000001</v>
      </c>
      <c r="AH27" s="1">
        <f t="shared" si="5"/>
        <v>0</v>
      </c>
      <c r="AI27" s="1">
        <f t="shared" si="5"/>
        <v>0</v>
      </c>
      <c r="AJ27" s="1">
        <f t="shared" si="5"/>
        <v>0</v>
      </c>
      <c r="AK27" s="1">
        <f t="shared" si="5"/>
        <v>0</v>
      </c>
      <c r="AL27" s="1">
        <f t="shared" si="5"/>
        <v>0</v>
      </c>
      <c r="AM27" s="1">
        <f t="shared" si="5"/>
        <v>0.1278</v>
      </c>
      <c r="AN27" s="1">
        <f t="shared" si="5"/>
        <v>0</v>
      </c>
      <c r="AO27" s="1">
        <f t="shared" si="5"/>
        <v>0</v>
      </c>
      <c r="AP27" s="1">
        <f t="shared" si="5"/>
        <v>0.15975</v>
      </c>
      <c r="AQ27" s="1">
        <f t="shared" si="5"/>
        <v>0</v>
      </c>
      <c r="AR27" s="3">
        <f t="shared" ref="AR27:AR45" si="6">SUM(D27:AQ27)</f>
        <v>-1979.6005500000001</v>
      </c>
      <c r="AT27" s="1">
        <f t="shared" ref="AT27:AT47" si="7">SUM(D27:AP27)</f>
        <v>-1979.6005500000001</v>
      </c>
    </row>
    <row r="28" spans="1:46" x14ac:dyDescent="0.25">
      <c r="B28" s="59">
        <f>+Accrualstrip!B29</f>
        <v>0.05</v>
      </c>
      <c r="C28" t="s">
        <v>424</v>
      </c>
      <c r="D28" s="1">
        <f t="shared" si="5"/>
        <v>0</v>
      </c>
      <c r="E28" s="1">
        <f t="shared" ref="E28:K28" si="8">-E5*$B28</f>
        <v>0</v>
      </c>
      <c r="F28" s="1">
        <f t="shared" si="8"/>
        <v>0</v>
      </c>
      <c r="G28" s="1">
        <f t="shared" si="8"/>
        <v>0</v>
      </c>
      <c r="H28" s="1">
        <f t="shared" si="8"/>
        <v>0</v>
      </c>
      <c r="I28" s="1">
        <f t="shared" si="8"/>
        <v>0</v>
      </c>
      <c r="J28" s="1">
        <f t="shared" si="8"/>
        <v>0</v>
      </c>
      <c r="K28" s="1">
        <f t="shared" si="8"/>
        <v>0</v>
      </c>
      <c r="L28" s="1">
        <f t="shared" si="5"/>
        <v>-68.31</v>
      </c>
      <c r="M28" s="1">
        <f t="shared" si="5"/>
        <v>-234.18000000000004</v>
      </c>
      <c r="N28" s="1">
        <f t="shared" si="5"/>
        <v>-62.765999999999998</v>
      </c>
      <c r="O28" s="1">
        <f t="shared" si="5"/>
        <v>-210.42000000000004</v>
      </c>
      <c r="P28" s="1">
        <f t="shared" si="5"/>
        <v>-312.06600000000003</v>
      </c>
      <c r="Q28" s="1">
        <f t="shared" si="5"/>
        <v>-476.00200000000007</v>
      </c>
      <c r="R28" s="1">
        <f t="shared" si="5"/>
        <v>-438.51000000000005</v>
      </c>
      <c r="S28" s="1">
        <f t="shared" si="5"/>
        <v>-609.78150000000005</v>
      </c>
      <c r="T28" s="1">
        <f t="shared" si="5"/>
        <v>-657.77</v>
      </c>
      <c r="U28" s="1">
        <f t="shared" si="5"/>
        <v>-523.61800000000005</v>
      </c>
      <c r="V28" s="1">
        <f t="shared" si="5"/>
        <v>-338.96899999999999</v>
      </c>
      <c r="W28" s="1">
        <f t="shared" si="5"/>
        <v>-424.21199999999999</v>
      </c>
      <c r="X28" s="1">
        <f t="shared" si="5"/>
        <v>-156.16800000000001</v>
      </c>
      <c r="Y28" s="1">
        <f t="shared" si="5"/>
        <v>-189.41200000000001</v>
      </c>
      <c r="Z28" s="1">
        <f t="shared" si="5"/>
        <v>1.5069999999999995</v>
      </c>
      <c r="AA28" s="1">
        <f t="shared" si="5"/>
        <v>-28.782000000000007</v>
      </c>
      <c r="AB28" s="1">
        <f t="shared" si="5"/>
        <v>-25.596</v>
      </c>
      <c r="AC28" s="1">
        <f t="shared" si="5"/>
        <v>-0.75600000000000001</v>
      </c>
      <c r="AD28" s="1">
        <f t="shared" si="5"/>
        <v>0</v>
      </c>
      <c r="AE28" s="1">
        <f t="shared" si="5"/>
        <v>0</v>
      </c>
      <c r="AF28" s="1">
        <f t="shared" si="5"/>
        <v>0</v>
      </c>
      <c r="AG28" s="1">
        <f t="shared" si="5"/>
        <v>0</v>
      </c>
      <c r="AH28" s="1">
        <f t="shared" si="5"/>
        <v>0</v>
      </c>
      <c r="AI28" s="1">
        <f t="shared" si="5"/>
        <v>0</v>
      </c>
      <c r="AJ28" s="1">
        <f t="shared" si="5"/>
        <v>0</v>
      </c>
      <c r="AK28" s="1">
        <f t="shared" si="5"/>
        <v>0</v>
      </c>
      <c r="AL28" s="1">
        <f t="shared" si="5"/>
        <v>0</v>
      </c>
      <c r="AM28" s="1">
        <f t="shared" si="5"/>
        <v>0</v>
      </c>
      <c r="AN28" s="1">
        <f t="shared" si="5"/>
        <v>12.312000000000001</v>
      </c>
      <c r="AO28" s="1">
        <f t="shared" si="5"/>
        <v>0</v>
      </c>
      <c r="AP28" s="1">
        <f t="shared" si="5"/>
        <v>0</v>
      </c>
      <c r="AQ28" s="1">
        <f t="shared" si="5"/>
        <v>0</v>
      </c>
      <c r="AR28" s="3">
        <f t="shared" si="6"/>
        <v>-4743.4994999999999</v>
      </c>
      <c r="AT28" s="1">
        <f t="shared" si="7"/>
        <v>-4743.4994999999999</v>
      </c>
    </row>
    <row r="29" spans="1:46" x14ac:dyDescent="0.25">
      <c r="B29" s="59">
        <f>+Accrualstrip!B30</f>
        <v>0.05</v>
      </c>
      <c r="C29" t="s">
        <v>347</v>
      </c>
      <c r="D29" s="1">
        <f t="shared" ref="D29:AQ29" si="9">-D6*$B29</f>
        <v>0</v>
      </c>
      <c r="E29" s="1">
        <f t="shared" ref="E29:K29" si="10">-E6*$B29</f>
        <v>0</v>
      </c>
      <c r="F29" s="1">
        <f t="shared" si="10"/>
        <v>0</v>
      </c>
      <c r="G29" s="1">
        <f t="shared" si="10"/>
        <v>0</v>
      </c>
      <c r="H29" s="1">
        <f t="shared" si="10"/>
        <v>0</v>
      </c>
      <c r="I29" s="1">
        <f t="shared" si="10"/>
        <v>0</v>
      </c>
      <c r="J29" s="1">
        <f t="shared" si="10"/>
        <v>0</v>
      </c>
      <c r="K29" s="1">
        <f t="shared" si="10"/>
        <v>0</v>
      </c>
      <c r="L29" s="1">
        <f t="shared" si="9"/>
        <v>-71.28</v>
      </c>
      <c r="M29" s="1">
        <f t="shared" si="9"/>
        <v>-223.34400000000002</v>
      </c>
      <c r="N29" s="1">
        <f t="shared" si="9"/>
        <v>-112.575</v>
      </c>
      <c r="O29" s="1">
        <f t="shared" si="9"/>
        <v>-149.07599999999999</v>
      </c>
      <c r="P29" s="1">
        <f t="shared" si="9"/>
        <v>-388.41</v>
      </c>
      <c r="Q29" s="1">
        <f t="shared" si="9"/>
        <v>-690.54800000000012</v>
      </c>
      <c r="R29" s="1">
        <f t="shared" si="9"/>
        <v>-707.84400000000005</v>
      </c>
      <c r="S29" s="1">
        <f t="shared" si="9"/>
        <v>-817.81600000000014</v>
      </c>
      <c r="T29" s="1">
        <f t="shared" si="9"/>
        <v>-679.73400000000004</v>
      </c>
      <c r="U29" s="1">
        <f t="shared" si="9"/>
        <v>-822.44</v>
      </c>
      <c r="V29" s="1">
        <f t="shared" si="9"/>
        <v>-377.70499999999998</v>
      </c>
      <c r="W29" s="1">
        <f t="shared" si="9"/>
        <v>-427.05400000000003</v>
      </c>
      <c r="X29" s="1">
        <f t="shared" si="9"/>
        <v>-218.32200000000003</v>
      </c>
      <c r="Y29" s="1">
        <f t="shared" si="9"/>
        <v>-162.08800000000002</v>
      </c>
      <c r="Z29" s="1">
        <f t="shared" si="9"/>
        <v>7.1459999999999981</v>
      </c>
      <c r="AA29" s="1">
        <f t="shared" si="9"/>
        <v>-5.1840000000000002</v>
      </c>
      <c r="AB29" s="1">
        <f t="shared" si="9"/>
        <v>-1.458</v>
      </c>
      <c r="AC29" s="1">
        <f t="shared" si="9"/>
        <v>0</v>
      </c>
      <c r="AD29" s="1">
        <f t="shared" si="9"/>
        <v>-1.8719999999999999</v>
      </c>
      <c r="AE29" s="1">
        <f t="shared" si="9"/>
        <v>0</v>
      </c>
      <c r="AF29" s="1">
        <f t="shared" si="9"/>
        <v>0</v>
      </c>
      <c r="AG29" s="1">
        <f t="shared" si="9"/>
        <v>0</v>
      </c>
      <c r="AH29" s="1">
        <f t="shared" si="9"/>
        <v>0</v>
      </c>
      <c r="AI29" s="1">
        <f t="shared" si="9"/>
        <v>0</v>
      </c>
      <c r="AJ29" s="1">
        <f t="shared" si="9"/>
        <v>0</v>
      </c>
      <c r="AK29" s="1">
        <f t="shared" si="9"/>
        <v>0</v>
      </c>
      <c r="AL29" s="1">
        <f t="shared" si="9"/>
        <v>0</v>
      </c>
      <c r="AM29" s="1">
        <f t="shared" si="9"/>
        <v>0</v>
      </c>
      <c r="AN29" s="1">
        <f t="shared" si="9"/>
        <v>0</v>
      </c>
      <c r="AO29" s="1">
        <f t="shared" si="9"/>
        <v>0</v>
      </c>
      <c r="AP29" s="1">
        <f t="shared" si="9"/>
        <v>0</v>
      </c>
      <c r="AQ29" s="1">
        <f t="shared" si="9"/>
        <v>0</v>
      </c>
      <c r="AR29" s="3">
        <f t="shared" si="6"/>
        <v>-5849.6040000000012</v>
      </c>
      <c r="AT29" s="1">
        <f t="shared" si="7"/>
        <v>-5849.6040000000012</v>
      </c>
    </row>
    <row r="30" spans="1:46" x14ac:dyDescent="0.25">
      <c r="B30" s="59">
        <f>+Accrualstrip!B31</f>
        <v>6.5000000000000002E-2</v>
      </c>
      <c r="C30" t="s">
        <v>0</v>
      </c>
      <c r="D30" s="1">
        <f t="shared" ref="D30:AQ30" si="11">-D7*$B30</f>
        <v>0</v>
      </c>
      <c r="E30" s="1">
        <f t="shared" ref="E30:K30" si="12">-E7*$B30</f>
        <v>0</v>
      </c>
      <c r="F30" s="1">
        <f t="shared" si="12"/>
        <v>0</v>
      </c>
      <c r="G30" s="1">
        <f t="shared" si="12"/>
        <v>0</v>
      </c>
      <c r="H30" s="1">
        <f t="shared" si="12"/>
        <v>0</v>
      </c>
      <c r="I30" s="1">
        <f t="shared" si="12"/>
        <v>0</v>
      </c>
      <c r="J30" s="1">
        <f t="shared" si="12"/>
        <v>0</v>
      </c>
      <c r="K30" s="1">
        <f t="shared" si="12"/>
        <v>0</v>
      </c>
      <c r="L30" s="1">
        <f t="shared" si="11"/>
        <v>0</v>
      </c>
      <c r="M30" s="1">
        <f t="shared" si="11"/>
        <v>-1671.9183</v>
      </c>
      <c r="N30" s="1">
        <f t="shared" si="11"/>
        <v>-1363.5297</v>
      </c>
      <c r="O30" s="1">
        <f t="shared" si="11"/>
        <v>-1503.1926000000001</v>
      </c>
      <c r="P30" s="1">
        <f t="shared" si="11"/>
        <v>-1646.8920000000001</v>
      </c>
      <c r="Q30" s="1">
        <f t="shared" si="11"/>
        <v>-5203.2357000000002</v>
      </c>
      <c r="R30" s="1">
        <f t="shared" si="11"/>
        <v>-3343.6585</v>
      </c>
      <c r="S30" s="1">
        <f t="shared" si="11"/>
        <v>-4347.72</v>
      </c>
      <c r="T30" s="1">
        <f t="shared" si="11"/>
        <v>-3495.2216000000003</v>
      </c>
      <c r="U30" s="1">
        <f t="shared" si="11"/>
        <v>-3169.9043999999999</v>
      </c>
      <c r="V30" s="1">
        <f t="shared" si="11"/>
        <v>-1688.0643</v>
      </c>
      <c r="W30" s="1">
        <f t="shared" si="11"/>
        <v>-1771.2162000000001</v>
      </c>
      <c r="X30" s="1">
        <f t="shared" si="11"/>
        <v>-2070.6504000000004</v>
      </c>
      <c r="Y30" s="1">
        <f t="shared" si="11"/>
        <v>-1870.5141000000001</v>
      </c>
      <c r="Z30" s="1">
        <f t="shared" si="11"/>
        <v>-1221.4449</v>
      </c>
      <c r="AA30" s="1">
        <f t="shared" si="11"/>
        <v>-349.63110000000006</v>
      </c>
      <c r="AB30" s="1">
        <f t="shared" si="11"/>
        <v>-2.5993499999999861</v>
      </c>
      <c r="AC30" s="1">
        <f t="shared" si="11"/>
        <v>0</v>
      </c>
      <c r="AD30" s="1">
        <f t="shared" si="11"/>
        <v>0</v>
      </c>
      <c r="AE30" s="1">
        <f t="shared" si="11"/>
        <v>0</v>
      </c>
      <c r="AF30" s="1">
        <f t="shared" si="11"/>
        <v>0</v>
      </c>
      <c r="AG30" s="1">
        <f t="shared" si="11"/>
        <v>0</v>
      </c>
      <c r="AH30" s="1">
        <f t="shared" si="11"/>
        <v>0</v>
      </c>
      <c r="AI30" s="1">
        <f t="shared" si="11"/>
        <v>0</v>
      </c>
      <c r="AJ30" s="1">
        <f t="shared" si="11"/>
        <v>0</v>
      </c>
      <c r="AK30" s="1">
        <f t="shared" si="11"/>
        <v>0</v>
      </c>
      <c r="AL30" s="1">
        <f t="shared" si="11"/>
        <v>0</v>
      </c>
      <c r="AM30" s="1">
        <f t="shared" si="11"/>
        <v>0</v>
      </c>
      <c r="AN30" s="1">
        <f t="shared" si="11"/>
        <v>0</v>
      </c>
      <c r="AO30" s="1">
        <f t="shared" si="11"/>
        <v>0</v>
      </c>
      <c r="AP30" s="1">
        <f t="shared" si="11"/>
        <v>0</v>
      </c>
      <c r="AQ30" s="1">
        <f t="shared" si="11"/>
        <v>0</v>
      </c>
      <c r="AR30" s="3">
        <f t="shared" si="6"/>
        <v>-34719.393149999996</v>
      </c>
      <c r="AT30" s="1">
        <f t="shared" si="7"/>
        <v>-34719.393149999996</v>
      </c>
    </row>
    <row r="31" spans="1:46" x14ac:dyDescent="0.25">
      <c r="B31" s="59">
        <f>+Accrualstrip!B32</f>
        <v>0.05</v>
      </c>
      <c r="C31" t="s">
        <v>354</v>
      </c>
      <c r="D31" s="1">
        <f t="shared" ref="D31:AQ31" si="13">-D8*$B31</f>
        <v>0</v>
      </c>
      <c r="E31" s="1">
        <f t="shared" ref="E31:K31" si="14">-E8*$B31</f>
        <v>0</v>
      </c>
      <c r="F31" s="1">
        <f t="shared" si="14"/>
        <v>0</v>
      </c>
      <c r="G31" s="1">
        <f t="shared" si="14"/>
        <v>0</v>
      </c>
      <c r="H31" s="1">
        <f t="shared" si="14"/>
        <v>0</v>
      </c>
      <c r="I31" s="1">
        <f t="shared" si="14"/>
        <v>0</v>
      </c>
      <c r="J31" s="1">
        <f t="shared" si="14"/>
        <v>0</v>
      </c>
      <c r="K31" s="1">
        <f t="shared" si="14"/>
        <v>0</v>
      </c>
      <c r="L31" s="1">
        <f t="shared" si="13"/>
        <v>-63.360000000000007</v>
      </c>
      <c r="M31" s="1">
        <f t="shared" si="13"/>
        <v>-2.8079999999999998</v>
      </c>
      <c r="N31" s="1">
        <f t="shared" si="13"/>
        <v>-20.691000000000003</v>
      </c>
      <c r="O31" s="1">
        <f t="shared" si="13"/>
        <v>-75.402000000000015</v>
      </c>
      <c r="P31" s="1">
        <f t="shared" si="13"/>
        <v>-91.155000000000001</v>
      </c>
      <c r="Q31" s="1">
        <f t="shared" si="13"/>
        <v>-78.318000000000012</v>
      </c>
      <c r="R31" s="1">
        <f t="shared" si="13"/>
        <v>-119.02200000000001</v>
      </c>
      <c r="S31" s="1">
        <f t="shared" si="13"/>
        <v>-119.556</v>
      </c>
      <c r="T31" s="1">
        <f t="shared" si="13"/>
        <v>-182.559</v>
      </c>
      <c r="U31" s="1">
        <f t="shared" si="13"/>
        <v>-63.669000000000011</v>
      </c>
      <c r="V31" s="1">
        <f t="shared" si="13"/>
        <v>-37.260000000000005</v>
      </c>
      <c r="W31" s="1">
        <f t="shared" si="13"/>
        <v>-96.138000000000005</v>
      </c>
      <c r="X31" s="1">
        <f t="shared" si="13"/>
        <v>-70.254000000000005</v>
      </c>
      <c r="Y31" s="1">
        <f t="shared" si="13"/>
        <v>-123.24200000000002</v>
      </c>
      <c r="Z31" s="1">
        <f t="shared" si="13"/>
        <v>-1.5680000000000007</v>
      </c>
      <c r="AA31" s="1">
        <f t="shared" si="13"/>
        <v>-21.114000000000004</v>
      </c>
      <c r="AB31" s="1">
        <f t="shared" si="13"/>
        <v>-7.1819999999999995</v>
      </c>
      <c r="AC31" s="1">
        <f t="shared" si="13"/>
        <v>0</v>
      </c>
      <c r="AD31" s="1">
        <f t="shared" si="13"/>
        <v>0</v>
      </c>
      <c r="AE31" s="1">
        <f t="shared" si="13"/>
        <v>0</v>
      </c>
      <c r="AF31" s="1">
        <f t="shared" si="13"/>
        <v>0</v>
      </c>
      <c r="AG31" s="1">
        <f t="shared" si="13"/>
        <v>0</v>
      </c>
      <c r="AH31" s="1">
        <f t="shared" si="13"/>
        <v>0</v>
      </c>
      <c r="AI31" s="1">
        <f t="shared" si="13"/>
        <v>0</v>
      </c>
      <c r="AJ31" s="1">
        <f t="shared" si="13"/>
        <v>0</v>
      </c>
      <c r="AK31" s="1">
        <f t="shared" si="13"/>
        <v>0</v>
      </c>
      <c r="AL31" s="1">
        <f t="shared" si="13"/>
        <v>0</v>
      </c>
      <c r="AM31" s="1">
        <f t="shared" si="13"/>
        <v>0</v>
      </c>
      <c r="AN31" s="1">
        <f t="shared" si="13"/>
        <v>0</v>
      </c>
      <c r="AO31" s="1">
        <f t="shared" si="13"/>
        <v>0</v>
      </c>
      <c r="AP31" s="1">
        <f t="shared" si="13"/>
        <v>0</v>
      </c>
      <c r="AQ31" s="1">
        <f t="shared" si="13"/>
        <v>8.1000000000000016E-2</v>
      </c>
      <c r="AR31" s="3">
        <f t="shared" si="6"/>
        <v>-1173.2170000000001</v>
      </c>
      <c r="AT31" s="1">
        <f t="shared" si="7"/>
        <v>-1173.298</v>
      </c>
    </row>
    <row r="32" spans="1:46" x14ac:dyDescent="0.25">
      <c r="B32" s="59">
        <f>+Accrualstrip!B33</f>
        <v>0</v>
      </c>
      <c r="C32" t="s">
        <v>265</v>
      </c>
      <c r="D32" s="1">
        <f t="shared" ref="D32:AQ32" si="15">-D9*$B32</f>
        <v>0</v>
      </c>
      <c r="E32" s="1">
        <f t="shared" ref="E32:K32" si="16">-E9*$B32</f>
        <v>0</v>
      </c>
      <c r="F32" s="1">
        <f t="shared" si="16"/>
        <v>0</v>
      </c>
      <c r="G32" s="1">
        <f t="shared" si="16"/>
        <v>0</v>
      </c>
      <c r="H32" s="1">
        <f t="shared" si="16"/>
        <v>0</v>
      </c>
      <c r="I32" s="1">
        <f t="shared" si="16"/>
        <v>0</v>
      </c>
      <c r="J32" s="1">
        <f t="shared" si="16"/>
        <v>0</v>
      </c>
      <c r="K32" s="1">
        <f t="shared" si="16"/>
        <v>0</v>
      </c>
      <c r="L32" s="1">
        <f t="shared" si="15"/>
        <v>0</v>
      </c>
      <c r="M32" s="1">
        <f t="shared" si="15"/>
        <v>0</v>
      </c>
      <c r="N32" s="1">
        <f t="shared" si="15"/>
        <v>0</v>
      </c>
      <c r="O32" s="1">
        <f t="shared" si="15"/>
        <v>0</v>
      </c>
      <c r="P32" s="1">
        <f t="shared" si="15"/>
        <v>0</v>
      </c>
      <c r="Q32" s="1">
        <f t="shared" si="15"/>
        <v>0</v>
      </c>
      <c r="R32" s="1">
        <f t="shared" si="15"/>
        <v>0</v>
      </c>
      <c r="S32" s="1">
        <f t="shared" si="15"/>
        <v>0</v>
      </c>
      <c r="T32" s="1">
        <f t="shared" si="15"/>
        <v>0</v>
      </c>
      <c r="U32" s="1">
        <f t="shared" si="15"/>
        <v>0</v>
      </c>
      <c r="V32" s="1">
        <f t="shared" si="15"/>
        <v>0</v>
      </c>
      <c r="W32" s="1">
        <f t="shared" si="15"/>
        <v>0</v>
      </c>
      <c r="X32" s="1">
        <f t="shared" si="15"/>
        <v>0</v>
      </c>
      <c r="Y32" s="1">
        <f t="shared" si="15"/>
        <v>0</v>
      </c>
      <c r="Z32" s="1">
        <f t="shared" si="15"/>
        <v>0</v>
      </c>
      <c r="AA32" s="1">
        <f t="shared" si="15"/>
        <v>0</v>
      </c>
      <c r="AB32" s="1">
        <f t="shared" si="15"/>
        <v>0</v>
      </c>
      <c r="AC32" s="1">
        <f t="shared" si="15"/>
        <v>0</v>
      </c>
      <c r="AD32" s="1">
        <f t="shared" si="15"/>
        <v>0</v>
      </c>
      <c r="AE32" s="1">
        <f t="shared" si="15"/>
        <v>0</v>
      </c>
      <c r="AF32" s="1">
        <f t="shared" si="15"/>
        <v>0</v>
      </c>
      <c r="AG32" s="1">
        <f t="shared" si="15"/>
        <v>0</v>
      </c>
      <c r="AH32" s="1">
        <f t="shared" si="15"/>
        <v>0</v>
      </c>
      <c r="AI32" s="1">
        <f t="shared" si="15"/>
        <v>0</v>
      </c>
      <c r="AJ32" s="1">
        <f t="shared" si="15"/>
        <v>0</v>
      </c>
      <c r="AK32" s="1">
        <f t="shared" si="15"/>
        <v>0</v>
      </c>
      <c r="AL32" s="1">
        <f t="shared" si="15"/>
        <v>0</v>
      </c>
      <c r="AM32" s="1">
        <f t="shared" si="15"/>
        <v>0</v>
      </c>
      <c r="AN32" s="1">
        <f t="shared" si="15"/>
        <v>0</v>
      </c>
      <c r="AO32" s="1">
        <f t="shared" si="15"/>
        <v>0</v>
      </c>
      <c r="AP32" s="1">
        <f t="shared" si="15"/>
        <v>0</v>
      </c>
      <c r="AQ32" s="1">
        <f t="shared" si="15"/>
        <v>0</v>
      </c>
      <c r="AR32" s="3">
        <f t="shared" si="6"/>
        <v>0</v>
      </c>
      <c r="AT32" s="1">
        <f t="shared" si="7"/>
        <v>0</v>
      </c>
    </row>
    <row r="33" spans="1:46" x14ac:dyDescent="0.25">
      <c r="B33" s="59">
        <f>+Accrualstrip!B34</f>
        <v>0.05</v>
      </c>
      <c r="C33" t="s">
        <v>191</v>
      </c>
      <c r="D33" s="1">
        <f t="shared" ref="D33:AQ33" si="17">-D10*$B33</f>
        <v>0</v>
      </c>
      <c r="E33" s="1">
        <f t="shared" ref="E33:K33" si="18">-E10*$B33</f>
        <v>0</v>
      </c>
      <c r="F33" s="1">
        <f t="shared" si="18"/>
        <v>0</v>
      </c>
      <c r="G33" s="1">
        <f t="shared" si="18"/>
        <v>0</v>
      </c>
      <c r="H33" s="1">
        <f t="shared" si="18"/>
        <v>0</v>
      </c>
      <c r="I33" s="1">
        <f t="shared" si="18"/>
        <v>0</v>
      </c>
      <c r="J33" s="1">
        <f t="shared" si="18"/>
        <v>0</v>
      </c>
      <c r="K33" s="1">
        <f t="shared" si="18"/>
        <v>0</v>
      </c>
      <c r="L33" s="1">
        <f t="shared" si="17"/>
        <v>0</v>
      </c>
      <c r="M33" s="1">
        <f t="shared" si="17"/>
        <v>-415.31400000000008</v>
      </c>
      <c r="N33" s="1">
        <f t="shared" si="17"/>
        <v>-81.62700000000001</v>
      </c>
      <c r="O33" s="1">
        <f t="shared" si="17"/>
        <v>-87.876000000000005</v>
      </c>
      <c r="P33" s="1">
        <f t="shared" si="17"/>
        <v>-498.03900000000004</v>
      </c>
      <c r="Q33" s="1">
        <f t="shared" si="17"/>
        <v>-1241.1400000000001</v>
      </c>
      <c r="R33" s="1">
        <f t="shared" si="17"/>
        <v>-1294.3019999999999</v>
      </c>
      <c r="S33" s="1">
        <f t="shared" si="17"/>
        <v>-1399.97</v>
      </c>
      <c r="T33" s="1">
        <f t="shared" si="17"/>
        <v>-361.66800000000001</v>
      </c>
      <c r="U33" s="1">
        <f t="shared" si="17"/>
        <v>-555.07500000000005</v>
      </c>
      <c r="V33" s="1">
        <f t="shared" si="17"/>
        <v>155.803</v>
      </c>
      <c r="W33" s="1">
        <f t="shared" si="17"/>
        <v>-737.75200000000007</v>
      </c>
      <c r="X33" s="1">
        <f t="shared" si="17"/>
        <v>-465.13899999999995</v>
      </c>
      <c r="Y33" s="1">
        <f t="shared" si="17"/>
        <v>-355.214</v>
      </c>
      <c r="Z33" s="1">
        <f t="shared" si="17"/>
        <v>-197.601</v>
      </c>
      <c r="AA33" s="1">
        <f t="shared" si="17"/>
        <v>-194.358</v>
      </c>
      <c r="AB33" s="1">
        <f t="shared" si="17"/>
        <v>3.5800000000000005</v>
      </c>
      <c r="AC33" s="1">
        <f t="shared" si="17"/>
        <v>3.726</v>
      </c>
      <c r="AD33" s="1">
        <f t="shared" si="17"/>
        <v>3.6720000000000002</v>
      </c>
      <c r="AE33" s="1">
        <f t="shared" si="17"/>
        <v>1.4580000000000002</v>
      </c>
      <c r="AF33" s="1">
        <f t="shared" si="17"/>
        <v>0.70199999999999996</v>
      </c>
      <c r="AG33" s="1">
        <f t="shared" si="17"/>
        <v>0</v>
      </c>
      <c r="AH33" s="1">
        <f t="shared" si="17"/>
        <v>0</v>
      </c>
      <c r="AI33" s="1">
        <f t="shared" si="17"/>
        <v>22.293000000000003</v>
      </c>
      <c r="AJ33" s="1">
        <f t="shared" si="17"/>
        <v>0</v>
      </c>
      <c r="AK33" s="1">
        <f t="shared" si="17"/>
        <v>0</v>
      </c>
      <c r="AL33" s="1">
        <f t="shared" si="17"/>
        <v>0</v>
      </c>
      <c r="AM33" s="1">
        <f t="shared" si="17"/>
        <v>0</v>
      </c>
      <c r="AN33" s="1">
        <f t="shared" si="17"/>
        <v>0</v>
      </c>
      <c r="AO33" s="1">
        <f t="shared" si="17"/>
        <v>0</v>
      </c>
      <c r="AP33" s="1">
        <f t="shared" si="17"/>
        <v>0</v>
      </c>
      <c r="AQ33" s="1">
        <f t="shared" si="17"/>
        <v>0</v>
      </c>
      <c r="AR33" s="3">
        <f t="shared" si="6"/>
        <v>-7693.8410000000013</v>
      </c>
      <c r="AT33" s="1">
        <f t="shared" si="7"/>
        <v>-7693.8410000000013</v>
      </c>
    </row>
    <row r="34" spans="1:46" x14ac:dyDescent="0.25">
      <c r="B34" s="59">
        <f>+Accrualstrip!B35</f>
        <v>0</v>
      </c>
      <c r="C34" t="s">
        <v>549</v>
      </c>
      <c r="D34" s="1">
        <f t="shared" ref="D34:AQ34" si="19">-D11*$B34</f>
        <v>0</v>
      </c>
      <c r="E34" s="1">
        <f t="shared" ref="E34:K34" si="20">-E11*$B34</f>
        <v>0</v>
      </c>
      <c r="F34" s="1">
        <f t="shared" si="20"/>
        <v>0</v>
      </c>
      <c r="G34" s="1">
        <f t="shared" si="20"/>
        <v>0</v>
      </c>
      <c r="H34" s="1">
        <f t="shared" si="20"/>
        <v>0</v>
      </c>
      <c r="I34" s="1">
        <f t="shared" si="20"/>
        <v>0</v>
      </c>
      <c r="J34" s="1">
        <f t="shared" si="20"/>
        <v>0</v>
      </c>
      <c r="K34" s="1">
        <f t="shared" si="20"/>
        <v>0</v>
      </c>
      <c r="L34" s="1">
        <f t="shared" si="19"/>
        <v>0</v>
      </c>
      <c r="M34" s="1">
        <f t="shared" si="19"/>
        <v>0</v>
      </c>
      <c r="N34" s="1">
        <f t="shared" si="19"/>
        <v>0</v>
      </c>
      <c r="O34" s="1">
        <f t="shared" si="19"/>
        <v>0</v>
      </c>
      <c r="P34" s="1">
        <f t="shared" si="19"/>
        <v>0</v>
      </c>
      <c r="Q34" s="1">
        <f t="shared" si="19"/>
        <v>0</v>
      </c>
      <c r="R34" s="1">
        <f t="shared" si="19"/>
        <v>0</v>
      </c>
      <c r="S34" s="1">
        <f t="shared" si="19"/>
        <v>0</v>
      </c>
      <c r="T34" s="1">
        <f t="shared" si="19"/>
        <v>0</v>
      </c>
      <c r="U34" s="1">
        <f t="shared" si="19"/>
        <v>0</v>
      </c>
      <c r="V34" s="1">
        <f t="shared" si="19"/>
        <v>0</v>
      </c>
      <c r="W34" s="1">
        <f t="shared" si="19"/>
        <v>0</v>
      </c>
      <c r="X34" s="1">
        <f t="shared" si="19"/>
        <v>0</v>
      </c>
      <c r="Y34" s="1">
        <f t="shared" si="19"/>
        <v>0</v>
      </c>
      <c r="Z34" s="1">
        <f t="shared" si="19"/>
        <v>0</v>
      </c>
      <c r="AA34" s="1">
        <f t="shared" si="19"/>
        <v>0</v>
      </c>
      <c r="AB34" s="1">
        <f t="shared" si="19"/>
        <v>0</v>
      </c>
      <c r="AC34" s="1">
        <f t="shared" si="19"/>
        <v>0</v>
      </c>
      <c r="AD34" s="1">
        <f t="shared" si="19"/>
        <v>0</v>
      </c>
      <c r="AE34" s="1">
        <f t="shared" si="19"/>
        <v>0</v>
      </c>
      <c r="AF34" s="1">
        <f t="shared" si="19"/>
        <v>0</v>
      </c>
      <c r="AG34" s="1">
        <f t="shared" si="19"/>
        <v>0</v>
      </c>
      <c r="AH34" s="1">
        <f t="shared" si="19"/>
        <v>0</v>
      </c>
      <c r="AI34" s="1">
        <f t="shared" si="19"/>
        <v>0</v>
      </c>
      <c r="AJ34" s="1">
        <f t="shared" si="19"/>
        <v>0</v>
      </c>
      <c r="AK34" s="1">
        <f t="shared" si="19"/>
        <v>0</v>
      </c>
      <c r="AL34" s="1">
        <f t="shared" si="19"/>
        <v>0</v>
      </c>
      <c r="AM34" s="1">
        <f t="shared" si="19"/>
        <v>0</v>
      </c>
      <c r="AN34" s="1">
        <f t="shared" si="19"/>
        <v>0</v>
      </c>
      <c r="AO34" s="1">
        <f t="shared" si="19"/>
        <v>0</v>
      </c>
      <c r="AP34" s="1">
        <f t="shared" si="19"/>
        <v>0</v>
      </c>
      <c r="AQ34" s="1">
        <f t="shared" si="19"/>
        <v>0</v>
      </c>
      <c r="AR34" s="3">
        <f t="shared" si="6"/>
        <v>0</v>
      </c>
      <c r="AT34" s="1">
        <f t="shared" si="7"/>
        <v>0</v>
      </c>
    </row>
    <row r="35" spans="1:46" x14ac:dyDescent="0.25">
      <c r="B35" s="59">
        <f>+Accrualstrip!B36</f>
        <v>0.04</v>
      </c>
      <c r="C35" t="s">
        <v>550</v>
      </c>
      <c r="D35" s="1">
        <f t="shared" ref="D35:AQ35" si="21">-D12*$B35</f>
        <v>0</v>
      </c>
      <c r="E35" s="1">
        <f t="shared" ref="E35:K35" si="22">-E12*$B35</f>
        <v>0</v>
      </c>
      <c r="F35" s="1">
        <f t="shared" si="22"/>
        <v>0</v>
      </c>
      <c r="G35" s="1">
        <f t="shared" si="22"/>
        <v>0</v>
      </c>
      <c r="H35" s="1">
        <f t="shared" si="22"/>
        <v>0</v>
      </c>
      <c r="I35" s="1">
        <f t="shared" si="22"/>
        <v>0</v>
      </c>
      <c r="J35" s="1">
        <f t="shared" si="22"/>
        <v>0</v>
      </c>
      <c r="K35" s="1">
        <f t="shared" si="22"/>
        <v>0</v>
      </c>
      <c r="L35" s="1">
        <f t="shared" si="21"/>
        <v>0</v>
      </c>
      <c r="M35" s="1">
        <f t="shared" si="21"/>
        <v>-311.04000000000002</v>
      </c>
      <c r="N35" s="1">
        <f t="shared" si="21"/>
        <v>3.9936000000000003</v>
      </c>
      <c r="O35" s="1">
        <f t="shared" si="21"/>
        <v>-10.269600000000001</v>
      </c>
      <c r="P35" s="1">
        <f t="shared" si="21"/>
        <v>0</v>
      </c>
      <c r="Q35" s="1">
        <f t="shared" si="21"/>
        <v>-950.93280000000004</v>
      </c>
      <c r="R35" s="1">
        <f t="shared" si="21"/>
        <v>-271.7568</v>
      </c>
      <c r="S35" s="1">
        <f t="shared" si="21"/>
        <v>-378.60479999999995</v>
      </c>
      <c r="T35" s="1">
        <f t="shared" si="21"/>
        <v>-1162.3920000000001</v>
      </c>
      <c r="U35" s="1">
        <f t="shared" si="21"/>
        <v>-184.29840000000002</v>
      </c>
      <c r="V35" s="1">
        <f t="shared" si="21"/>
        <v>-210.85920000000002</v>
      </c>
      <c r="W35" s="1">
        <f t="shared" si="21"/>
        <v>-194.5728</v>
      </c>
      <c r="X35" s="1">
        <f t="shared" si="21"/>
        <v>-123.55200000000001</v>
      </c>
      <c r="Y35" s="1">
        <f t="shared" si="21"/>
        <v>-80.352000000000004</v>
      </c>
      <c r="Z35" s="1">
        <f t="shared" si="21"/>
        <v>-27.302400000000002</v>
      </c>
      <c r="AA35" s="1">
        <f t="shared" si="21"/>
        <v>-24.321600000000004</v>
      </c>
      <c r="AB35" s="1">
        <f t="shared" si="21"/>
        <v>-17.0352</v>
      </c>
      <c r="AC35" s="1">
        <f t="shared" si="21"/>
        <v>-5.9184000000000001</v>
      </c>
      <c r="AD35" s="1">
        <f t="shared" si="21"/>
        <v>-1.4976</v>
      </c>
      <c r="AE35" s="1">
        <f t="shared" si="21"/>
        <v>0</v>
      </c>
      <c r="AF35" s="1">
        <f t="shared" si="21"/>
        <v>0</v>
      </c>
      <c r="AG35" s="1">
        <f t="shared" si="21"/>
        <v>0</v>
      </c>
      <c r="AH35" s="1">
        <f t="shared" si="21"/>
        <v>0</v>
      </c>
      <c r="AI35" s="1">
        <f t="shared" si="21"/>
        <v>0</v>
      </c>
      <c r="AJ35" s="1">
        <f t="shared" si="21"/>
        <v>0</v>
      </c>
      <c r="AK35" s="1">
        <f t="shared" si="21"/>
        <v>0</v>
      </c>
      <c r="AL35" s="1">
        <f t="shared" si="21"/>
        <v>0</v>
      </c>
      <c r="AM35" s="1">
        <f t="shared" si="21"/>
        <v>0</v>
      </c>
      <c r="AN35" s="1">
        <f t="shared" si="21"/>
        <v>0</v>
      </c>
      <c r="AO35" s="1">
        <f t="shared" si="21"/>
        <v>0</v>
      </c>
      <c r="AP35" s="1">
        <f t="shared" si="21"/>
        <v>0</v>
      </c>
      <c r="AQ35" s="1">
        <f t="shared" si="21"/>
        <v>3.4560000000000004</v>
      </c>
      <c r="AR35" s="3">
        <f t="shared" si="6"/>
        <v>-3947.2560000000003</v>
      </c>
      <c r="AT35" s="1">
        <f t="shared" si="7"/>
        <v>-3950.7120000000004</v>
      </c>
    </row>
    <row r="36" spans="1:46" x14ac:dyDescent="0.25">
      <c r="B36" s="59">
        <f>+Accrualstrip!B37</f>
        <v>6.5000000000000002E-2</v>
      </c>
      <c r="C36" t="s">
        <v>6</v>
      </c>
      <c r="D36" s="1">
        <f t="shared" ref="D36:AQ36" si="23">-D13*$B36</f>
        <v>0</v>
      </c>
      <c r="E36" s="1">
        <f t="shared" ref="E36:K36" si="24">-E13*$B36</f>
        <v>0</v>
      </c>
      <c r="F36" s="1">
        <f t="shared" si="24"/>
        <v>0</v>
      </c>
      <c r="G36" s="1">
        <f t="shared" si="24"/>
        <v>0</v>
      </c>
      <c r="H36" s="1">
        <f t="shared" si="24"/>
        <v>0</v>
      </c>
      <c r="I36" s="1">
        <f t="shared" si="24"/>
        <v>0</v>
      </c>
      <c r="J36" s="1">
        <f t="shared" si="24"/>
        <v>0</v>
      </c>
      <c r="K36" s="1">
        <f t="shared" si="24"/>
        <v>0</v>
      </c>
      <c r="L36" s="1">
        <f t="shared" si="23"/>
        <v>0</v>
      </c>
      <c r="M36" s="1">
        <f t="shared" si="23"/>
        <v>0</v>
      </c>
      <c r="N36" s="1">
        <f t="shared" si="23"/>
        <v>0</v>
      </c>
      <c r="O36" s="1">
        <f t="shared" si="23"/>
        <v>0</v>
      </c>
      <c r="P36" s="1">
        <f t="shared" si="23"/>
        <v>0</v>
      </c>
      <c r="Q36" s="1">
        <f t="shared" si="23"/>
        <v>0</v>
      </c>
      <c r="R36" s="1">
        <f t="shared" si="23"/>
        <v>-1951.17</v>
      </c>
      <c r="S36" s="1">
        <f t="shared" si="23"/>
        <v>0</v>
      </c>
      <c r="T36" s="1">
        <f t="shared" si="23"/>
        <v>-1146.1125</v>
      </c>
      <c r="U36" s="1">
        <f t="shared" si="23"/>
        <v>-351</v>
      </c>
      <c r="V36" s="1">
        <f t="shared" si="23"/>
        <v>-970.7360000000001</v>
      </c>
      <c r="W36" s="1">
        <f t="shared" si="23"/>
        <v>0</v>
      </c>
      <c r="X36" s="1">
        <f t="shared" si="23"/>
        <v>0</v>
      </c>
      <c r="Y36" s="1">
        <f t="shared" si="23"/>
        <v>0</v>
      </c>
      <c r="Z36" s="1">
        <f t="shared" si="23"/>
        <v>0</v>
      </c>
      <c r="AA36" s="1">
        <f t="shared" si="23"/>
        <v>0</v>
      </c>
      <c r="AB36" s="1">
        <f t="shared" si="23"/>
        <v>0</v>
      </c>
      <c r="AC36" s="1">
        <f t="shared" si="23"/>
        <v>0</v>
      </c>
      <c r="AD36" s="1">
        <f t="shared" si="23"/>
        <v>0</v>
      </c>
      <c r="AE36" s="1">
        <f t="shared" si="23"/>
        <v>0</v>
      </c>
      <c r="AF36" s="1">
        <f t="shared" si="23"/>
        <v>0</v>
      </c>
      <c r="AG36" s="1">
        <f t="shared" si="23"/>
        <v>0</v>
      </c>
      <c r="AH36" s="1">
        <f t="shared" si="23"/>
        <v>0</v>
      </c>
      <c r="AI36" s="1">
        <f t="shared" si="23"/>
        <v>0</v>
      </c>
      <c r="AJ36" s="1">
        <f t="shared" si="23"/>
        <v>0</v>
      </c>
      <c r="AK36" s="1">
        <f t="shared" si="23"/>
        <v>0</v>
      </c>
      <c r="AL36" s="1">
        <f t="shared" si="23"/>
        <v>0</v>
      </c>
      <c r="AM36" s="1">
        <f t="shared" si="23"/>
        <v>0</v>
      </c>
      <c r="AN36" s="1">
        <f t="shared" si="23"/>
        <v>0</v>
      </c>
      <c r="AO36" s="1">
        <f t="shared" si="23"/>
        <v>0</v>
      </c>
      <c r="AP36" s="1">
        <f t="shared" si="23"/>
        <v>0</v>
      </c>
      <c r="AQ36" s="1">
        <f t="shared" si="23"/>
        <v>0</v>
      </c>
      <c r="AR36" s="3">
        <f t="shared" si="6"/>
        <v>-4419.0185000000001</v>
      </c>
      <c r="AT36" s="1">
        <f t="shared" si="7"/>
        <v>-4419.0185000000001</v>
      </c>
    </row>
    <row r="37" spans="1:46" x14ac:dyDescent="0.25">
      <c r="B37" s="59">
        <f>+Accrualstrip!B38</f>
        <v>0.05</v>
      </c>
      <c r="C37" t="s">
        <v>262</v>
      </c>
      <c r="D37" s="1">
        <f t="shared" ref="D37:AQ37" si="25">-D14*$B37</f>
        <v>0</v>
      </c>
      <c r="E37" s="1">
        <f t="shared" ref="E37:K37" si="26">-E14*$B37</f>
        <v>0</v>
      </c>
      <c r="F37" s="1">
        <f t="shared" si="26"/>
        <v>0</v>
      </c>
      <c r="G37" s="1">
        <f t="shared" si="26"/>
        <v>0</v>
      </c>
      <c r="H37" s="1">
        <f t="shared" si="26"/>
        <v>0</v>
      </c>
      <c r="I37" s="1">
        <f t="shared" si="26"/>
        <v>0</v>
      </c>
      <c r="J37" s="1">
        <f t="shared" si="26"/>
        <v>0</v>
      </c>
      <c r="K37" s="1">
        <f t="shared" si="26"/>
        <v>0</v>
      </c>
      <c r="L37" s="1">
        <f t="shared" si="25"/>
        <v>-35.64</v>
      </c>
      <c r="M37" s="1">
        <f t="shared" si="25"/>
        <v>-295.83000000000004</v>
      </c>
      <c r="N37" s="1">
        <f t="shared" si="25"/>
        <v>-165.94200000000001</v>
      </c>
      <c r="O37" s="1">
        <f t="shared" si="25"/>
        <v>-188.24400000000003</v>
      </c>
      <c r="P37" s="1">
        <f t="shared" si="25"/>
        <v>-218.97</v>
      </c>
      <c r="Q37" s="1">
        <f t="shared" si="25"/>
        <v>-860.63</v>
      </c>
      <c r="R37" s="1">
        <f t="shared" si="25"/>
        <v>-534.07799999999997</v>
      </c>
      <c r="S37" s="1">
        <f t="shared" si="25"/>
        <v>-236.733</v>
      </c>
      <c r="T37" s="1">
        <f t="shared" si="25"/>
        <v>-586.56449999999995</v>
      </c>
      <c r="U37" s="1">
        <f t="shared" si="25"/>
        <v>-220.80200000000002</v>
      </c>
      <c r="V37" s="1">
        <f t="shared" si="25"/>
        <v>-181.42600000000002</v>
      </c>
      <c r="W37" s="1">
        <f t="shared" si="25"/>
        <v>-176.67000000000002</v>
      </c>
      <c r="X37" s="1">
        <f t="shared" si="25"/>
        <v>-68.093999999999994</v>
      </c>
      <c r="Y37" s="1">
        <f t="shared" si="25"/>
        <v>-18.522000000000002</v>
      </c>
      <c r="Z37" s="1">
        <f t="shared" si="25"/>
        <v>-8.8559999999999999</v>
      </c>
      <c r="AA37" s="1">
        <f t="shared" si="25"/>
        <v>7.1370000000000005</v>
      </c>
      <c r="AB37" s="1">
        <f t="shared" si="25"/>
        <v>-25.488000000000003</v>
      </c>
      <c r="AC37" s="1">
        <f t="shared" si="25"/>
        <v>-5.67</v>
      </c>
      <c r="AD37" s="1">
        <f t="shared" si="25"/>
        <v>0</v>
      </c>
      <c r="AE37" s="1">
        <f t="shared" si="25"/>
        <v>0</v>
      </c>
      <c r="AF37" s="1">
        <f t="shared" si="25"/>
        <v>0</v>
      </c>
      <c r="AG37" s="1">
        <f t="shared" si="25"/>
        <v>0</v>
      </c>
      <c r="AH37" s="1">
        <f t="shared" si="25"/>
        <v>0</v>
      </c>
      <c r="AI37" s="1">
        <f t="shared" si="25"/>
        <v>1.4039999999999999</v>
      </c>
      <c r="AJ37" s="1">
        <f t="shared" si="25"/>
        <v>0</v>
      </c>
      <c r="AK37" s="1">
        <f t="shared" si="25"/>
        <v>0</v>
      </c>
      <c r="AL37" s="1">
        <f t="shared" si="25"/>
        <v>0</v>
      </c>
      <c r="AM37" s="1">
        <f t="shared" si="25"/>
        <v>0</v>
      </c>
      <c r="AN37" s="1">
        <f t="shared" si="25"/>
        <v>10.746000000000002</v>
      </c>
      <c r="AO37" s="1">
        <f t="shared" si="25"/>
        <v>0</v>
      </c>
      <c r="AP37" s="1">
        <f t="shared" si="25"/>
        <v>0</v>
      </c>
      <c r="AQ37" s="1">
        <f t="shared" si="25"/>
        <v>0</v>
      </c>
      <c r="AR37" s="3">
        <f t="shared" si="6"/>
        <v>-3808.8724999999999</v>
      </c>
      <c r="AT37" s="1">
        <f t="shared" si="7"/>
        <v>-3808.8724999999999</v>
      </c>
    </row>
    <row r="38" spans="1:46" x14ac:dyDescent="0.25">
      <c r="B38" s="59">
        <f>+Accrualstrip!B39</f>
        <v>0</v>
      </c>
      <c r="C38" t="s">
        <v>42</v>
      </c>
      <c r="D38" s="1">
        <f t="shared" ref="D38:AQ38" si="27">-D15*$B38</f>
        <v>0</v>
      </c>
      <c r="E38" s="1">
        <f t="shared" ref="E38:K38" si="28">-E15*$B38</f>
        <v>0</v>
      </c>
      <c r="F38" s="1">
        <f t="shared" si="28"/>
        <v>0</v>
      </c>
      <c r="G38" s="1">
        <f t="shared" si="28"/>
        <v>0</v>
      </c>
      <c r="H38" s="1">
        <f t="shared" si="28"/>
        <v>0</v>
      </c>
      <c r="I38" s="1">
        <f t="shared" si="28"/>
        <v>0</v>
      </c>
      <c r="J38" s="1">
        <f t="shared" si="28"/>
        <v>0</v>
      </c>
      <c r="K38" s="1">
        <f t="shared" si="28"/>
        <v>0</v>
      </c>
      <c r="L38" s="1">
        <f t="shared" si="27"/>
        <v>0</v>
      </c>
      <c r="M38" s="1">
        <f t="shared" si="27"/>
        <v>0</v>
      </c>
      <c r="N38" s="1">
        <f t="shared" si="27"/>
        <v>0</v>
      </c>
      <c r="O38" s="1">
        <f t="shared" si="27"/>
        <v>0</v>
      </c>
      <c r="P38" s="1">
        <f t="shared" si="27"/>
        <v>0</v>
      </c>
      <c r="Q38" s="1">
        <f t="shared" si="27"/>
        <v>0</v>
      </c>
      <c r="R38" s="1">
        <f t="shared" si="27"/>
        <v>0</v>
      </c>
      <c r="S38" s="1">
        <f t="shared" si="27"/>
        <v>0</v>
      </c>
      <c r="T38" s="1">
        <f t="shared" si="27"/>
        <v>0</v>
      </c>
      <c r="U38" s="1">
        <f t="shared" si="27"/>
        <v>0</v>
      </c>
      <c r="V38" s="1">
        <f t="shared" si="27"/>
        <v>0</v>
      </c>
      <c r="W38" s="1">
        <f t="shared" si="27"/>
        <v>0</v>
      </c>
      <c r="X38" s="1">
        <f t="shared" si="27"/>
        <v>0</v>
      </c>
      <c r="Y38" s="1">
        <f t="shared" si="27"/>
        <v>0</v>
      </c>
      <c r="Z38" s="1">
        <f t="shared" si="27"/>
        <v>0</v>
      </c>
      <c r="AA38" s="1">
        <f t="shared" si="27"/>
        <v>0</v>
      </c>
      <c r="AB38" s="1">
        <f t="shared" si="27"/>
        <v>0</v>
      </c>
      <c r="AC38" s="1">
        <f t="shared" si="27"/>
        <v>0</v>
      </c>
      <c r="AD38" s="1">
        <f t="shared" si="27"/>
        <v>0</v>
      </c>
      <c r="AE38" s="1">
        <f t="shared" si="27"/>
        <v>0</v>
      </c>
      <c r="AF38" s="1">
        <f t="shared" si="27"/>
        <v>0</v>
      </c>
      <c r="AG38" s="1">
        <f t="shared" si="27"/>
        <v>0</v>
      </c>
      <c r="AH38" s="1">
        <f t="shared" si="27"/>
        <v>0</v>
      </c>
      <c r="AI38" s="1">
        <f t="shared" si="27"/>
        <v>0</v>
      </c>
      <c r="AJ38" s="1">
        <f t="shared" si="27"/>
        <v>0</v>
      </c>
      <c r="AK38" s="1">
        <f t="shared" si="27"/>
        <v>0</v>
      </c>
      <c r="AL38" s="1">
        <f t="shared" si="27"/>
        <v>0</v>
      </c>
      <c r="AM38" s="1">
        <f t="shared" si="27"/>
        <v>0</v>
      </c>
      <c r="AN38" s="1">
        <f t="shared" si="27"/>
        <v>0</v>
      </c>
      <c r="AO38" s="1">
        <f t="shared" si="27"/>
        <v>0</v>
      </c>
      <c r="AP38" s="1">
        <f t="shared" si="27"/>
        <v>0</v>
      </c>
      <c r="AQ38" s="1">
        <f t="shared" si="27"/>
        <v>0</v>
      </c>
      <c r="AR38" s="3">
        <f t="shared" si="6"/>
        <v>0</v>
      </c>
      <c r="AT38" s="1">
        <f t="shared" si="7"/>
        <v>0</v>
      </c>
    </row>
    <row r="39" spans="1:46" x14ac:dyDescent="0.25">
      <c r="B39" s="59">
        <f>+Accrualstrip!B40</f>
        <v>0</v>
      </c>
      <c r="C39" t="s">
        <v>192</v>
      </c>
      <c r="D39" s="1">
        <f t="shared" ref="D39:AQ39" si="29">-D16*$B39</f>
        <v>0</v>
      </c>
      <c r="E39" s="1">
        <f t="shared" ref="E39:K39" si="30">-E16*$B39</f>
        <v>0</v>
      </c>
      <c r="F39" s="1">
        <f t="shared" si="30"/>
        <v>0</v>
      </c>
      <c r="G39" s="1">
        <f t="shared" si="30"/>
        <v>0</v>
      </c>
      <c r="H39" s="1">
        <f t="shared" si="30"/>
        <v>0</v>
      </c>
      <c r="I39" s="1">
        <f t="shared" si="30"/>
        <v>0</v>
      </c>
      <c r="J39" s="1">
        <f t="shared" si="30"/>
        <v>0</v>
      </c>
      <c r="K39" s="1">
        <f t="shared" si="30"/>
        <v>0</v>
      </c>
      <c r="L39" s="1">
        <f t="shared" si="29"/>
        <v>0</v>
      </c>
      <c r="M39" s="1">
        <f t="shared" si="29"/>
        <v>0</v>
      </c>
      <c r="N39" s="1">
        <f t="shared" si="29"/>
        <v>0</v>
      </c>
      <c r="O39" s="1">
        <f t="shared" si="29"/>
        <v>0</v>
      </c>
      <c r="P39" s="1">
        <f t="shared" si="29"/>
        <v>0</v>
      </c>
      <c r="Q39" s="1">
        <f t="shared" si="29"/>
        <v>0</v>
      </c>
      <c r="R39" s="1">
        <f t="shared" si="29"/>
        <v>0</v>
      </c>
      <c r="S39" s="1">
        <f t="shared" si="29"/>
        <v>0</v>
      </c>
      <c r="T39" s="1">
        <f t="shared" si="29"/>
        <v>0</v>
      </c>
      <c r="U39" s="1">
        <f t="shared" si="29"/>
        <v>0</v>
      </c>
      <c r="V39" s="1">
        <f t="shared" si="29"/>
        <v>0</v>
      </c>
      <c r="W39" s="1">
        <f t="shared" si="29"/>
        <v>0</v>
      </c>
      <c r="X39" s="1">
        <f t="shared" si="29"/>
        <v>0</v>
      </c>
      <c r="Y39" s="1">
        <f t="shared" si="29"/>
        <v>0</v>
      </c>
      <c r="Z39" s="1">
        <f t="shared" si="29"/>
        <v>0</v>
      </c>
      <c r="AA39" s="1">
        <f t="shared" si="29"/>
        <v>0</v>
      </c>
      <c r="AB39" s="1">
        <f t="shared" si="29"/>
        <v>0</v>
      </c>
      <c r="AC39" s="1">
        <f t="shared" si="29"/>
        <v>0</v>
      </c>
      <c r="AD39" s="1">
        <f t="shared" si="29"/>
        <v>0</v>
      </c>
      <c r="AE39" s="1">
        <f t="shared" si="29"/>
        <v>0</v>
      </c>
      <c r="AF39" s="1">
        <f t="shared" si="29"/>
        <v>0</v>
      </c>
      <c r="AG39" s="1">
        <f t="shared" si="29"/>
        <v>0</v>
      </c>
      <c r="AH39" s="1">
        <f t="shared" si="29"/>
        <v>0</v>
      </c>
      <c r="AI39" s="1">
        <f t="shared" si="29"/>
        <v>0</v>
      </c>
      <c r="AJ39" s="1">
        <f t="shared" si="29"/>
        <v>0</v>
      </c>
      <c r="AK39" s="1">
        <f t="shared" si="29"/>
        <v>0</v>
      </c>
      <c r="AL39" s="1">
        <f t="shared" si="29"/>
        <v>0</v>
      </c>
      <c r="AM39" s="1">
        <f t="shared" si="29"/>
        <v>0</v>
      </c>
      <c r="AN39" s="1">
        <f t="shared" si="29"/>
        <v>0</v>
      </c>
      <c r="AO39" s="1">
        <f t="shared" si="29"/>
        <v>0</v>
      </c>
      <c r="AP39" s="1">
        <f t="shared" si="29"/>
        <v>0</v>
      </c>
      <c r="AQ39" s="1">
        <f t="shared" si="29"/>
        <v>0</v>
      </c>
      <c r="AR39" s="3">
        <f t="shared" si="6"/>
        <v>0</v>
      </c>
      <c r="AT39" s="1">
        <f t="shared" si="7"/>
        <v>0</v>
      </c>
    </row>
    <row r="40" spans="1:46" x14ac:dyDescent="0.25">
      <c r="B40" s="59">
        <f>+Accrualstrip!B41</f>
        <v>0.05</v>
      </c>
      <c r="C40" t="s">
        <v>133</v>
      </c>
      <c r="D40" s="1">
        <f t="shared" ref="D40:AQ40" si="31">-D17*$B40</f>
        <v>0</v>
      </c>
      <c r="E40" s="1">
        <f t="shared" ref="E40:K40" si="32">-E17*$B40</f>
        <v>0</v>
      </c>
      <c r="F40" s="1">
        <f t="shared" si="32"/>
        <v>0</v>
      </c>
      <c r="G40" s="1">
        <f t="shared" si="32"/>
        <v>0</v>
      </c>
      <c r="H40" s="1">
        <f t="shared" si="32"/>
        <v>0</v>
      </c>
      <c r="I40" s="1">
        <f t="shared" si="32"/>
        <v>0</v>
      </c>
      <c r="J40" s="1">
        <f t="shared" si="32"/>
        <v>0</v>
      </c>
      <c r="K40" s="1">
        <f t="shared" si="32"/>
        <v>0</v>
      </c>
      <c r="L40" s="1">
        <f t="shared" si="31"/>
        <v>-23.76</v>
      </c>
      <c r="M40" s="1">
        <f t="shared" si="31"/>
        <v>-43.740000000000009</v>
      </c>
      <c r="N40" s="1">
        <f t="shared" si="31"/>
        <v>-87.048000000000002</v>
      </c>
      <c r="O40" s="1">
        <f t="shared" si="31"/>
        <v>-111.74399999999999</v>
      </c>
      <c r="P40" s="1">
        <f t="shared" si="31"/>
        <v>-253.899</v>
      </c>
      <c r="Q40" s="1">
        <f t="shared" si="31"/>
        <v>-263.20949999999999</v>
      </c>
      <c r="R40" s="1">
        <f t="shared" si="31"/>
        <v>-163.26</v>
      </c>
      <c r="S40" s="1">
        <f t="shared" si="31"/>
        <v>-271.34899999999999</v>
      </c>
      <c r="T40" s="1">
        <f t="shared" si="31"/>
        <v>-317.62800000000004</v>
      </c>
      <c r="U40" s="1">
        <f t="shared" si="31"/>
        <v>-241.79399999999998</v>
      </c>
      <c r="V40" s="1">
        <f t="shared" si="31"/>
        <v>-107.98800000000001</v>
      </c>
      <c r="W40" s="1">
        <f t="shared" si="31"/>
        <v>-142.631</v>
      </c>
      <c r="X40" s="1">
        <f t="shared" si="31"/>
        <v>-140.35100000000003</v>
      </c>
      <c r="Y40" s="1">
        <f t="shared" si="31"/>
        <v>-122.63400000000001</v>
      </c>
      <c r="Z40" s="1">
        <f t="shared" si="31"/>
        <v>-28.62</v>
      </c>
      <c r="AA40" s="1">
        <f t="shared" si="31"/>
        <v>-35.225999999999999</v>
      </c>
      <c r="AB40" s="1">
        <f t="shared" si="31"/>
        <v>-30.672000000000004</v>
      </c>
      <c r="AC40" s="1">
        <f t="shared" si="31"/>
        <v>-3.51</v>
      </c>
      <c r="AD40" s="1">
        <f t="shared" si="31"/>
        <v>0</v>
      </c>
      <c r="AE40" s="1">
        <f t="shared" si="31"/>
        <v>0</v>
      </c>
      <c r="AF40" s="1">
        <f t="shared" si="31"/>
        <v>0</v>
      </c>
      <c r="AG40" s="1">
        <f t="shared" si="31"/>
        <v>0</v>
      </c>
      <c r="AH40" s="1">
        <f t="shared" si="31"/>
        <v>0</v>
      </c>
      <c r="AI40" s="1">
        <f t="shared" si="31"/>
        <v>0</v>
      </c>
      <c r="AJ40" s="1">
        <f t="shared" si="31"/>
        <v>0</v>
      </c>
      <c r="AK40" s="1">
        <f t="shared" si="31"/>
        <v>0</v>
      </c>
      <c r="AL40" s="1">
        <f t="shared" si="31"/>
        <v>0</v>
      </c>
      <c r="AM40" s="1">
        <f t="shared" si="31"/>
        <v>0</v>
      </c>
      <c r="AN40" s="1">
        <f t="shared" si="31"/>
        <v>0</v>
      </c>
      <c r="AO40" s="1">
        <f t="shared" si="31"/>
        <v>0</v>
      </c>
      <c r="AP40" s="1">
        <f t="shared" si="31"/>
        <v>0</v>
      </c>
      <c r="AQ40" s="1">
        <f t="shared" si="31"/>
        <v>0</v>
      </c>
      <c r="AR40" s="3">
        <f t="shared" si="6"/>
        <v>-2389.0635000000002</v>
      </c>
      <c r="AT40" s="1">
        <f t="shared" si="7"/>
        <v>-2389.0635000000002</v>
      </c>
    </row>
    <row r="41" spans="1:46" x14ac:dyDescent="0.25">
      <c r="B41" s="59">
        <f>+Accrualstrip!B42</f>
        <v>0.06</v>
      </c>
      <c r="C41" t="s">
        <v>41</v>
      </c>
      <c r="D41" s="1">
        <f t="shared" ref="D41:AQ41" si="33">-D18*$B41</f>
        <v>0</v>
      </c>
      <c r="E41" s="1">
        <f t="shared" ref="E41:K41" si="34">-E18*$B41</f>
        <v>0</v>
      </c>
      <c r="F41" s="1">
        <f t="shared" si="34"/>
        <v>0</v>
      </c>
      <c r="G41" s="1">
        <f t="shared" si="34"/>
        <v>0</v>
      </c>
      <c r="H41" s="1">
        <f t="shared" si="34"/>
        <v>0</v>
      </c>
      <c r="I41" s="1">
        <f t="shared" si="34"/>
        <v>0</v>
      </c>
      <c r="J41" s="1">
        <f t="shared" si="34"/>
        <v>0</v>
      </c>
      <c r="K41" s="1">
        <f t="shared" si="34"/>
        <v>0</v>
      </c>
      <c r="L41" s="1">
        <f t="shared" si="33"/>
        <v>-130.68</v>
      </c>
      <c r="M41" s="1">
        <f t="shared" si="33"/>
        <v>-645.27839999999992</v>
      </c>
      <c r="N41" s="1">
        <f t="shared" si="33"/>
        <v>-269.95679999999999</v>
      </c>
      <c r="O41" s="1">
        <f t="shared" si="33"/>
        <v>-744.07680000000005</v>
      </c>
      <c r="P41" s="1">
        <f t="shared" si="33"/>
        <v>-1116.5112000000001</v>
      </c>
      <c r="Q41" s="1">
        <f t="shared" si="33"/>
        <v>-2769.2627999999995</v>
      </c>
      <c r="R41" s="1">
        <f t="shared" si="33"/>
        <v>-1852.0559999999998</v>
      </c>
      <c r="S41" s="1">
        <f t="shared" si="33"/>
        <v>-1852.4231999999997</v>
      </c>
      <c r="T41" s="1">
        <f t="shared" si="33"/>
        <v>-2116.6535999999996</v>
      </c>
      <c r="U41" s="1">
        <f t="shared" si="33"/>
        <v>-2496.2411999999999</v>
      </c>
      <c r="V41" s="1">
        <f t="shared" si="33"/>
        <v>-799.84679999999992</v>
      </c>
      <c r="W41" s="1">
        <f t="shared" si="33"/>
        <v>-1180.0775999999998</v>
      </c>
      <c r="X41" s="1">
        <f t="shared" si="33"/>
        <v>-1213.6391999999996</v>
      </c>
      <c r="Y41" s="1">
        <f t="shared" si="33"/>
        <v>-1068.7788</v>
      </c>
      <c r="Z41" s="1">
        <f t="shared" si="33"/>
        <v>-166.59240000000003</v>
      </c>
      <c r="AA41" s="1">
        <f t="shared" si="33"/>
        <v>-64.735200000000006</v>
      </c>
      <c r="AB41" s="1">
        <f t="shared" si="33"/>
        <v>-28.641599999999997</v>
      </c>
      <c r="AC41" s="1">
        <f t="shared" si="33"/>
        <v>-10.3032</v>
      </c>
      <c r="AD41" s="1">
        <f t="shared" si="33"/>
        <v>5.1839999999999993</v>
      </c>
      <c r="AE41" s="1">
        <f t="shared" si="33"/>
        <v>5.1479999999999997</v>
      </c>
      <c r="AF41" s="1">
        <f t="shared" si="33"/>
        <v>0</v>
      </c>
      <c r="AG41" s="1">
        <f t="shared" si="33"/>
        <v>3.54</v>
      </c>
      <c r="AH41" s="1">
        <f t="shared" si="33"/>
        <v>0</v>
      </c>
      <c r="AI41" s="1">
        <f t="shared" si="33"/>
        <v>0</v>
      </c>
      <c r="AJ41" s="1">
        <f t="shared" si="33"/>
        <v>0</v>
      </c>
      <c r="AK41" s="1">
        <f t="shared" si="33"/>
        <v>0</v>
      </c>
      <c r="AL41" s="1">
        <f t="shared" si="33"/>
        <v>0</v>
      </c>
      <c r="AM41" s="1">
        <f t="shared" si="33"/>
        <v>0</v>
      </c>
      <c r="AN41" s="1">
        <f t="shared" si="33"/>
        <v>0</v>
      </c>
      <c r="AO41" s="1">
        <f t="shared" si="33"/>
        <v>0</v>
      </c>
      <c r="AP41" s="1">
        <f t="shared" si="33"/>
        <v>0</v>
      </c>
      <c r="AQ41" s="1">
        <f t="shared" si="33"/>
        <v>0</v>
      </c>
      <c r="AR41" s="3">
        <f t="shared" si="6"/>
        <v>-18511.882799999996</v>
      </c>
      <c r="AT41" s="1">
        <f t="shared" si="7"/>
        <v>-18511.882799999996</v>
      </c>
    </row>
    <row r="42" spans="1:46" x14ac:dyDescent="0.25">
      <c r="B42" s="59">
        <f>+Accrualstrip!B43</f>
        <v>0</v>
      </c>
      <c r="C42" t="s">
        <v>193</v>
      </c>
      <c r="D42" s="1">
        <f t="shared" ref="D42:AQ42" si="35">-D19*$B42</f>
        <v>0</v>
      </c>
      <c r="E42" s="1">
        <f t="shared" ref="E42:K42" si="36">-E19*$B42</f>
        <v>0</v>
      </c>
      <c r="F42" s="1">
        <f t="shared" si="36"/>
        <v>0</v>
      </c>
      <c r="G42" s="1">
        <f t="shared" si="36"/>
        <v>0</v>
      </c>
      <c r="H42" s="1">
        <f t="shared" si="36"/>
        <v>0</v>
      </c>
      <c r="I42" s="1">
        <f t="shared" si="36"/>
        <v>0</v>
      </c>
      <c r="J42" s="1">
        <f t="shared" si="36"/>
        <v>0</v>
      </c>
      <c r="K42" s="1">
        <f t="shared" si="36"/>
        <v>0</v>
      </c>
      <c r="L42" s="1">
        <f t="shared" si="35"/>
        <v>0</v>
      </c>
      <c r="M42" s="1">
        <f t="shared" si="35"/>
        <v>0</v>
      </c>
      <c r="N42" s="1">
        <f t="shared" si="35"/>
        <v>0</v>
      </c>
      <c r="O42" s="1">
        <f t="shared" si="35"/>
        <v>0</v>
      </c>
      <c r="P42" s="1">
        <f t="shared" si="35"/>
        <v>0</v>
      </c>
      <c r="Q42" s="1">
        <f t="shared" si="35"/>
        <v>0</v>
      </c>
      <c r="R42" s="1">
        <f t="shared" si="35"/>
        <v>0</v>
      </c>
      <c r="S42" s="1">
        <f t="shared" si="35"/>
        <v>0</v>
      </c>
      <c r="T42" s="1">
        <f t="shared" si="35"/>
        <v>0</v>
      </c>
      <c r="U42" s="1">
        <f t="shared" si="35"/>
        <v>0</v>
      </c>
      <c r="V42" s="1">
        <f t="shared" si="35"/>
        <v>0</v>
      </c>
      <c r="W42" s="1">
        <f t="shared" si="35"/>
        <v>0</v>
      </c>
      <c r="X42" s="1">
        <f t="shared" si="35"/>
        <v>0</v>
      </c>
      <c r="Y42" s="1">
        <f t="shared" si="35"/>
        <v>0</v>
      </c>
      <c r="Z42" s="1">
        <f t="shared" si="35"/>
        <v>0</v>
      </c>
      <c r="AA42" s="1">
        <f t="shared" si="35"/>
        <v>0</v>
      </c>
      <c r="AB42" s="1">
        <f t="shared" si="35"/>
        <v>0</v>
      </c>
      <c r="AC42" s="1">
        <f t="shared" si="35"/>
        <v>0</v>
      </c>
      <c r="AD42" s="1">
        <f t="shared" si="35"/>
        <v>0</v>
      </c>
      <c r="AE42" s="1">
        <f t="shared" si="35"/>
        <v>0</v>
      </c>
      <c r="AF42" s="1">
        <f t="shared" si="35"/>
        <v>0</v>
      </c>
      <c r="AG42" s="1">
        <f t="shared" si="35"/>
        <v>0</v>
      </c>
      <c r="AH42" s="1">
        <f t="shared" si="35"/>
        <v>0</v>
      </c>
      <c r="AI42" s="1">
        <f t="shared" si="35"/>
        <v>0</v>
      </c>
      <c r="AJ42" s="1">
        <f t="shared" si="35"/>
        <v>0</v>
      </c>
      <c r="AK42" s="1">
        <f t="shared" si="35"/>
        <v>0</v>
      </c>
      <c r="AL42" s="1">
        <f t="shared" si="35"/>
        <v>0</v>
      </c>
      <c r="AM42" s="1">
        <f t="shared" si="35"/>
        <v>0</v>
      </c>
      <c r="AN42" s="1">
        <f t="shared" si="35"/>
        <v>0</v>
      </c>
      <c r="AO42" s="1">
        <f t="shared" si="35"/>
        <v>0</v>
      </c>
      <c r="AP42" s="1">
        <f t="shared" si="35"/>
        <v>0</v>
      </c>
      <c r="AQ42" s="1">
        <f t="shared" si="35"/>
        <v>0</v>
      </c>
      <c r="AR42" s="3">
        <f t="shared" si="6"/>
        <v>0</v>
      </c>
      <c r="AT42" s="1">
        <f t="shared" si="7"/>
        <v>0</v>
      </c>
    </row>
    <row r="43" spans="1:46" x14ac:dyDescent="0.25">
      <c r="B43" s="59">
        <v>0</v>
      </c>
      <c r="C43" t="s">
        <v>194</v>
      </c>
      <c r="D43" s="1">
        <f t="shared" ref="D43:AQ43" si="37">-D20*$B43</f>
        <v>0</v>
      </c>
      <c r="E43" s="1">
        <f t="shared" ref="E43:K43" si="38">-E20*$B43</f>
        <v>0</v>
      </c>
      <c r="F43" s="1">
        <f t="shared" si="38"/>
        <v>0</v>
      </c>
      <c r="G43" s="1">
        <f t="shared" si="38"/>
        <v>0</v>
      </c>
      <c r="H43" s="1">
        <f t="shared" si="38"/>
        <v>0</v>
      </c>
      <c r="I43" s="1">
        <f t="shared" si="38"/>
        <v>0</v>
      </c>
      <c r="J43" s="1">
        <f t="shared" si="38"/>
        <v>0</v>
      </c>
      <c r="K43" s="1">
        <f t="shared" si="38"/>
        <v>0</v>
      </c>
      <c r="L43" s="1">
        <f t="shared" si="37"/>
        <v>0</v>
      </c>
      <c r="M43" s="1">
        <f t="shared" si="37"/>
        <v>0</v>
      </c>
      <c r="N43" s="1">
        <f t="shared" si="37"/>
        <v>0</v>
      </c>
      <c r="O43" s="1">
        <f t="shared" si="37"/>
        <v>0</v>
      </c>
      <c r="P43" s="1">
        <f t="shared" si="37"/>
        <v>0</v>
      </c>
      <c r="Q43" s="1">
        <f t="shared" si="37"/>
        <v>0</v>
      </c>
      <c r="R43" s="1">
        <f t="shared" si="37"/>
        <v>0</v>
      </c>
      <c r="S43" s="1">
        <f t="shared" si="37"/>
        <v>0</v>
      </c>
      <c r="T43" s="1">
        <f t="shared" si="37"/>
        <v>0</v>
      </c>
      <c r="U43" s="1">
        <f t="shared" si="37"/>
        <v>0</v>
      </c>
      <c r="V43" s="1">
        <f t="shared" si="37"/>
        <v>0</v>
      </c>
      <c r="W43" s="1">
        <f t="shared" si="37"/>
        <v>0</v>
      </c>
      <c r="X43" s="1">
        <f t="shared" si="37"/>
        <v>0</v>
      </c>
      <c r="Y43" s="1">
        <f t="shared" si="37"/>
        <v>0</v>
      </c>
      <c r="Z43" s="1">
        <f t="shared" si="37"/>
        <v>0</v>
      </c>
      <c r="AA43" s="1">
        <f t="shared" si="37"/>
        <v>0</v>
      </c>
      <c r="AB43" s="1">
        <f t="shared" si="37"/>
        <v>0</v>
      </c>
      <c r="AC43" s="1">
        <f t="shared" si="37"/>
        <v>0</v>
      </c>
      <c r="AD43" s="1">
        <f t="shared" si="37"/>
        <v>0</v>
      </c>
      <c r="AE43" s="1">
        <f t="shared" si="37"/>
        <v>0</v>
      </c>
      <c r="AF43" s="1">
        <f t="shared" si="37"/>
        <v>0</v>
      </c>
      <c r="AG43" s="1">
        <f t="shared" si="37"/>
        <v>0</v>
      </c>
      <c r="AH43" s="1">
        <f t="shared" si="37"/>
        <v>0</v>
      </c>
      <c r="AI43" s="1">
        <f t="shared" si="37"/>
        <v>0</v>
      </c>
      <c r="AJ43" s="1">
        <f t="shared" si="37"/>
        <v>0</v>
      </c>
      <c r="AK43" s="1">
        <f t="shared" si="37"/>
        <v>0</v>
      </c>
      <c r="AL43" s="1">
        <f t="shared" si="37"/>
        <v>0</v>
      </c>
      <c r="AM43" s="1">
        <f t="shared" si="37"/>
        <v>0</v>
      </c>
      <c r="AN43" s="1">
        <f t="shared" si="37"/>
        <v>0</v>
      </c>
      <c r="AO43" s="1">
        <f t="shared" si="37"/>
        <v>0</v>
      </c>
      <c r="AP43" s="1">
        <f t="shared" si="37"/>
        <v>0</v>
      </c>
      <c r="AQ43" s="1">
        <f t="shared" si="37"/>
        <v>0</v>
      </c>
      <c r="AR43" s="3">
        <f t="shared" si="6"/>
        <v>0</v>
      </c>
      <c r="AT43" s="1">
        <f t="shared" si="7"/>
        <v>0</v>
      </c>
    </row>
    <row r="44" spans="1:46" x14ac:dyDescent="0.25">
      <c r="B44" s="59">
        <f>+Accrualstrip!B45</f>
        <v>0.05</v>
      </c>
      <c r="C44" t="s">
        <v>296</v>
      </c>
      <c r="D44" s="1">
        <f t="shared" ref="D44:AQ44" si="39">-D21*$B44</f>
        <v>0</v>
      </c>
      <c r="E44" s="1">
        <f t="shared" ref="E44:K44" si="40">-E21*$B44</f>
        <v>0</v>
      </c>
      <c r="F44" s="1">
        <f t="shared" si="40"/>
        <v>0</v>
      </c>
      <c r="G44" s="1">
        <f t="shared" si="40"/>
        <v>0</v>
      </c>
      <c r="H44" s="1">
        <f t="shared" si="40"/>
        <v>0</v>
      </c>
      <c r="I44" s="1">
        <f t="shared" si="40"/>
        <v>0</v>
      </c>
      <c r="J44" s="1">
        <f t="shared" si="40"/>
        <v>0</v>
      </c>
      <c r="K44" s="1">
        <f t="shared" si="40"/>
        <v>0</v>
      </c>
      <c r="L44" s="1">
        <f t="shared" si="39"/>
        <v>0</v>
      </c>
      <c r="M44" s="1">
        <f t="shared" si="39"/>
        <v>-27.953999999999997</v>
      </c>
      <c r="N44" s="1">
        <f t="shared" si="39"/>
        <v>-48.870000000000005</v>
      </c>
      <c r="O44" s="1">
        <f t="shared" si="39"/>
        <v>-54.545999999999992</v>
      </c>
      <c r="P44" s="1">
        <f t="shared" si="39"/>
        <v>-78.624000000000009</v>
      </c>
      <c r="Q44" s="1">
        <f t="shared" si="39"/>
        <v>-86.831999999999994</v>
      </c>
      <c r="R44" s="1">
        <f t="shared" si="39"/>
        <v>-107.07000000000001</v>
      </c>
      <c r="S44" s="1">
        <f t="shared" si="39"/>
        <v>-152.18199999999999</v>
      </c>
      <c r="T44" s="1">
        <f t="shared" si="39"/>
        <v>-155.5</v>
      </c>
      <c r="U44" s="1">
        <f t="shared" si="39"/>
        <v>-173.30100000000002</v>
      </c>
      <c r="V44" s="1">
        <f t="shared" si="39"/>
        <v>-82.125</v>
      </c>
      <c r="W44" s="1">
        <f t="shared" si="39"/>
        <v>-76.382999999999996</v>
      </c>
      <c r="X44" s="1">
        <f t="shared" si="39"/>
        <v>-40.39500000000001</v>
      </c>
      <c r="Y44" s="1">
        <f t="shared" si="39"/>
        <v>-44.970000000000006</v>
      </c>
      <c r="Z44" s="1">
        <f t="shared" si="39"/>
        <v>-11.766</v>
      </c>
      <c r="AA44" s="1">
        <f t="shared" si="39"/>
        <v>-34.559999999999995</v>
      </c>
      <c r="AB44" s="1">
        <f t="shared" si="39"/>
        <v>-9.1800000000000015</v>
      </c>
      <c r="AC44" s="1">
        <f t="shared" si="39"/>
        <v>-2.8079999999999998</v>
      </c>
      <c r="AD44" s="1">
        <f t="shared" si="39"/>
        <v>0</v>
      </c>
      <c r="AE44" s="1">
        <f t="shared" si="39"/>
        <v>0</v>
      </c>
      <c r="AF44" s="1">
        <f t="shared" si="39"/>
        <v>0</v>
      </c>
      <c r="AG44" s="1">
        <f t="shared" si="39"/>
        <v>0</v>
      </c>
      <c r="AH44" s="1">
        <f t="shared" si="39"/>
        <v>0</v>
      </c>
      <c r="AI44" s="1">
        <f t="shared" si="39"/>
        <v>0</v>
      </c>
      <c r="AJ44" s="1">
        <f t="shared" si="39"/>
        <v>0.70199999999999996</v>
      </c>
      <c r="AK44" s="1">
        <f t="shared" si="39"/>
        <v>0</v>
      </c>
      <c r="AL44" s="1">
        <f t="shared" si="39"/>
        <v>0</v>
      </c>
      <c r="AM44" s="1">
        <f t="shared" si="39"/>
        <v>0</v>
      </c>
      <c r="AN44" s="1">
        <f t="shared" si="39"/>
        <v>0</v>
      </c>
      <c r="AO44" s="1">
        <f t="shared" si="39"/>
        <v>0</v>
      </c>
      <c r="AP44" s="1">
        <f t="shared" si="39"/>
        <v>0</v>
      </c>
      <c r="AQ44" s="1">
        <f t="shared" si="39"/>
        <v>0</v>
      </c>
      <c r="AR44" s="3">
        <f t="shared" si="6"/>
        <v>-1186.364</v>
      </c>
      <c r="AT44" s="1">
        <f t="shared" si="7"/>
        <v>-1186.364</v>
      </c>
    </row>
    <row r="45" spans="1:46" x14ac:dyDescent="0.25">
      <c r="B45" s="59">
        <f>+Accrualstrip!B46</f>
        <v>0</v>
      </c>
      <c r="C45" t="s">
        <v>44</v>
      </c>
      <c r="D45" s="1">
        <f t="shared" ref="D45:AQ45" si="41">-D22*$B45</f>
        <v>0</v>
      </c>
      <c r="E45" s="1">
        <f t="shared" ref="E45:K45" si="42">-E22*$B45</f>
        <v>0</v>
      </c>
      <c r="F45" s="1">
        <f t="shared" si="42"/>
        <v>0</v>
      </c>
      <c r="G45" s="1">
        <f t="shared" si="42"/>
        <v>0</v>
      </c>
      <c r="H45" s="1">
        <f t="shared" si="42"/>
        <v>0</v>
      </c>
      <c r="I45" s="1">
        <f t="shared" si="42"/>
        <v>0</v>
      </c>
      <c r="J45" s="1">
        <f t="shared" si="42"/>
        <v>0</v>
      </c>
      <c r="K45" s="1">
        <f t="shared" si="42"/>
        <v>0</v>
      </c>
      <c r="L45" s="1">
        <f t="shared" si="41"/>
        <v>0</v>
      </c>
      <c r="M45" s="1">
        <f t="shared" si="41"/>
        <v>0</v>
      </c>
      <c r="N45" s="1">
        <f t="shared" si="41"/>
        <v>0</v>
      </c>
      <c r="O45" s="1">
        <f t="shared" si="41"/>
        <v>0</v>
      </c>
      <c r="P45" s="1">
        <f t="shared" si="41"/>
        <v>0</v>
      </c>
      <c r="Q45" s="1">
        <f t="shared" si="41"/>
        <v>0</v>
      </c>
      <c r="R45" s="1">
        <f t="shared" si="41"/>
        <v>0</v>
      </c>
      <c r="S45" s="1">
        <f t="shared" si="41"/>
        <v>0</v>
      </c>
      <c r="T45" s="1">
        <f t="shared" si="41"/>
        <v>0</v>
      </c>
      <c r="U45" s="1">
        <f t="shared" si="41"/>
        <v>0</v>
      </c>
      <c r="V45" s="1">
        <f t="shared" si="41"/>
        <v>0</v>
      </c>
      <c r="W45" s="1">
        <f t="shared" si="41"/>
        <v>0</v>
      </c>
      <c r="X45" s="1">
        <f t="shared" si="41"/>
        <v>0</v>
      </c>
      <c r="Y45" s="1">
        <f t="shared" si="41"/>
        <v>0</v>
      </c>
      <c r="Z45" s="1">
        <f t="shared" si="41"/>
        <v>0</v>
      </c>
      <c r="AA45" s="1">
        <f t="shared" si="41"/>
        <v>0</v>
      </c>
      <c r="AB45" s="1">
        <f t="shared" si="41"/>
        <v>0</v>
      </c>
      <c r="AC45" s="1">
        <f t="shared" si="41"/>
        <v>0</v>
      </c>
      <c r="AD45" s="1">
        <f t="shared" si="41"/>
        <v>0</v>
      </c>
      <c r="AE45" s="1">
        <f t="shared" si="41"/>
        <v>0</v>
      </c>
      <c r="AF45" s="1">
        <f t="shared" si="41"/>
        <v>0</v>
      </c>
      <c r="AG45" s="1">
        <f t="shared" si="41"/>
        <v>0</v>
      </c>
      <c r="AH45" s="1">
        <f t="shared" si="41"/>
        <v>0</v>
      </c>
      <c r="AI45" s="1">
        <f t="shared" si="41"/>
        <v>0</v>
      </c>
      <c r="AJ45" s="1">
        <f t="shared" si="41"/>
        <v>0</v>
      </c>
      <c r="AK45" s="1">
        <f t="shared" si="41"/>
        <v>0</v>
      </c>
      <c r="AL45" s="1">
        <f t="shared" si="41"/>
        <v>0</v>
      </c>
      <c r="AM45" s="1">
        <f t="shared" si="41"/>
        <v>0</v>
      </c>
      <c r="AN45" s="1">
        <f t="shared" si="41"/>
        <v>0</v>
      </c>
      <c r="AO45" s="1">
        <f t="shared" si="41"/>
        <v>0</v>
      </c>
      <c r="AP45" s="1">
        <f t="shared" si="41"/>
        <v>0</v>
      </c>
      <c r="AQ45" s="1">
        <f t="shared" si="41"/>
        <v>0</v>
      </c>
      <c r="AR45" s="3">
        <f t="shared" si="6"/>
        <v>0</v>
      </c>
      <c r="AT45" s="1">
        <f t="shared" si="7"/>
        <v>0</v>
      </c>
    </row>
    <row r="46" spans="1:46" x14ac:dyDescent="0.25">
      <c r="B46" s="45"/>
      <c r="C46" t="s">
        <v>217</v>
      </c>
      <c r="AT46" s="1">
        <f t="shared" si="7"/>
        <v>0</v>
      </c>
    </row>
    <row r="47" spans="1:46" x14ac:dyDescent="0.25">
      <c r="A47" s="2" t="s">
        <v>82</v>
      </c>
      <c r="D47" s="3">
        <f t="shared" ref="D47:AR47" si="43">SUM(D27:D46)</f>
        <v>0</v>
      </c>
      <c r="E47" s="3">
        <f t="shared" ref="E47:K47" si="44">SUM(E27:E46)</f>
        <v>0</v>
      </c>
      <c r="F47" s="3">
        <f t="shared" si="44"/>
        <v>0</v>
      </c>
      <c r="G47" s="3">
        <f t="shared" si="44"/>
        <v>0</v>
      </c>
      <c r="H47" s="3">
        <f t="shared" si="44"/>
        <v>0</v>
      </c>
      <c r="I47" s="3">
        <f t="shared" si="44"/>
        <v>0</v>
      </c>
      <c r="J47" s="3">
        <f t="shared" si="44"/>
        <v>0</v>
      </c>
      <c r="K47" s="3">
        <f t="shared" si="44"/>
        <v>0</v>
      </c>
      <c r="L47" s="3">
        <f t="shared" si="43"/>
        <v>-396.36720000000003</v>
      </c>
      <c r="M47" s="3">
        <f t="shared" si="43"/>
        <v>-3871.4067</v>
      </c>
      <c r="N47" s="3">
        <f t="shared" si="43"/>
        <v>-2217.0632999999998</v>
      </c>
      <c r="O47" s="3">
        <f t="shared" si="43"/>
        <v>-3157.8565500000009</v>
      </c>
      <c r="P47" s="3">
        <f t="shared" si="43"/>
        <v>-4652.1320999999998</v>
      </c>
      <c r="Q47" s="3">
        <f t="shared" si="43"/>
        <v>-13362.93195</v>
      </c>
      <c r="R47" s="3">
        <f t="shared" si="43"/>
        <v>-10892.587599999999</v>
      </c>
      <c r="S47" s="3">
        <f t="shared" si="43"/>
        <v>-10613.678099999999</v>
      </c>
      <c r="T47" s="3">
        <f t="shared" si="43"/>
        <v>-11025.05795</v>
      </c>
      <c r="U47" s="3">
        <f t="shared" si="43"/>
        <v>-9024.2215999999989</v>
      </c>
      <c r="V47" s="3">
        <f t="shared" si="43"/>
        <v>-4723.1133</v>
      </c>
      <c r="W47" s="3">
        <f t="shared" si="43"/>
        <v>-5276.2704999999996</v>
      </c>
      <c r="X47" s="3">
        <f t="shared" si="43"/>
        <v>-4646.4846000000007</v>
      </c>
      <c r="Y47" s="3">
        <f t="shared" si="43"/>
        <v>-4062.8978999999999</v>
      </c>
      <c r="Z47" s="3">
        <f t="shared" si="43"/>
        <v>-1655.3542</v>
      </c>
      <c r="AA47" s="3">
        <f t="shared" si="43"/>
        <v>-741.45540000000005</v>
      </c>
      <c r="AB47" s="3">
        <f t="shared" si="43"/>
        <v>-145.11185</v>
      </c>
      <c r="AC47" s="3">
        <f t="shared" si="43"/>
        <v>-25.239600000000003</v>
      </c>
      <c r="AD47" s="3">
        <f t="shared" si="43"/>
        <v>5.2298999999999998</v>
      </c>
      <c r="AE47" s="3">
        <f t="shared" si="43"/>
        <v>6.6059999999999999</v>
      </c>
      <c r="AF47" s="3">
        <f t="shared" si="43"/>
        <v>0.70199999999999996</v>
      </c>
      <c r="AG47" s="3">
        <f t="shared" si="43"/>
        <v>3.7984499999999999</v>
      </c>
      <c r="AH47" s="3">
        <f t="shared" si="43"/>
        <v>0</v>
      </c>
      <c r="AI47" s="3">
        <f t="shared" si="43"/>
        <v>23.697000000000003</v>
      </c>
      <c r="AJ47" s="3">
        <f t="shared" si="43"/>
        <v>0.70199999999999996</v>
      </c>
      <c r="AK47" s="3">
        <f t="shared" si="43"/>
        <v>0</v>
      </c>
      <c r="AL47" s="3">
        <f t="shared" si="43"/>
        <v>0</v>
      </c>
      <c r="AM47" s="3">
        <f t="shared" si="43"/>
        <v>0.1278</v>
      </c>
      <c r="AN47" s="3">
        <f t="shared" si="43"/>
        <v>23.058000000000003</v>
      </c>
      <c r="AO47" s="3">
        <f t="shared" si="43"/>
        <v>0</v>
      </c>
      <c r="AP47" s="3">
        <f t="shared" si="43"/>
        <v>0.15975</v>
      </c>
      <c r="AQ47" s="3">
        <f t="shared" si="43"/>
        <v>3.5370000000000004</v>
      </c>
      <c r="AR47" s="3">
        <f t="shared" si="43"/>
        <v>-90421.612499999988</v>
      </c>
      <c r="AS47" s="3"/>
      <c r="AT47" s="3">
        <f t="shared" si="7"/>
        <v>-90425.14949999997</v>
      </c>
    </row>
    <row r="49" spans="1:46" x14ac:dyDescent="0.25">
      <c r="A49" s="2" t="s">
        <v>310</v>
      </c>
    </row>
    <row r="50" spans="1:46" x14ac:dyDescent="0.25">
      <c r="C50" t="s">
        <v>190</v>
      </c>
      <c r="D50" s="1">
        <f t="shared" ref="D50:AQ50" si="45">+D4+D27</f>
        <v>0</v>
      </c>
      <c r="E50" s="1">
        <f t="shared" ref="E50:K50" si="46">+E4+E27</f>
        <v>0</v>
      </c>
      <c r="F50" s="1">
        <f t="shared" si="46"/>
        <v>0</v>
      </c>
      <c r="G50" s="1">
        <f t="shared" si="46"/>
        <v>0</v>
      </c>
      <c r="H50" s="1">
        <f t="shared" si="46"/>
        <v>0</v>
      </c>
      <c r="I50" s="1">
        <f t="shared" si="46"/>
        <v>0</v>
      </c>
      <c r="J50" s="1">
        <f t="shared" si="46"/>
        <v>0</v>
      </c>
      <c r="K50" s="1">
        <f t="shared" si="46"/>
        <v>0</v>
      </c>
      <c r="L50" s="1">
        <f t="shared" si="45"/>
        <v>219.14279999999999</v>
      </c>
      <c r="M50" s="1">
        <f t="shared" si="45"/>
        <v>0</v>
      </c>
      <c r="N50" s="1">
        <f t="shared" si="45"/>
        <v>528.70860000000005</v>
      </c>
      <c r="O50" s="1">
        <f t="shared" si="45"/>
        <v>1510.96045</v>
      </c>
      <c r="P50" s="1">
        <f t="shared" si="45"/>
        <v>3123.4940999999999</v>
      </c>
      <c r="Q50" s="1">
        <f t="shared" si="45"/>
        <v>48778.58885</v>
      </c>
      <c r="R50" s="1">
        <f t="shared" si="45"/>
        <v>7214.1597000000002</v>
      </c>
      <c r="S50" s="1">
        <f t="shared" si="45"/>
        <v>28075.297399999996</v>
      </c>
      <c r="T50" s="1">
        <f t="shared" si="45"/>
        <v>10720.39525</v>
      </c>
      <c r="U50" s="1">
        <f t="shared" si="45"/>
        <v>14583.161399999999</v>
      </c>
      <c r="V50" s="1">
        <f t="shared" si="45"/>
        <v>5511.8630000000012</v>
      </c>
      <c r="W50" s="1">
        <f t="shared" si="45"/>
        <v>3254.6961000000001</v>
      </c>
      <c r="X50" s="1">
        <f t="shared" si="45"/>
        <v>5248.0800000000008</v>
      </c>
      <c r="Y50" s="1">
        <f t="shared" si="45"/>
        <v>1784.229</v>
      </c>
      <c r="Z50" s="1">
        <f t="shared" si="45"/>
        <v>16.843500000000002</v>
      </c>
      <c r="AA50" s="1">
        <f t="shared" si="45"/>
        <v>-611.98050000000001</v>
      </c>
      <c r="AB50" s="1">
        <f t="shared" si="45"/>
        <v>55.140300000000003</v>
      </c>
      <c r="AC50" s="1">
        <f t="shared" si="45"/>
        <v>0</v>
      </c>
      <c r="AD50" s="1">
        <f t="shared" si="45"/>
        <v>16.843500000000002</v>
      </c>
      <c r="AE50" s="1">
        <f t="shared" si="45"/>
        <v>0</v>
      </c>
      <c r="AF50" s="1">
        <f t="shared" si="45"/>
        <v>0</v>
      </c>
      <c r="AG50" s="1">
        <f t="shared" si="45"/>
        <v>-16.971550000000001</v>
      </c>
      <c r="AH50" s="1">
        <f t="shared" si="45"/>
        <v>0</v>
      </c>
      <c r="AI50" s="1">
        <f t="shared" si="45"/>
        <v>0</v>
      </c>
      <c r="AJ50" s="1">
        <f t="shared" si="45"/>
        <v>0</v>
      </c>
      <c r="AK50" s="1">
        <f t="shared" si="45"/>
        <v>0</v>
      </c>
      <c r="AL50" s="1">
        <f t="shared" si="45"/>
        <v>0</v>
      </c>
      <c r="AM50" s="1">
        <f t="shared" si="45"/>
        <v>-8.392199999999999</v>
      </c>
      <c r="AN50" s="1">
        <f t="shared" si="45"/>
        <v>0</v>
      </c>
      <c r="AO50" s="1">
        <f t="shared" si="45"/>
        <v>0</v>
      </c>
      <c r="AP50" s="1">
        <f t="shared" si="45"/>
        <v>-10.49025</v>
      </c>
      <c r="AQ50" s="1">
        <f t="shared" si="45"/>
        <v>0</v>
      </c>
      <c r="AR50" s="3">
        <f t="shared" ref="AR50:AR68" si="47">SUM(D50:AQ50)</f>
        <v>129993.76944999999</v>
      </c>
      <c r="AT50" s="1">
        <f t="shared" ref="AT50:AT70" si="48">SUM(D50:AP50)</f>
        <v>129993.76944999999</v>
      </c>
    </row>
    <row r="51" spans="1:46" x14ac:dyDescent="0.25">
      <c r="C51" t="s">
        <v>424</v>
      </c>
      <c r="D51" s="1">
        <f t="shared" ref="D51:AQ51" si="49">+D5+D28</f>
        <v>0</v>
      </c>
      <c r="E51" s="1">
        <f t="shared" ref="E51:K51" si="50">+E5+E28</f>
        <v>0</v>
      </c>
      <c r="F51" s="1">
        <f t="shared" si="50"/>
        <v>0</v>
      </c>
      <c r="G51" s="1">
        <f t="shared" si="50"/>
        <v>0</v>
      </c>
      <c r="H51" s="1">
        <f t="shared" si="50"/>
        <v>0</v>
      </c>
      <c r="I51" s="1">
        <f t="shared" si="50"/>
        <v>0</v>
      </c>
      <c r="J51" s="1">
        <f t="shared" si="50"/>
        <v>0</v>
      </c>
      <c r="K51" s="1">
        <f t="shared" si="50"/>
        <v>0</v>
      </c>
      <c r="L51" s="1">
        <f t="shared" si="49"/>
        <v>1297.8900000000001</v>
      </c>
      <c r="M51" s="1">
        <f t="shared" si="49"/>
        <v>4449.42</v>
      </c>
      <c r="N51" s="1">
        <f t="shared" si="49"/>
        <v>1192.5539999999999</v>
      </c>
      <c r="O51" s="1">
        <f t="shared" si="49"/>
        <v>3997.9800000000005</v>
      </c>
      <c r="P51" s="1">
        <f t="shared" si="49"/>
        <v>5929.2540000000008</v>
      </c>
      <c r="Q51" s="1">
        <f t="shared" si="49"/>
        <v>9044.0380000000005</v>
      </c>
      <c r="R51" s="1">
        <f t="shared" si="49"/>
        <v>8331.69</v>
      </c>
      <c r="S51" s="1">
        <f t="shared" si="49"/>
        <v>11585.8485</v>
      </c>
      <c r="T51" s="1">
        <f t="shared" si="49"/>
        <v>12497.63</v>
      </c>
      <c r="U51" s="1">
        <f t="shared" si="49"/>
        <v>9948.7420000000002</v>
      </c>
      <c r="V51" s="1">
        <f t="shared" si="49"/>
        <v>6440.4109999999991</v>
      </c>
      <c r="W51" s="1">
        <f t="shared" si="49"/>
        <v>8060.0280000000002</v>
      </c>
      <c r="X51" s="1">
        <f t="shared" si="49"/>
        <v>2967.1919999999996</v>
      </c>
      <c r="Y51" s="1">
        <f t="shared" si="49"/>
        <v>3598.828</v>
      </c>
      <c r="Z51" s="1">
        <f t="shared" si="49"/>
        <v>-28.632999999999988</v>
      </c>
      <c r="AA51" s="1">
        <f t="shared" si="49"/>
        <v>546.85800000000006</v>
      </c>
      <c r="AB51" s="1">
        <f t="shared" si="49"/>
        <v>486.32399999999996</v>
      </c>
      <c r="AC51" s="1">
        <f t="shared" si="49"/>
        <v>14.363999999999999</v>
      </c>
      <c r="AD51" s="1">
        <f t="shared" si="49"/>
        <v>0</v>
      </c>
      <c r="AE51" s="1">
        <f t="shared" si="49"/>
        <v>0</v>
      </c>
      <c r="AF51" s="1">
        <f t="shared" si="49"/>
        <v>0</v>
      </c>
      <c r="AG51" s="1">
        <f t="shared" si="49"/>
        <v>0</v>
      </c>
      <c r="AH51" s="1">
        <f t="shared" si="49"/>
        <v>0</v>
      </c>
      <c r="AI51" s="1">
        <f t="shared" si="49"/>
        <v>0</v>
      </c>
      <c r="AJ51" s="1">
        <f t="shared" si="49"/>
        <v>0</v>
      </c>
      <c r="AK51" s="1">
        <f t="shared" si="49"/>
        <v>0</v>
      </c>
      <c r="AL51" s="1">
        <f t="shared" si="49"/>
        <v>0</v>
      </c>
      <c r="AM51" s="1">
        <f t="shared" si="49"/>
        <v>0</v>
      </c>
      <c r="AN51" s="1">
        <f t="shared" si="49"/>
        <v>-233.928</v>
      </c>
      <c r="AO51" s="1">
        <f t="shared" si="49"/>
        <v>0</v>
      </c>
      <c r="AP51" s="1">
        <f t="shared" si="49"/>
        <v>0</v>
      </c>
      <c r="AQ51" s="1">
        <f t="shared" si="49"/>
        <v>0</v>
      </c>
      <c r="AR51" s="3">
        <f t="shared" si="47"/>
        <v>90126.490499999971</v>
      </c>
      <c r="AT51" s="1">
        <f t="shared" si="48"/>
        <v>90126.490499999971</v>
      </c>
    </row>
    <row r="52" spans="1:46" x14ac:dyDescent="0.25">
      <c r="C52" t="s">
        <v>347</v>
      </c>
      <c r="D52" s="1">
        <f t="shared" ref="D52:AQ52" si="51">+D6+D29</f>
        <v>0</v>
      </c>
      <c r="E52" s="1">
        <f t="shared" ref="E52:K52" si="52">+E6+E29</f>
        <v>0</v>
      </c>
      <c r="F52" s="1">
        <f t="shared" si="52"/>
        <v>0</v>
      </c>
      <c r="G52" s="1">
        <f t="shared" si="52"/>
        <v>0</v>
      </c>
      <c r="H52" s="1">
        <f t="shared" si="52"/>
        <v>0</v>
      </c>
      <c r="I52" s="1">
        <f t="shared" si="52"/>
        <v>0</v>
      </c>
      <c r="J52" s="1">
        <f t="shared" si="52"/>
        <v>0</v>
      </c>
      <c r="K52" s="1">
        <f t="shared" si="52"/>
        <v>0</v>
      </c>
      <c r="L52" s="1">
        <f t="shared" si="51"/>
        <v>1354.32</v>
      </c>
      <c r="M52" s="1">
        <f t="shared" si="51"/>
        <v>4243.5360000000001</v>
      </c>
      <c r="N52" s="1">
        <f t="shared" si="51"/>
        <v>2138.9250000000002</v>
      </c>
      <c r="O52" s="1">
        <f t="shared" si="51"/>
        <v>2832.444</v>
      </c>
      <c r="P52" s="1">
        <f t="shared" si="51"/>
        <v>7379.79</v>
      </c>
      <c r="Q52" s="1">
        <f t="shared" si="51"/>
        <v>13120.412</v>
      </c>
      <c r="R52" s="1">
        <f t="shared" si="51"/>
        <v>13449.036</v>
      </c>
      <c r="S52" s="1">
        <f t="shared" si="51"/>
        <v>15538.504000000001</v>
      </c>
      <c r="T52" s="1">
        <f t="shared" si="51"/>
        <v>12914.946</v>
      </c>
      <c r="U52" s="1">
        <f t="shared" si="51"/>
        <v>15626.359999999999</v>
      </c>
      <c r="V52" s="1">
        <f t="shared" si="51"/>
        <v>7176.3949999999995</v>
      </c>
      <c r="W52" s="1">
        <f t="shared" si="51"/>
        <v>8114.0259999999998</v>
      </c>
      <c r="X52" s="1">
        <f t="shared" si="51"/>
        <v>4148.1180000000004</v>
      </c>
      <c r="Y52" s="1">
        <f t="shared" si="51"/>
        <v>3079.672</v>
      </c>
      <c r="Z52" s="1">
        <f t="shared" si="51"/>
        <v>-135.77399999999997</v>
      </c>
      <c r="AA52" s="1">
        <f t="shared" si="51"/>
        <v>98.495999999999995</v>
      </c>
      <c r="AB52" s="1">
        <f t="shared" si="51"/>
        <v>27.701999999999998</v>
      </c>
      <c r="AC52" s="1">
        <f t="shared" si="51"/>
        <v>0</v>
      </c>
      <c r="AD52" s="1">
        <f t="shared" si="51"/>
        <v>35.567999999999998</v>
      </c>
      <c r="AE52" s="1">
        <f t="shared" si="51"/>
        <v>0</v>
      </c>
      <c r="AF52" s="1">
        <f t="shared" si="51"/>
        <v>0</v>
      </c>
      <c r="AG52" s="1">
        <f t="shared" si="51"/>
        <v>0</v>
      </c>
      <c r="AH52" s="1">
        <f t="shared" si="51"/>
        <v>0</v>
      </c>
      <c r="AI52" s="1">
        <f t="shared" si="51"/>
        <v>0</v>
      </c>
      <c r="AJ52" s="1">
        <f t="shared" si="51"/>
        <v>0</v>
      </c>
      <c r="AK52" s="1">
        <f t="shared" si="51"/>
        <v>0</v>
      </c>
      <c r="AL52" s="1">
        <f t="shared" si="51"/>
        <v>0</v>
      </c>
      <c r="AM52" s="1">
        <f t="shared" si="51"/>
        <v>0</v>
      </c>
      <c r="AN52" s="1">
        <f t="shared" si="51"/>
        <v>0</v>
      </c>
      <c r="AO52" s="1">
        <f t="shared" si="51"/>
        <v>0</v>
      </c>
      <c r="AP52" s="1">
        <f t="shared" si="51"/>
        <v>0</v>
      </c>
      <c r="AQ52" s="1">
        <f t="shared" si="51"/>
        <v>0</v>
      </c>
      <c r="AR52" s="3">
        <f t="shared" si="47"/>
        <v>111142.47600000001</v>
      </c>
      <c r="AT52" s="1">
        <f t="shared" si="48"/>
        <v>111142.47600000001</v>
      </c>
    </row>
    <row r="53" spans="1:46" x14ac:dyDescent="0.25">
      <c r="C53" t="s">
        <v>0</v>
      </c>
      <c r="D53" s="1">
        <f t="shared" ref="D53:AQ53" si="53">+D7+D30</f>
        <v>0</v>
      </c>
      <c r="E53" s="1">
        <f t="shared" ref="E53:K53" si="54">+E7+E30</f>
        <v>0</v>
      </c>
      <c r="F53" s="1">
        <f t="shared" si="54"/>
        <v>0</v>
      </c>
      <c r="G53" s="1">
        <f t="shared" si="54"/>
        <v>0</v>
      </c>
      <c r="H53" s="1">
        <f t="shared" si="54"/>
        <v>0</v>
      </c>
      <c r="I53" s="1">
        <f t="shared" si="54"/>
        <v>0</v>
      </c>
      <c r="J53" s="1">
        <f t="shared" si="54"/>
        <v>0</v>
      </c>
      <c r="K53" s="1">
        <f t="shared" si="54"/>
        <v>0</v>
      </c>
      <c r="L53" s="1">
        <f t="shared" si="53"/>
        <v>0</v>
      </c>
      <c r="M53" s="1">
        <f t="shared" si="53"/>
        <v>24049.901699999999</v>
      </c>
      <c r="N53" s="1">
        <f t="shared" si="53"/>
        <v>19613.850300000002</v>
      </c>
      <c r="O53" s="1">
        <f t="shared" si="53"/>
        <v>21622.847400000002</v>
      </c>
      <c r="P53" s="1">
        <f t="shared" si="53"/>
        <v>23689.907999999999</v>
      </c>
      <c r="Q53" s="1">
        <f t="shared" si="53"/>
        <v>74846.544299999994</v>
      </c>
      <c r="R53" s="1">
        <f t="shared" si="53"/>
        <v>48097.241500000004</v>
      </c>
      <c r="S53" s="1">
        <f t="shared" si="53"/>
        <v>62540.28</v>
      </c>
      <c r="T53" s="1">
        <f t="shared" si="53"/>
        <v>50277.418400000002</v>
      </c>
      <c r="U53" s="1">
        <f t="shared" si="53"/>
        <v>45597.855599999995</v>
      </c>
      <c r="V53" s="1">
        <f t="shared" si="53"/>
        <v>24282.155699999996</v>
      </c>
      <c r="W53" s="1">
        <f t="shared" si="53"/>
        <v>25478.263800000001</v>
      </c>
      <c r="X53" s="1">
        <f t="shared" si="53"/>
        <v>29785.509600000005</v>
      </c>
      <c r="Y53" s="1">
        <f t="shared" si="53"/>
        <v>26906.625899999999</v>
      </c>
      <c r="Z53" s="1">
        <f t="shared" si="53"/>
        <v>17570.015100000001</v>
      </c>
      <c r="AA53" s="1">
        <f t="shared" si="53"/>
        <v>5029.3089</v>
      </c>
      <c r="AB53" s="1">
        <f t="shared" si="53"/>
        <v>37.390649999999795</v>
      </c>
      <c r="AC53" s="1">
        <f t="shared" si="53"/>
        <v>0</v>
      </c>
      <c r="AD53" s="1">
        <f t="shared" si="53"/>
        <v>0</v>
      </c>
      <c r="AE53" s="1">
        <f t="shared" si="53"/>
        <v>0</v>
      </c>
      <c r="AF53" s="1">
        <f t="shared" si="53"/>
        <v>0</v>
      </c>
      <c r="AG53" s="1">
        <f t="shared" si="53"/>
        <v>0</v>
      </c>
      <c r="AH53" s="1">
        <f t="shared" si="53"/>
        <v>0</v>
      </c>
      <c r="AI53" s="1">
        <f t="shared" si="53"/>
        <v>0</v>
      </c>
      <c r="AJ53" s="1">
        <f t="shared" si="53"/>
        <v>0</v>
      </c>
      <c r="AK53" s="1">
        <f t="shared" si="53"/>
        <v>0</v>
      </c>
      <c r="AL53" s="1">
        <f t="shared" si="53"/>
        <v>0</v>
      </c>
      <c r="AM53" s="1">
        <f t="shared" si="53"/>
        <v>0</v>
      </c>
      <c r="AN53" s="1">
        <f t="shared" si="53"/>
        <v>0</v>
      </c>
      <c r="AO53" s="1">
        <f t="shared" si="53"/>
        <v>0</v>
      </c>
      <c r="AP53" s="1">
        <f t="shared" si="53"/>
        <v>0</v>
      </c>
      <c r="AQ53" s="1">
        <f t="shared" si="53"/>
        <v>0</v>
      </c>
      <c r="AR53" s="3">
        <f t="shared" si="47"/>
        <v>499425.11685000005</v>
      </c>
      <c r="AT53" s="1">
        <f t="shared" si="48"/>
        <v>499425.11685000005</v>
      </c>
    </row>
    <row r="54" spans="1:46" x14ac:dyDescent="0.25">
      <c r="C54" t="s">
        <v>354</v>
      </c>
      <c r="D54" s="1">
        <f t="shared" ref="D54:AQ54" si="55">+D8+D31</f>
        <v>0</v>
      </c>
      <c r="E54" s="1">
        <f t="shared" ref="E54:K54" si="56">+E8+E31</f>
        <v>0</v>
      </c>
      <c r="F54" s="1">
        <f t="shared" si="56"/>
        <v>0</v>
      </c>
      <c r="G54" s="1">
        <f t="shared" si="56"/>
        <v>0</v>
      </c>
      <c r="H54" s="1">
        <f t="shared" si="56"/>
        <v>0</v>
      </c>
      <c r="I54" s="1">
        <f t="shared" si="56"/>
        <v>0</v>
      </c>
      <c r="J54" s="1">
        <f t="shared" si="56"/>
        <v>0</v>
      </c>
      <c r="K54" s="1">
        <f t="shared" si="56"/>
        <v>0</v>
      </c>
      <c r="L54" s="1">
        <f t="shared" si="55"/>
        <v>1203.8400000000001</v>
      </c>
      <c r="M54" s="1">
        <f t="shared" si="55"/>
        <v>53.351999999999997</v>
      </c>
      <c r="N54" s="1">
        <f t="shared" si="55"/>
        <v>393.12900000000002</v>
      </c>
      <c r="O54" s="1">
        <f t="shared" si="55"/>
        <v>1432.6380000000001</v>
      </c>
      <c r="P54" s="1">
        <f t="shared" si="55"/>
        <v>1731.9449999999999</v>
      </c>
      <c r="Q54" s="1">
        <f t="shared" si="55"/>
        <v>1488.0420000000001</v>
      </c>
      <c r="R54" s="1">
        <f t="shared" si="55"/>
        <v>2261.4180000000001</v>
      </c>
      <c r="S54" s="1">
        <f t="shared" si="55"/>
        <v>2271.5639999999999</v>
      </c>
      <c r="T54" s="1">
        <f t="shared" si="55"/>
        <v>3468.6209999999996</v>
      </c>
      <c r="U54" s="1">
        <f t="shared" si="55"/>
        <v>1209.711</v>
      </c>
      <c r="V54" s="1">
        <f t="shared" si="55"/>
        <v>707.94</v>
      </c>
      <c r="W54" s="1">
        <f t="shared" si="55"/>
        <v>1826.6220000000001</v>
      </c>
      <c r="X54" s="1">
        <f t="shared" si="55"/>
        <v>1334.8260000000002</v>
      </c>
      <c r="Y54" s="1">
        <f t="shared" si="55"/>
        <v>2341.598</v>
      </c>
      <c r="Z54" s="1">
        <f t="shared" si="55"/>
        <v>29.792000000000012</v>
      </c>
      <c r="AA54" s="1">
        <f t="shared" si="55"/>
        <v>401.16600000000005</v>
      </c>
      <c r="AB54" s="1">
        <f t="shared" si="55"/>
        <v>136.458</v>
      </c>
      <c r="AC54" s="1">
        <f t="shared" si="55"/>
        <v>0</v>
      </c>
      <c r="AD54" s="1">
        <f t="shared" si="55"/>
        <v>0</v>
      </c>
      <c r="AE54" s="1">
        <f t="shared" si="55"/>
        <v>0</v>
      </c>
      <c r="AF54" s="1">
        <f t="shared" si="55"/>
        <v>0</v>
      </c>
      <c r="AG54" s="1">
        <f t="shared" si="55"/>
        <v>0</v>
      </c>
      <c r="AH54" s="1">
        <f t="shared" si="55"/>
        <v>0</v>
      </c>
      <c r="AI54" s="1">
        <f t="shared" si="55"/>
        <v>0</v>
      </c>
      <c r="AJ54" s="1">
        <f t="shared" si="55"/>
        <v>0</v>
      </c>
      <c r="AK54" s="1">
        <f t="shared" si="55"/>
        <v>0</v>
      </c>
      <c r="AL54" s="1">
        <f t="shared" si="55"/>
        <v>0</v>
      </c>
      <c r="AM54" s="1">
        <f t="shared" si="55"/>
        <v>0</v>
      </c>
      <c r="AN54" s="1">
        <f t="shared" si="55"/>
        <v>0</v>
      </c>
      <c r="AO54" s="1">
        <f t="shared" si="55"/>
        <v>0</v>
      </c>
      <c r="AP54" s="1">
        <f t="shared" si="55"/>
        <v>0</v>
      </c>
      <c r="AQ54" s="1">
        <f t="shared" si="55"/>
        <v>-1.5390000000000001</v>
      </c>
      <c r="AR54" s="3">
        <f t="shared" si="47"/>
        <v>22291.123</v>
      </c>
      <c r="AT54" s="1">
        <f t="shared" si="48"/>
        <v>22292.662</v>
      </c>
    </row>
    <row r="55" spans="1:46" x14ac:dyDescent="0.25">
      <c r="C55" t="s">
        <v>265</v>
      </c>
      <c r="D55" s="1">
        <f t="shared" ref="D55:AQ55" si="57">+D9+D32</f>
        <v>0</v>
      </c>
      <c r="E55" s="1">
        <f t="shared" ref="E55:K55" si="58">+E9+E32</f>
        <v>0</v>
      </c>
      <c r="F55" s="1">
        <f t="shared" si="58"/>
        <v>0</v>
      </c>
      <c r="G55" s="1">
        <f t="shared" si="58"/>
        <v>0</v>
      </c>
      <c r="H55" s="1">
        <f t="shared" si="58"/>
        <v>0</v>
      </c>
      <c r="I55" s="1">
        <f t="shared" si="58"/>
        <v>0</v>
      </c>
      <c r="J55" s="1">
        <f t="shared" si="58"/>
        <v>0</v>
      </c>
      <c r="K55" s="1">
        <f t="shared" si="58"/>
        <v>0</v>
      </c>
      <c r="L55" s="1">
        <f t="shared" si="57"/>
        <v>0</v>
      </c>
      <c r="M55" s="1">
        <f t="shared" si="57"/>
        <v>2358</v>
      </c>
      <c r="N55" s="1">
        <f t="shared" si="57"/>
        <v>1298.32</v>
      </c>
      <c r="O55" s="1">
        <f t="shared" si="57"/>
        <v>1663.5600000000002</v>
      </c>
      <c r="P55" s="1">
        <f t="shared" si="57"/>
        <v>5866.02</v>
      </c>
      <c r="Q55" s="1">
        <f t="shared" si="57"/>
        <v>11002.14</v>
      </c>
      <c r="R55" s="1">
        <f t="shared" si="57"/>
        <v>6994.02</v>
      </c>
      <c r="S55" s="1">
        <f t="shared" si="57"/>
        <v>11960.46</v>
      </c>
      <c r="T55" s="1">
        <f t="shared" si="57"/>
        <v>6709.1599999999989</v>
      </c>
      <c r="U55" s="1">
        <f t="shared" si="57"/>
        <v>10792.02</v>
      </c>
      <c r="V55" s="1">
        <f t="shared" si="57"/>
        <v>3840.6600000000003</v>
      </c>
      <c r="W55" s="1">
        <f t="shared" si="57"/>
        <v>3800.9199999999996</v>
      </c>
      <c r="X55" s="1">
        <f t="shared" si="57"/>
        <v>4793.22</v>
      </c>
      <c r="Y55" s="1">
        <f t="shared" si="57"/>
        <v>1177.9000000000001</v>
      </c>
      <c r="Z55" s="1">
        <f t="shared" si="57"/>
        <v>-312.24</v>
      </c>
      <c r="AA55" s="1">
        <f t="shared" si="57"/>
        <v>-348.12</v>
      </c>
      <c r="AB55" s="1">
        <f t="shared" si="57"/>
        <v>0</v>
      </c>
      <c r="AC55" s="1">
        <f t="shared" si="57"/>
        <v>0</v>
      </c>
      <c r="AD55" s="1">
        <f t="shared" si="57"/>
        <v>0</v>
      </c>
      <c r="AE55" s="1">
        <f t="shared" si="57"/>
        <v>0</v>
      </c>
      <c r="AF55" s="1">
        <f t="shared" si="57"/>
        <v>0</v>
      </c>
      <c r="AG55" s="1">
        <f t="shared" si="57"/>
        <v>0</v>
      </c>
      <c r="AH55" s="1">
        <f t="shared" si="57"/>
        <v>0</v>
      </c>
      <c r="AI55" s="1">
        <f t="shared" si="57"/>
        <v>0</v>
      </c>
      <c r="AJ55" s="1">
        <f t="shared" si="57"/>
        <v>0</v>
      </c>
      <c r="AK55" s="1">
        <f t="shared" si="57"/>
        <v>0</v>
      </c>
      <c r="AL55" s="1">
        <f t="shared" si="57"/>
        <v>0</v>
      </c>
      <c r="AM55" s="1">
        <f t="shared" si="57"/>
        <v>0</v>
      </c>
      <c r="AN55" s="1">
        <f t="shared" si="57"/>
        <v>0</v>
      </c>
      <c r="AO55" s="1">
        <f t="shared" si="57"/>
        <v>0</v>
      </c>
      <c r="AP55" s="1">
        <f t="shared" si="57"/>
        <v>0</v>
      </c>
      <c r="AQ55" s="1">
        <f t="shared" si="57"/>
        <v>0</v>
      </c>
      <c r="AR55" s="3">
        <f t="shared" si="47"/>
        <v>71596.039999999994</v>
      </c>
      <c r="AT55" s="1">
        <f t="shared" si="48"/>
        <v>71596.039999999994</v>
      </c>
    </row>
    <row r="56" spans="1:46" x14ac:dyDescent="0.25">
      <c r="C56" t="s">
        <v>191</v>
      </c>
      <c r="D56" s="1">
        <f t="shared" ref="D56:AQ56" si="59">+D10+D33</f>
        <v>0</v>
      </c>
      <c r="E56" s="1">
        <f t="shared" ref="E56:K56" si="60">+E10+E33</f>
        <v>0</v>
      </c>
      <c r="F56" s="1">
        <f t="shared" si="60"/>
        <v>0</v>
      </c>
      <c r="G56" s="1">
        <f t="shared" si="60"/>
        <v>0</v>
      </c>
      <c r="H56" s="1">
        <f t="shared" si="60"/>
        <v>0</v>
      </c>
      <c r="I56" s="1">
        <f t="shared" si="60"/>
        <v>0</v>
      </c>
      <c r="J56" s="1">
        <f t="shared" si="60"/>
        <v>0</v>
      </c>
      <c r="K56" s="1">
        <f t="shared" si="60"/>
        <v>0</v>
      </c>
      <c r="L56" s="1">
        <f t="shared" si="59"/>
        <v>0</v>
      </c>
      <c r="M56" s="1">
        <f t="shared" si="59"/>
        <v>7890.9660000000003</v>
      </c>
      <c r="N56" s="1">
        <f t="shared" si="59"/>
        <v>1550.9130000000002</v>
      </c>
      <c r="O56" s="1">
        <f t="shared" si="59"/>
        <v>1669.644</v>
      </c>
      <c r="P56" s="1">
        <f t="shared" si="59"/>
        <v>9462.741</v>
      </c>
      <c r="Q56" s="1">
        <f t="shared" si="59"/>
        <v>23581.66</v>
      </c>
      <c r="R56" s="1">
        <f t="shared" si="59"/>
        <v>24591.737999999998</v>
      </c>
      <c r="S56" s="1">
        <f t="shared" si="59"/>
        <v>26599.429999999997</v>
      </c>
      <c r="T56" s="1">
        <f t="shared" si="59"/>
        <v>6871.692</v>
      </c>
      <c r="U56" s="1">
        <f t="shared" si="59"/>
        <v>10546.424999999999</v>
      </c>
      <c r="V56" s="1">
        <f t="shared" si="59"/>
        <v>-2960.2570000000001</v>
      </c>
      <c r="W56" s="1">
        <f t="shared" si="59"/>
        <v>14017.288</v>
      </c>
      <c r="X56" s="1">
        <f t="shared" si="59"/>
        <v>8837.6409999999996</v>
      </c>
      <c r="Y56" s="1">
        <f t="shared" si="59"/>
        <v>6749.0659999999998</v>
      </c>
      <c r="Z56" s="1">
        <f t="shared" si="59"/>
        <v>3754.4189999999999</v>
      </c>
      <c r="AA56" s="1">
        <f t="shared" si="59"/>
        <v>3692.8019999999997</v>
      </c>
      <c r="AB56" s="1">
        <f t="shared" si="59"/>
        <v>-68.02000000000001</v>
      </c>
      <c r="AC56" s="1">
        <f t="shared" si="59"/>
        <v>-70.793999999999997</v>
      </c>
      <c r="AD56" s="1">
        <f t="shared" si="59"/>
        <v>-69.768000000000001</v>
      </c>
      <c r="AE56" s="1">
        <f t="shared" si="59"/>
        <v>-27.701999999999998</v>
      </c>
      <c r="AF56" s="1">
        <f t="shared" si="59"/>
        <v>-13.337999999999999</v>
      </c>
      <c r="AG56" s="1">
        <f t="shared" si="59"/>
        <v>0</v>
      </c>
      <c r="AH56" s="1">
        <f t="shared" si="59"/>
        <v>0</v>
      </c>
      <c r="AI56" s="1">
        <f t="shared" si="59"/>
        <v>-423.56700000000001</v>
      </c>
      <c r="AJ56" s="1">
        <f t="shared" si="59"/>
        <v>0</v>
      </c>
      <c r="AK56" s="1">
        <f t="shared" si="59"/>
        <v>0</v>
      </c>
      <c r="AL56" s="1">
        <f t="shared" si="59"/>
        <v>0</v>
      </c>
      <c r="AM56" s="1">
        <f t="shared" si="59"/>
        <v>0</v>
      </c>
      <c r="AN56" s="1">
        <f t="shared" si="59"/>
        <v>0</v>
      </c>
      <c r="AO56" s="1">
        <f t="shared" si="59"/>
        <v>0</v>
      </c>
      <c r="AP56" s="1">
        <f t="shared" si="59"/>
        <v>0</v>
      </c>
      <c r="AQ56" s="1">
        <f t="shared" si="59"/>
        <v>0</v>
      </c>
      <c r="AR56" s="3">
        <f t="shared" si="47"/>
        <v>146182.97899999999</v>
      </c>
      <c r="AT56" s="1">
        <f t="shared" si="48"/>
        <v>146182.97899999999</v>
      </c>
    </row>
    <row r="57" spans="1:46" x14ac:dyDescent="0.25">
      <c r="C57" t="s">
        <v>549</v>
      </c>
      <c r="D57" s="1">
        <f t="shared" ref="D57:AQ57" si="61">+D11+D34</f>
        <v>0</v>
      </c>
      <c r="E57" s="1">
        <f t="shared" ref="E57:K57" si="62">+E11+E34</f>
        <v>0</v>
      </c>
      <c r="F57" s="1">
        <f t="shared" si="62"/>
        <v>0</v>
      </c>
      <c r="G57" s="1">
        <f t="shared" si="62"/>
        <v>0</v>
      </c>
      <c r="H57" s="1">
        <f t="shared" si="62"/>
        <v>0</v>
      </c>
      <c r="I57" s="1">
        <f t="shared" si="62"/>
        <v>0</v>
      </c>
      <c r="J57" s="1">
        <f t="shared" si="62"/>
        <v>0</v>
      </c>
      <c r="K57" s="1">
        <f t="shared" si="62"/>
        <v>0</v>
      </c>
      <c r="L57" s="1">
        <f t="shared" si="61"/>
        <v>0</v>
      </c>
      <c r="M57" s="1">
        <f t="shared" si="61"/>
        <v>0</v>
      </c>
      <c r="N57" s="1">
        <f t="shared" si="61"/>
        <v>0</v>
      </c>
      <c r="O57" s="1">
        <f t="shared" si="61"/>
        <v>0</v>
      </c>
      <c r="P57" s="1">
        <f t="shared" si="61"/>
        <v>0</v>
      </c>
      <c r="Q57" s="1">
        <f t="shared" si="61"/>
        <v>0</v>
      </c>
      <c r="R57" s="1">
        <f t="shared" si="61"/>
        <v>0</v>
      </c>
      <c r="S57" s="1">
        <f t="shared" si="61"/>
        <v>0</v>
      </c>
      <c r="T57" s="1">
        <f t="shared" si="61"/>
        <v>0</v>
      </c>
      <c r="U57" s="1">
        <f t="shared" si="61"/>
        <v>0</v>
      </c>
      <c r="V57" s="1">
        <f t="shared" si="61"/>
        <v>0</v>
      </c>
      <c r="W57" s="1">
        <f t="shared" si="61"/>
        <v>0</v>
      </c>
      <c r="X57" s="1">
        <f t="shared" si="61"/>
        <v>0</v>
      </c>
      <c r="Y57" s="1">
        <f t="shared" si="61"/>
        <v>0</v>
      </c>
      <c r="Z57" s="1">
        <f t="shared" si="61"/>
        <v>0</v>
      </c>
      <c r="AA57" s="1">
        <f t="shared" si="61"/>
        <v>0</v>
      </c>
      <c r="AB57" s="1">
        <f t="shared" si="61"/>
        <v>0</v>
      </c>
      <c r="AC57" s="1">
        <f t="shared" si="61"/>
        <v>0</v>
      </c>
      <c r="AD57" s="1">
        <f t="shared" si="61"/>
        <v>0</v>
      </c>
      <c r="AE57" s="1">
        <f t="shared" si="61"/>
        <v>0</v>
      </c>
      <c r="AF57" s="1">
        <f t="shared" si="61"/>
        <v>0</v>
      </c>
      <c r="AG57" s="1">
        <f t="shared" si="61"/>
        <v>0</v>
      </c>
      <c r="AH57" s="1">
        <f t="shared" si="61"/>
        <v>0</v>
      </c>
      <c r="AI57" s="1">
        <f t="shared" si="61"/>
        <v>0</v>
      </c>
      <c r="AJ57" s="1">
        <f t="shared" si="61"/>
        <v>0</v>
      </c>
      <c r="AK57" s="1">
        <f t="shared" si="61"/>
        <v>0</v>
      </c>
      <c r="AL57" s="1">
        <f t="shared" si="61"/>
        <v>0</v>
      </c>
      <c r="AM57" s="1">
        <f t="shared" si="61"/>
        <v>0</v>
      </c>
      <c r="AN57" s="1">
        <f t="shared" si="61"/>
        <v>0</v>
      </c>
      <c r="AO57" s="1">
        <f t="shared" si="61"/>
        <v>0</v>
      </c>
      <c r="AP57" s="1">
        <f t="shared" si="61"/>
        <v>0</v>
      </c>
      <c r="AQ57" s="1">
        <f t="shared" si="61"/>
        <v>0</v>
      </c>
      <c r="AR57" s="3">
        <f t="shared" si="47"/>
        <v>0</v>
      </c>
      <c r="AT57" s="1">
        <f t="shared" si="48"/>
        <v>0</v>
      </c>
    </row>
    <row r="58" spans="1:46" x14ac:dyDescent="0.25">
      <c r="C58" t="s">
        <v>550</v>
      </c>
      <c r="D58" s="1">
        <f t="shared" ref="D58:AQ58" si="63">+D12+D35</f>
        <v>0</v>
      </c>
      <c r="E58" s="1">
        <f t="shared" ref="E58:K58" si="64">+E12+E35</f>
        <v>0</v>
      </c>
      <c r="F58" s="1">
        <f t="shared" si="64"/>
        <v>0</v>
      </c>
      <c r="G58" s="1">
        <f t="shared" si="64"/>
        <v>0</v>
      </c>
      <c r="H58" s="1">
        <f t="shared" si="64"/>
        <v>0</v>
      </c>
      <c r="I58" s="1">
        <f t="shared" si="64"/>
        <v>0</v>
      </c>
      <c r="J58" s="1">
        <f t="shared" si="64"/>
        <v>0</v>
      </c>
      <c r="K58" s="1">
        <f t="shared" si="64"/>
        <v>0</v>
      </c>
      <c r="L58" s="1">
        <f t="shared" si="63"/>
        <v>0</v>
      </c>
      <c r="M58" s="1">
        <f t="shared" si="63"/>
        <v>7464.96</v>
      </c>
      <c r="N58" s="1">
        <f t="shared" si="63"/>
        <v>-95.846400000000003</v>
      </c>
      <c r="O58" s="1">
        <f t="shared" si="63"/>
        <v>246.47040000000001</v>
      </c>
      <c r="P58" s="1">
        <f t="shared" si="63"/>
        <v>0</v>
      </c>
      <c r="Q58" s="1">
        <f t="shared" si="63"/>
        <v>22822.387200000001</v>
      </c>
      <c r="R58" s="1">
        <f t="shared" si="63"/>
        <v>6522.1632</v>
      </c>
      <c r="S58" s="1">
        <f t="shared" si="63"/>
        <v>9086.5151999999998</v>
      </c>
      <c r="T58" s="1">
        <f t="shared" si="63"/>
        <v>27897.407999999999</v>
      </c>
      <c r="U58" s="1">
        <f t="shared" si="63"/>
        <v>4423.1616000000004</v>
      </c>
      <c r="V58" s="1">
        <f t="shared" si="63"/>
        <v>5060.6208000000006</v>
      </c>
      <c r="W58" s="1">
        <f t="shared" si="63"/>
        <v>4669.7471999999998</v>
      </c>
      <c r="X58" s="1">
        <f t="shared" si="63"/>
        <v>2965.248</v>
      </c>
      <c r="Y58" s="1">
        <f t="shared" si="63"/>
        <v>1928.4479999999999</v>
      </c>
      <c r="Z58" s="1">
        <f t="shared" si="63"/>
        <v>655.25760000000002</v>
      </c>
      <c r="AA58" s="1">
        <f t="shared" si="63"/>
        <v>583.71840000000009</v>
      </c>
      <c r="AB58" s="1">
        <f t="shared" si="63"/>
        <v>408.84480000000002</v>
      </c>
      <c r="AC58" s="1">
        <f t="shared" si="63"/>
        <v>142.04160000000002</v>
      </c>
      <c r="AD58" s="1">
        <f t="shared" si="63"/>
        <v>35.942399999999999</v>
      </c>
      <c r="AE58" s="1">
        <f t="shared" si="63"/>
        <v>0</v>
      </c>
      <c r="AF58" s="1">
        <f t="shared" si="63"/>
        <v>0</v>
      </c>
      <c r="AG58" s="1">
        <f t="shared" si="63"/>
        <v>0</v>
      </c>
      <c r="AH58" s="1">
        <f t="shared" si="63"/>
        <v>0</v>
      </c>
      <c r="AI58" s="1">
        <f t="shared" si="63"/>
        <v>0</v>
      </c>
      <c r="AJ58" s="1">
        <f t="shared" si="63"/>
        <v>0</v>
      </c>
      <c r="AK58" s="1">
        <f t="shared" si="63"/>
        <v>0</v>
      </c>
      <c r="AL58" s="1">
        <f t="shared" si="63"/>
        <v>0</v>
      </c>
      <c r="AM58" s="1">
        <f t="shared" si="63"/>
        <v>0</v>
      </c>
      <c r="AN58" s="1">
        <f t="shared" si="63"/>
        <v>0</v>
      </c>
      <c r="AO58" s="1">
        <f t="shared" si="63"/>
        <v>0</v>
      </c>
      <c r="AP58" s="1">
        <f t="shared" si="63"/>
        <v>0</v>
      </c>
      <c r="AQ58" s="1">
        <f t="shared" si="63"/>
        <v>-82.944000000000003</v>
      </c>
      <c r="AR58" s="3">
        <f t="shared" si="47"/>
        <v>94734.144000000015</v>
      </c>
      <c r="AT58" s="1">
        <f t="shared" si="48"/>
        <v>94817.088000000018</v>
      </c>
    </row>
    <row r="59" spans="1:46" x14ac:dyDescent="0.25">
      <c r="C59" t="s">
        <v>6</v>
      </c>
      <c r="D59" s="1">
        <f t="shared" ref="D59:K69" si="65">+D13+D36</f>
        <v>0</v>
      </c>
      <c r="E59" s="1">
        <f t="shared" si="65"/>
        <v>0</v>
      </c>
      <c r="F59" s="1">
        <f t="shared" si="65"/>
        <v>0</v>
      </c>
      <c r="G59" s="1">
        <f t="shared" si="65"/>
        <v>0</v>
      </c>
      <c r="H59" s="1">
        <f t="shared" si="65"/>
        <v>0</v>
      </c>
      <c r="I59" s="1">
        <f t="shared" si="65"/>
        <v>0</v>
      </c>
      <c r="J59" s="1">
        <f t="shared" si="65"/>
        <v>0</v>
      </c>
      <c r="K59" s="1">
        <f t="shared" si="65"/>
        <v>0</v>
      </c>
      <c r="L59" s="1">
        <f t="shared" ref="L59:AQ59" si="66">+L13+L36</f>
        <v>0</v>
      </c>
      <c r="M59" s="1">
        <f t="shared" si="66"/>
        <v>0</v>
      </c>
      <c r="N59" s="1">
        <f t="shared" si="66"/>
        <v>0</v>
      </c>
      <c r="O59" s="1">
        <f t="shared" si="66"/>
        <v>0</v>
      </c>
      <c r="P59" s="1">
        <f t="shared" si="66"/>
        <v>0</v>
      </c>
      <c r="Q59" s="1">
        <f t="shared" si="66"/>
        <v>0</v>
      </c>
      <c r="R59" s="1">
        <f t="shared" si="66"/>
        <v>28066.83</v>
      </c>
      <c r="S59" s="1">
        <f t="shared" si="66"/>
        <v>0</v>
      </c>
      <c r="T59" s="1">
        <f t="shared" si="66"/>
        <v>16486.387500000001</v>
      </c>
      <c r="U59" s="1">
        <f t="shared" si="66"/>
        <v>5049</v>
      </c>
      <c r="V59" s="1">
        <f t="shared" si="66"/>
        <v>13963.664000000001</v>
      </c>
      <c r="W59" s="1">
        <f t="shared" si="66"/>
        <v>0</v>
      </c>
      <c r="X59" s="1">
        <f t="shared" si="66"/>
        <v>0</v>
      </c>
      <c r="Y59" s="1">
        <f t="shared" si="66"/>
        <v>0</v>
      </c>
      <c r="Z59" s="1">
        <f t="shared" si="66"/>
        <v>0</v>
      </c>
      <c r="AA59" s="1">
        <f t="shared" si="66"/>
        <v>0</v>
      </c>
      <c r="AB59" s="1">
        <f t="shared" si="66"/>
        <v>0</v>
      </c>
      <c r="AC59" s="1">
        <f t="shared" si="66"/>
        <v>0</v>
      </c>
      <c r="AD59" s="1">
        <f t="shared" si="66"/>
        <v>0</v>
      </c>
      <c r="AE59" s="1">
        <f t="shared" si="66"/>
        <v>0</v>
      </c>
      <c r="AF59" s="1">
        <f t="shared" si="66"/>
        <v>0</v>
      </c>
      <c r="AG59" s="1">
        <f t="shared" si="66"/>
        <v>0</v>
      </c>
      <c r="AH59" s="1">
        <f t="shared" si="66"/>
        <v>0</v>
      </c>
      <c r="AI59" s="1">
        <f t="shared" si="66"/>
        <v>0</v>
      </c>
      <c r="AJ59" s="1">
        <f t="shared" si="66"/>
        <v>0</v>
      </c>
      <c r="AK59" s="1">
        <f t="shared" si="66"/>
        <v>0</v>
      </c>
      <c r="AL59" s="1">
        <f t="shared" si="66"/>
        <v>0</v>
      </c>
      <c r="AM59" s="1">
        <f t="shared" si="66"/>
        <v>0</v>
      </c>
      <c r="AN59" s="1">
        <f t="shared" si="66"/>
        <v>0</v>
      </c>
      <c r="AO59" s="1">
        <f t="shared" si="66"/>
        <v>0</v>
      </c>
      <c r="AP59" s="1">
        <f t="shared" si="66"/>
        <v>0</v>
      </c>
      <c r="AQ59" s="1">
        <f t="shared" si="66"/>
        <v>0</v>
      </c>
      <c r="AR59" s="3">
        <f t="shared" si="47"/>
        <v>63565.881500000003</v>
      </c>
      <c r="AT59" s="1">
        <f t="shared" si="48"/>
        <v>63565.881500000003</v>
      </c>
    </row>
    <row r="60" spans="1:46" x14ac:dyDescent="0.25">
      <c r="C60" t="s">
        <v>262</v>
      </c>
      <c r="D60" s="1">
        <f t="shared" si="65"/>
        <v>0</v>
      </c>
      <c r="E60" s="1">
        <f t="shared" si="65"/>
        <v>0</v>
      </c>
      <c r="F60" s="1">
        <f t="shared" si="65"/>
        <v>0</v>
      </c>
      <c r="G60" s="1">
        <f t="shared" si="65"/>
        <v>0</v>
      </c>
      <c r="H60" s="1">
        <f t="shared" si="65"/>
        <v>0</v>
      </c>
      <c r="I60" s="1">
        <f t="shared" si="65"/>
        <v>0</v>
      </c>
      <c r="J60" s="1">
        <f t="shared" si="65"/>
        <v>0</v>
      </c>
      <c r="K60" s="1">
        <f t="shared" si="65"/>
        <v>0</v>
      </c>
      <c r="L60" s="1">
        <f t="shared" ref="L60:AQ60" si="67">+L14+L37</f>
        <v>677.16</v>
      </c>
      <c r="M60" s="1">
        <f t="shared" si="67"/>
        <v>5620.77</v>
      </c>
      <c r="N60" s="1">
        <f t="shared" si="67"/>
        <v>3152.8980000000001</v>
      </c>
      <c r="O60" s="1">
        <f t="shared" si="67"/>
        <v>3576.6360000000004</v>
      </c>
      <c r="P60" s="1">
        <f t="shared" si="67"/>
        <v>4160.4299999999994</v>
      </c>
      <c r="Q60" s="1">
        <f t="shared" si="67"/>
        <v>16351.97</v>
      </c>
      <c r="R60" s="1">
        <f t="shared" si="67"/>
        <v>10147.482</v>
      </c>
      <c r="S60" s="1">
        <f t="shared" si="67"/>
        <v>4497.9269999999997</v>
      </c>
      <c r="T60" s="1">
        <f t="shared" si="67"/>
        <v>11144.725499999999</v>
      </c>
      <c r="U60" s="1">
        <f t="shared" si="67"/>
        <v>4195.2380000000003</v>
      </c>
      <c r="V60" s="1">
        <f t="shared" si="67"/>
        <v>3447.0940000000001</v>
      </c>
      <c r="W60" s="1">
        <f t="shared" si="67"/>
        <v>3356.73</v>
      </c>
      <c r="X60" s="1">
        <f t="shared" si="67"/>
        <v>1293.7859999999998</v>
      </c>
      <c r="Y60" s="1">
        <f t="shared" si="67"/>
        <v>351.91800000000006</v>
      </c>
      <c r="Z60" s="1">
        <f t="shared" si="67"/>
        <v>168.26400000000001</v>
      </c>
      <c r="AA60" s="1">
        <f t="shared" si="67"/>
        <v>-135.60300000000001</v>
      </c>
      <c r="AB60" s="1">
        <f t="shared" si="67"/>
        <v>484.27200000000005</v>
      </c>
      <c r="AC60" s="1">
        <f t="shared" si="67"/>
        <v>107.72999999999999</v>
      </c>
      <c r="AD60" s="1">
        <f t="shared" si="67"/>
        <v>0</v>
      </c>
      <c r="AE60" s="1">
        <f t="shared" si="67"/>
        <v>0</v>
      </c>
      <c r="AF60" s="1">
        <f t="shared" si="67"/>
        <v>0</v>
      </c>
      <c r="AG60" s="1">
        <f t="shared" si="67"/>
        <v>0</v>
      </c>
      <c r="AH60" s="1">
        <f t="shared" si="67"/>
        <v>0</v>
      </c>
      <c r="AI60" s="1">
        <f t="shared" si="67"/>
        <v>-26.675999999999998</v>
      </c>
      <c r="AJ60" s="1">
        <f t="shared" si="67"/>
        <v>0</v>
      </c>
      <c r="AK60" s="1">
        <f t="shared" si="67"/>
        <v>0</v>
      </c>
      <c r="AL60" s="1">
        <f t="shared" si="67"/>
        <v>0</v>
      </c>
      <c r="AM60" s="1">
        <f t="shared" si="67"/>
        <v>0</v>
      </c>
      <c r="AN60" s="1">
        <f t="shared" si="67"/>
        <v>-204.17400000000001</v>
      </c>
      <c r="AO60" s="1">
        <f t="shared" si="67"/>
        <v>0</v>
      </c>
      <c r="AP60" s="1">
        <f t="shared" si="67"/>
        <v>0</v>
      </c>
      <c r="AQ60" s="1">
        <f t="shared" si="67"/>
        <v>0</v>
      </c>
      <c r="AR60" s="3">
        <f t="shared" si="47"/>
        <v>72368.57749999997</v>
      </c>
      <c r="AT60" s="1">
        <f t="shared" si="48"/>
        <v>72368.57749999997</v>
      </c>
    </row>
    <row r="61" spans="1:46" x14ac:dyDescent="0.25">
      <c r="C61" t="s">
        <v>42</v>
      </c>
      <c r="D61" s="1">
        <f t="shared" si="65"/>
        <v>0</v>
      </c>
      <c r="E61" s="1">
        <f t="shared" si="65"/>
        <v>0</v>
      </c>
      <c r="F61" s="1">
        <f t="shared" si="65"/>
        <v>0</v>
      </c>
      <c r="G61" s="1">
        <f t="shared" si="65"/>
        <v>0</v>
      </c>
      <c r="H61" s="1">
        <f t="shared" si="65"/>
        <v>0</v>
      </c>
      <c r="I61" s="1">
        <f t="shared" si="65"/>
        <v>0</v>
      </c>
      <c r="J61" s="1">
        <f t="shared" si="65"/>
        <v>0</v>
      </c>
      <c r="K61" s="1">
        <f t="shared" si="65"/>
        <v>0</v>
      </c>
      <c r="L61" s="1">
        <f t="shared" ref="L61:AQ61" si="68">+L15+L38</f>
        <v>5636.16</v>
      </c>
      <c r="M61" s="1">
        <f t="shared" si="68"/>
        <v>7805.52</v>
      </c>
      <c r="N61" s="1">
        <f t="shared" si="68"/>
        <v>5403.24</v>
      </c>
      <c r="O61" s="1">
        <f t="shared" si="68"/>
        <v>2700.76</v>
      </c>
      <c r="P61" s="1">
        <f t="shared" si="68"/>
        <v>10480.140000000001</v>
      </c>
      <c r="Q61" s="1">
        <f t="shared" si="68"/>
        <v>14645.88</v>
      </c>
      <c r="R61" s="1">
        <f t="shared" si="68"/>
        <v>9799.5600000000013</v>
      </c>
      <c r="S61" s="1">
        <f t="shared" si="68"/>
        <v>6660.72</v>
      </c>
      <c r="T61" s="1">
        <f t="shared" si="68"/>
        <v>6332.76</v>
      </c>
      <c r="U61" s="1">
        <f t="shared" si="68"/>
        <v>12363.36</v>
      </c>
      <c r="V61" s="1">
        <f t="shared" si="68"/>
        <v>2573.04</v>
      </c>
      <c r="W61" s="1">
        <f t="shared" si="68"/>
        <v>8131.2399999999989</v>
      </c>
      <c r="X61" s="1">
        <f t="shared" si="68"/>
        <v>2551.0800000000004</v>
      </c>
      <c r="Y61" s="1">
        <f t="shared" si="68"/>
        <v>6874.4400000000005</v>
      </c>
      <c r="Z61" s="1">
        <f t="shared" si="68"/>
        <v>-809.78</v>
      </c>
      <c r="AA61" s="1">
        <f t="shared" si="68"/>
        <v>-1259.22</v>
      </c>
      <c r="AB61" s="1">
        <f t="shared" si="68"/>
        <v>0</v>
      </c>
      <c r="AC61" s="1">
        <f t="shared" si="68"/>
        <v>0</v>
      </c>
      <c r="AD61" s="1">
        <f t="shared" si="68"/>
        <v>-220.16</v>
      </c>
      <c r="AE61" s="1">
        <f t="shared" si="68"/>
        <v>0</v>
      </c>
      <c r="AF61" s="1">
        <f t="shared" si="68"/>
        <v>0</v>
      </c>
      <c r="AG61" s="1">
        <f t="shared" si="68"/>
        <v>0</v>
      </c>
      <c r="AH61" s="1">
        <f t="shared" si="68"/>
        <v>0</v>
      </c>
      <c r="AI61" s="1">
        <f t="shared" si="68"/>
        <v>0</v>
      </c>
      <c r="AJ61" s="1">
        <f t="shared" si="68"/>
        <v>0</v>
      </c>
      <c r="AK61" s="1">
        <f t="shared" si="68"/>
        <v>0</v>
      </c>
      <c r="AL61" s="1">
        <f t="shared" si="68"/>
        <v>0</v>
      </c>
      <c r="AM61" s="1">
        <f t="shared" si="68"/>
        <v>0</v>
      </c>
      <c r="AN61" s="1">
        <f t="shared" si="68"/>
        <v>0</v>
      </c>
      <c r="AO61" s="1">
        <f t="shared" si="68"/>
        <v>0</v>
      </c>
      <c r="AP61" s="1">
        <f t="shared" si="68"/>
        <v>0</v>
      </c>
      <c r="AQ61" s="1">
        <f t="shared" si="68"/>
        <v>0</v>
      </c>
      <c r="AR61" s="3">
        <f t="shared" si="47"/>
        <v>99668.739999999991</v>
      </c>
      <c r="AT61" s="1">
        <f t="shared" si="48"/>
        <v>99668.739999999991</v>
      </c>
    </row>
    <row r="62" spans="1:46" x14ac:dyDescent="0.25">
      <c r="C62" t="s">
        <v>192</v>
      </c>
      <c r="D62" s="1">
        <f t="shared" si="65"/>
        <v>0</v>
      </c>
      <c r="E62" s="1">
        <f t="shared" si="65"/>
        <v>0</v>
      </c>
      <c r="F62" s="1">
        <f t="shared" si="65"/>
        <v>0</v>
      </c>
      <c r="G62" s="1">
        <f t="shared" si="65"/>
        <v>0</v>
      </c>
      <c r="H62" s="1">
        <f t="shared" si="65"/>
        <v>0</v>
      </c>
      <c r="I62" s="1">
        <f t="shared" si="65"/>
        <v>0</v>
      </c>
      <c r="J62" s="1">
        <f t="shared" si="65"/>
        <v>0</v>
      </c>
      <c r="K62" s="1">
        <f t="shared" si="65"/>
        <v>0</v>
      </c>
      <c r="L62" s="1">
        <f t="shared" ref="L62:AQ62" si="69">+L16+L39</f>
        <v>0</v>
      </c>
      <c r="M62" s="1">
        <f t="shared" si="69"/>
        <v>16562.52</v>
      </c>
      <c r="N62" s="1">
        <f t="shared" si="69"/>
        <v>1548.5</v>
      </c>
      <c r="O62" s="1">
        <f t="shared" si="69"/>
        <v>4303.26</v>
      </c>
      <c r="P62" s="1">
        <f t="shared" si="69"/>
        <v>9748.8000000000011</v>
      </c>
      <c r="Q62" s="1">
        <f t="shared" si="69"/>
        <v>22819.48</v>
      </c>
      <c r="R62" s="1">
        <f t="shared" si="69"/>
        <v>19730.68</v>
      </c>
      <c r="S62" s="1">
        <f t="shared" si="69"/>
        <v>8263.5700000000015</v>
      </c>
      <c r="T62" s="1">
        <f t="shared" si="69"/>
        <v>7095.3</v>
      </c>
      <c r="U62" s="1">
        <f t="shared" si="69"/>
        <v>17350.960000000003</v>
      </c>
      <c r="V62" s="1">
        <f t="shared" si="69"/>
        <v>2767.5599999999995</v>
      </c>
      <c r="W62" s="1">
        <f t="shared" si="69"/>
        <v>10258.039999999999</v>
      </c>
      <c r="X62" s="1">
        <f t="shared" si="69"/>
        <v>3996.24</v>
      </c>
      <c r="Y62" s="1">
        <f t="shared" si="69"/>
        <v>6517.3200000000006</v>
      </c>
      <c r="Z62" s="1">
        <f t="shared" si="69"/>
        <v>-358.91999999999996</v>
      </c>
      <c r="AA62" s="1">
        <f t="shared" si="69"/>
        <v>66.600000000000009</v>
      </c>
      <c r="AB62" s="1">
        <f t="shared" si="69"/>
        <v>-194.04</v>
      </c>
      <c r="AC62" s="1">
        <f t="shared" si="69"/>
        <v>108.72</v>
      </c>
      <c r="AD62" s="1">
        <f t="shared" si="69"/>
        <v>0</v>
      </c>
      <c r="AE62" s="1">
        <f t="shared" si="69"/>
        <v>0</v>
      </c>
      <c r="AF62" s="1">
        <f t="shared" si="69"/>
        <v>-72.960000000000008</v>
      </c>
      <c r="AG62" s="1">
        <f t="shared" si="69"/>
        <v>-704.68</v>
      </c>
      <c r="AH62" s="1">
        <f t="shared" si="69"/>
        <v>0</v>
      </c>
      <c r="AI62" s="1">
        <f t="shared" si="69"/>
        <v>0</v>
      </c>
      <c r="AJ62" s="1">
        <f t="shared" si="69"/>
        <v>0</v>
      </c>
      <c r="AK62" s="1">
        <f t="shared" si="69"/>
        <v>0</v>
      </c>
      <c r="AL62" s="1">
        <f t="shared" si="69"/>
        <v>0</v>
      </c>
      <c r="AM62" s="1">
        <f t="shared" si="69"/>
        <v>0</v>
      </c>
      <c r="AN62" s="1">
        <f t="shared" si="69"/>
        <v>0</v>
      </c>
      <c r="AO62" s="1">
        <f t="shared" si="69"/>
        <v>0</v>
      </c>
      <c r="AP62" s="1">
        <f t="shared" si="69"/>
        <v>0</v>
      </c>
      <c r="AQ62" s="1">
        <f t="shared" si="69"/>
        <v>0</v>
      </c>
      <c r="AR62" s="3">
        <f t="shared" si="47"/>
        <v>129806.95000000003</v>
      </c>
      <c r="AT62" s="1">
        <f t="shared" si="48"/>
        <v>129806.95000000003</v>
      </c>
    </row>
    <row r="63" spans="1:46" x14ac:dyDescent="0.25">
      <c r="C63" t="s">
        <v>133</v>
      </c>
      <c r="D63" s="1">
        <f t="shared" si="65"/>
        <v>0</v>
      </c>
      <c r="E63" s="1">
        <f t="shared" si="65"/>
        <v>0</v>
      </c>
      <c r="F63" s="1">
        <f t="shared" si="65"/>
        <v>0</v>
      </c>
      <c r="G63" s="1">
        <f t="shared" si="65"/>
        <v>0</v>
      </c>
      <c r="H63" s="1">
        <f t="shared" si="65"/>
        <v>0</v>
      </c>
      <c r="I63" s="1">
        <f t="shared" si="65"/>
        <v>0</v>
      </c>
      <c r="J63" s="1">
        <f t="shared" si="65"/>
        <v>0</v>
      </c>
      <c r="K63" s="1">
        <f t="shared" si="65"/>
        <v>0</v>
      </c>
      <c r="L63" s="1">
        <f t="shared" ref="L63:AQ63" si="70">+L17+L40</f>
        <v>451.44</v>
      </c>
      <c r="M63" s="1">
        <f t="shared" si="70"/>
        <v>831.06000000000006</v>
      </c>
      <c r="N63" s="1">
        <f t="shared" si="70"/>
        <v>1653.912</v>
      </c>
      <c r="O63" s="1">
        <f t="shared" si="70"/>
        <v>2123.1359999999995</v>
      </c>
      <c r="P63" s="1">
        <f t="shared" si="70"/>
        <v>4824.0809999999992</v>
      </c>
      <c r="Q63" s="1">
        <f t="shared" si="70"/>
        <v>5000.9804999999997</v>
      </c>
      <c r="R63" s="1">
        <f t="shared" si="70"/>
        <v>3101.9399999999996</v>
      </c>
      <c r="S63" s="1">
        <f t="shared" si="70"/>
        <v>5155.6309999999994</v>
      </c>
      <c r="T63" s="1">
        <f t="shared" si="70"/>
        <v>6034.9320000000007</v>
      </c>
      <c r="U63" s="1">
        <f t="shared" si="70"/>
        <v>4594.0859999999993</v>
      </c>
      <c r="V63" s="1">
        <f t="shared" si="70"/>
        <v>2051.7720000000004</v>
      </c>
      <c r="W63" s="1">
        <f t="shared" si="70"/>
        <v>2709.989</v>
      </c>
      <c r="X63" s="1">
        <f t="shared" si="70"/>
        <v>2666.6690000000003</v>
      </c>
      <c r="Y63" s="1">
        <f t="shared" si="70"/>
        <v>2330.0460000000003</v>
      </c>
      <c r="Z63" s="1">
        <f t="shared" si="70"/>
        <v>543.78</v>
      </c>
      <c r="AA63" s="1">
        <f t="shared" si="70"/>
        <v>669.29399999999998</v>
      </c>
      <c r="AB63" s="1">
        <f t="shared" si="70"/>
        <v>582.76800000000003</v>
      </c>
      <c r="AC63" s="1">
        <f t="shared" si="70"/>
        <v>66.689999999999984</v>
      </c>
      <c r="AD63" s="1">
        <f t="shared" si="70"/>
        <v>0</v>
      </c>
      <c r="AE63" s="1">
        <f t="shared" si="70"/>
        <v>0</v>
      </c>
      <c r="AF63" s="1">
        <f t="shared" si="70"/>
        <v>0</v>
      </c>
      <c r="AG63" s="1">
        <f t="shared" si="70"/>
        <v>0</v>
      </c>
      <c r="AH63" s="1">
        <f t="shared" si="70"/>
        <v>0</v>
      </c>
      <c r="AI63" s="1">
        <f t="shared" si="70"/>
        <v>0</v>
      </c>
      <c r="AJ63" s="1">
        <f t="shared" si="70"/>
        <v>0</v>
      </c>
      <c r="AK63" s="1">
        <f t="shared" si="70"/>
        <v>0</v>
      </c>
      <c r="AL63" s="1">
        <f t="shared" si="70"/>
        <v>0</v>
      </c>
      <c r="AM63" s="1">
        <f t="shared" si="70"/>
        <v>0</v>
      </c>
      <c r="AN63" s="1">
        <f t="shared" si="70"/>
        <v>0</v>
      </c>
      <c r="AO63" s="1">
        <f t="shared" si="70"/>
        <v>0</v>
      </c>
      <c r="AP63" s="1">
        <f t="shared" si="70"/>
        <v>0</v>
      </c>
      <c r="AQ63" s="1">
        <f t="shared" si="70"/>
        <v>0</v>
      </c>
      <c r="AR63" s="3">
        <f t="shared" si="47"/>
        <v>45392.2065</v>
      </c>
      <c r="AT63" s="1">
        <f t="shared" si="48"/>
        <v>45392.2065</v>
      </c>
    </row>
    <row r="64" spans="1:46" x14ac:dyDescent="0.25">
      <c r="C64" t="s">
        <v>41</v>
      </c>
      <c r="D64" s="1">
        <f t="shared" si="65"/>
        <v>0</v>
      </c>
      <c r="E64" s="1">
        <f t="shared" si="65"/>
        <v>0</v>
      </c>
      <c r="F64" s="1">
        <f t="shared" si="65"/>
        <v>0</v>
      </c>
      <c r="G64" s="1">
        <f t="shared" si="65"/>
        <v>0</v>
      </c>
      <c r="H64" s="1">
        <f t="shared" si="65"/>
        <v>0</v>
      </c>
      <c r="I64" s="1">
        <f t="shared" si="65"/>
        <v>0</v>
      </c>
      <c r="J64" s="1">
        <f t="shared" si="65"/>
        <v>0</v>
      </c>
      <c r="K64" s="1">
        <f t="shared" si="65"/>
        <v>0</v>
      </c>
      <c r="L64" s="1">
        <f t="shared" ref="L64:AQ64" si="71">+L18+L41</f>
        <v>2047.32</v>
      </c>
      <c r="M64" s="1">
        <f t="shared" si="71"/>
        <v>10109.3616</v>
      </c>
      <c r="N64" s="1">
        <f t="shared" si="71"/>
        <v>4229.3231999999998</v>
      </c>
      <c r="O64" s="1">
        <f t="shared" si="71"/>
        <v>11657.2032</v>
      </c>
      <c r="P64" s="1">
        <f t="shared" si="71"/>
        <v>17492.008800000003</v>
      </c>
      <c r="Q64" s="1">
        <f t="shared" si="71"/>
        <v>43385.117200000001</v>
      </c>
      <c r="R64" s="1">
        <f t="shared" si="71"/>
        <v>29015.543999999998</v>
      </c>
      <c r="S64" s="1">
        <f t="shared" si="71"/>
        <v>29021.296799999996</v>
      </c>
      <c r="T64" s="1">
        <f t="shared" si="71"/>
        <v>33160.9064</v>
      </c>
      <c r="U64" s="1">
        <f t="shared" si="71"/>
        <v>39107.778800000007</v>
      </c>
      <c r="V64" s="1">
        <f t="shared" si="71"/>
        <v>12530.933199999999</v>
      </c>
      <c r="W64" s="1">
        <f t="shared" si="71"/>
        <v>18487.882399999999</v>
      </c>
      <c r="X64" s="1">
        <f t="shared" si="71"/>
        <v>19013.680799999995</v>
      </c>
      <c r="Y64" s="1">
        <f t="shared" si="71"/>
        <v>16744.2012</v>
      </c>
      <c r="Z64" s="1">
        <f t="shared" si="71"/>
        <v>2609.9476000000004</v>
      </c>
      <c r="AA64" s="1">
        <f t="shared" si="71"/>
        <v>1014.1848000000001</v>
      </c>
      <c r="AB64" s="1">
        <f t="shared" si="71"/>
        <v>448.71839999999997</v>
      </c>
      <c r="AC64" s="1">
        <f t="shared" si="71"/>
        <v>161.41679999999999</v>
      </c>
      <c r="AD64" s="1">
        <f t="shared" si="71"/>
        <v>-81.215999999999994</v>
      </c>
      <c r="AE64" s="1">
        <f t="shared" si="71"/>
        <v>-80.652000000000001</v>
      </c>
      <c r="AF64" s="1">
        <f t="shared" si="71"/>
        <v>0</v>
      </c>
      <c r="AG64" s="1">
        <f t="shared" si="71"/>
        <v>-55.46</v>
      </c>
      <c r="AH64" s="1">
        <f t="shared" si="71"/>
        <v>0</v>
      </c>
      <c r="AI64" s="1">
        <f t="shared" si="71"/>
        <v>0</v>
      </c>
      <c r="AJ64" s="1">
        <f t="shared" si="71"/>
        <v>0</v>
      </c>
      <c r="AK64" s="1">
        <f t="shared" si="71"/>
        <v>0</v>
      </c>
      <c r="AL64" s="1">
        <f t="shared" si="71"/>
        <v>0</v>
      </c>
      <c r="AM64" s="1">
        <f t="shared" si="71"/>
        <v>0</v>
      </c>
      <c r="AN64" s="1">
        <f t="shared" si="71"/>
        <v>0</v>
      </c>
      <c r="AO64" s="1">
        <f t="shared" si="71"/>
        <v>0</v>
      </c>
      <c r="AP64" s="1">
        <f t="shared" si="71"/>
        <v>0</v>
      </c>
      <c r="AQ64" s="1">
        <f t="shared" si="71"/>
        <v>0</v>
      </c>
      <c r="AR64" s="3">
        <f t="shared" si="47"/>
        <v>290019.49719999998</v>
      </c>
      <c r="AT64" s="1">
        <f t="shared" si="48"/>
        <v>290019.49719999998</v>
      </c>
    </row>
    <row r="65" spans="1:49" x14ac:dyDescent="0.25">
      <c r="C65" t="s">
        <v>193</v>
      </c>
      <c r="D65" s="1">
        <f t="shared" si="65"/>
        <v>0</v>
      </c>
      <c r="E65" s="1">
        <f t="shared" si="65"/>
        <v>0</v>
      </c>
      <c r="F65" s="1">
        <f t="shared" si="65"/>
        <v>0</v>
      </c>
      <c r="G65" s="1">
        <f t="shared" si="65"/>
        <v>0</v>
      </c>
      <c r="H65" s="1">
        <f t="shared" si="65"/>
        <v>0</v>
      </c>
      <c r="I65" s="1">
        <f t="shared" si="65"/>
        <v>0</v>
      </c>
      <c r="J65" s="1">
        <f t="shared" si="65"/>
        <v>0</v>
      </c>
      <c r="K65" s="1">
        <f t="shared" si="65"/>
        <v>0</v>
      </c>
      <c r="L65" s="1">
        <f t="shared" ref="L65:AQ65" si="72">+L19+L42</f>
        <v>0</v>
      </c>
      <c r="M65" s="1">
        <f t="shared" si="72"/>
        <v>0</v>
      </c>
      <c r="N65" s="1">
        <f t="shared" si="72"/>
        <v>0</v>
      </c>
      <c r="O65" s="1">
        <f t="shared" si="72"/>
        <v>0</v>
      </c>
      <c r="P65" s="1">
        <f t="shared" si="72"/>
        <v>0</v>
      </c>
      <c r="Q65" s="1">
        <f t="shared" si="72"/>
        <v>0</v>
      </c>
      <c r="R65" s="1">
        <f t="shared" si="72"/>
        <v>0</v>
      </c>
      <c r="S65" s="1">
        <f t="shared" si="72"/>
        <v>0</v>
      </c>
      <c r="T65" s="1">
        <f t="shared" si="72"/>
        <v>0</v>
      </c>
      <c r="U65" s="1">
        <f t="shared" si="72"/>
        <v>0</v>
      </c>
      <c r="V65" s="1">
        <f t="shared" si="72"/>
        <v>0</v>
      </c>
      <c r="W65" s="1">
        <f t="shared" si="72"/>
        <v>0</v>
      </c>
      <c r="X65" s="1">
        <f t="shared" si="72"/>
        <v>0</v>
      </c>
      <c r="Y65" s="1">
        <f t="shared" si="72"/>
        <v>0</v>
      </c>
      <c r="Z65" s="1">
        <f t="shared" si="72"/>
        <v>0</v>
      </c>
      <c r="AA65" s="1">
        <f t="shared" si="72"/>
        <v>0</v>
      </c>
      <c r="AB65" s="1">
        <f t="shared" si="72"/>
        <v>0</v>
      </c>
      <c r="AC65" s="1">
        <f t="shared" si="72"/>
        <v>0</v>
      </c>
      <c r="AD65" s="1">
        <f t="shared" si="72"/>
        <v>0</v>
      </c>
      <c r="AE65" s="1">
        <f t="shared" si="72"/>
        <v>0</v>
      </c>
      <c r="AF65" s="1">
        <f t="shared" si="72"/>
        <v>0</v>
      </c>
      <c r="AG65" s="1">
        <f t="shared" si="72"/>
        <v>0</v>
      </c>
      <c r="AH65" s="1">
        <f t="shared" si="72"/>
        <v>0</v>
      </c>
      <c r="AI65" s="1">
        <f t="shared" si="72"/>
        <v>0</v>
      </c>
      <c r="AJ65" s="1">
        <f t="shared" si="72"/>
        <v>0</v>
      </c>
      <c r="AK65" s="1">
        <f t="shared" si="72"/>
        <v>0</v>
      </c>
      <c r="AL65" s="1">
        <f t="shared" si="72"/>
        <v>0</v>
      </c>
      <c r="AM65" s="1">
        <f t="shared" si="72"/>
        <v>0</v>
      </c>
      <c r="AN65" s="1">
        <f t="shared" si="72"/>
        <v>0</v>
      </c>
      <c r="AO65" s="1">
        <f t="shared" si="72"/>
        <v>0</v>
      </c>
      <c r="AP65" s="1">
        <f t="shared" si="72"/>
        <v>0</v>
      </c>
      <c r="AQ65" s="1">
        <f t="shared" si="72"/>
        <v>0</v>
      </c>
      <c r="AR65" s="3">
        <f t="shared" si="47"/>
        <v>0</v>
      </c>
      <c r="AT65" s="1">
        <f t="shared" si="48"/>
        <v>0</v>
      </c>
    </row>
    <row r="66" spans="1:49" x14ac:dyDescent="0.25">
      <c r="C66" t="s">
        <v>194</v>
      </c>
      <c r="D66" s="1">
        <f t="shared" si="65"/>
        <v>0</v>
      </c>
      <c r="E66" s="1">
        <f t="shared" si="65"/>
        <v>0</v>
      </c>
      <c r="F66" s="1">
        <f t="shared" si="65"/>
        <v>0</v>
      </c>
      <c r="G66" s="1">
        <f t="shared" si="65"/>
        <v>0</v>
      </c>
      <c r="H66" s="1">
        <f t="shared" si="65"/>
        <v>0</v>
      </c>
      <c r="I66" s="1">
        <f t="shared" si="65"/>
        <v>0</v>
      </c>
      <c r="J66" s="1">
        <f t="shared" si="65"/>
        <v>0</v>
      </c>
      <c r="K66" s="1">
        <f t="shared" si="65"/>
        <v>0</v>
      </c>
      <c r="L66" s="1">
        <f t="shared" ref="L66:AQ66" si="73">+L20+L43</f>
        <v>0</v>
      </c>
      <c r="M66" s="1">
        <f t="shared" si="73"/>
        <v>0</v>
      </c>
      <c r="N66" s="1">
        <f t="shared" si="73"/>
        <v>0</v>
      </c>
      <c r="O66" s="1">
        <f t="shared" si="73"/>
        <v>0</v>
      </c>
      <c r="P66" s="1">
        <f t="shared" si="73"/>
        <v>0</v>
      </c>
      <c r="Q66" s="1">
        <f t="shared" si="73"/>
        <v>0</v>
      </c>
      <c r="R66" s="1">
        <f t="shared" si="73"/>
        <v>0</v>
      </c>
      <c r="S66" s="1">
        <f t="shared" si="73"/>
        <v>0</v>
      </c>
      <c r="T66" s="1">
        <f t="shared" si="73"/>
        <v>0</v>
      </c>
      <c r="U66" s="1">
        <f t="shared" si="73"/>
        <v>0</v>
      </c>
      <c r="V66" s="1">
        <f t="shared" si="73"/>
        <v>0</v>
      </c>
      <c r="W66" s="1">
        <f t="shared" si="73"/>
        <v>0</v>
      </c>
      <c r="X66" s="1">
        <f t="shared" si="73"/>
        <v>0</v>
      </c>
      <c r="Y66" s="1">
        <f t="shared" si="73"/>
        <v>0</v>
      </c>
      <c r="Z66" s="1">
        <f t="shared" si="73"/>
        <v>0</v>
      </c>
      <c r="AA66" s="1">
        <f t="shared" si="73"/>
        <v>0</v>
      </c>
      <c r="AB66" s="1">
        <f t="shared" si="73"/>
        <v>0</v>
      </c>
      <c r="AC66" s="1">
        <f t="shared" si="73"/>
        <v>0</v>
      </c>
      <c r="AD66" s="1">
        <f t="shared" si="73"/>
        <v>0</v>
      </c>
      <c r="AE66" s="1">
        <f t="shared" si="73"/>
        <v>0</v>
      </c>
      <c r="AF66" s="1">
        <f t="shared" si="73"/>
        <v>0</v>
      </c>
      <c r="AG66" s="1">
        <f t="shared" si="73"/>
        <v>0</v>
      </c>
      <c r="AH66" s="1">
        <f t="shared" si="73"/>
        <v>0</v>
      </c>
      <c r="AI66" s="1">
        <f t="shared" si="73"/>
        <v>0</v>
      </c>
      <c r="AJ66" s="1">
        <f t="shared" si="73"/>
        <v>0</v>
      </c>
      <c r="AK66" s="1">
        <f t="shared" si="73"/>
        <v>0</v>
      </c>
      <c r="AL66" s="1">
        <f t="shared" si="73"/>
        <v>0</v>
      </c>
      <c r="AM66" s="1">
        <f t="shared" si="73"/>
        <v>0</v>
      </c>
      <c r="AN66" s="1">
        <f t="shared" si="73"/>
        <v>0</v>
      </c>
      <c r="AO66" s="1">
        <f t="shared" si="73"/>
        <v>0</v>
      </c>
      <c r="AP66" s="1">
        <f t="shared" si="73"/>
        <v>0</v>
      </c>
      <c r="AQ66" s="1">
        <f t="shared" si="73"/>
        <v>0</v>
      </c>
      <c r="AR66" s="3">
        <f t="shared" si="47"/>
        <v>0</v>
      </c>
      <c r="AT66" s="1">
        <f t="shared" si="48"/>
        <v>0</v>
      </c>
    </row>
    <row r="67" spans="1:49" x14ac:dyDescent="0.25">
      <c r="C67" t="s">
        <v>296</v>
      </c>
      <c r="D67" s="1">
        <f t="shared" si="65"/>
        <v>0</v>
      </c>
      <c r="E67" s="1">
        <f t="shared" si="65"/>
        <v>0</v>
      </c>
      <c r="F67" s="1">
        <f t="shared" si="65"/>
        <v>0</v>
      </c>
      <c r="G67" s="1">
        <f t="shared" si="65"/>
        <v>0</v>
      </c>
      <c r="H67" s="1">
        <f t="shared" si="65"/>
        <v>0</v>
      </c>
      <c r="I67" s="1">
        <f t="shared" si="65"/>
        <v>0</v>
      </c>
      <c r="J67" s="1">
        <f t="shared" si="65"/>
        <v>0</v>
      </c>
      <c r="K67" s="1">
        <f t="shared" si="65"/>
        <v>0</v>
      </c>
      <c r="L67" s="1">
        <f t="shared" ref="L67:AQ67" si="74">+L21+L44</f>
        <v>0</v>
      </c>
      <c r="M67" s="1">
        <f t="shared" si="74"/>
        <v>531.12599999999998</v>
      </c>
      <c r="N67" s="1">
        <f t="shared" si="74"/>
        <v>928.53000000000009</v>
      </c>
      <c r="O67" s="1">
        <f t="shared" si="74"/>
        <v>1036.3739999999998</v>
      </c>
      <c r="P67" s="1">
        <f t="shared" si="74"/>
        <v>1493.856</v>
      </c>
      <c r="Q67" s="1">
        <f t="shared" si="74"/>
        <v>1649.808</v>
      </c>
      <c r="R67" s="1">
        <f t="shared" si="74"/>
        <v>2034.3300000000002</v>
      </c>
      <c r="S67" s="1">
        <f t="shared" si="74"/>
        <v>2891.4580000000001</v>
      </c>
      <c r="T67" s="1">
        <f t="shared" si="74"/>
        <v>2954.5</v>
      </c>
      <c r="U67" s="1">
        <f t="shared" si="74"/>
        <v>3292.7190000000001</v>
      </c>
      <c r="V67" s="1">
        <f t="shared" si="74"/>
        <v>1560.375</v>
      </c>
      <c r="W67" s="1">
        <f t="shared" si="74"/>
        <v>1451.2769999999998</v>
      </c>
      <c r="X67" s="1">
        <f t="shared" si="74"/>
        <v>767.50500000000011</v>
      </c>
      <c r="Y67" s="1">
        <f t="shared" si="74"/>
        <v>854.43000000000006</v>
      </c>
      <c r="Z67" s="1">
        <f t="shared" si="74"/>
        <v>223.554</v>
      </c>
      <c r="AA67" s="1">
        <f t="shared" si="74"/>
        <v>656.64</v>
      </c>
      <c r="AB67" s="1">
        <f t="shared" si="74"/>
        <v>174.42000000000002</v>
      </c>
      <c r="AC67" s="1">
        <f t="shared" si="74"/>
        <v>53.351999999999997</v>
      </c>
      <c r="AD67" s="1">
        <f t="shared" si="74"/>
        <v>0</v>
      </c>
      <c r="AE67" s="1">
        <f t="shared" si="74"/>
        <v>0</v>
      </c>
      <c r="AF67" s="1">
        <f t="shared" si="74"/>
        <v>0</v>
      </c>
      <c r="AG67" s="1">
        <f t="shared" si="74"/>
        <v>0</v>
      </c>
      <c r="AH67" s="1">
        <f t="shared" si="74"/>
        <v>0</v>
      </c>
      <c r="AI67" s="1">
        <f t="shared" si="74"/>
        <v>0</v>
      </c>
      <c r="AJ67" s="1">
        <f t="shared" si="74"/>
        <v>-13.337999999999999</v>
      </c>
      <c r="AK67" s="1">
        <f t="shared" si="74"/>
        <v>0</v>
      </c>
      <c r="AL67" s="1">
        <f t="shared" si="74"/>
        <v>0</v>
      </c>
      <c r="AM67" s="1">
        <f t="shared" si="74"/>
        <v>0</v>
      </c>
      <c r="AN67" s="1">
        <f t="shared" si="74"/>
        <v>0</v>
      </c>
      <c r="AO67" s="1">
        <f t="shared" si="74"/>
        <v>0</v>
      </c>
      <c r="AP67" s="1">
        <f t="shared" si="74"/>
        <v>0</v>
      </c>
      <c r="AQ67" s="1">
        <f t="shared" si="74"/>
        <v>0</v>
      </c>
      <c r="AR67" s="3">
        <f t="shared" si="47"/>
        <v>22540.915999999997</v>
      </c>
      <c r="AT67" s="1">
        <f t="shared" si="48"/>
        <v>22540.915999999997</v>
      </c>
    </row>
    <row r="68" spans="1:49" x14ac:dyDescent="0.25">
      <c r="C68" t="s">
        <v>44</v>
      </c>
      <c r="D68" s="1">
        <f t="shared" si="65"/>
        <v>0</v>
      </c>
      <c r="E68" s="1">
        <f t="shared" si="65"/>
        <v>0</v>
      </c>
      <c r="F68" s="1">
        <f t="shared" si="65"/>
        <v>0</v>
      </c>
      <c r="G68" s="1">
        <f t="shared" si="65"/>
        <v>0</v>
      </c>
      <c r="H68" s="1">
        <f t="shared" si="65"/>
        <v>0</v>
      </c>
      <c r="I68" s="1">
        <f t="shared" si="65"/>
        <v>0</v>
      </c>
      <c r="J68" s="1">
        <f t="shared" si="65"/>
        <v>0</v>
      </c>
      <c r="K68" s="1">
        <f t="shared" si="65"/>
        <v>0</v>
      </c>
      <c r="L68" s="1">
        <f t="shared" ref="L68:AQ68" si="75">+L22+L45</f>
        <v>15879.240000000002</v>
      </c>
      <c r="M68" s="1">
        <f t="shared" si="75"/>
        <v>36570.659999999996</v>
      </c>
      <c r="N68" s="1">
        <f t="shared" si="75"/>
        <v>33612.200000000004</v>
      </c>
      <c r="O68" s="1">
        <f t="shared" si="75"/>
        <v>59635.749999999993</v>
      </c>
      <c r="P68" s="1">
        <f t="shared" si="75"/>
        <v>84349.34</v>
      </c>
      <c r="Q68" s="1">
        <f t="shared" si="75"/>
        <v>122305.18999999999</v>
      </c>
      <c r="R68" s="1">
        <f t="shared" si="75"/>
        <v>126893.02000000002</v>
      </c>
      <c r="S68" s="1">
        <f t="shared" si="75"/>
        <v>149427.46000000002</v>
      </c>
      <c r="T68" s="1">
        <f t="shared" si="75"/>
        <v>138456.93999999997</v>
      </c>
      <c r="U68" s="1">
        <f t="shared" si="75"/>
        <v>135512.07</v>
      </c>
      <c r="V68" s="1">
        <f t="shared" si="75"/>
        <v>90426.000000000015</v>
      </c>
      <c r="W68" s="1">
        <f t="shared" si="75"/>
        <v>89870.939999999988</v>
      </c>
      <c r="X68" s="1">
        <f t="shared" si="75"/>
        <v>56953.62</v>
      </c>
      <c r="Y68" s="1">
        <f t="shared" si="75"/>
        <v>31591.380000000005</v>
      </c>
      <c r="Z68" s="1">
        <f t="shared" si="75"/>
        <v>5762.050000000002</v>
      </c>
      <c r="AA68" s="1">
        <f t="shared" si="75"/>
        <v>6923.12</v>
      </c>
      <c r="AB68" s="1">
        <f t="shared" si="75"/>
        <v>3155.8099999999995</v>
      </c>
      <c r="AC68" s="1">
        <f t="shared" si="75"/>
        <v>-507.84</v>
      </c>
      <c r="AD68" s="1">
        <f t="shared" si="75"/>
        <v>-23.419999999999959</v>
      </c>
      <c r="AE68" s="1">
        <f t="shared" si="75"/>
        <v>-472.28</v>
      </c>
      <c r="AF68" s="1">
        <f t="shared" si="75"/>
        <v>-42.120000000000005</v>
      </c>
      <c r="AG68" s="1">
        <f t="shared" si="75"/>
        <v>-18.450000000000045</v>
      </c>
      <c r="AH68" s="1">
        <f t="shared" si="75"/>
        <v>0</v>
      </c>
      <c r="AI68" s="1">
        <f t="shared" si="75"/>
        <v>-413.53999999999996</v>
      </c>
      <c r="AJ68" s="1">
        <f t="shared" si="75"/>
        <v>0</v>
      </c>
      <c r="AK68" s="1">
        <f t="shared" si="75"/>
        <v>-252.423</v>
      </c>
      <c r="AL68" s="1">
        <f t="shared" si="75"/>
        <v>0</v>
      </c>
      <c r="AM68" s="1">
        <f t="shared" si="75"/>
        <v>-4.92</v>
      </c>
      <c r="AN68" s="1">
        <f t="shared" si="75"/>
        <v>0</v>
      </c>
      <c r="AO68" s="1">
        <f t="shared" si="75"/>
        <v>0</v>
      </c>
      <c r="AP68" s="1">
        <f t="shared" si="75"/>
        <v>0</v>
      </c>
      <c r="AQ68" s="1">
        <f t="shared" si="75"/>
        <v>0</v>
      </c>
      <c r="AR68" s="3">
        <f t="shared" si="47"/>
        <v>1185589.7970000003</v>
      </c>
      <c r="AT68" s="1">
        <f t="shared" si="48"/>
        <v>1185589.7970000003</v>
      </c>
    </row>
    <row r="69" spans="1:49" x14ac:dyDescent="0.25">
      <c r="C69" t="s">
        <v>217</v>
      </c>
      <c r="D69" s="1">
        <f t="shared" si="65"/>
        <v>0</v>
      </c>
      <c r="E69" s="1">
        <f t="shared" si="65"/>
        <v>0</v>
      </c>
      <c r="F69" s="1">
        <f t="shared" si="65"/>
        <v>0</v>
      </c>
      <c r="G69" s="1">
        <f t="shared" si="65"/>
        <v>0</v>
      </c>
      <c r="H69" s="1">
        <f t="shared" si="65"/>
        <v>0</v>
      </c>
      <c r="I69" s="1">
        <f t="shared" si="65"/>
        <v>0</v>
      </c>
      <c r="J69" s="1">
        <f t="shared" si="65"/>
        <v>0</v>
      </c>
      <c r="K69" s="1">
        <f t="shared" si="65"/>
        <v>0</v>
      </c>
      <c r="L69" s="1">
        <f t="shared" ref="L69:AQ69" si="76">+L23+L46</f>
        <v>0</v>
      </c>
      <c r="M69" s="1">
        <f t="shared" si="76"/>
        <v>0</v>
      </c>
      <c r="N69" s="1">
        <f t="shared" si="76"/>
        <v>0</v>
      </c>
      <c r="O69" s="1">
        <f t="shared" si="76"/>
        <v>0</v>
      </c>
      <c r="P69" s="1">
        <f t="shared" si="76"/>
        <v>0</v>
      </c>
      <c r="Q69" s="1">
        <f t="shared" si="76"/>
        <v>0</v>
      </c>
      <c r="R69" s="1">
        <f t="shared" si="76"/>
        <v>0</v>
      </c>
      <c r="S69" s="1">
        <f t="shared" si="76"/>
        <v>0</v>
      </c>
      <c r="T69" s="1">
        <f t="shared" si="76"/>
        <v>0</v>
      </c>
      <c r="U69" s="1">
        <f t="shared" si="76"/>
        <v>0</v>
      </c>
      <c r="V69" s="1">
        <f t="shared" si="76"/>
        <v>0</v>
      </c>
      <c r="W69" s="1">
        <f t="shared" si="76"/>
        <v>0</v>
      </c>
      <c r="X69" s="1">
        <f t="shared" si="76"/>
        <v>0</v>
      </c>
      <c r="Y69" s="1">
        <f t="shared" si="76"/>
        <v>0</v>
      </c>
      <c r="Z69" s="1">
        <f t="shared" si="76"/>
        <v>0</v>
      </c>
      <c r="AA69" s="1">
        <f t="shared" si="76"/>
        <v>0</v>
      </c>
      <c r="AB69" s="1">
        <f t="shared" si="76"/>
        <v>0</v>
      </c>
      <c r="AC69" s="1">
        <f t="shared" si="76"/>
        <v>0</v>
      </c>
      <c r="AD69" s="1">
        <f t="shared" si="76"/>
        <v>0</v>
      </c>
      <c r="AE69" s="1">
        <f t="shared" si="76"/>
        <v>0</v>
      </c>
      <c r="AF69" s="1">
        <f t="shared" si="76"/>
        <v>0</v>
      </c>
      <c r="AG69" s="1">
        <f t="shared" si="76"/>
        <v>0</v>
      </c>
      <c r="AH69" s="1">
        <f t="shared" si="76"/>
        <v>0</v>
      </c>
      <c r="AI69" s="1">
        <f t="shared" si="76"/>
        <v>0</v>
      </c>
      <c r="AJ69" s="1">
        <f t="shared" si="76"/>
        <v>0</v>
      </c>
      <c r="AK69" s="1">
        <f t="shared" si="76"/>
        <v>0</v>
      </c>
      <c r="AL69" s="1">
        <f t="shared" si="76"/>
        <v>0</v>
      </c>
      <c r="AM69" s="1">
        <f t="shared" si="76"/>
        <v>0</v>
      </c>
      <c r="AN69" s="1">
        <f t="shared" si="76"/>
        <v>0</v>
      </c>
      <c r="AO69" s="1">
        <f t="shared" si="76"/>
        <v>0</v>
      </c>
      <c r="AP69" s="1">
        <f t="shared" si="76"/>
        <v>0</v>
      </c>
      <c r="AQ69" s="1">
        <f t="shared" si="76"/>
        <v>0</v>
      </c>
      <c r="AR69" s="3">
        <f>+AR23+AR46</f>
        <v>0</v>
      </c>
      <c r="AT69" s="1">
        <f t="shared" si="48"/>
        <v>0</v>
      </c>
    </row>
    <row r="70" spans="1:49" x14ac:dyDescent="0.25">
      <c r="A70" s="2" t="s">
        <v>311</v>
      </c>
      <c r="D70" s="3">
        <f t="shared" ref="D70:AR70" si="77">SUM(D50:D69)</f>
        <v>0</v>
      </c>
      <c r="E70" s="3">
        <f t="shared" ref="E70:K70" si="78">SUM(E50:E69)</f>
        <v>0</v>
      </c>
      <c r="F70" s="3">
        <f t="shared" si="78"/>
        <v>0</v>
      </c>
      <c r="G70" s="3">
        <f t="shared" si="78"/>
        <v>0</v>
      </c>
      <c r="H70" s="3">
        <f t="shared" si="78"/>
        <v>0</v>
      </c>
      <c r="I70" s="3">
        <f t="shared" si="78"/>
        <v>0</v>
      </c>
      <c r="J70" s="3">
        <f t="shared" si="78"/>
        <v>0</v>
      </c>
      <c r="K70" s="3">
        <f t="shared" si="78"/>
        <v>0</v>
      </c>
      <c r="L70" s="3">
        <f t="shared" si="77"/>
        <v>28766.512800000004</v>
      </c>
      <c r="M70" s="3">
        <f t="shared" si="77"/>
        <v>128541.15330000001</v>
      </c>
      <c r="N70" s="3">
        <f t="shared" si="77"/>
        <v>77149.156700000007</v>
      </c>
      <c r="O70" s="3">
        <f t="shared" si="77"/>
        <v>120009.66344999999</v>
      </c>
      <c r="P70" s="3">
        <f t="shared" si="77"/>
        <v>189731.80790000001</v>
      </c>
      <c r="Q70" s="3">
        <f t="shared" si="77"/>
        <v>430842.23804999999</v>
      </c>
      <c r="R70" s="3">
        <f t="shared" si="77"/>
        <v>346250.85239999997</v>
      </c>
      <c r="S70" s="3">
        <f t="shared" si="77"/>
        <v>373575.96189999999</v>
      </c>
      <c r="T70" s="3">
        <f t="shared" si="77"/>
        <v>353023.72204999998</v>
      </c>
      <c r="U70" s="3">
        <f t="shared" si="77"/>
        <v>334192.64840000006</v>
      </c>
      <c r="V70" s="3">
        <f t="shared" si="77"/>
        <v>179380.2267</v>
      </c>
      <c r="W70" s="3">
        <f t="shared" si="77"/>
        <v>203487.68949999998</v>
      </c>
      <c r="X70" s="3">
        <f t="shared" si="77"/>
        <v>147322.4154</v>
      </c>
      <c r="Y70" s="3">
        <f t="shared" si="77"/>
        <v>112830.10209999999</v>
      </c>
      <c r="Z70" s="3">
        <f t="shared" si="77"/>
        <v>29688.575800000002</v>
      </c>
      <c r="AA70" s="3">
        <f t="shared" si="77"/>
        <v>17327.264600000002</v>
      </c>
      <c r="AB70" s="3">
        <f t="shared" si="77"/>
        <v>5735.7881499999994</v>
      </c>
      <c r="AC70" s="3">
        <f t="shared" si="77"/>
        <v>75.68040000000002</v>
      </c>
      <c r="AD70" s="3">
        <f t="shared" si="77"/>
        <v>-306.21009999999995</v>
      </c>
      <c r="AE70" s="3">
        <f t="shared" si="77"/>
        <v>-580.63400000000001</v>
      </c>
      <c r="AF70" s="3">
        <f t="shared" si="77"/>
        <v>-128.41800000000001</v>
      </c>
      <c r="AG70" s="3">
        <f t="shared" si="77"/>
        <v>-795.56155000000001</v>
      </c>
      <c r="AH70" s="3">
        <f t="shared" si="77"/>
        <v>0</v>
      </c>
      <c r="AI70" s="3">
        <f t="shared" si="77"/>
        <v>-863.7829999999999</v>
      </c>
      <c r="AJ70" s="3">
        <f t="shared" si="77"/>
        <v>-13.337999999999999</v>
      </c>
      <c r="AK70" s="3">
        <f t="shared" si="77"/>
        <v>-252.423</v>
      </c>
      <c r="AL70" s="3">
        <f t="shared" si="77"/>
        <v>0</v>
      </c>
      <c r="AM70" s="3">
        <f t="shared" si="77"/>
        <v>-13.312199999999999</v>
      </c>
      <c r="AN70" s="3">
        <f t="shared" si="77"/>
        <v>-438.10199999999998</v>
      </c>
      <c r="AO70" s="3">
        <f t="shared" si="77"/>
        <v>0</v>
      </c>
      <c r="AP70" s="3">
        <f t="shared" si="77"/>
        <v>-10.49025</v>
      </c>
      <c r="AQ70" s="3">
        <f t="shared" si="77"/>
        <v>-84.483000000000004</v>
      </c>
      <c r="AR70" s="3">
        <f t="shared" si="77"/>
        <v>3074444.7045</v>
      </c>
      <c r="AS70" s="1"/>
      <c r="AT70" s="3">
        <f t="shared" si="48"/>
        <v>3074529.1875</v>
      </c>
      <c r="AV70">
        <v>2272307</v>
      </c>
      <c r="AW70" s="1">
        <f>+AV70-AT70</f>
        <v>-802222.1875</v>
      </c>
    </row>
    <row r="71" spans="1:49" s="24" customFormat="1" x14ac:dyDescent="0.25">
      <c r="A71" s="2"/>
      <c r="B71" s="23"/>
      <c r="C71" s="27"/>
      <c r="D71" s="25">
        <f>+D70</f>
        <v>0</v>
      </c>
      <c r="E71" s="25">
        <f>+D71+E70</f>
        <v>0</v>
      </c>
      <c r="F71" s="25">
        <f t="shared" ref="F71:AQ71" si="79">+E71+F70</f>
        <v>0</v>
      </c>
      <c r="G71" s="25">
        <f t="shared" si="79"/>
        <v>0</v>
      </c>
      <c r="H71" s="25">
        <f t="shared" si="79"/>
        <v>0</v>
      </c>
      <c r="I71" s="25">
        <f t="shared" si="79"/>
        <v>0</v>
      </c>
      <c r="J71" s="25">
        <f t="shared" si="79"/>
        <v>0</v>
      </c>
      <c r="K71" s="25">
        <f t="shared" si="79"/>
        <v>0</v>
      </c>
      <c r="L71" s="25">
        <f t="shared" si="79"/>
        <v>28766.512800000004</v>
      </c>
      <c r="M71" s="25">
        <f t="shared" si="79"/>
        <v>157307.6661</v>
      </c>
      <c r="N71" s="25">
        <f t="shared" si="79"/>
        <v>234456.82280000002</v>
      </c>
      <c r="O71" s="25">
        <f t="shared" si="79"/>
        <v>354466.48625000002</v>
      </c>
      <c r="P71" s="25">
        <f t="shared" si="79"/>
        <v>544198.29414999997</v>
      </c>
      <c r="Q71" s="25">
        <f t="shared" si="79"/>
        <v>975040.53220000002</v>
      </c>
      <c r="R71" s="25">
        <f t="shared" si="79"/>
        <v>1321291.3846</v>
      </c>
      <c r="S71" s="25">
        <f t="shared" si="79"/>
        <v>1694867.3465</v>
      </c>
      <c r="T71" s="25">
        <f t="shared" si="79"/>
        <v>2047891.06855</v>
      </c>
      <c r="U71" s="25">
        <f t="shared" si="79"/>
        <v>2382083.7169500003</v>
      </c>
      <c r="V71" s="25">
        <f t="shared" si="79"/>
        <v>2561463.9436500003</v>
      </c>
      <c r="W71" s="25">
        <f t="shared" si="79"/>
        <v>2764951.6331500001</v>
      </c>
      <c r="X71" s="25">
        <f t="shared" si="79"/>
        <v>2912274.0485499999</v>
      </c>
      <c r="Y71" s="25">
        <f t="shared" si="79"/>
        <v>3025104.1506499997</v>
      </c>
      <c r="Z71" s="25">
        <f t="shared" si="79"/>
        <v>3054792.72645</v>
      </c>
      <c r="AA71" s="25">
        <f t="shared" si="79"/>
        <v>3072119.9910499998</v>
      </c>
      <c r="AB71" s="25">
        <f t="shared" si="79"/>
        <v>3077855.7791999998</v>
      </c>
      <c r="AC71" s="25">
        <f t="shared" si="79"/>
        <v>3077931.4595999997</v>
      </c>
      <c r="AD71" s="25">
        <f t="shared" si="79"/>
        <v>3077625.2494999999</v>
      </c>
      <c r="AE71" s="25">
        <f t="shared" si="79"/>
        <v>3077044.6154999998</v>
      </c>
      <c r="AF71" s="25">
        <f t="shared" si="79"/>
        <v>3076916.1974999998</v>
      </c>
      <c r="AG71" s="25">
        <f t="shared" si="79"/>
        <v>3076120.6359499996</v>
      </c>
      <c r="AH71" s="25">
        <f t="shared" si="79"/>
        <v>3076120.6359499996</v>
      </c>
      <c r="AI71" s="25">
        <f t="shared" si="79"/>
        <v>3075256.8529499997</v>
      </c>
      <c r="AJ71" s="25">
        <f t="shared" si="79"/>
        <v>3075243.5149499997</v>
      </c>
      <c r="AK71" s="25">
        <f t="shared" si="79"/>
        <v>3074991.0919499998</v>
      </c>
      <c r="AL71" s="25">
        <f t="shared" si="79"/>
        <v>3074991.0919499998</v>
      </c>
      <c r="AM71" s="25">
        <f t="shared" si="79"/>
        <v>3074977.7797499998</v>
      </c>
      <c r="AN71" s="25">
        <f t="shared" si="79"/>
        <v>3074539.6777499998</v>
      </c>
      <c r="AO71" s="25">
        <f t="shared" si="79"/>
        <v>3074539.6777499998</v>
      </c>
      <c r="AP71" s="25">
        <f t="shared" si="79"/>
        <v>3074529.1875</v>
      </c>
      <c r="AQ71" s="25">
        <f t="shared" si="79"/>
        <v>3074444.7045</v>
      </c>
      <c r="AR71" s="48"/>
      <c r="AT71"/>
    </row>
    <row r="72" spans="1:49" x14ac:dyDescent="0.25">
      <c r="A72" s="2" t="s">
        <v>312</v>
      </c>
      <c r="B72"/>
      <c r="AT72" s="3"/>
    </row>
    <row r="73" spans="1:49" x14ac:dyDescent="0.25">
      <c r="B73" t="s">
        <v>7</v>
      </c>
      <c r="D73" s="1">
        <f>+Transport!E17</f>
        <v>0</v>
      </c>
      <c r="E73" s="1">
        <f>+Transport!F17</f>
        <v>0</v>
      </c>
      <c r="F73" s="1">
        <f>+Transport!G17</f>
        <v>0</v>
      </c>
      <c r="G73" s="1">
        <f>+Transport!H17</f>
        <v>0</v>
      </c>
      <c r="H73" s="1">
        <f>+Transport!I17</f>
        <v>0</v>
      </c>
      <c r="I73" s="1">
        <f>+Transport!J17</f>
        <v>0</v>
      </c>
      <c r="J73" s="1">
        <f>+Transport!K17</f>
        <v>0</v>
      </c>
      <c r="K73" s="1">
        <f>+Transport!L17</f>
        <v>0</v>
      </c>
      <c r="L73" s="1">
        <f>+Transport!M17</f>
        <v>2836.7</v>
      </c>
      <c r="M73" s="1">
        <f>+Transport!N17</f>
        <v>16851.099999999999</v>
      </c>
      <c r="N73" s="1">
        <f>+Transport!O17</f>
        <v>10871.8</v>
      </c>
      <c r="O73" s="1">
        <f>+Transport!P17</f>
        <v>15866.9</v>
      </c>
      <c r="P73" s="1">
        <f>+Transport!Q17</f>
        <v>24276.3</v>
      </c>
      <c r="Q73" s="1">
        <f>+Transport!R17</f>
        <v>41703.1</v>
      </c>
      <c r="R73" s="1">
        <f>+Transport!S17</f>
        <v>41480.799999999996</v>
      </c>
      <c r="S73" s="1">
        <f>+Transport!T17</f>
        <v>40677.1</v>
      </c>
      <c r="T73" s="1">
        <f>+Transport!U17</f>
        <v>42605.599999999999</v>
      </c>
      <c r="U73" s="1">
        <f>+Transport!V17</f>
        <v>41114.1</v>
      </c>
      <c r="V73" s="1">
        <f>+Transport!W17</f>
        <v>23588.5</v>
      </c>
      <c r="W73" s="1">
        <f>+Transport!X17</f>
        <v>29516.5</v>
      </c>
      <c r="X73" s="1">
        <f>+Transport!Y17</f>
        <v>22315.5</v>
      </c>
      <c r="Y73" s="1">
        <f>+Transport!Z17</f>
        <v>18310</v>
      </c>
      <c r="Z73" s="1">
        <f>+Transport!AA17</f>
        <v>5486</v>
      </c>
      <c r="AA73" s="1">
        <f>+Transport!AB17</f>
        <v>3412.75</v>
      </c>
      <c r="AB73" s="1">
        <f>+Transport!AC17</f>
        <v>1311.125</v>
      </c>
      <c r="AC73" s="1">
        <f>+Transport!AD17</f>
        <v>125.375</v>
      </c>
      <c r="AD73" s="1">
        <f>+Transport!AE17</f>
        <v>19.125</v>
      </c>
      <c r="AE73" s="1">
        <f>+Transport!AF17</f>
        <v>0</v>
      </c>
      <c r="AF73" s="1">
        <f>+Transport!AG17</f>
        <v>0</v>
      </c>
      <c r="AG73" s="1">
        <f>+Transport!AH17</f>
        <v>0</v>
      </c>
      <c r="AH73" s="1">
        <f>+Transport!AI17</f>
        <v>0</v>
      </c>
      <c r="AI73" s="1">
        <f>+Transport!AJ17</f>
        <v>0</v>
      </c>
      <c r="AJ73" s="1">
        <f>+Transport!AK17</f>
        <v>0</v>
      </c>
      <c r="AK73" s="1">
        <f>+Transport!AL17</f>
        <v>0</v>
      </c>
      <c r="AL73" s="1">
        <f>+Transport!AM17</f>
        <v>0</v>
      </c>
      <c r="AM73" s="1">
        <f>+Transport!AN17</f>
        <v>0</v>
      </c>
      <c r="AN73" s="1">
        <f>+Transport!AO17</f>
        <v>0</v>
      </c>
      <c r="AO73" s="1">
        <f>+Transport!AP17</f>
        <v>0</v>
      </c>
      <c r="AP73" s="1">
        <f>+Transport!AQ17</f>
        <v>0</v>
      </c>
      <c r="AQ73" s="1">
        <f>+Transport!AR17</f>
        <v>0</v>
      </c>
      <c r="AR73" s="3">
        <f t="shared" ref="AR73:AR80" si="80">SUM(D73:AQ73)</f>
        <v>382368.375</v>
      </c>
      <c r="AT73" s="1">
        <f t="shared" ref="AT73:AT81" si="81">SUM(D73:AP73)</f>
        <v>382368.375</v>
      </c>
    </row>
    <row r="74" spans="1:49" x14ac:dyDescent="0.25">
      <c r="B74" t="s">
        <v>9</v>
      </c>
      <c r="D74" s="1">
        <f>+Transport!E47</f>
        <v>0</v>
      </c>
      <c r="E74" s="1">
        <f>+Transport!F47</f>
        <v>0</v>
      </c>
      <c r="F74" s="1">
        <f>+Transport!G47</f>
        <v>0</v>
      </c>
      <c r="G74" s="1">
        <f>+Transport!H47</f>
        <v>0</v>
      </c>
      <c r="H74" s="1">
        <f>+Transport!I47</f>
        <v>0</v>
      </c>
      <c r="I74" s="1">
        <f>+Transport!J47</f>
        <v>0</v>
      </c>
      <c r="J74" s="1">
        <f>+Transport!K47</f>
        <v>0</v>
      </c>
      <c r="K74" s="1">
        <f>+Transport!L47</f>
        <v>0</v>
      </c>
      <c r="L74" s="1">
        <f>+Transport!M47</f>
        <v>0</v>
      </c>
      <c r="M74" s="1">
        <f>+Transport!N47</f>
        <v>0</v>
      </c>
      <c r="N74" s="1">
        <f>+Transport!O47</f>
        <v>0</v>
      </c>
      <c r="O74" s="1">
        <f>+Transport!P47</f>
        <v>0</v>
      </c>
      <c r="P74" s="1">
        <f>+Transport!Q47</f>
        <v>0</v>
      </c>
      <c r="Q74" s="1">
        <f>+Transport!R47</f>
        <v>0</v>
      </c>
      <c r="R74" s="1">
        <f>+Transport!S47</f>
        <v>1409.6042400000001</v>
      </c>
      <c r="S74" s="1">
        <f>+Transport!T47</f>
        <v>117.46702000000005</v>
      </c>
      <c r="T74" s="1">
        <f>+Transport!U47</f>
        <v>1644.5382800000002</v>
      </c>
      <c r="U74" s="1">
        <f>+Transport!V47</f>
        <v>0</v>
      </c>
      <c r="V74" s="1">
        <f>+Transport!W47</f>
        <v>1010.2163719999999</v>
      </c>
      <c r="W74" s="1">
        <f>+Transport!X47</f>
        <v>0</v>
      </c>
      <c r="X74" s="1">
        <f>+Transport!Y47</f>
        <v>0</v>
      </c>
      <c r="Y74" s="1">
        <f>+Transport!Z47</f>
        <v>0</v>
      </c>
      <c r="Z74" s="1">
        <f>+Transport!AA47</f>
        <v>0</v>
      </c>
      <c r="AA74" s="1">
        <f>+Transport!AB47</f>
        <v>0</v>
      </c>
      <c r="AB74" s="1">
        <f>+Transport!AC47</f>
        <v>0</v>
      </c>
      <c r="AC74" s="1">
        <f>+Transport!AD47</f>
        <v>0</v>
      </c>
      <c r="AD74" s="1">
        <f>+Transport!AE47</f>
        <v>0</v>
      </c>
      <c r="AE74" s="1">
        <f>+Transport!AF47</f>
        <v>0</v>
      </c>
      <c r="AF74" s="1">
        <f>+Transport!AG47</f>
        <v>0</v>
      </c>
      <c r="AG74" s="1">
        <f>+Transport!AH47</f>
        <v>0</v>
      </c>
      <c r="AH74" s="1">
        <f>+Transport!AI47</f>
        <v>0</v>
      </c>
      <c r="AI74" s="1">
        <f>+Transport!AJ47</f>
        <v>0</v>
      </c>
      <c r="AJ74" s="1">
        <f>+Transport!AK47</f>
        <v>0</v>
      </c>
      <c r="AK74" s="1">
        <f>+Transport!AL47</f>
        <v>0</v>
      </c>
      <c r="AL74" s="1">
        <f>+Transport!AM47</f>
        <v>0</v>
      </c>
      <c r="AM74" s="1">
        <f>+Transport!AN47</f>
        <v>0</v>
      </c>
      <c r="AN74" s="1">
        <f>+Transport!AO47</f>
        <v>0</v>
      </c>
      <c r="AO74" s="1">
        <f>+Transport!AP47</f>
        <v>0</v>
      </c>
      <c r="AP74" s="1">
        <f>+Transport!AQ47</f>
        <v>0</v>
      </c>
      <c r="AQ74" s="1">
        <f>+Transport!AR47</f>
        <v>0</v>
      </c>
      <c r="AR74" s="3">
        <f t="shared" si="80"/>
        <v>4181.8259120000002</v>
      </c>
      <c r="AT74" s="1">
        <f t="shared" si="81"/>
        <v>4181.8259120000002</v>
      </c>
    </row>
    <row r="75" spans="1:49" x14ac:dyDescent="0.25">
      <c r="B75" t="s">
        <v>607</v>
      </c>
      <c r="D75" s="1">
        <f>+Transport!E11</f>
        <v>0</v>
      </c>
      <c r="E75" s="1">
        <f>+Transport!F11</f>
        <v>0</v>
      </c>
      <c r="F75" s="1">
        <f>+Transport!G11</f>
        <v>0</v>
      </c>
      <c r="G75" s="1">
        <f>+Transport!H11</f>
        <v>0</v>
      </c>
      <c r="H75" s="1">
        <f>+Transport!I11</f>
        <v>0</v>
      </c>
      <c r="I75" s="1">
        <f>+Transport!J11</f>
        <v>0</v>
      </c>
      <c r="J75" s="1">
        <f>+Transport!K11</f>
        <v>0</v>
      </c>
      <c r="K75" s="1">
        <f>+Transport!L11</f>
        <v>0</v>
      </c>
      <c r="L75" s="1">
        <v>500</v>
      </c>
      <c r="M75" s="1">
        <v>500</v>
      </c>
      <c r="N75" s="1">
        <v>500</v>
      </c>
      <c r="O75" s="1">
        <v>500</v>
      </c>
      <c r="P75" s="1">
        <v>500</v>
      </c>
      <c r="Q75" s="1">
        <v>500</v>
      </c>
      <c r="R75" s="1">
        <v>500</v>
      </c>
      <c r="S75" s="1">
        <v>500</v>
      </c>
      <c r="T75" s="1">
        <v>500</v>
      </c>
      <c r="U75" s="1">
        <v>500</v>
      </c>
      <c r="V75" s="1">
        <v>500</v>
      </c>
      <c r="W75" s="1">
        <v>500</v>
      </c>
      <c r="X75" s="1">
        <v>500</v>
      </c>
      <c r="Y75" s="1">
        <v>500</v>
      </c>
      <c r="Z75" s="1">
        <f>+Transport!AA11</f>
        <v>0</v>
      </c>
      <c r="AA75" s="1">
        <f>+Transport!AB11</f>
        <v>0</v>
      </c>
      <c r="AB75" s="1">
        <f>+Transport!AC11</f>
        <v>0</v>
      </c>
      <c r="AC75" s="1">
        <f>+Transport!AD11</f>
        <v>0</v>
      </c>
      <c r="AD75" s="1">
        <f>+Transport!AE11</f>
        <v>0</v>
      </c>
      <c r="AE75" s="1">
        <f>+Transport!AF11</f>
        <v>0</v>
      </c>
      <c r="AF75" s="1">
        <f>+Transport!AG11</f>
        <v>0</v>
      </c>
      <c r="AG75" s="1">
        <f>+Transport!AH11</f>
        <v>0</v>
      </c>
      <c r="AH75" s="1">
        <f>+Transport!AI11</f>
        <v>0</v>
      </c>
      <c r="AI75" s="1">
        <f>+Transport!AJ11</f>
        <v>0</v>
      </c>
      <c r="AJ75" s="1">
        <f>+Transport!AK11</f>
        <v>0</v>
      </c>
      <c r="AK75" s="1">
        <f>+Transport!AL11</f>
        <v>0</v>
      </c>
      <c r="AL75" s="1">
        <f>+Transport!AM11</f>
        <v>0</v>
      </c>
      <c r="AM75" s="1">
        <f>+Transport!AN11</f>
        <v>0</v>
      </c>
      <c r="AN75" s="1">
        <f>+Transport!AO11</f>
        <v>0</v>
      </c>
      <c r="AO75" s="1">
        <f>+Transport!AP11</f>
        <v>0</v>
      </c>
      <c r="AP75" s="1">
        <f>+Transport!AQ11</f>
        <v>0</v>
      </c>
      <c r="AQ75" s="1">
        <f>+Transport!AR11</f>
        <v>0</v>
      </c>
      <c r="AR75" s="3">
        <f t="shared" si="80"/>
        <v>7000</v>
      </c>
      <c r="AT75" s="1">
        <f t="shared" si="81"/>
        <v>7000</v>
      </c>
    </row>
    <row r="76" spans="1:49" x14ac:dyDescent="0.25">
      <c r="B76" t="s">
        <v>432</v>
      </c>
      <c r="D76" s="1">
        <f t="shared" ref="D76:J77" si="82">+D83*D84</f>
        <v>0</v>
      </c>
      <c r="E76" s="1">
        <f t="shared" si="82"/>
        <v>0</v>
      </c>
      <c r="F76" s="1">
        <f t="shared" si="82"/>
        <v>0</v>
      </c>
      <c r="G76" s="1">
        <f t="shared" si="82"/>
        <v>0</v>
      </c>
      <c r="H76" s="1">
        <f t="shared" si="82"/>
        <v>0</v>
      </c>
      <c r="I76" s="1">
        <f t="shared" si="82"/>
        <v>0</v>
      </c>
      <c r="J76" s="1">
        <f t="shared" si="82"/>
        <v>0</v>
      </c>
      <c r="K76" s="1">
        <f>+K83*K84</f>
        <v>0</v>
      </c>
      <c r="L76" s="1">
        <f t="shared" ref="L76:AQ76" si="83">+L83*L84</f>
        <v>0</v>
      </c>
      <c r="M76" s="1">
        <f t="shared" si="83"/>
        <v>0</v>
      </c>
      <c r="N76" s="1">
        <f t="shared" si="83"/>
        <v>0</v>
      </c>
      <c r="O76" s="1">
        <f t="shared" si="83"/>
        <v>0</v>
      </c>
      <c r="P76" s="1">
        <f t="shared" si="83"/>
        <v>0</v>
      </c>
      <c r="Q76" s="1">
        <f t="shared" si="83"/>
        <v>0</v>
      </c>
      <c r="R76" s="1">
        <f t="shared" si="83"/>
        <v>0</v>
      </c>
      <c r="S76" s="1">
        <f t="shared" si="83"/>
        <v>0</v>
      </c>
      <c r="T76" s="1">
        <f t="shared" si="83"/>
        <v>0</v>
      </c>
      <c r="U76" s="1">
        <f t="shared" si="83"/>
        <v>0</v>
      </c>
      <c r="V76" s="1">
        <f t="shared" si="83"/>
        <v>0</v>
      </c>
      <c r="W76" s="1">
        <f t="shared" si="83"/>
        <v>0</v>
      </c>
      <c r="X76" s="1">
        <f t="shared" si="83"/>
        <v>0</v>
      </c>
      <c r="Y76" s="1">
        <f t="shared" si="83"/>
        <v>0</v>
      </c>
      <c r="Z76" s="1">
        <f t="shared" si="83"/>
        <v>0</v>
      </c>
      <c r="AA76" s="1">
        <f t="shared" si="83"/>
        <v>0</v>
      </c>
      <c r="AB76" s="1">
        <f t="shared" si="83"/>
        <v>0</v>
      </c>
      <c r="AC76" s="1">
        <f t="shared" si="83"/>
        <v>0</v>
      </c>
      <c r="AD76" s="1">
        <f t="shared" si="83"/>
        <v>0</v>
      </c>
      <c r="AE76" s="1">
        <f t="shared" si="83"/>
        <v>0</v>
      </c>
      <c r="AF76" s="1">
        <f t="shared" si="83"/>
        <v>0</v>
      </c>
      <c r="AG76" s="1">
        <f t="shared" si="83"/>
        <v>0</v>
      </c>
      <c r="AH76" s="1">
        <f t="shared" si="83"/>
        <v>0</v>
      </c>
      <c r="AI76" s="1">
        <f t="shared" si="83"/>
        <v>0</v>
      </c>
      <c r="AJ76" s="1">
        <f t="shared" si="83"/>
        <v>0</v>
      </c>
      <c r="AK76" s="1">
        <f t="shared" si="83"/>
        <v>0</v>
      </c>
      <c r="AL76" s="1">
        <f t="shared" si="83"/>
        <v>0</v>
      </c>
      <c r="AM76" s="1">
        <f t="shared" si="83"/>
        <v>0</v>
      </c>
      <c r="AN76" s="1">
        <f t="shared" si="83"/>
        <v>0</v>
      </c>
      <c r="AO76" s="1">
        <f t="shared" si="83"/>
        <v>0</v>
      </c>
      <c r="AP76" s="1">
        <f t="shared" si="83"/>
        <v>0</v>
      </c>
      <c r="AQ76" s="1">
        <f t="shared" si="83"/>
        <v>0</v>
      </c>
      <c r="AR76" s="3">
        <f t="shared" si="80"/>
        <v>0</v>
      </c>
      <c r="AT76" s="1">
        <f t="shared" si="81"/>
        <v>0</v>
      </c>
    </row>
    <row r="77" spans="1:49" x14ac:dyDescent="0.25">
      <c r="B77" t="s">
        <v>591</v>
      </c>
      <c r="D77" s="1">
        <v>0</v>
      </c>
      <c r="E77" s="1">
        <v>0</v>
      </c>
      <c r="F77" s="1">
        <v>0</v>
      </c>
      <c r="G77" s="1">
        <v>0</v>
      </c>
      <c r="H77" s="1">
        <f t="shared" si="82"/>
        <v>0</v>
      </c>
      <c r="I77" s="1">
        <f t="shared" si="82"/>
        <v>0</v>
      </c>
      <c r="J77" s="1">
        <f t="shared" si="82"/>
        <v>0</v>
      </c>
      <c r="K77" s="1">
        <f>+Accrualstrip!$H101</f>
        <v>570</v>
      </c>
      <c r="L77" s="1">
        <f>+Accrualstrip!$H101</f>
        <v>570</v>
      </c>
      <c r="M77" s="1">
        <f>+Accrualstrip!$H101</f>
        <v>570</v>
      </c>
      <c r="N77" s="1">
        <f>+Accrualstrip!$H101</f>
        <v>570</v>
      </c>
      <c r="O77" s="1">
        <f>+Accrualstrip!$H101</f>
        <v>570</v>
      </c>
      <c r="P77" s="1">
        <f>+Accrualstrip!$H101</f>
        <v>570</v>
      </c>
      <c r="Q77" s="1">
        <f>+Accrualstrip!$H101</f>
        <v>570</v>
      </c>
      <c r="R77" s="1">
        <f>+Accrualstrip!$H101</f>
        <v>570</v>
      </c>
      <c r="S77" s="1">
        <f>+Accrualstrip!$H101</f>
        <v>570</v>
      </c>
      <c r="T77" s="1">
        <f>+Accrualstrip!$H101</f>
        <v>570</v>
      </c>
      <c r="U77" s="1">
        <f>+Accrualstrip!$H101</f>
        <v>570</v>
      </c>
      <c r="V77" s="1">
        <f>+Accrualstrip!$H101</f>
        <v>570</v>
      </c>
      <c r="W77" s="1">
        <f>+Accrualstrip!$H101</f>
        <v>570</v>
      </c>
      <c r="X77" s="1">
        <f>+Accrualstrip!$H101</f>
        <v>570</v>
      </c>
      <c r="Y77" s="1">
        <f>+Accrualstrip!$H101</f>
        <v>570</v>
      </c>
      <c r="Z77" s="1">
        <f>+Accrualstrip!$H101</f>
        <v>570</v>
      </c>
      <c r="AA77" s="1">
        <f>+Accrualstrip!$H101</f>
        <v>570</v>
      </c>
      <c r="AB77" s="1">
        <f>+Accrualstrip!$H101</f>
        <v>570</v>
      </c>
      <c r="AC77" s="1">
        <f>+Accrualstrip!$H101</f>
        <v>570</v>
      </c>
      <c r="AD77" s="1">
        <f>+Accrualstrip!$H101</f>
        <v>570</v>
      </c>
      <c r="AR77" s="3">
        <f t="shared" si="80"/>
        <v>11400</v>
      </c>
      <c r="AT77" s="1">
        <f t="shared" si="81"/>
        <v>11400</v>
      </c>
    </row>
    <row r="78" spans="1:49" x14ac:dyDescent="0.25">
      <c r="B78" t="s">
        <v>337</v>
      </c>
      <c r="AR78" s="3">
        <f t="shared" si="80"/>
        <v>0</v>
      </c>
      <c r="AT78" s="1">
        <f t="shared" si="81"/>
        <v>0</v>
      </c>
    </row>
    <row r="79" spans="1:49" x14ac:dyDescent="0.25">
      <c r="B79" t="s">
        <v>259</v>
      </c>
      <c r="AR79" s="3">
        <f t="shared" si="80"/>
        <v>0</v>
      </c>
      <c r="AT79" s="1">
        <f t="shared" si="81"/>
        <v>0</v>
      </c>
    </row>
    <row r="80" spans="1:49" x14ac:dyDescent="0.25">
      <c r="B80" t="s">
        <v>173</v>
      </c>
      <c r="T80" s="104"/>
      <c r="Y80" s="104"/>
      <c r="AR80" s="3">
        <f t="shared" si="80"/>
        <v>0</v>
      </c>
      <c r="AT80" s="1">
        <f t="shared" si="81"/>
        <v>0</v>
      </c>
    </row>
    <row r="81" spans="1:46" s="2" customFormat="1" x14ac:dyDescent="0.25">
      <c r="A81" s="2" t="s">
        <v>313</v>
      </c>
      <c r="D81" s="3">
        <f>SUM(D73:D80)</f>
        <v>0</v>
      </c>
      <c r="E81" s="3">
        <f t="shared" ref="E81:K81" si="84">SUM(E73:E80)</f>
        <v>0</v>
      </c>
      <c r="F81" s="3">
        <f t="shared" si="84"/>
        <v>0</v>
      </c>
      <c r="G81" s="3">
        <f t="shared" si="84"/>
        <v>0</v>
      </c>
      <c r="H81" s="3">
        <f t="shared" si="84"/>
        <v>0</v>
      </c>
      <c r="I81" s="3">
        <f t="shared" si="84"/>
        <v>0</v>
      </c>
      <c r="J81" s="3">
        <f t="shared" si="84"/>
        <v>0</v>
      </c>
      <c r="K81" s="3">
        <f t="shared" si="84"/>
        <v>570</v>
      </c>
      <c r="L81" s="3">
        <f>SUM(L73:L80)</f>
        <v>3906.7</v>
      </c>
      <c r="M81" s="3">
        <f t="shared" ref="M81:AR81" si="85">SUM(M73:M80)</f>
        <v>17921.099999999999</v>
      </c>
      <c r="N81" s="3">
        <f t="shared" si="85"/>
        <v>11941.8</v>
      </c>
      <c r="O81" s="3">
        <f t="shared" si="85"/>
        <v>16936.900000000001</v>
      </c>
      <c r="P81" s="3">
        <f t="shared" si="85"/>
        <v>25346.3</v>
      </c>
      <c r="Q81" s="3">
        <f t="shared" si="85"/>
        <v>42773.1</v>
      </c>
      <c r="R81" s="3">
        <f t="shared" si="85"/>
        <v>43960.404239999996</v>
      </c>
      <c r="S81" s="3">
        <f t="shared" si="85"/>
        <v>41864.567020000002</v>
      </c>
      <c r="T81" s="3">
        <f t="shared" si="85"/>
        <v>45320.138279999999</v>
      </c>
      <c r="U81" s="3">
        <f t="shared" si="85"/>
        <v>42184.1</v>
      </c>
      <c r="V81" s="3">
        <f t="shared" si="85"/>
        <v>25668.716371999999</v>
      </c>
      <c r="W81" s="3">
        <f t="shared" si="85"/>
        <v>30586.5</v>
      </c>
      <c r="X81" s="3">
        <f t="shared" si="85"/>
        <v>23385.5</v>
      </c>
      <c r="Y81" s="3">
        <f t="shared" si="85"/>
        <v>19380</v>
      </c>
      <c r="Z81" s="3">
        <f t="shared" si="85"/>
        <v>6056</v>
      </c>
      <c r="AA81" s="3">
        <f t="shared" si="85"/>
        <v>3982.75</v>
      </c>
      <c r="AB81" s="3">
        <f t="shared" si="85"/>
        <v>1881.125</v>
      </c>
      <c r="AC81" s="3">
        <f t="shared" si="85"/>
        <v>695.375</v>
      </c>
      <c r="AD81" s="3">
        <f t="shared" si="85"/>
        <v>589.125</v>
      </c>
      <c r="AE81" s="3">
        <f t="shared" si="85"/>
        <v>0</v>
      </c>
      <c r="AF81" s="3">
        <f t="shared" si="85"/>
        <v>0</v>
      </c>
      <c r="AG81" s="3">
        <f t="shared" si="85"/>
        <v>0</v>
      </c>
      <c r="AH81" s="3">
        <f t="shared" si="85"/>
        <v>0</v>
      </c>
      <c r="AI81" s="3">
        <f t="shared" si="85"/>
        <v>0</v>
      </c>
      <c r="AJ81" s="3">
        <f t="shared" si="85"/>
        <v>0</v>
      </c>
      <c r="AK81" s="3">
        <f t="shared" si="85"/>
        <v>0</v>
      </c>
      <c r="AL81" s="3">
        <f t="shared" si="85"/>
        <v>0</v>
      </c>
      <c r="AM81" s="3">
        <f t="shared" si="85"/>
        <v>0</v>
      </c>
      <c r="AN81" s="3">
        <f t="shared" si="85"/>
        <v>0</v>
      </c>
      <c r="AO81" s="3">
        <f t="shared" si="85"/>
        <v>0</v>
      </c>
      <c r="AP81" s="3">
        <f t="shared" si="85"/>
        <v>0</v>
      </c>
      <c r="AQ81" s="3">
        <f t="shared" si="85"/>
        <v>0</v>
      </c>
      <c r="AR81" s="3">
        <f t="shared" si="85"/>
        <v>404950.20091200003</v>
      </c>
      <c r="AT81" s="3">
        <f t="shared" si="81"/>
        <v>404950.20091199997</v>
      </c>
    </row>
    <row r="82" spans="1:46" s="24" customFormat="1" x14ac:dyDescent="0.25">
      <c r="A82" s="23"/>
      <c r="B82" s="23"/>
      <c r="C82" s="27" t="s">
        <v>97</v>
      </c>
      <c r="D82" s="25">
        <f>+D81</f>
        <v>0</v>
      </c>
      <c r="E82" s="25">
        <f>+D82+E81</f>
        <v>0</v>
      </c>
      <c r="F82" s="25">
        <f t="shared" ref="F82:AQ82" si="86">+E82+F81</f>
        <v>0</v>
      </c>
      <c r="G82" s="25">
        <f t="shared" si="86"/>
        <v>0</v>
      </c>
      <c r="H82" s="25">
        <f t="shared" si="86"/>
        <v>0</v>
      </c>
      <c r="I82" s="25">
        <f t="shared" si="86"/>
        <v>0</v>
      </c>
      <c r="J82" s="25">
        <f t="shared" si="86"/>
        <v>0</v>
      </c>
      <c r="K82" s="25">
        <f t="shared" si="86"/>
        <v>570</v>
      </c>
      <c r="L82" s="25">
        <f t="shared" si="86"/>
        <v>4476.7</v>
      </c>
      <c r="M82" s="25">
        <f t="shared" si="86"/>
        <v>22397.8</v>
      </c>
      <c r="N82" s="25">
        <f t="shared" si="86"/>
        <v>34339.599999999999</v>
      </c>
      <c r="O82" s="25">
        <f t="shared" si="86"/>
        <v>51276.5</v>
      </c>
      <c r="P82" s="25">
        <f t="shared" si="86"/>
        <v>76622.8</v>
      </c>
      <c r="Q82" s="25">
        <f t="shared" si="86"/>
        <v>119395.9</v>
      </c>
      <c r="R82" s="25">
        <f t="shared" si="86"/>
        <v>163356.30424</v>
      </c>
      <c r="S82" s="25">
        <f t="shared" si="86"/>
        <v>205220.87125999999</v>
      </c>
      <c r="T82" s="25">
        <f t="shared" si="86"/>
        <v>250541.00954</v>
      </c>
      <c r="U82" s="25">
        <f t="shared" si="86"/>
        <v>292725.10953999998</v>
      </c>
      <c r="V82" s="25">
        <f t="shared" si="86"/>
        <v>318393.82591199997</v>
      </c>
      <c r="W82" s="25">
        <f t="shared" si="86"/>
        <v>348980.32591199997</v>
      </c>
      <c r="X82" s="25">
        <f t="shared" si="86"/>
        <v>372365.82591199997</v>
      </c>
      <c r="Y82" s="25">
        <f t="shared" si="86"/>
        <v>391745.82591199997</v>
      </c>
      <c r="Z82" s="25">
        <f t="shared" si="86"/>
        <v>397801.82591199997</v>
      </c>
      <c r="AA82" s="25">
        <f t="shared" si="86"/>
        <v>401784.57591199997</v>
      </c>
      <c r="AB82" s="25">
        <f t="shared" si="86"/>
        <v>403665.70091199997</v>
      </c>
      <c r="AC82" s="25">
        <f t="shared" si="86"/>
        <v>404361.07591199997</v>
      </c>
      <c r="AD82" s="25">
        <f t="shared" si="86"/>
        <v>404950.20091199997</v>
      </c>
      <c r="AE82" s="25">
        <f t="shared" si="86"/>
        <v>404950.20091199997</v>
      </c>
      <c r="AF82" s="25">
        <f t="shared" si="86"/>
        <v>404950.20091199997</v>
      </c>
      <c r="AG82" s="25">
        <f t="shared" si="86"/>
        <v>404950.20091199997</v>
      </c>
      <c r="AH82" s="25">
        <f t="shared" si="86"/>
        <v>404950.20091199997</v>
      </c>
      <c r="AI82" s="25">
        <f t="shared" si="86"/>
        <v>404950.20091199997</v>
      </c>
      <c r="AJ82" s="25">
        <f t="shared" si="86"/>
        <v>404950.20091199997</v>
      </c>
      <c r="AK82" s="25">
        <f t="shared" si="86"/>
        <v>404950.20091199997</v>
      </c>
      <c r="AL82" s="25">
        <f t="shared" si="86"/>
        <v>404950.20091199997</v>
      </c>
      <c r="AM82" s="25">
        <f t="shared" si="86"/>
        <v>404950.20091199997</v>
      </c>
      <c r="AN82" s="25">
        <f t="shared" si="86"/>
        <v>404950.20091199997</v>
      </c>
      <c r="AO82" s="25">
        <f t="shared" si="86"/>
        <v>404950.20091199997</v>
      </c>
      <c r="AP82" s="25">
        <f t="shared" si="86"/>
        <v>404950.20091199997</v>
      </c>
      <c r="AQ82" s="25">
        <f t="shared" si="86"/>
        <v>404950.20091199997</v>
      </c>
      <c r="AR82" s="48"/>
    </row>
    <row r="83" spans="1:46" x14ac:dyDescent="0.25">
      <c r="B83"/>
      <c r="C83" t="s">
        <v>439</v>
      </c>
      <c r="AT83" s="3"/>
    </row>
    <row r="84" spans="1:46" x14ac:dyDescent="0.25">
      <c r="B84"/>
    </row>
    <row r="85" spans="1:46" x14ac:dyDescent="0.25">
      <c r="B85"/>
      <c r="AQ85" s="3" t="s">
        <v>479</v>
      </c>
      <c r="AT85" s="145">
        <f>+AT81/AT70</f>
        <v>0.13171128853106714</v>
      </c>
    </row>
    <row r="86" spans="1:46" x14ac:dyDescent="0.25">
      <c r="B86"/>
      <c r="AT86" s="1"/>
    </row>
  </sheetData>
  <sortState xmlns:xlrd2="http://schemas.microsoft.com/office/spreadsheetml/2017/richdata2" ref="C46:C59">
    <sortCondition ref="C46:C59"/>
  </sortState>
  <pageMargins left="0.70866141732283472" right="0.11811023622047245" top="0.74803149606299213" bottom="0.74803149606299213" header="0.31496062992125984" footer="0.31496062992125984"/>
  <pageSetup paperSize="9" scale="90" orientation="portrait" r:id="rId1"/>
  <headerFooter>
    <oddFooter>&amp;L&amp;F&amp;R&amp;D</oddFooter>
  </headerFooter>
  <rowBreaks count="1" manualBreakCount="1">
    <brk id="8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7"/>
  <sheetViews>
    <sheetView workbookViewId="0">
      <pane xSplit="3" ySplit="2" topLeftCell="AC18" activePane="bottomRight" state="frozen"/>
      <selection activeCell="AT77" activeCellId="3" sqref="AT4:AT23 AT28:AT47 AT52:AT71 AT77:AT90"/>
      <selection pane="topRight" activeCell="AT77" activeCellId="3" sqref="AT4:AT23 AT28:AT47 AT52:AT71 AT77:AT90"/>
      <selection pane="bottomLeft" activeCell="AT77" activeCellId="3" sqref="AT4:AT23 AT28:AT47 AT52:AT71 AT77:AT90"/>
      <selection pane="bottomRight" activeCell="AT27" sqref="AT27"/>
    </sheetView>
  </sheetViews>
  <sheetFormatPr defaultRowHeight="15" x14ac:dyDescent="0.25"/>
  <cols>
    <col min="1" max="1" width="3.42578125" style="2" customWidth="1"/>
    <col min="2" max="2" width="5.42578125" style="2" customWidth="1"/>
    <col min="3" max="3" width="28.85546875" customWidth="1"/>
    <col min="4" max="43" width="9.140625" style="1" customWidth="1"/>
    <col min="44" max="44" width="9.140625" style="3" customWidth="1"/>
    <col min="45" max="45" width="3.5703125" customWidth="1"/>
    <col min="46" max="46" width="10" customWidth="1"/>
  </cols>
  <sheetData>
    <row r="1" spans="1:46" x14ac:dyDescent="0.25">
      <c r="A1" s="2" t="s">
        <v>497</v>
      </c>
      <c r="D1" s="142">
        <v>45292</v>
      </c>
      <c r="E1" s="142">
        <v>45292</v>
      </c>
      <c r="F1" s="142">
        <v>45292</v>
      </c>
      <c r="G1" s="142">
        <v>45292</v>
      </c>
      <c r="H1" s="142">
        <v>45292</v>
      </c>
      <c r="I1" s="142">
        <v>45323</v>
      </c>
      <c r="J1" s="142">
        <v>45323</v>
      </c>
      <c r="K1" s="142">
        <v>45323</v>
      </c>
      <c r="L1" s="142">
        <v>45323</v>
      </c>
      <c r="M1" s="142">
        <v>45352</v>
      </c>
      <c r="N1" s="142">
        <v>45352</v>
      </c>
      <c r="O1" s="142">
        <v>45352</v>
      </c>
      <c r="P1" s="142">
        <v>45352</v>
      </c>
      <c r="Q1" s="142">
        <v>45383</v>
      </c>
      <c r="R1" s="142">
        <v>45383</v>
      </c>
      <c r="S1" s="142">
        <v>45383</v>
      </c>
      <c r="T1" s="142">
        <v>45383</v>
      </c>
      <c r="U1" s="142">
        <v>45413</v>
      </c>
      <c r="V1" s="142">
        <v>45413</v>
      </c>
      <c r="W1" s="142">
        <v>45413</v>
      </c>
      <c r="X1" s="142">
        <v>45413</v>
      </c>
      <c r="Y1" s="142">
        <v>45413</v>
      </c>
      <c r="Z1" s="142">
        <v>45444</v>
      </c>
      <c r="AA1" s="142">
        <v>45444</v>
      </c>
      <c r="AB1" s="142">
        <v>45444</v>
      </c>
      <c r="AC1" s="142">
        <v>45444</v>
      </c>
      <c r="AD1" s="142">
        <v>45474</v>
      </c>
      <c r="AE1" s="142">
        <v>45474</v>
      </c>
      <c r="AF1" s="142">
        <v>45474</v>
      </c>
      <c r="AG1" s="142">
        <v>45474</v>
      </c>
      <c r="AH1" s="142">
        <v>45474</v>
      </c>
      <c r="AI1" s="142">
        <v>45505</v>
      </c>
      <c r="AJ1" s="142">
        <v>45505</v>
      </c>
      <c r="AK1" s="142">
        <v>45505</v>
      </c>
      <c r="AL1" s="142">
        <v>45505</v>
      </c>
      <c r="AM1" s="142">
        <v>45536</v>
      </c>
      <c r="AN1" s="142">
        <v>45536</v>
      </c>
      <c r="AO1" s="142">
        <v>45536</v>
      </c>
      <c r="AP1" s="142">
        <v>45536</v>
      </c>
      <c r="AQ1" s="13" t="s">
        <v>282</v>
      </c>
      <c r="AT1" s="4" t="str">
        <f>+Accrualstrip!AT1</f>
        <v>SEPT YTD</v>
      </c>
    </row>
    <row r="2" spans="1:46" x14ac:dyDescent="0.25">
      <c r="D2" s="13" t="s">
        <v>491</v>
      </c>
      <c r="E2" s="13" t="s">
        <v>492</v>
      </c>
      <c r="F2" s="13" t="s">
        <v>493</v>
      </c>
      <c r="G2" s="13" t="s">
        <v>494</v>
      </c>
      <c r="H2" s="13" t="s">
        <v>495</v>
      </c>
      <c r="I2" s="13" t="s">
        <v>496</v>
      </c>
      <c r="J2" s="13" t="s">
        <v>263</v>
      </c>
      <c r="K2" s="13" t="s">
        <v>264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3" t="s">
        <v>54</v>
      </c>
      <c r="V2" s="13" t="s">
        <v>20</v>
      </c>
      <c r="W2" s="13" t="s">
        <v>21</v>
      </c>
      <c r="X2" s="13" t="s">
        <v>22</v>
      </c>
      <c r="Y2" s="13" t="s">
        <v>23</v>
      </c>
      <c r="Z2" s="13" t="s">
        <v>24</v>
      </c>
      <c r="AA2" s="13" t="s">
        <v>25</v>
      </c>
      <c r="AB2" s="13" t="s">
        <v>26</v>
      </c>
      <c r="AC2" s="13" t="s">
        <v>27</v>
      </c>
      <c r="AD2" s="13" t="s">
        <v>28</v>
      </c>
      <c r="AE2" s="13" t="s">
        <v>29</v>
      </c>
      <c r="AF2" s="13" t="s">
        <v>30</v>
      </c>
      <c r="AG2" s="13" t="s">
        <v>31</v>
      </c>
      <c r="AH2" s="13" t="s">
        <v>32</v>
      </c>
      <c r="AI2" s="13" t="s">
        <v>33</v>
      </c>
      <c r="AJ2" s="13" t="s">
        <v>34</v>
      </c>
      <c r="AK2" s="13" t="s">
        <v>55</v>
      </c>
      <c r="AL2" s="13" t="s">
        <v>56</v>
      </c>
      <c r="AM2" s="13" t="s">
        <v>57</v>
      </c>
      <c r="AN2" s="13" t="s">
        <v>58</v>
      </c>
      <c r="AO2" s="13" t="s">
        <v>59</v>
      </c>
      <c r="AP2" s="13" t="s">
        <v>60</v>
      </c>
      <c r="AQ2" s="4" t="s">
        <v>61</v>
      </c>
      <c r="AR2" s="52" t="s">
        <v>2</v>
      </c>
      <c r="AT2" s="4" t="s">
        <v>88</v>
      </c>
    </row>
    <row r="3" spans="1:46" x14ac:dyDescent="0.25">
      <c r="A3" s="2" t="s">
        <v>498</v>
      </c>
    </row>
    <row r="4" spans="1:46" x14ac:dyDescent="0.25">
      <c r="C4" t="s">
        <v>190</v>
      </c>
      <c r="D4" s="1">
        <f>+'PassRev Herb'!D97</f>
        <v>0</v>
      </c>
      <c r="E4" s="1">
        <f>+'PassRev Herb'!E97</f>
        <v>0</v>
      </c>
      <c r="F4" s="1">
        <f>+'PassRev Herb'!F97</f>
        <v>0</v>
      </c>
      <c r="G4" s="1">
        <f>+'PassRev Herb'!G97</f>
        <v>10029.32</v>
      </c>
      <c r="H4" s="1">
        <f>+'PassRev Herb'!H97</f>
        <v>-58.67</v>
      </c>
      <c r="I4" s="1">
        <f>+'PassRev Herb'!I97</f>
        <v>0</v>
      </c>
      <c r="J4" s="1">
        <f>+'PassRev Herb'!J97</f>
        <v>403.28</v>
      </c>
      <c r="K4" s="1">
        <f>+'PassRev Herb'!K97</f>
        <v>901.18000000000006</v>
      </c>
      <c r="L4" s="1">
        <f>+'PassRev Herb'!L97</f>
        <v>15684.080000000002</v>
      </c>
      <c r="M4" s="1">
        <f>+'PassRev Herb'!M97</f>
        <v>-51.300000000000004</v>
      </c>
      <c r="N4" s="1">
        <f>+'PassRev Herb'!N97</f>
        <v>2056.54</v>
      </c>
      <c r="O4" s="1">
        <f>+'PassRev Herb'!O97</f>
        <v>1755.94</v>
      </c>
      <c r="P4" s="1">
        <f>+'PassRev Herb'!P97</f>
        <v>4492.74</v>
      </c>
      <c r="Q4" s="1">
        <f>+'PassRev Herb'!Q97</f>
        <v>8602.0199999999986</v>
      </c>
      <c r="R4" s="1">
        <f>+'PassRev Herb'!R97</f>
        <v>10511.74</v>
      </c>
      <c r="S4" s="1">
        <f>+'PassRev Herb'!S97</f>
        <v>2372.2000000000003</v>
      </c>
      <c r="T4" s="1">
        <f>+'PassRev Herb'!T97</f>
        <v>9421.32</v>
      </c>
      <c r="U4" s="1">
        <f>+'PassRev Herb'!U97</f>
        <v>1772.46</v>
      </c>
      <c r="V4" s="1">
        <f>+'PassRev Herb'!V97</f>
        <v>4569.1100000000006</v>
      </c>
      <c r="W4" s="1">
        <f>+'PassRev Herb'!W97</f>
        <v>3921.64</v>
      </c>
      <c r="X4" s="1">
        <f>+'PassRev Herb'!X97</f>
        <v>12163.06</v>
      </c>
      <c r="Y4" s="1">
        <f>+'PassRev Herb'!Y97</f>
        <v>1665.585</v>
      </c>
      <c r="Z4" s="1">
        <f>+'PassRev Herb'!Z97</f>
        <v>2643.7000000000003</v>
      </c>
      <c r="AA4" s="1">
        <f>+'PassRev Herb'!AA97</f>
        <v>1000.1999999999997</v>
      </c>
      <c r="AB4" s="1">
        <f>+'PassRev Herb'!AB97</f>
        <v>2807.58</v>
      </c>
      <c r="AC4" s="1">
        <f>+'PassRev Herb'!AC97</f>
        <v>2081.94</v>
      </c>
      <c r="AD4" s="1">
        <f>+'PassRev Herb'!AD97</f>
        <v>1410.18</v>
      </c>
      <c r="AE4" s="1">
        <f>+'PassRev Herb'!AE97</f>
        <v>1642.6000000000001</v>
      </c>
      <c r="AF4" s="1">
        <f>+'PassRev Herb'!AF97</f>
        <v>2353.33</v>
      </c>
      <c r="AG4" s="1">
        <f>+'PassRev Herb'!AG97</f>
        <v>1581.82</v>
      </c>
      <c r="AH4" s="1">
        <f>+'PassRev Herb'!AH97</f>
        <v>4721.74</v>
      </c>
      <c r="AI4" s="1">
        <f>+'PassRev Herb'!AI97</f>
        <v>4203.66</v>
      </c>
      <c r="AJ4" s="1">
        <f>+'PassRev Herb'!AJ97</f>
        <v>12868.93</v>
      </c>
      <c r="AK4" s="1">
        <f>+'PassRev Herb'!AK97</f>
        <v>1727.18</v>
      </c>
      <c r="AL4" s="1">
        <f>+'PassRev Herb'!AL97</f>
        <v>1953.6</v>
      </c>
      <c r="AM4" s="1">
        <f>+'PassRev Herb'!AM97</f>
        <v>1110.6400000000001</v>
      </c>
      <c r="AN4" s="1">
        <f>+'PassRev Herb'!AN97</f>
        <v>-42.3</v>
      </c>
      <c r="AO4" s="1">
        <f>+'PassRev Herb'!AO97</f>
        <v>0</v>
      </c>
      <c r="AP4" s="1">
        <f>+'PassRev Herb'!AP97</f>
        <v>0</v>
      </c>
      <c r="AQ4" s="1">
        <f>+'PassRev Herb'!AQ97</f>
        <v>0</v>
      </c>
      <c r="AR4" s="3">
        <f t="shared" ref="AR4:AR23" si="0">SUM(D4:AQ4)</f>
        <v>132277.04500000004</v>
      </c>
      <c r="AT4" s="1">
        <f>SUM(D4:AP4)</f>
        <v>132277.04500000004</v>
      </c>
    </row>
    <row r="5" spans="1:46" x14ac:dyDescent="0.25">
      <c r="C5" t="s">
        <v>424</v>
      </c>
      <c r="D5" s="1">
        <f>+'PassRev Herb'!D98</f>
        <v>0</v>
      </c>
      <c r="E5" s="1">
        <f>+'PassRev Herb'!E98</f>
        <v>0</v>
      </c>
      <c r="F5" s="1">
        <f>+'PassRev Herb'!F98</f>
        <v>0</v>
      </c>
      <c r="G5" s="1">
        <f>+'PassRev Herb'!G98</f>
        <v>0</v>
      </c>
      <c r="H5" s="1">
        <f>+'PassRev Herb'!H98</f>
        <v>535.36</v>
      </c>
      <c r="I5" s="1">
        <f>+'PassRev Herb'!I98</f>
        <v>720.64</v>
      </c>
      <c r="J5" s="1">
        <f>+'PassRev Herb'!J98</f>
        <v>0</v>
      </c>
      <c r="K5" s="1">
        <f>+'PassRev Herb'!K98</f>
        <v>0</v>
      </c>
      <c r="L5" s="1">
        <f>+'PassRev Herb'!L98</f>
        <v>1038.8800000000001</v>
      </c>
      <c r="M5" s="1">
        <f>+'PassRev Herb'!M98</f>
        <v>2104.3999999999996</v>
      </c>
      <c r="N5" s="1">
        <f>+'PassRev Herb'!N98</f>
        <v>1161.44</v>
      </c>
      <c r="O5" s="1">
        <f>+'PassRev Herb'!O98</f>
        <v>2587.6799999999998</v>
      </c>
      <c r="P5" s="1">
        <f>+'PassRev Herb'!P98</f>
        <v>2903.44</v>
      </c>
      <c r="Q5" s="1">
        <f>+'PassRev Herb'!Q98</f>
        <v>2576.36</v>
      </c>
      <c r="R5" s="1">
        <f>+'PassRev Herb'!R98</f>
        <v>2696.3199999999997</v>
      </c>
      <c r="S5" s="1">
        <f>+'PassRev Herb'!S98</f>
        <v>3877.84</v>
      </c>
      <c r="T5" s="1">
        <f>+'PassRev Herb'!T98</f>
        <v>3177.44</v>
      </c>
      <c r="U5" s="1">
        <f>+'PassRev Herb'!U98</f>
        <v>1317.2</v>
      </c>
      <c r="V5" s="1">
        <f>+'PassRev Herb'!V98</f>
        <v>2723.9200000000005</v>
      </c>
      <c r="W5" s="1">
        <f>+'PassRev Herb'!W98</f>
        <v>3913.92</v>
      </c>
      <c r="X5" s="1">
        <f>+'PassRev Herb'!X98</f>
        <v>1388.64</v>
      </c>
      <c r="Y5" s="1">
        <f>+'PassRev Herb'!Y98</f>
        <v>1176.3800000000001</v>
      </c>
      <c r="Z5" s="1">
        <f>+'PassRev Herb'!Z98</f>
        <v>2305.52</v>
      </c>
      <c r="AA5" s="1">
        <f>+'PassRev Herb'!AA98</f>
        <v>742.64</v>
      </c>
      <c r="AB5" s="1">
        <f>+'PassRev Herb'!AB98</f>
        <v>419.76</v>
      </c>
      <c r="AC5" s="1">
        <f>+'PassRev Herb'!AC98</f>
        <v>751.12</v>
      </c>
      <c r="AD5" s="1">
        <f>+'PassRev Herb'!AD98</f>
        <v>463.2</v>
      </c>
      <c r="AE5" s="1">
        <f>+'PassRev Herb'!AE98</f>
        <v>652.31999999999994</v>
      </c>
      <c r="AF5" s="1">
        <f>+'PassRev Herb'!AF98</f>
        <v>242.39999999999998</v>
      </c>
      <c r="AG5" s="1">
        <f>+'PassRev Herb'!AG98</f>
        <v>0</v>
      </c>
      <c r="AH5" s="1">
        <f>+'PassRev Herb'!AH98</f>
        <v>0</v>
      </c>
      <c r="AI5" s="1">
        <f>+'PassRev Herb'!AI98</f>
        <v>0</v>
      </c>
      <c r="AJ5" s="1">
        <f>+'PassRev Herb'!AJ98</f>
        <v>409.91999999999996</v>
      </c>
      <c r="AK5" s="1">
        <f>+'PassRev Herb'!AK98</f>
        <v>0</v>
      </c>
      <c r="AL5" s="1">
        <f>+'PassRev Herb'!AL98</f>
        <v>657.5200000000001</v>
      </c>
      <c r="AM5" s="1">
        <f>+'PassRev Herb'!AM98</f>
        <v>0</v>
      </c>
      <c r="AN5" s="1">
        <f>+'PassRev Herb'!AN98</f>
        <v>0</v>
      </c>
      <c r="AO5" s="1">
        <f>+'PassRev Herb'!AO98</f>
        <v>0</v>
      </c>
      <c r="AP5" s="1">
        <f>+'PassRev Herb'!AP98</f>
        <v>0</v>
      </c>
      <c r="AQ5" s="1">
        <f>+'PassRev Herb'!AQ98</f>
        <v>0</v>
      </c>
      <c r="AR5" s="3">
        <f t="shared" si="0"/>
        <v>40544.259999999995</v>
      </c>
      <c r="AT5" s="1">
        <f t="shared" ref="AT5:AT24" si="1">SUM(D5:AP5)</f>
        <v>40544.259999999995</v>
      </c>
    </row>
    <row r="6" spans="1:46" x14ac:dyDescent="0.25">
      <c r="C6" t="s">
        <v>347</v>
      </c>
      <c r="D6" s="1">
        <f>+'PassRev Herb'!D99</f>
        <v>0</v>
      </c>
      <c r="E6" s="1">
        <f>+'PassRev Herb'!E99</f>
        <v>0</v>
      </c>
      <c r="F6" s="1">
        <f>+'PassRev Herb'!F99</f>
        <v>0</v>
      </c>
      <c r="G6" s="1">
        <f>+'PassRev Herb'!G99</f>
        <v>0</v>
      </c>
      <c r="H6" s="1">
        <f>+'PassRev Herb'!H99</f>
        <v>0</v>
      </c>
      <c r="I6" s="1">
        <f>+'PassRev Herb'!I99</f>
        <v>0</v>
      </c>
      <c r="J6" s="1">
        <f>+'PassRev Herb'!J99</f>
        <v>0</v>
      </c>
      <c r="K6" s="1">
        <f>+'PassRev Herb'!K99</f>
        <v>0</v>
      </c>
      <c r="L6" s="1">
        <f>+'PassRev Herb'!L99</f>
        <v>154.4</v>
      </c>
      <c r="M6" s="1">
        <f>+'PassRev Herb'!M99</f>
        <v>0</v>
      </c>
      <c r="N6" s="1">
        <f>+'PassRev Herb'!N99</f>
        <v>0</v>
      </c>
      <c r="O6" s="1">
        <f>+'PassRev Herb'!O99</f>
        <v>189.51999999999998</v>
      </c>
      <c r="P6" s="1">
        <f>+'PassRev Herb'!P99</f>
        <v>605.99999999999989</v>
      </c>
      <c r="Q6" s="1">
        <f>+'PassRev Herb'!Q99</f>
        <v>226.95999999999998</v>
      </c>
      <c r="R6" s="1">
        <f>+'PassRev Herb'!R99</f>
        <v>684.16</v>
      </c>
      <c r="S6" s="1">
        <f>+'PassRev Herb'!S99</f>
        <v>570.88</v>
      </c>
      <c r="T6" s="1">
        <f>+'PassRev Herb'!T99</f>
        <v>1359.8400000000001</v>
      </c>
      <c r="U6" s="1">
        <f>+'PassRev Herb'!U99</f>
        <v>599.04</v>
      </c>
      <c r="V6" s="1">
        <f>+'PassRev Herb'!V99</f>
        <v>1435.2800000000002</v>
      </c>
      <c r="W6" s="1">
        <f>+'PassRev Herb'!W99</f>
        <v>1715.12</v>
      </c>
      <c r="X6" s="1">
        <f>+'PassRev Herb'!X99</f>
        <v>1675.76</v>
      </c>
      <c r="Y6" s="1">
        <f>+'PassRev Herb'!Y99</f>
        <v>18.72</v>
      </c>
      <c r="Z6" s="1">
        <f>+'PassRev Herb'!Z99</f>
        <v>374.4</v>
      </c>
      <c r="AA6" s="1">
        <f>+'PassRev Herb'!AA99</f>
        <v>93.6</v>
      </c>
      <c r="AB6" s="1">
        <f>+'PassRev Herb'!AB99</f>
        <v>204.95999999999998</v>
      </c>
      <c r="AC6" s="1">
        <f>+'PassRev Herb'!AC99</f>
        <v>247.04</v>
      </c>
      <c r="AD6" s="1">
        <f>+'PassRev Herb'!AD99</f>
        <v>315.36</v>
      </c>
      <c r="AE6" s="1">
        <f>+'PassRev Herb'!AE99</f>
        <v>0</v>
      </c>
      <c r="AF6" s="1">
        <f>+'PassRev Herb'!AF99</f>
        <v>112.32</v>
      </c>
      <c r="AG6" s="1">
        <f>+'PassRev Herb'!AG99</f>
        <v>532.08000000000004</v>
      </c>
      <c r="AH6" s="1">
        <f>+'PassRev Herb'!AH99</f>
        <v>0</v>
      </c>
      <c r="AI6" s="1">
        <f>+'PassRev Herb'!AI99</f>
        <v>154.4</v>
      </c>
      <c r="AJ6" s="1">
        <f>+'PassRev Herb'!AJ99</f>
        <v>204.95999999999998</v>
      </c>
      <c r="AK6" s="1">
        <f>+'PassRev Herb'!AK99</f>
        <v>385.59999999999997</v>
      </c>
      <c r="AL6" s="1">
        <f>+'PassRev Herb'!AL99</f>
        <v>0</v>
      </c>
      <c r="AM6" s="1">
        <f>+'PassRev Herb'!AM99</f>
        <v>0</v>
      </c>
      <c r="AN6" s="1">
        <f>+'PassRev Herb'!AN99</f>
        <v>0</v>
      </c>
      <c r="AO6" s="1">
        <f>+'PassRev Herb'!AO99</f>
        <v>0</v>
      </c>
      <c r="AP6" s="1">
        <f>+'PassRev Herb'!AP99</f>
        <v>0</v>
      </c>
      <c r="AQ6" s="1">
        <f>+'PassRev Herb'!AQ99</f>
        <v>0</v>
      </c>
      <c r="AR6" s="3">
        <f t="shared" si="0"/>
        <v>11860.399999999998</v>
      </c>
      <c r="AT6" s="1">
        <f t="shared" si="1"/>
        <v>11860.399999999998</v>
      </c>
    </row>
    <row r="7" spans="1:46" x14ac:dyDescent="0.25">
      <c r="C7" t="s">
        <v>0</v>
      </c>
      <c r="D7" s="1">
        <f>+'PassRev Herb'!D100</f>
        <v>0</v>
      </c>
      <c r="E7" s="1">
        <f>+'PassRev Herb'!E100</f>
        <v>0</v>
      </c>
      <c r="F7" s="1">
        <f>+'PassRev Herb'!F100</f>
        <v>0</v>
      </c>
      <c r="G7" s="1">
        <f>+'PassRev Herb'!G100</f>
        <v>63991.040000000001</v>
      </c>
      <c r="H7" s="1">
        <f>+'PassRev Herb'!H100</f>
        <v>0</v>
      </c>
      <c r="I7" s="1">
        <f>+'PassRev Herb'!I100</f>
        <v>0</v>
      </c>
      <c r="J7" s="1">
        <f>+'PassRev Herb'!J100</f>
        <v>17078</v>
      </c>
      <c r="K7" s="1">
        <f>+'PassRev Herb'!K100</f>
        <v>22903.200000000001</v>
      </c>
      <c r="L7" s="1">
        <f>+'PassRev Herb'!L100</f>
        <v>1204.56</v>
      </c>
      <c r="M7" s="1">
        <f>+'PassRev Herb'!M100</f>
        <v>24335.440000000002</v>
      </c>
      <c r="N7" s="1">
        <f>+'PassRev Herb'!N100</f>
        <v>22338.32</v>
      </c>
      <c r="O7" s="1">
        <f>+'PassRev Herb'!O100</f>
        <v>15036.16</v>
      </c>
      <c r="P7" s="1">
        <f>+'PassRev Herb'!P100</f>
        <v>10096</v>
      </c>
      <c r="Q7" s="1">
        <f>+'PassRev Herb'!Q100</f>
        <v>17611.04</v>
      </c>
      <c r="R7" s="1">
        <f>+'PassRev Herb'!R100</f>
        <v>15107.119999999999</v>
      </c>
      <c r="S7" s="1">
        <f>+'PassRev Herb'!S100</f>
        <v>23246.16</v>
      </c>
      <c r="T7" s="1">
        <f>+'PassRev Herb'!T100</f>
        <v>17967.28</v>
      </c>
      <c r="U7" s="1">
        <f>+'PassRev Herb'!U100</f>
        <v>37170.479999999996</v>
      </c>
      <c r="V7" s="1">
        <f>+'PassRev Herb'!V100</f>
        <v>16749.760000000002</v>
      </c>
      <c r="W7" s="1">
        <f>+'PassRev Herb'!W100</f>
        <v>21457.919999999998</v>
      </c>
      <c r="X7" s="1">
        <f>+'PassRev Herb'!X100</f>
        <v>20167.04</v>
      </c>
      <c r="Y7" s="1">
        <f>+'PassRev Herb'!Y100</f>
        <v>19329.2</v>
      </c>
      <c r="Z7" s="1">
        <f>+'PassRev Herb'!Z100</f>
        <v>15420.880000000001</v>
      </c>
      <c r="AA7" s="1">
        <f>+'PassRev Herb'!AA100</f>
        <v>17080.96</v>
      </c>
      <c r="AB7" s="1">
        <f>+'PassRev Herb'!AB100</f>
        <v>17825.84</v>
      </c>
      <c r="AC7" s="1">
        <f>+'PassRev Herb'!AC100</f>
        <v>9361.44</v>
      </c>
      <c r="AD7" s="1">
        <f>+'PassRev Herb'!AD100</f>
        <v>17846.559999999998</v>
      </c>
      <c r="AE7" s="1">
        <f>+'PassRev Herb'!AE100</f>
        <v>2638.3999999999996</v>
      </c>
      <c r="AF7" s="1">
        <f>+'PassRev Herb'!AF100</f>
        <v>1481.6</v>
      </c>
      <c r="AG7" s="1">
        <f>+'PassRev Herb'!AG100</f>
        <v>4503.12</v>
      </c>
      <c r="AH7" s="1">
        <f>+'PassRev Herb'!AH100</f>
        <v>1438.48</v>
      </c>
      <c r="AI7" s="1">
        <f>+'PassRev Herb'!AI100</f>
        <v>7209.2</v>
      </c>
      <c r="AJ7" s="1">
        <f>+'PassRev Herb'!AJ100</f>
        <v>6220</v>
      </c>
      <c r="AK7" s="1">
        <f>+'PassRev Herb'!AK100</f>
        <v>6244.56</v>
      </c>
      <c r="AL7" s="1">
        <f>+'PassRev Herb'!AL100</f>
        <v>3372.2400000000002</v>
      </c>
      <c r="AM7" s="1">
        <f>+'PassRev Herb'!AM100</f>
        <v>1682.4</v>
      </c>
      <c r="AN7" s="1">
        <f>+'PassRev Herb'!AN100</f>
        <v>2965.2</v>
      </c>
      <c r="AO7" s="1">
        <f>+'PassRev Herb'!AO100</f>
        <v>0</v>
      </c>
      <c r="AP7" s="1">
        <f>+'PassRev Herb'!AP100</f>
        <v>0</v>
      </c>
      <c r="AQ7" s="1">
        <f>+'PassRev Herb'!AQ100</f>
        <v>0</v>
      </c>
      <c r="AR7" s="3">
        <f t="shared" si="0"/>
        <v>481079.60000000003</v>
      </c>
      <c r="AT7" s="1">
        <f t="shared" si="1"/>
        <v>481079.60000000003</v>
      </c>
    </row>
    <row r="8" spans="1:46" x14ac:dyDescent="0.25">
      <c r="C8" t="s">
        <v>354</v>
      </c>
      <c r="D8" s="1">
        <f>+'PassRev Herb'!D101</f>
        <v>0</v>
      </c>
      <c r="E8" s="1">
        <f>+'PassRev Herb'!E101</f>
        <v>0</v>
      </c>
      <c r="F8" s="1">
        <f>+'PassRev Herb'!F101</f>
        <v>0</v>
      </c>
      <c r="G8" s="1">
        <f>+'PassRev Herb'!G101</f>
        <v>0</v>
      </c>
      <c r="H8" s="1">
        <f>+'PassRev Herb'!H101</f>
        <v>0</v>
      </c>
      <c r="I8" s="1">
        <f>+'PassRev Herb'!I101</f>
        <v>0</v>
      </c>
      <c r="J8" s="1">
        <f>+'PassRev Herb'!J101</f>
        <v>0</v>
      </c>
      <c r="K8" s="1">
        <f>+'PassRev Herb'!K101</f>
        <v>0</v>
      </c>
      <c r="L8" s="1">
        <f>+'PassRev Herb'!L101</f>
        <v>0</v>
      </c>
      <c r="M8" s="1">
        <f>+'PassRev Herb'!M101</f>
        <v>0</v>
      </c>
      <c r="N8" s="1">
        <f>+'PassRev Herb'!N101</f>
        <v>131.04</v>
      </c>
      <c r="O8" s="1">
        <f>+'PassRev Herb'!O101</f>
        <v>257.83999999999997</v>
      </c>
      <c r="P8" s="1">
        <f>+'PassRev Herb'!P101</f>
        <v>344.88</v>
      </c>
      <c r="Q8" s="1">
        <f>+'PassRev Herb'!Q101</f>
        <v>87.039999999999992</v>
      </c>
      <c r="R8" s="1">
        <f>+'PassRev Herb'!R101</f>
        <v>90.32</v>
      </c>
      <c r="S8" s="1">
        <f>+'PassRev Herb'!S101</f>
        <v>668.16000000000008</v>
      </c>
      <c r="T8" s="1">
        <f>+'PassRev Herb'!T101</f>
        <v>248.95999999999998</v>
      </c>
      <c r="U8" s="1">
        <f>+'PassRev Herb'!U101</f>
        <v>77.2</v>
      </c>
      <c r="V8" s="1">
        <f>+'PassRev Herb'!V101</f>
        <v>33.119999999999997</v>
      </c>
      <c r="W8" s="1">
        <f>+'PassRev Herb'!W101</f>
        <v>18.72</v>
      </c>
      <c r="X8" s="1">
        <f>+'PassRev Herb'!X101</f>
        <v>121.19999999999999</v>
      </c>
      <c r="Y8" s="1">
        <f>+'PassRev Herb'!Y101</f>
        <v>93.16</v>
      </c>
      <c r="Z8" s="1">
        <f>+'PassRev Herb'!Z101</f>
        <v>260.15999999999997</v>
      </c>
      <c r="AA8" s="1">
        <f>+'PassRev Herb'!AA101</f>
        <v>243.36</v>
      </c>
      <c r="AB8" s="1">
        <f>+'PassRev Herb'!AB101</f>
        <v>0</v>
      </c>
      <c r="AC8" s="1">
        <f>+'PassRev Herb'!AC101</f>
        <v>0</v>
      </c>
      <c r="AD8" s="1">
        <f>+'PassRev Herb'!AD101</f>
        <v>0</v>
      </c>
      <c r="AE8" s="1">
        <f>+'PassRev Herb'!AE101</f>
        <v>0</v>
      </c>
      <c r="AF8" s="1">
        <f>+'PassRev Herb'!AF101</f>
        <v>0</v>
      </c>
      <c r="AG8" s="1">
        <f>+'PassRev Herb'!AG101</f>
        <v>0</v>
      </c>
      <c r="AH8" s="1">
        <f>+'PassRev Herb'!AH101</f>
        <v>0</v>
      </c>
      <c r="AI8" s="1">
        <f>+'PassRev Herb'!AI101</f>
        <v>0</v>
      </c>
      <c r="AJ8" s="1">
        <f>+'PassRev Herb'!AJ101</f>
        <v>0</v>
      </c>
      <c r="AK8" s="1">
        <f>+'PassRev Herb'!AK101</f>
        <v>0</v>
      </c>
      <c r="AL8" s="1">
        <f>+'PassRev Herb'!AL101</f>
        <v>0</v>
      </c>
      <c r="AM8" s="1">
        <f>+'PassRev Herb'!AM101</f>
        <v>0</v>
      </c>
      <c r="AN8" s="1">
        <f>+'PassRev Herb'!AN101</f>
        <v>0</v>
      </c>
      <c r="AO8" s="1">
        <f>+'PassRev Herb'!AO101</f>
        <v>0</v>
      </c>
      <c r="AP8" s="1">
        <f>+'PassRev Herb'!AP101</f>
        <v>0</v>
      </c>
      <c r="AQ8" s="1">
        <f>+'PassRev Herb'!AQ101</f>
        <v>0</v>
      </c>
      <c r="AR8" s="3">
        <f t="shared" si="0"/>
        <v>2675.16</v>
      </c>
      <c r="AT8" s="1">
        <f t="shared" si="1"/>
        <v>2675.16</v>
      </c>
    </row>
    <row r="9" spans="1:46" x14ac:dyDescent="0.25">
      <c r="C9" t="s">
        <v>265</v>
      </c>
      <c r="D9" s="1">
        <f>+'PassRev Herb'!D102</f>
        <v>0</v>
      </c>
      <c r="E9" s="1">
        <f>+'PassRev Herb'!E102</f>
        <v>0</v>
      </c>
      <c r="F9" s="1">
        <f>+'PassRev Herb'!F102</f>
        <v>0</v>
      </c>
      <c r="G9" s="1">
        <f>+'PassRev Herb'!G102</f>
        <v>0</v>
      </c>
      <c r="H9" s="1">
        <f>+'PassRev Herb'!H102</f>
        <v>0</v>
      </c>
      <c r="I9" s="1">
        <f>+'PassRev Herb'!I102</f>
        <v>2700</v>
      </c>
      <c r="J9" s="1">
        <f>+'PassRev Herb'!J102</f>
        <v>-16.2</v>
      </c>
      <c r="K9" s="1">
        <f>+'PassRev Herb'!K102</f>
        <v>0</v>
      </c>
      <c r="L9" s="1">
        <f>+'PassRev Herb'!L102</f>
        <v>837.54</v>
      </c>
      <c r="M9" s="1">
        <f>+'PassRev Herb'!M102</f>
        <v>1476.6</v>
      </c>
      <c r="N9" s="1">
        <f>+'PassRev Herb'!N102</f>
        <v>966.12000000000012</v>
      </c>
      <c r="O9" s="1">
        <f>+'PassRev Herb'!O102</f>
        <v>1099.8</v>
      </c>
      <c r="P9" s="1">
        <f>+'PassRev Herb'!P102</f>
        <v>2828.5200000000004</v>
      </c>
      <c r="Q9" s="1">
        <f>+'PassRev Herb'!Q102</f>
        <v>3960.7799999999997</v>
      </c>
      <c r="R9" s="1">
        <f>+'PassRev Herb'!R102</f>
        <v>2934.06</v>
      </c>
      <c r="S9" s="1">
        <f>+'PassRev Herb'!S102</f>
        <v>4954.08</v>
      </c>
      <c r="T9" s="1">
        <f>+'PassRev Herb'!T102</f>
        <v>2186.94</v>
      </c>
      <c r="U9" s="1">
        <f>+'PassRev Herb'!U102</f>
        <v>4222.0200000000004</v>
      </c>
      <c r="V9" s="1">
        <f>+'PassRev Herb'!V102</f>
        <v>3047.46</v>
      </c>
      <c r="W9" s="1">
        <f>+'PassRev Herb'!W102</f>
        <v>2612.1</v>
      </c>
      <c r="X9" s="1">
        <f>+'PassRev Herb'!X102</f>
        <v>945.24</v>
      </c>
      <c r="Y9" s="1">
        <f>+'PassRev Herb'!Y102</f>
        <v>1320.7800000000002</v>
      </c>
      <c r="Z9" s="1">
        <f>+'PassRev Herb'!Z102</f>
        <v>-138.12</v>
      </c>
      <c r="AA9" s="1">
        <f>+'PassRev Herb'!AA102</f>
        <v>1266.6600000000001</v>
      </c>
      <c r="AB9" s="1">
        <f>+'PassRev Herb'!AB102</f>
        <v>-17.82</v>
      </c>
      <c r="AC9" s="1">
        <f>+'PassRev Herb'!AC102</f>
        <v>0</v>
      </c>
      <c r="AD9" s="1">
        <f>+'PassRev Herb'!AD102</f>
        <v>0</v>
      </c>
      <c r="AE9" s="1">
        <f>+'PassRev Herb'!AE102</f>
        <v>0</v>
      </c>
      <c r="AF9" s="1">
        <f>+'PassRev Herb'!AF102</f>
        <v>0</v>
      </c>
      <c r="AG9" s="1">
        <f>+'PassRev Herb'!AG102</f>
        <v>0</v>
      </c>
      <c r="AH9" s="1">
        <f>+'PassRev Herb'!AH102</f>
        <v>1478.6399999999999</v>
      </c>
      <c r="AI9" s="1">
        <f>+'PassRev Herb'!AI102</f>
        <v>0</v>
      </c>
      <c r="AJ9" s="1">
        <f>+'PassRev Herb'!AJ102</f>
        <v>0</v>
      </c>
      <c r="AK9" s="1">
        <f>+'PassRev Herb'!AK102</f>
        <v>512.4</v>
      </c>
      <c r="AL9" s="1">
        <f>+'PassRev Herb'!AL102</f>
        <v>0</v>
      </c>
      <c r="AM9" s="1">
        <f>+'PassRev Herb'!AM102</f>
        <v>0</v>
      </c>
      <c r="AN9" s="1">
        <f>+'PassRev Herb'!AN102</f>
        <v>0</v>
      </c>
      <c r="AO9" s="1">
        <f>+'PassRev Herb'!AO102</f>
        <v>0</v>
      </c>
      <c r="AP9" s="1">
        <f>+'PassRev Herb'!AP102</f>
        <v>0</v>
      </c>
      <c r="AQ9" s="1">
        <f>+'PassRev Herb'!AQ102</f>
        <v>0</v>
      </c>
      <c r="AR9" s="3">
        <f t="shared" si="0"/>
        <v>39177.599999999999</v>
      </c>
      <c r="AT9" s="1">
        <f t="shared" si="1"/>
        <v>39177.599999999999</v>
      </c>
    </row>
    <row r="10" spans="1:46" x14ac:dyDescent="0.25">
      <c r="C10" t="s">
        <v>191</v>
      </c>
      <c r="D10" s="1">
        <f>+'PassRev Herb'!D103</f>
        <v>0</v>
      </c>
      <c r="E10" s="1">
        <f>+'PassRev Herb'!E103</f>
        <v>0</v>
      </c>
      <c r="F10" s="1">
        <f>+'PassRev Herb'!F103</f>
        <v>0</v>
      </c>
      <c r="G10" s="1">
        <f>+'PassRev Herb'!G103</f>
        <v>0</v>
      </c>
      <c r="H10" s="1">
        <f>+'PassRev Herb'!H103</f>
        <v>11998.8</v>
      </c>
      <c r="I10" s="1">
        <f>+'PassRev Herb'!I103</f>
        <v>-79.790000000000006</v>
      </c>
      <c r="J10" s="1">
        <f>+'PassRev Herb'!J103</f>
        <v>0</v>
      </c>
      <c r="K10" s="1">
        <f>+'PassRev Herb'!K103</f>
        <v>9873.6</v>
      </c>
      <c r="L10" s="1">
        <f>+'PassRev Herb'!L103</f>
        <v>0</v>
      </c>
      <c r="M10" s="1">
        <f>+'PassRev Herb'!M103</f>
        <v>4488</v>
      </c>
      <c r="N10" s="1">
        <f>+'PassRev Herb'!N103</f>
        <v>2271.16</v>
      </c>
      <c r="O10" s="1">
        <f>+'PassRev Herb'!O103</f>
        <v>1665.3200000000002</v>
      </c>
      <c r="P10" s="1">
        <f>+'PassRev Herb'!P103</f>
        <v>272.5</v>
      </c>
      <c r="Q10" s="1">
        <f>+'PassRev Herb'!Q103</f>
        <v>4798.26</v>
      </c>
      <c r="R10" s="1">
        <f>+'PassRev Herb'!R103</f>
        <v>-28.05</v>
      </c>
      <c r="S10" s="1">
        <f>+'PassRev Herb'!S103</f>
        <v>-74.8</v>
      </c>
      <c r="T10" s="1">
        <f>+'PassRev Herb'!T103</f>
        <v>0</v>
      </c>
      <c r="U10" s="1">
        <f>+'PassRev Herb'!U103</f>
        <v>-29.92</v>
      </c>
      <c r="V10" s="1">
        <f>+'PassRev Herb'!V103</f>
        <v>0</v>
      </c>
      <c r="W10" s="1">
        <f>+'PassRev Herb'!W103</f>
        <v>0</v>
      </c>
      <c r="X10" s="1">
        <f>+'PassRev Herb'!X103</f>
        <v>0</v>
      </c>
      <c r="Y10" s="1">
        <f>+'PassRev Herb'!Y103</f>
        <v>843.26</v>
      </c>
      <c r="Z10" s="1">
        <f>+'PassRev Herb'!Z103</f>
        <v>69.5</v>
      </c>
      <c r="AA10" s="1">
        <f>+'PassRev Herb'!AA103</f>
        <v>4488</v>
      </c>
      <c r="AB10" s="1">
        <f>+'PassRev Herb'!AB103</f>
        <v>269.27999999999997</v>
      </c>
      <c r="AC10" s="1">
        <f>+'PassRev Herb'!AC103</f>
        <v>478.72</v>
      </c>
      <c r="AD10" s="1">
        <f>+'PassRev Herb'!AD103</f>
        <v>0</v>
      </c>
      <c r="AE10" s="1">
        <f>+'PassRev Herb'!AE103</f>
        <v>-38.380000000000003</v>
      </c>
      <c r="AF10" s="1">
        <f>+'PassRev Herb'!AF103</f>
        <v>0</v>
      </c>
      <c r="AG10" s="1">
        <f>+'PassRev Herb'!AG103</f>
        <v>0</v>
      </c>
      <c r="AH10" s="1">
        <f>+'PassRev Herb'!AH103</f>
        <v>0</v>
      </c>
      <c r="AI10" s="1">
        <f>+'PassRev Herb'!AI103</f>
        <v>0</v>
      </c>
      <c r="AJ10" s="1">
        <f>+'PassRev Herb'!AJ103</f>
        <v>0</v>
      </c>
      <c r="AK10" s="1">
        <f>+'PassRev Herb'!AK103</f>
        <v>0</v>
      </c>
      <c r="AL10" s="1">
        <f>+'PassRev Herb'!AL103</f>
        <v>89.76</v>
      </c>
      <c r="AM10" s="1">
        <f>+'PassRev Herb'!AM103</f>
        <v>620.94000000000005</v>
      </c>
      <c r="AN10" s="1">
        <f>+'PassRev Herb'!AN103</f>
        <v>269.27999999999997</v>
      </c>
      <c r="AO10" s="1">
        <f>+'PassRev Herb'!AO103</f>
        <v>0</v>
      </c>
      <c r="AP10" s="1">
        <f>+'PassRev Herb'!AP103</f>
        <v>484.22</v>
      </c>
      <c r="AQ10" s="1">
        <f>+'PassRev Herb'!AQ103</f>
        <v>0</v>
      </c>
      <c r="AR10" s="3">
        <f t="shared" si="0"/>
        <v>42729.66</v>
      </c>
      <c r="AT10" s="1">
        <f t="shared" si="1"/>
        <v>42729.66</v>
      </c>
    </row>
    <row r="11" spans="1:46" x14ac:dyDescent="0.25">
      <c r="C11" t="s">
        <v>549</v>
      </c>
      <c r="D11" s="1">
        <f>+'PassRev Herb'!D104</f>
        <v>0</v>
      </c>
      <c r="E11" s="1">
        <f>+'PassRev Herb'!E104</f>
        <v>0</v>
      </c>
      <c r="F11" s="1">
        <f>+'PassRev Herb'!F104</f>
        <v>0</v>
      </c>
      <c r="G11" s="1">
        <f>+'PassRev Herb'!G104</f>
        <v>0</v>
      </c>
      <c r="H11" s="1">
        <f>+'PassRev Herb'!H104</f>
        <v>0</v>
      </c>
      <c r="I11" s="1">
        <f>+'PassRev Herb'!I104</f>
        <v>0</v>
      </c>
      <c r="J11" s="1">
        <f>+'PassRev Herb'!J104</f>
        <v>0</v>
      </c>
      <c r="K11" s="1">
        <f>+'PassRev Herb'!K104</f>
        <v>0</v>
      </c>
      <c r="L11" s="1">
        <f>+'PassRev Herb'!L104</f>
        <v>0</v>
      </c>
      <c r="M11" s="1">
        <f>+'PassRev Herb'!M104</f>
        <v>0</v>
      </c>
      <c r="N11" s="1">
        <f>+'PassRev Herb'!N104</f>
        <v>0</v>
      </c>
      <c r="O11" s="1">
        <f>+'PassRev Herb'!O104</f>
        <v>0</v>
      </c>
      <c r="P11" s="1">
        <f>+'PassRev Herb'!P104</f>
        <v>0</v>
      </c>
      <c r="Q11" s="1">
        <f>+'PassRev Herb'!Q104</f>
        <v>0</v>
      </c>
      <c r="R11" s="1">
        <f>+'PassRev Herb'!R104</f>
        <v>0</v>
      </c>
      <c r="S11" s="1">
        <f>+'PassRev Herb'!S104</f>
        <v>0</v>
      </c>
      <c r="T11" s="1">
        <f>+'PassRev Herb'!T104</f>
        <v>0</v>
      </c>
      <c r="U11" s="1">
        <f>+'PassRev Herb'!U104</f>
        <v>0</v>
      </c>
      <c r="V11" s="1">
        <f>+'PassRev Herb'!V104</f>
        <v>0</v>
      </c>
      <c r="W11" s="1">
        <f>+'PassRev Herb'!W104</f>
        <v>0</v>
      </c>
      <c r="X11" s="1">
        <f>+'PassRev Herb'!X104</f>
        <v>0</v>
      </c>
      <c r="Y11" s="1">
        <f>+'PassRev Herb'!Y104</f>
        <v>0</v>
      </c>
      <c r="Z11" s="1">
        <f>+'PassRev Herb'!Z104</f>
        <v>0</v>
      </c>
      <c r="AA11" s="1">
        <f>+'PassRev Herb'!AA104</f>
        <v>0</v>
      </c>
      <c r="AB11" s="1">
        <f>+'PassRev Herb'!AB104</f>
        <v>0</v>
      </c>
      <c r="AC11" s="1">
        <f>+'PassRev Herb'!AC104</f>
        <v>0</v>
      </c>
      <c r="AD11" s="1">
        <f>+'PassRev Herb'!AD104</f>
        <v>0</v>
      </c>
      <c r="AE11" s="1">
        <f>+'PassRev Herb'!AE104</f>
        <v>0</v>
      </c>
      <c r="AF11" s="1">
        <f>+'PassRev Herb'!AF104</f>
        <v>0</v>
      </c>
      <c r="AG11" s="1">
        <f>+'PassRev Herb'!AG104</f>
        <v>0</v>
      </c>
      <c r="AH11" s="1">
        <f>+'PassRev Herb'!AH104</f>
        <v>0</v>
      </c>
      <c r="AI11" s="1">
        <f>+'PassRev Herb'!AI104</f>
        <v>0</v>
      </c>
      <c r="AJ11" s="1">
        <f>+'PassRev Herb'!AJ104</f>
        <v>0</v>
      </c>
      <c r="AK11" s="1">
        <f>+'PassRev Herb'!AK104</f>
        <v>0</v>
      </c>
      <c r="AL11" s="1">
        <f>+'PassRev Herb'!AL104</f>
        <v>0</v>
      </c>
      <c r="AM11" s="1">
        <f>+'PassRev Herb'!AM104</f>
        <v>0</v>
      </c>
      <c r="AN11" s="1">
        <f>+'PassRev Herb'!AN104</f>
        <v>0</v>
      </c>
      <c r="AO11" s="1">
        <f>+'PassRev Herb'!AO104</f>
        <v>0</v>
      </c>
      <c r="AP11" s="1">
        <f>+'PassRev Herb'!AP104</f>
        <v>0</v>
      </c>
      <c r="AQ11" s="1">
        <f>+'PassRev Herb'!AQ104</f>
        <v>0</v>
      </c>
      <c r="AR11" s="3">
        <f t="shared" si="0"/>
        <v>0</v>
      </c>
      <c r="AT11" s="1">
        <f t="shared" si="1"/>
        <v>0</v>
      </c>
    </row>
    <row r="12" spans="1:46" x14ac:dyDescent="0.25">
      <c r="C12" t="s">
        <v>550</v>
      </c>
      <c r="D12" s="1">
        <f>+'PassRev Herb'!D105</f>
        <v>0</v>
      </c>
      <c r="E12" s="1">
        <f>+'PassRev Herb'!E105</f>
        <v>0</v>
      </c>
      <c r="F12" s="1">
        <f>+'PassRev Herb'!F105</f>
        <v>0</v>
      </c>
      <c r="G12" s="1">
        <f>+'PassRev Herb'!G105</f>
        <v>0</v>
      </c>
      <c r="H12" s="1">
        <f>+'PassRev Herb'!H105</f>
        <v>0</v>
      </c>
      <c r="I12" s="1">
        <f>+'PassRev Herb'!I105</f>
        <v>0</v>
      </c>
      <c r="J12" s="1">
        <f>+'PassRev Herb'!J105</f>
        <v>0</v>
      </c>
      <c r="K12" s="1">
        <f>+'PassRev Herb'!K105</f>
        <v>0</v>
      </c>
      <c r="L12" s="1">
        <f>+'PassRev Herb'!L105</f>
        <v>0</v>
      </c>
      <c r="M12" s="1">
        <f>+'PassRev Herb'!M105</f>
        <v>0</v>
      </c>
      <c r="N12" s="1">
        <f>+'PassRev Herb'!N105</f>
        <v>0</v>
      </c>
      <c r="O12" s="1">
        <f>+'PassRev Herb'!O105</f>
        <v>521.28</v>
      </c>
      <c r="P12" s="1">
        <f>+'PassRev Herb'!P105</f>
        <v>-18.72</v>
      </c>
      <c r="Q12" s="1">
        <f>+'PassRev Herb'!Q105</f>
        <v>968.24</v>
      </c>
      <c r="R12" s="1">
        <f>+'PassRev Herb'!R105</f>
        <v>0</v>
      </c>
      <c r="S12" s="1">
        <f>+'PassRev Herb'!S105</f>
        <v>0</v>
      </c>
      <c r="T12" s="1">
        <f>+'PassRev Herb'!T105</f>
        <v>4099.2</v>
      </c>
      <c r="U12" s="1">
        <f>+'PassRev Herb'!U105</f>
        <v>0</v>
      </c>
      <c r="V12" s="1">
        <f>+'PassRev Herb'!V105</f>
        <v>6777.44</v>
      </c>
      <c r="W12" s="1">
        <f>+'PassRev Herb'!W105</f>
        <v>2819.44</v>
      </c>
      <c r="X12" s="1">
        <f>+'PassRev Herb'!X105</f>
        <v>2216.7200000000003</v>
      </c>
      <c r="Y12" s="1">
        <f>+'PassRev Herb'!Y105</f>
        <v>9252.9599999999991</v>
      </c>
      <c r="Z12" s="1">
        <f>+'PassRev Herb'!Z105</f>
        <v>1528.7199999999998</v>
      </c>
      <c r="AA12" s="1">
        <f>+'PassRev Herb'!AA105</f>
        <v>3514.92</v>
      </c>
      <c r="AB12" s="1">
        <f>+'PassRev Herb'!AB105</f>
        <v>1494.72</v>
      </c>
      <c r="AC12" s="1">
        <f>+'PassRev Herb'!AC105</f>
        <v>1991.92</v>
      </c>
      <c r="AD12" s="1">
        <f>+'PassRev Herb'!AD105</f>
        <v>2023.36</v>
      </c>
      <c r="AE12" s="1">
        <f>+'PassRev Herb'!AE105</f>
        <v>3195.44</v>
      </c>
      <c r="AF12" s="1">
        <f>+'PassRev Herb'!AF105</f>
        <v>584</v>
      </c>
      <c r="AG12" s="1">
        <f>+'PassRev Herb'!AG105</f>
        <v>1316.2399999999998</v>
      </c>
      <c r="AH12" s="1">
        <f>+'PassRev Herb'!AH105</f>
        <v>1211.04</v>
      </c>
      <c r="AI12" s="1">
        <f>+'PassRev Herb'!AI105</f>
        <v>780.07999999999993</v>
      </c>
      <c r="AJ12" s="1">
        <f>+'PassRev Herb'!AJ105</f>
        <v>1036.96</v>
      </c>
      <c r="AK12" s="1">
        <f>+'PassRev Herb'!AK105</f>
        <v>1001.8399999999999</v>
      </c>
      <c r="AL12" s="1">
        <f>+'PassRev Herb'!AL105</f>
        <v>898</v>
      </c>
      <c r="AM12" s="1">
        <f>+'PassRev Herb'!AM105</f>
        <v>1478.72</v>
      </c>
      <c r="AN12" s="1">
        <f>+'PassRev Herb'!AN105</f>
        <v>1206.8</v>
      </c>
      <c r="AO12" s="1">
        <f>+'PassRev Herb'!AO105</f>
        <v>-15.44</v>
      </c>
      <c r="AP12" s="1">
        <f>+'PassRev Herb'!AP105</f>
        <v>0</v>
      </c>
      <c r="AQ12" s="1">
        <f>+'PassRev Herb'!AQ105</f>
        <v>-154.4</v>
      </c>
      <c r="AR12" s="3">
        <f t="shared" si="0"/>
        <v>49729.479999999996</v>
      </c>
      <c r="AT12" s="1">
        <f t="shared" si="1"/>
        <v>49883.88</v>
      </c>
    </row>
    <row r="13" spans="1:46" x14ac:dyDescent="0.25">
      <c r="C13" t="s">
        <v>6</v>
      </c>
      <c r="D13" s="1">
        <f>+'PassRev Herb'!D106</f>
        <v>0</v>
      </c>
      <c r="E13" s="1">
        <f>+'PassRev Herb'!E106</f>
        <v>0</v>
      </c>
      <c r="F13" s="1">
        <f>+'PassRev Herb'!F106</f>
        <v>0</v>
      </c>
      <c r="G13" s="1">
        <f>+'PassRev Herb'!G106</f>
        <v>0</v>
      </c>
      <c r="H13" s="1">
        <f>+'PassRev Herb'!H106</f>
        <v>0</v>
      </c>
      <c r="I13" s="1">
        <f>+'PassRev Herb'!I106</f>
        <v>0</v>
      </c>
      <c r="J13" s="1">
        <f>+'PassRev Herb'!J106</f>
        <v>0</v>
      </c>
      <c r="K13" s="1">
        <f>+'PassRev Herb'!K106</f>
        <v>0</v>
      </c>
      <c r="L13" s="1">
        <f>+'PassRev Herb'!L106</f>
        <v>0</v>
      </c>
      <c r="M13" s="1">
        <f>+'PassRev Herb'!M106</f>
        <v>0</v>
      </c>
      <c r="N13" s="1">
        <f>+'PassRev Herb'!N106</f>
        <v>0</v>
      </c>
      <c r="O13" s="1">
        <f>+'PassRev Herb'!O106</f>
        <v>0</v>
      </c>
      <c r="P13" s="1">
        <f>+'PassRev Herb'!P106</f>
        <v>0</v>
      </c>
      <c r="Q13" s="1">
        <f>+'PassRev Herb'!Q106</f>
        <v>0</v>
      </c>
      <c r="R13" s="1">
        <f>+'PassRev Herb'!R106</f>
        <v>0</v>
      </c>
      <c r="S13" s="1">
        <f>+'PassRev Herb'!S106</f>
        <v>0</v>
      </c>
      <c r="T13" s="1">
        <f>+'PassRev Herb'!T106</f>
        <v>0</v>
      </c>
      <c r="U13" s="1">
        <f>+'PassRev Herb'!U106</f>
        <v>0</v>
      </c>
      <c r="V13" s="1">
        <f>+'PassRev Herb'!V106</f>
        <v>0</v>
      </c>
      <c r="W13" s="1">
        <f>+'PassRev Herb'!W106</f>
        <v>0</v>
      </c>
      <c r="X13" s="1">
        <f>+'PassRev Herb'!X106</f>
        <v>0</v>
      </c>
      <c r="Y13" s="1">
        <f>+'PassRev Herb'!Y106</f>
        <v>0</v>
      </c>
      <c r="Z13" s="1">
        <f>+'PassRev Herb'!Z106</f>
        <v>0</v>
      </c>
      <c r="AA13" s="1">
        <f>+'PassRev Herb'!AA106</f>
        <v>0</v>
      </c>
      <c r="AB13" s="1">
        <f>+'PassRev Herb'!AB106</f>
        <v>0</v>
      </c>
      <c r="AC13" s="1">
        <f>+'PassRev Herb'!AC106</f>
        <v>0</v>
      </c>
      <c r="AD13" s="1">
        <f>+'PassRev Herb'!AD106</f>
        <v>0</v>
      </c>
      <c r="AE13" s="1">
        <f>+'PassRev Herb'!AE106</f>
        <v>0</v>
      </c>
      <c r="AF13" s="1">
        <f>+'PassRev Herb'!AF106</f>
        <v>0</v>
      </c>
      <c r="AG13" s="1">
        <f>+'PassRev Herb'!AG106</f>
        <v>0</v>
      </c>
      <c r="AH13" s="1">
        <f>+'PassRev Herb'!AH106</f>
        <v>0</v>
      </c>
      <c r="AI13" s="1">
        <f>+'PassRev Herb'!AI106</f>
        <v>0</v>
      </c>
      <c r="AJ13" s="1">
        <f>+'PassRev Herb'!AJ106</f>
        <v>0</v>
      </c>
      <c r="AK13" s="1">
        <f>+'PassRev Herb'!AK106</f>
        <v>0</v>
      </c>
      <c r="AL13" s="1">
        <f>+'PassRev Herb'!AL106</f>
        <v>0</v>
      </c>
      <c r="AM13" s="1">
        <f>+'PassRev Herb'!AM106</f>
        <v>0</v>
      </c>
      <c r="AN13" s="1">
        <f>+'PassRev Herb'!AN106</f>
        <v>0</v>
      </c>
      <c r="AO13" s="1">
        <f>+'PassRev Herb'!AO106</f>
        <v>0</v>
      </c>
      <c r="AP13" s="1">
        <f>+'PassRev Herb'!AP106</f>
        <v>0</v>
      </c>
      <c r="AQ13" s="1">
        <f>+'PassRev Herb'!AQ106</f>
        <v>0</v>
      </c>
      <c r="AR13" s="3">
        <f t="shared" si="0"/>
        <v>0</v>
      </c>
      <c r="AT13" s="1">
        <f t="shared" si="1"/>
        <v>0</v>
      </c>
    </row>
    <row r="14" spans="1:46" x14ac:dyDescent="0.25">
      <c r="C14" t="s">
        <v>262</v>
      </c>
      <c r="D14" s="1">
        <f>+'PassRev Herb'!D107</f>
        <v>0</v>
      </c>
      <c r="E14" s="1">
        <f>+'PassRev Herb'!E107</f>
        <v>0</v>
      </c>
      <c r="F14" s="1">
        <f>+'PassRev Herb'!F107</f>
        <v>0</v>
      </c>
      <c r="G14" s="1">
        <f>+'PassRev Herb'!G107</f>
        <v>0</v>
      </c>
      <c r="H14" s="1">
        <f>+'PassRev Herb'!H107</f>
        <v>0</v>
      </c>
      <c r="I14" s="1">
        <f>+'PassRev Herb'!I107</f>
        <v>0</v>
      </c>
      <c r="J14" s="1">
        <f>+'PassRev Herb'!J107</f>
        <v>0</v>
      </c>
      <c r="K14" s="1">
        <f>+'PassRev Herb'!K107</f>
        <v>0</v>
      </c>
      <c r="L14" s="1">
        <f>+'PassRev Herb'!L107</f>
        <v>0</v>
      </c>
      <c r="M14" s="1">
        <f>+'PassRev Herb'!M107</f>
        <v>0</v>
      </c>
      <c r="N14" s="1">
        <f>+'PassRev Herb'!N107</f>
        <v>0</v>
      </c>
      <c r="O14" s="1">
        <f>+'PassRev Herb'!O107</f>
        <v>0</v>
      </c>
      <c r="P14" s="1">
        <f>+'PassRev Herb'!P107</f>
        <v>0</v>
      </c>
      <c r="Q14" s="1">
        <f>+'PassRev Herb'!Q107</f>
        <v>0</v>
      </c>
      <c r="R14" s="1">
        <f>+'PassRev Herb'!R107</f>
        <v>0</v>
      </c>
      <c r="S14" s="1">
        <f>+'PassRev Herb'!S107</f>
        <v>0</v>
      </c>
      <c r="T14" s="1">
        <f>+'PassRev Herb'!T107</f>
        <v>0</v>
      </c>
      <c r="U14" s="1">
        <f>+'PassRev Herb'!U107</f>
        <v>0</v>
      </c>
      <c r="V14" s="1">
        <f>+'PassRev Herb'!V107</f>
        <v>0</v>
      </c>
      <c r="W14" s="1">
        <f>+'PassRev Herb'!W107</f>
        <v>0</v>
      </c>
      <c r="X14" s="1">
        <f>+'PassRev Herb'!X107</f>
        <v>0</v>
      </c>
      <c r="Y14" s="1">
        <f>+'PassRev Herb'!Y107</f>
        <v>0</v>
      </c>
      <c r="Z14" s="1">
        <f>+'PassRev Herb'!Z107</f>
        <v>0</v>
      </c>
      <c r="AA14" s="1">
        <f>+'PassRev Herb'!AA107</f>
        <v>0</v>
      </c>
      <c r="AB14" s="1">
        <f>+'PassRev Herb'!AB107</f>
        <v>0</v>
      </c>
      <c r="AC14" s="1">
        <f>+'PassRev Herb'!AC107</f>
        <v>0</v>
      </c>
      <c r="AD14" s="1">
        <f>+'PassRev Herb'!AD107</f>
        <v>0</v>
      </c>
      <c r="AE14" s="1">
        <f>+'PassRev Herb'!AE107</f>
        <v>0</v>
      </c>
      <c r="AF14" s="1">
        <f>+'PassRev Herb'!AF107</f>
        <v>0</v>
      </c>
      <c r="AG14" s="1">
        <f>+'PassRev Herb'!AG107</f>
        <v>0</v>
      </c>
      <c r="AH14" s="1">
        <f>+'PassRev Herb'!AH107</f>
        <v>0</v>
      </c>
      <c r="AI14" s="1">
        <f>+'PassRev Herb'!AI107</f>
        <v>0</v>
      </c>
      <c r="AJ14" s="1">
        <f>+'PassRev Herb'!AJ107</f>
        <v>0</v>
      </c>
      <c r="AK14" s="1">
        <f>+'PassRev Herb'!AK107</f>
        <v>0</v>
      </c>
      <c r="AL14" s="1">
        <f>+'PassRev Herb'!AL107</f>
        <v>0</v>
      </c>
      <c r="AM14" s="1">
        <f>+'PassRev Herb'!AM107</f>
        <v>0</v>
      </c>
      <c r="AN14" s="1">
        <f>+'PassRev Herb'!AN107</f>
        <v>0</v>
      </c>
      <c r="AO14" s="1">
        <f>+'PassRev Herb'!AO107</f>
        <v>0</v>
      </c>
      <c r="AP14" s="1">
        <f>+'PassRev Herb'!AP107</f>
        <v>0</v>
      </c>
      <c r="AQ14" s="1">
        <f>+'PassRev Herb'!AQ107</f>
        <v>0</v>
      </c>
      <c r="AR14" s="3">
        <f t="shared" si="0"/>
        <v>0</v>
      </c>
      <c r="AT14" s="1">
        <f t="shared" si="1"/>
        <v>0</v>
      </c>
    </row>
    <row r="15" spans="1:46" x14ac:dyDescent="0.25">
      <c r="C15" t="s">
        <v>42</v>
      </c>
      <c r="D15" s="1">
        <f>+'PassRev Herb'!D108</f>
        <v>0</v>
      </c>
      <c r="E15" s="1">
        <f>+'PassRev Herb'!E108</f>
        <v>0</v>
      </c>
      <c r="F15" s="1">
        <f>+'PassRev Herb'!F108</f>
        <v>0</v>
      </c>
      <c r="G15" s="1">
        <f>+'PassRev Herb'!G108</f>
        <v>0</v>
      </c>
      <c r="H15" s="1">
        <f>+'PassRev Herb'!H108</f>
        <v>0</v>
      </c>
      <c r="I15" s="1">
        <f>+'PassRev Herb'!I108</f>
        <v>0</v>
      </c>
      <c r="J15" s="1">
        <f>+'PassRev Herb'!J108</f>
        <v>0</v>
      </c>
      <c r="K15" s="1">
        <f>+'PassRev Herb'!K108</f>
        <v>454.9</v>
      </c>
      <c r="L15" s="1">
        <f>+'PassRev Herb'!L108</f>
        <v>7238.52</v>
      </c>
      <c r="M15" s="1">
        <f>+'PassRev Herb'!M108</f>
        <v>0</v>
      </c>
      <c r="N15" s="1">
        <f>+'PassRev Herb'!N108</f>
        <v>640.08000000000004</v>
      </c>
      <c r="O15" s="1">
        <f>+'PassRev Herb'!O108</f>
        <v>618.6</v>
      </c>
      <c r="P15" s="1">
        <f>+'PassRev Herb'!P108</f>
        <v>160.07999999999998</v>
      </c>
      <c r="Q15" s="1">
        <f>+'PassRev Herb'!Q108</f>
        <v>2571.9</v>
      </c>
      <c r="R15" s="1">
        <f>+'PassRev Herb'!R108</f>
        <v>0</v>
      </c>
      <c r="S15" s="1">
        <f>+'PassRev Herb'!S108</f>
        <v>1527.8400000000001</v>
      </c>
      <c r="T15" s="1">
        <f>+'PassRev Herb'!T108</f>
        <v>2040.4200000000003</v>
      </c>
      <c r="U15" s="1">
        <f>+'PassRev Herb'!U108</f>
        <v>509.36</v>
      </c>
      <c r="V15" s="1">
        <f>+'PassRev Herb'!V108</f>
        <v>338.26</v>
      </c>
      <c r="W15" s="1">
        <f>+'PassRev Herb'!W108</f>
        <v>767.7399999999999</v>
      </c>
      <c r="X15" s="1">
        <f>+'PassRev Herb'!X108</f>
        <v>509.20000000000005</v>
      </c>
      <c r="Y15" s="1">
        <f>+'PassRev Herb'!Y108</f>
        <v>0</v>
      </c>
      <c r="Z15" s="1">
        <f>+'PassRev Herb'!Z108</f>
        <v>378.16</v>
      </c>
      <c r="AA15" s="1">
        <f>+'PassRev Herb'!AA108</f>
        <v>480.48</v>
      </c>
      <c r="AB15" s="1">
        <f>+'PassRev Herb'!AB108</f>
        <v>0</v>
      </c>
      <c r="AC15" s="1">
        <f>+'PassRev Herb'!AC108</f>
        <v>130.96</v>
      </c>
      <c r="AD15" s="1">
        <f>+'PassRev Herb'!AD108</f>
        <v>0</v>
      </c>
      <c r="AE15" s="1">
        <f>+'PassRev Herb'!AE108</f>
        <v>200.06</v>
      </c>
      <c r="AF15" s="1">
        <f>+'PassRev Herb'!AF108</f>
        <v>29.12</v>
      </c>
      <c r="AG15" s="1">
        <f>+'PassRev Herb'!AG108</f>
        <v>436.8</v>
      </c>
      <c r="AH15" s="1">
        <f>+'PassRev Herb'!AH108</f>
        <v>189.28</v>
      </c>
      <c r="AI15" s="1">
        <f>+'PassRev Herb'!AI108</f>
        <v>189.2</v>
      </c>
      <c r="AJ15" s="1">
        <f>+'PassRev Herb'!AJ108</f>
        <v>541.93999999999994</v>
      </c>
      <c r="AK15" s="1">
        <f>+'PassRev Herb'!AK108</f>
        <v>0</v>
      </c>
      <c r="AL15" s="1">
        <f>+'PassRev Herb'!AL108</f>
        <v>0</v>
      </c>
      <c r="AM15" s="1">
        <f>+'PassRev Herb'!AM108</f>
        <v>0</v>
      </c>
      <c r="AN15" s="1">
        <f>+'PassRev Herb'!AN108</f>
        <v>145.6</v>
      </c>
      <c r="AO15" s="1">
        <f>+'PassRev Herb'!AO108</f>
        <v>0</v>
      </c>
      <c r="AP15" s="1">
        <f>+'PassRev Herb'!AP108</f>
        <v>0</v>
      </c>
      <c r="AQ15" s="1">
        <f>+'PassRev Herb'!AQ108</f>
        <v>0</v>
      </c>
      <c r="AR15" s="3">
        <f t="shared" si="0"/>
        <v>20098.499999999996</v>
      </c>
      <c r="AT15" s="1">
        <f t="shared" si="1"/>
        <v>20098.499999999996</v>
      </c>
    </row>
    <row r="16" spans="1:46" x14ac:dyDescent="0.25">
      <c r="C16" t="s">
        <v>192</v>
      </c>
      <c r="D16" s="1">
        <f>+'PassRev Herb'!D109</f>
        <v>0</v>
      </c>
      <c r="E16" s="1">
        <f>+'PassRev Herb'!E109</f>
        <v>0</v>
      </c>
      <c r="F16" s="1">
        <f>+'PassRev Herb'!F109</f>
        <v>0</v>
      </c>
      <c r="G16" s="1">
        <f>+'PassRev Herb'!G109</f>
        <v>1073.76</v>
      </c>
      <c r="H16" s="1">
        <f>+'PassRev Herb'!H109</f>
        <v>0</v>
      </c>
      <c r="I16" s="1">
        <f>+'PassRev Herb'!I109</f>
        <v>453.18</v>
      </c>
      <c r="J16" s="1">
        <f>+'PassRev Herb'!J109</f>
        <v>1266.5999999999999</v>
      </c>
      <c r="K16" s="1">
        <f>+'PassRev Herb'!K109</f>
        <v>15610.32</v>
      </c>
      <c r="L16" s="1">
        <f>+'PassRev Herb'!L109</f>
        <v>0</v>
      </c>
      <c r="M16" s="1">
        <f>+'PassRev Herb'!M109</f>
        <v>0</v>
      </c>
      <c r="N16" s="1">
        <f>+'PassRev Herb'!N109</f>
        <v>266.03999999999996</v>
      </c>
      <c r="O16" s="1">
        <f>+'PassRev Herb'!O109</f>
        <v>862.38</v>
      </c>
      <c r="P16" s="1">
        <f>+'PassRev Herb'!P109</f>
        <v>827.40000000000009</v>
      </c>
      <c r="Q16" s="1">
        <f>+'PassRev Herb'!Q109</f>
        <v>2280.48</v>
      </c>
      <c r="R16" s="1">
        <f>+'PassRev Herb'!R109</f>
        <v>980.16000000000008</v>
      </c>
      <c r="S16" s="1">
        <f>+'PassRev Herb'!S109</f>
        <v>2526.12</v>
      </c>
      <c r="T16" s="1">
        <f>+'PassRev Herb'!T109</f>
        <v>1695.48</v>
      </c>
      <c r="U16" s="1">
        <f>+'PassRev Herb'!U109</f>
        <v>2831.58</v>
      </c>
      <c r="V16" s="1">
        <f>+'PassRev Herb'!V109</f>
        <v>1113.24</v>
      </c>
      <c r="W16" s="1">
        <f>+'PassRev Herb'!W109</f>
        <v>2685.1800000000003</v>
      </c>
      <c r="X16" s="1">
        <f>+'PassRev Herb'!X109</f>
        <v>3156.18</v>
      </c>
      <c r="Y16" s="1">
        <f>+'PassRev Herb'!Y109</f>
        <v>913.92000000000007</v>
      </c>
      <c r="Z16" s="1">
        <f>+'PassRev Herb'!Z109</f>
        <v>366.6</v>
      </c>
      <c r="AA16" s="1">
        <f>+'PassRev Herb'!AA109</f>
        <v>1242.3600000000001</v>
      </c>
      <c r="AB16" s="1">
        <f>+'PassRev Herb'!AB109</f>
        <v>1483.62</v>
      </c>
      <c r="AC16" s="1">
        <f>+'PassRev Herb'!AC109</f>
        <v>537.84</v>
      </c>
      <c r="AD16" s="1">
        <f>+'PassRev Herb'!AD109</f>
        <v>498.36</v>
      </c>
      <c r="AE16" s="1">
        <f>+'PassRev Herb'!AE109</f>
        <v>0</v>
      </c>
      <c r="AF16" s="1">
        <f>+'PassRev Herb'!AF109</f>
        <v>0</v>
      </c>
      <c r="AG16" s="1">
        <f>+'PassRev Herb'!AG109</f>
        <v>0</v>
      </c>
      <c r="AH16" s="1">
        <f>+'PassRev Herb'!AH109</f>
        <v>490.08000000000004</v>
      </c>
      <c r="AI16" s="1">
        <f>+'PassRev Herb'!AI109</f>
        <v>358.32000000000005</v>
      </c>
      <c r="AJ16" s="1">
        <f>+'PassRev Herb'!AJ109</f>
        <v>1346.1</v>
      </c>
      <c r="AK16" s="1">
        <f>+'PassRev Herb'!AK109</f>
        <v>0</v>
      </c>
      <c r="AL16" s="1">
        <f>+'PassRev Herb'!AL109</f>
        <v>0</v>
      </c>
      <c r="AM16" s="1">
        <f>+'PassRev Herb'!AM109</f>
        <v>0</v>
      </c>
      <c r="AN16" s="1">
        <f>+'PassRev Herb'!AN109</f>
        <v>0</v>
      </c>
      <c r="AO16" s="1">
        <f>+'PassRev Herb'!AO109</f>
        <v>0</v>
      </c>
      <c r="AP16" s="1">
        <f>+'PassRev Herb'!AP109</f>
        <v>0</v>
      </c>
      <c r="AQ16" s="1">
        <f>+'PassRev Herb'!AQ109</f>
        <v>0</v>
      </c>
      <c r="AR16" s="3">
        <f t="shared" si="0"/>
        <v>44865.299999999996</v>
      </c>
      <c r="AT16" s="1">
        <f t="shared" si="1"/>
        <v>44865.299999999996</v>
      </c>
    </row>
    <row r="17" spans="1:46" x14ac:dyDescent="0.25">
      <c r="C17" t="s">
        <v>133</v>
      </c>
      <c r="D17" s="1">
        <f>+'PassRev Herb'!D110</f>
        <v>0</v>
      </c>
      <c r="E17" s="1">
        <f>+'PassRev Herb'!E110</f>
        <v>0</v>
      </c>
      <c r="F17" s="1">
        <f>+'PassRev Herb'!F110</f>
        <v>0</v>
      </c>
      <c r="G17" s="1">
        <f>+'PassRev Herb'!G110</f>
        <v>0</v>
      </c>
      <c r="H17" s="1">
        <f>+'PassRev Herb'!H110</f>
        <v>0</v>
      </c>
      <c r="I17" s="1">
        <f>+'PassRev Herb'!I110</f>
        <v>0</v>
      </c>
      <c r="J17" s="1">
        <f>+'PassRev Herb'!J110</f>
        <v>0</v>
      </c>
      <c r="K17" s="1">
        <f>+'PassRev Herb'!K110</f>
        <v>0</v>
      </c>
      <c r="L17" s="1">
        <f>+'PassRev Herb'!L110</f>
        <v>0</v>
      </c>
      <c r="M17" s="1">
        <f>+'PassRev Herb'!M110</f>
        <v>0</v>
      </c>
      <c r="N17" s="1">
        <f>+'PassRev Herb'!N110</f>
        <v>0</v>
      </c>
      <c r="O17" s="1">
        <f>+'PassRev Herb'!O110</f>
        <v>0</v>
      </c>
      <c r="P17" s="1">
        <f>+'PassRev Herb'!P110</f>
        <v>0</v>
      </c>
      <c r="Q17" s="1">
        <f>+'PassRev Herb'!Q110</f>
        <v>56.16</v>
      </c>
      <c r="R17" s="1">
        <f>+'PassRev Herb'!R110</f>
        <v>126.8</v>
      </c>
      <c r="S17" s="1">
        <f>+'PassRev Herb'!S110</f>
        <v>105.75999999999999</v>
      </c>
      <c r="T17" s="1">
        <f>+'PassRev Herb'!T110</f>
        <v>56.16</v>
      </c>
      <c r="U17" s="1">
        <f>+'PassRev Herb'!U110</f>
        <v>15.439999999999998</v>
      </c>
      <c r="V17" s="1">
        <f>+'PassRev Herb'!V110</f>
        <v>34.159999999999997</v>
      </c>
      <c r="W17" s="1">
        <f>+'PassRev Herb'!W110</f>
        <v>0</v>
      </c>
      <c r="X17" s="1">
        <f>+'PassRev Herb'!X110</f>
        <v>0</v>
      </c>
      <c r="Y17" s="1">
        <f>+'PassRev Herb'!Y110</f>
        <v>0</v>
      </c>
      <c r="Z17" s="1">
        <f>+'PassRev Herb'!Z110</f>
        <v>292.95999999999998</v>
      </c>
      <c r="AA17" s="1">
        <f>+'PassRev Herb'!AA110</f>
        <v>68.319999999999993</v>
      </c>
      <c r="AB17" s="1">
        <f>+'PassRev Herb'!AB110</f>
        <v>0</v>
      </c>
      <c r="AC17" s="1">
        <f>+'PassRev Herb'!AC110</f>
        <v>0</v>
      </c>
      <c r="AD17" s="1">
        <f>+'PassRev Herb'!AD110</f>
        <v>102.47999999999999</v>
      </c>
      <c r="AE17" s="1">
        <f>+'PassRev Herb'!AE110</f>
        <v>0</v>
      </c>
      <c r="AF17" s="1">
        <f>+'PassRev Herb'!AF110</f>
        <v>482.88</v>
      </c>
      <c r="AG17" s="1">
        <f>+'PassRev Herb'!AG110</f>
        <v>149.76</v>
      </c>
      <c r="AH17" s="1">
        <f>+'PassRev Herb'!AH110</f>
        <v>0</v>
      </c>
      <c r="AI17" s="1">
        <f>+'PassRev Herb'!AI110</f>
        <v>0</v>
      </c>
      <c r="AJ17" s="1">
        <f>+'PassRev Herb'!AJ110</f>
        <v>0</v>
      </c>
      <c r="AK17" s="1">
        <f>+'PassRev Herb'!AK110</f>
        <v>0</v>
      </c>
      <c r="AL17" s="1">
        <f>+'PassRev Herb'!AL110</f>
        <v>0</v>
      </c>
      <c r="AM17" s="1">
        <f>+'PassRev Herb'!AM110</f>
        <v>0</v>
      </c>
      <c r="AN17" s="1">
        <f>+'PassRev Herb'!AN110</f>
        <v>0</v>
      </c>
      <c r="AO17" s="1">
        <f>+'PassRev Herb'!AO110</f>
        <v>0</v>
      </c>
      <c r="AP17" s="1">
        <f>+'PassRev Herb'!AP110</f>
        <v>0</v>
      </c>
      <c r="AQ17" s="1">
        <f>+'PassRev Herb'!AQ110</f>
        <v>0</v>
      </c>
      <c r="AR17" s="3">
        <f t="shared" si="0"/>
        <v>1490.8799999999999</v>
      </c>
      <c r="AT17" s="1">
        <f t="shared" si="1"/>
        <v>1490.8799999999999</v>
      </c>
    </row>
    <row r="18" spans="1:46" x14ac:dyDescent="0.25">
      <c r="C18" t="s">
        <v>41</v>
      </c>
      <c r="D18" s="1">
        <f>+'PassRev Herb'!D111</f>
        <v>0</v>
      </c>
      <c r="E18" s="1">
        <f>+'PassRev Herb'!E111</f>
        <v>0</v>
      </c>
      <c r="F18" s="1">
        <f>+'PassRev Herb'!F111</f>
        <v>0</v>
      </c>
      <c r="G18" s="1">
        <f>+'PassRev Herb'!G111</f>
        <v>0</v>
      </c>
      <c r="H18" s="1">
        <f>+'PassRev Herb'!H111</f>
        <v>13352.400000000001</v>
      </c>
      <c r="I18" s="1">
        <f>+'PassRev Herb'!I111</f>
        <v>0</v>
      </c>
      <c r="J18" s="1">
        <f>+'PassRev Herb'!J111</f>
        <v>-15.44</v>
      </c>
      <c r="K18" s="1">
        <f>+'PassRev Herb'!K111</f>
        <v>482.88</v>
      </c>
      <c r="L18" s="1">
        <f>+'PassRev Herb'!L111</f>
        <v>14056.24</v>
      </c>
      <c r="M18" s="1">
        <f>+'PassRev Herb'!M111</f>
        <v>2610.8000000000002</v>
      </c>
      <c r="N18" s="1">
        <f>+'PassRev Herb'!N111</f>
        <v>14200.000000000002</v>
      </c>
      <c r="O18" s="1">
        <f>+'PassRev Herb'!O111</f>
        <v>1335.52</v>
      </c>
      <c r="P18" s="1">
        <f>+'PassRev Herb'!P111</f>
        <v>16757.36</v>
      </c>
      <c r="Q18" s="1">
        <f>+'PassRev Herb'!Q111</f>
        <v>934.48</v>
      </c>
      <c r="R18" s="1">
        <f>+'PassRev Herb'!R111</f>
        <v>14200.38</v>
      </c>
      <c r="S18" s="1">
        <f>+'PassRev Herb'!S111</f>
        <v>5670.16</v>
      </c>
      <c r="T18" s="1">
        <f>+'PassRev Herb'!T111</f>
        <v>12781.68</v>
      </c>
      <c r="U18" s="1">
        <f>+'PassRev Herb'!U111</f>
        <v>9941.3599999999988</v>
      </c>
      <c r="V18" s="1">
        <f>+'PassRev Herb'!V111</f>
        <v>15014.35</v>
      </c>
      <c r="W18" s="1">
        <f>+'PassRev Herb'!W111</f>
        <v>2893.76</v>
      </c>
      <c r="X18" s="1">
        <f>+'PassRev Herb'!X111</f>
        <v>15653.44</v>
      </c>
      <c r="Y18" s="1">
        <f>+'PassRev Herb'!Y111</f>
        <v>18437.919999999998</v>
      </c>
      <c r="Z18" s="1">
        <f>+'PassRev Herb'!Z111</f>
        <v>1501.12</v>
      </c>
      <c r="AA18" s="1">
        <f>+'PassRev Herb'!AA111</f>
        <v>1039.28</v>
      </c>
      <c r="AB18" s="1">
        <f>+'PassRev Herb'!AB111</f>
        <v>1441.68</v>
      </c>
      <c r="AC18" s="1">
        <f>+'PassRev Herb'!AC111</f>
        <v>467.04</v>
      </c>
      <c r="AD18" s="1">
        <f>+'PassRev Herb'!AD111</f>
        <v>1517.52</v>
      </c>
      <c r="AE18" s="1">
        <f>+'PassRev Herb'!AE111</f>
        <v>1341.12</v>
      </c>
      <c r="AF18" s="1">
        <f>+'PassRev Herb'!AF111</f>
        <v>2787.2</v>
      </c>
      <c r="AG18" s="1">
        <f>+'PassRev Herb'!AG111</f>
        <v>1777.84</v>
      </c>
      <c r="AH18" s="1">
        <f>+'PassRev Herb'!AH111</f>
        <v>970.95999999999992</v>
      </c>
      <c r="AI18" s="1">
        <f>+'PassRev Herb'!AI111</f>
        <v>2284.48</v>
      </c>
      <c r="AJ18" s="1">
        <f>+'PassRev Herb'!AJ111</f>
        <v>2994.08</v>
      </c>
      <c r="AK18" s="1">
        <f>+'PassRev Herb'!AK111</f>
        <v>1623.8400000000001</v>
      </c>
      <c r="AL18" s="1">
        <f>+'PassRev Herb'!AL111</f>
        <v>560.6400000000001</v>
      </c>
      <c r="AM18" s="1">
        <f>+'PassRev Herb'!AM111</f>
        <v>958.4</v>
      </c>
      <c r="AN18" s="1">
        <f>+'PassRev Herb'!AN111</f>
        <v>170.79999999999998</v>
      </c>
      <c r="AO18" s="1">
        <f>+'PassRev Herb'!AO111</f>
        <v>1629.8400000000001</v>
      </c>
      <c r="AP18" s="1">
        <f>+'PassRev Herb'!AP111</f>
        <v>0</v>
      </c>
      <c r="AQ18" s="1">
        <f>+'PassRev Herb'!AQ111</f>
        <v>0</v>
      </c>
      <c r="AR18" s="3">
        <f t="shared" si="0"/>
        <v>181373.13</v>
      </c>
      <c r="AT18" s="1">
        <f t="shared" si="1"/>
        <v>181373.13</v>
      </c>
    </row>
    <row r="19" spans="1:46" x14ac:dyDescent="0.25">
      <c r="C19" t="s">
        <v>193</v>
      </c>
      <c r="D19" s="1">
        <f>+'PassRev Herb'!D112</f>
        <v>0</v>
      </c>
      <c r="E19" s="1">
        <f>+'PassRev Herb'!E112</f>
        <v>0</v>
      </c>
      <c r="F19" s="1">
        <f>+'PassRev Herb'!F112</f>
        <v>0</v>
      </c>
      <c r="G19" s="1">
        <f>+'PassRev Herb'!G112</f>
        <v>0</v>
      </c>
      <c r="H19" s="1">
        <f>+'PassRev Herb'!H112</f>
        <v>0</v>
      </c>
      <c r="I19" s="1">
        <f>+'PassRev Herb'!I112</f>
        <v>0</v>
      </c>
      <c r="J19" s="1">
        <f>+'PassRev Herb'!J112</f>
        <v>0</v>
      </c>
      <c r="K19" s="1">
        <f>+'PassRev Herb'!K112</f>
        <v>0</v>
      </c>
      <c r="L19" s="1">
        <f>+'PassRev Herb'!L112</f>
        <v>0</v>
      </c>
      <c r="M19" s="1">
        <f>+'PassRev Herb'!M112</f>
        <v>0</v>
      </c>
      <c r="N19" s="1">
        <f>+'PassRev Herb'!N112</f>
        <v>0</v>
      </c>
      <c r="O19" s="1">
        <f>+'PassRev Herb'!O112</f>
        <v>0</v>
      </c>
      <c r="P19" s="1">
        <f>+'PassRev Herb'!P112</f>
        <v>0</v>
      </c>
      <c r="Q19" s="1">
        <f>+'PassRev Herb'!Q112</f>
        <v>0</v>
      </c>
      <c r="R19" s="1">
        <f>+'PassRev Herb'!R112</f>
        <v>0</v>
      </c>
      <c r="S19" s="1">
        <f>+'PassRev Herb'!S112</f>
        <v>0</v>
      </c>
      <c r="T19" s="1">
        <f>+'PassRev Herb'!T112</f>
        <v>0</v>
      </c>
      <c r="U19" s="1">
        <f>+'PassRev Herb'!U112</f>
        <v>0</v>
      </c>
      <c r="V19" s="1">
        <f>+'PassRev Herb'!V112</f>
        <v>0</v>
      </c>
      <c r="W19" s="1">
        <f>+'PassRev Herb'!W112</f>
        <v>0</v>
      </c>
      <c r="X19" s="1">
        <f>+'PassRev Herb'!X112</f>
        <v>0</v>
      </c>
      <c r="Y19" s="1">
        <f>+'PassRev Herb'!Y112</f>
        <v>0</v>
      </c>
      <c r="Z19" s="1">
        <f>+'PassRev Herb'!Z112</f>
        <v>0</v>
      </c>
      <c r="AA19" s="1">
        <f>+'PassRev Herb'!AA112</f>
        <v>0</v>
      </c>
      <c r="AB19" s="1">
        <f>+'PassRev Herb'!AB112</f>
        <v>0</v>
      </c>
      <c r="AC19" s="1">
        <f>+'PassRev Herb'!AC112</f>
        <v>0</v>
      </c>
      <c r="AD19" s="1">
        <f>+'PassRev Herb'!AD112</f>
        <v>0</v>
      </c>
      <c r="AE19" s="1">
        <f>+'PassRev Herb'!AE112</f>
        <v>0</v>
      </c>
      <c r="AF19" s="1">
        <f>+'PassRev Herb'!AF112</f>
        <v>0</v>
      </c>
      <c r="AG19" s="1">
        <f>+'PassRev Herb'!AG112</f>
        <v>0</v>
      </c>
      <c r="AH19" s="1">
        <f>+'PassRev Herb'!AH112</f>
        <v>0</v>
      </c>
      <c r="AI19" s="1">
        <f>+'PassRev Herb'!AI112</f>
        <v>0</v>
      </c>
      <c r="AJ19" s="1">
        <f>+'PassRev Herb'!AJ112</f>
        <v>0</v>
      </c>
      <c r="AK19" s="1">
        <f>+'PassRev Herb'!AK112</f>
        <v>0</v>
      </c>
      <c r="AL19" s="1">
        <f>+'PassRev Herb'!AL112</f>
        <v>0</v>
      </c>
      <c r="AM19" s="1">
        <f>+'PassRev Herb'!AM112</f>
        <v>0</v>
      </c>
      <c r="AN19" s="1">
        <f>+'PassRev Herb'!AN112</f>
        <v>0</v>
      </c>
      <c r="AO19" s="1">
        <f>+'PassRev Herb'!AO112</f>
        <v>0</v>
      </c>
      <c r="AP19" s="1">
        <f>+'PassRev Herb'!AP112</f>
        <v>0</v>
      </c>
      <c r="AQ19" s="1">
        <f>+'PassRev Herb'!AQ112</f>
        <v>0</v>
      </c>
      <c r="AR19" s="3">
        <f t="shared" si="0"/>
        <v>0</v>
      </c>
      <c r="AT19" s="1">
        <f t="shared" si="1"/>
        <v>0</v>
      </c>
    </row>
    <row r="20" spans="1:46" x14ac:dyDescent="0.25">
      <c r="C20" t="s">
        <v>194</v>
      </c>
      <c r="D20" s="1">
        <f>+'PassRev Herb'!D113</f>
        <v>0</v>
      </c>
      <c r="E20" s="1">
        <f>+'PassRev Herb'!E113</f>
        <v>0</v>
      </c>
      <c r="F20" s="1">
        <f>+'PassRev Herb'!F113</f>
        <v>0</v>
      </c>
      <c r="G20" s="1">
        <f>+'PassRev Herb'!G113</f>
        <v>0</v>
      </c>
      <c r="H20" s="1">
        <f>+'PassRev Herb'!H113</f>
        <v>0</v>
      </c>
      <c r="I20" s="1">
        <f>+'PassRev Herb'!I113</f>
        <v>0</v>
      </c>
      <c r="J20" s="1">
        <f>+'PassRev Herb'!J113</f>
        <v>0</v>
      </c>
      <c r="K20" s="1">
        <f>+'PassRev Herb'!K113</f>
        <v>0</v>
      </c>
      <c r="L20" s="1">
        <f>+'PassRev Herb'!L113</f>
        <v>0</v>
      </c>
      <c r="M20" s="1">
        <f>+'PassRev Herb'!M113</f>
        <v>0</v>
      </c>
      <c r="N20" s="1">
        <f>+'PassRev Herb'!N113</f>
        <v>0</v>
      </c>
      <c r="O20" s="1">
        <f>+'PassRev Herb'!O113</f>
        <v>0</v>
      </c>
      <c r="P20" s="1">
        <f>+'PassRev Herb'!P113</f>
        <v>0</v>
      </c>
      <c r="Q20" s="1">
        <f>+'PassRev Herb'!Q113</f>
        <v>0</v>
      </c>
      <c r="R20" s="1">
        <f>+'PassRev Herb'!R113</f>
        <v>0</v>
      </c>
      <c r="S20" s="1">
        <f>+'PassRev Herb'!S113</f>
        <v>0</v>
      </c>
      <c r="T20" s="1">
        <f>+'PassRev Herb'!T113</f>
        <v>0</v>
      </c>
      <c r="U20" s="1">
        <f>+'PassRev Herb'!U113</f>
        <v>0</v>
      </c>
      <c r="V20" s="1">
        <f>+'PassRev Herb'!V113</f>
        <v>0</v>
      </c>
      <c r="W20" s="1">
        <f>+'PassRev Herb'!W113</f>
        <v>0</v>
      </c>
      <c r="X20" s="1">
        <f>+'PassRev Herb'!X113</f>
        <v>0</v>
      </c>
      <c r="Y20" s="1">
        <f>+'PassRev Herb'!Y113</f>
        <v>0</v>
      </c>
      <c r="Z20" s="1">
        <f>+'PassRev Herb'!Z113</f>
        <v>0</v>
      </c>
      <c r="AA20" s="1">
        <f>+'PassRev Herb'!AA113</f>
        <v>0</v>
      </c>
      <c r="AB20" s="1">
        <f>+'PassRev Herb'!AB113</f>
        <v>0</v>
      </c>
      <c r="AC20" s="1">
        <f>+'PassRev Herb'!AC113</f>
        <v>0</v>
      </c>
      <c r="AD20" s="1">
        <f>+'PassRev Herb'!AD113</f>
        <v>0</v>
      </c>
      <c r="AE20" s="1">
        <f>+'PassRev Herb'!AE113</f>
        <v>0</v>
      </c>
      <c r="AF20" s="1">
        <f>+'PassRev Herb'!AF113</f>
        <v>0</v>
      </c>
      <c r="AG20" s="1">
        <f>+'PassRev Herb'!AG113</f>
        <v>0</v>
      </c>
      <c r="AH20" s="1">
        <f>+'PassRev Herb'!AH113</f>
        <v>0</v>
      </c>
      <c r="AI20" s="1">
        <f>+'PassRev Herb'!AI113</f>
        <v>0</v>
      </c>
      <c r="AJ20" s="1">
        <f>+'PassRev Herb'!AJ113</f>
        <v>0</v>
      </c>
      <c r="AK20" s="1">
        <f>+'PassRev Herb'!AK113</f>
        <v>0</v>
      </c>
      <c r="AL20" s="1">
        <f>+'PassRev Herb'!AL113</f>
        <v>0</v>
      </c>
      <c r="AM20" s="1">
        <f>+'PassRev Herb'!AM113</f>
        <v>0</v>
      </c>
      <c r="AN20" s="1">
        <f>+'PassRev Herb'!AN113</f>
        <v>0</v>
      </c>
      <c r="AO20" s="1">
        <f>+'PassRev Herb'!AO113</f>
        <v>0</v>
      </c>
      <c r="AP20" s="1">
        <f>+'PassRev Herb'!AP113</f>
        <v>0</v>
      </c>
      <c r="AQ20" s="1">
        <f>+'PassRev Herb'!AQ113</f>
        <v>0</v>
      </c>
      <c r="AR20" s="3">
        <f t="shared" si="0"/>
        <v>0</v>
      </c>
      <c r="AT20" s="1">
        <f t="shared" si="1"/>
        <v>0</v>
      </c>
    </row>
    <row r="21" spans="1:46" x14ac:dyDescent="0.25">
      <c r="C21" t="s">
        <v>296</v>
      </c>
      <c r="D21" s="1">
        <f>+'PassRev Herb'!D114</f>
        <v>0</v>
      </c>
      <c r="E21" s="1">
        <f>+'PassRev Herb'!E114</f>
        <v>0</v>
      </c>
      <c r="F21" s="1">
        <f>+'PassRev Herb'!F114</f>
        <v>0</v>
      </c>
      <c r="G21" s="1">
        <f>+'PassRev Herb'!G114</f>
        <v>932.16000000000008</v>
      </c>
      <c r="H21" s="1">
        <f>+'PassRev Herb'!H114</f>
        <v>-170.03</v>
      </c>
      <c r="I21" s="1">
        <f>+'PassRev Herb'!I114</f>
        <v>-2.08</v>
      </c>
      <c r="J21" s="1">
        <f>+'PassRev Herb'!J114</f>
        <v>-8.32</v>
      </c>
      <c r="K21" s="1">
        <f>+'PassRev Herb'!K114</f>
        <v>0</v>
      </c>
      <c r="L21" s="1">
        <f>+'PassRev Herb'!L114</f>
        <v>509.12</v>
      </c>
      <c r="M21" s="1">
        <f>+'PassRev Herb'!M114</f>
        <v>164.24</v>
      </c>
      <c r="N21" s="1">
        <f>+'PassRev Herb'!N114</f>
        <v>532.07999999999993</v>
      </c>
      <c r="O21" s="1">
        <f>+'PassRev Herb'!O114</f>
        <v>288.72000000000003</v>
      </c>
      <c r="P21" s="1">
        <f>+'PassRev Herb'!P114</f>
        <v>569.52</v>
      </c>
      <c r="Q21" s="1">
        <f>+'PassRev Herb'!Q114</f>
        <v>754.8</v>
      </c>
      <c r="R21" s="1">
        <f>+'PassRev Herb'!R114</f>
        <v>234.88</v>
      </c>
      <c r="S21" s="1">
        <f>+'PassRev Herb'!S114</f>
        <v>696.32</v>
      </c>
      <c r="T21" s="1">
        <f>+'PassRev Herb'!T114</f>
        <v>888.16</v>
      </c>
      <c r="U21" s="1">
        <f>+'PassRev Herb'!U114</f>
        <v>602.72</v>
      </c>
      <c r="V21" s="1">
        <f>+'PassRev Herb'!V114</f>
        <v>343.91999999999996</v>
      </c>
      <c r="W21" s="1">
        <f>+'PassRev Herb'!W114</f>
        <v>320.56</v>
      </c>
      <c r="X21" s="1">
        <f>+'PassRev Herb'!X114</f>
        <v>239.12</v>
      </c>
      <c r="Y21" s="1">
        <f>+'PassRev Herb'!Y114</f>
        <v>762.32</v>
      </c>
      <c r="Z21" s="1">
        <f>+'PassRev Herb'!Z114</f>
        <v>210.56</v>
      </c>
      <c r="AA21" s="1">
        <f>+'PassRev Herb'!AA114</f>
        <v>386.96000000000004</v>
      </c>
      <c r="AB21" s="1">
        <f>+'PassRev Herb'!AB114</f>
        <v>671.04</v>
      </c>
      <c r="AC21" s="1">
        <f>+'PassRev Herb'!AC114</f>
        <v>148.79999999999998</v>
      </c>
      <c r="AD21" s="1">
        <f>+'PassRev Herb'!AD114</f>
        <v>0</v>
      </c>
      <c r="AE21" s="1">
        <f>+'PassRev Herb'!AE114</f>
        <v>439.84000000000003</v>
      </c>
      <c r="AF21" s="1">
        <f>+'PassRev Herb'!AF114</f>
        <v>0</v>
      </c>
      <c r="AG21" s="1">
        <f>+'PassRev Herb'!AG114</f>
        <v>0</v>
      </c>
      <c r="AH21" s="1">
        <f>+'PassRev Herb'!AH114</f>
        <v>192.79999999999998</v>
      </c>
      <c r="AI21" s="1">
        <f>+'PassRev Herb'!AI114</f>
        <v>0</v>
      </c>
      <c r="AJ21" s="1">
        <f>+'PassRev Herb'!AJ114</f>
        <v>164.24</v>
      </c>
      <c r="AK21" s="1">
        <f>+'PassRev Herb'!AK114</f>
        <v>0</v>
      </c>
      <c r="AL21" s="1">
        <f>+'PassRev Herb'!AL114</f>
        <v>0</v>
      </c>
      <c r="AM21" s="1">
        <f>+'PassRev Herb'!AM114</f>
        <v>279.83999999999997</v>
      </c>
      <c r="AN21" s="1">
        <f>+'PassRev Herb'!AN114</f>
        <v>0</v>
      </c>
      <c r="AO21" s="1">
        <f>+'PassRev Herb'!AO114</f>
        <v>0</v>
      </c>
      <c r="AP21" s="1">
        <f>+'PassRev Herb'!AP114</f>
        <v>0</v>
      </c>
      <c r="AQ21" s="1">
        <f>+'PassRev Herb'!AQ114</f>
        <v>0</v>
      </c>
      <c r="AR21" s="3">
        <f t="shared" si="0"/>
        <v>10152.289999999999</v>
      </c>
      <c r="AT21" s="1">
        <f t="shared" si="1"/>
        <v>10152.289999999999</v>
      </c>
    </row>
    <row r="22" spans="1:46" x14ac:dyDescent="0.25">
      <c r="C22" t="s">
        <v>44</v>
      </c>
      <c r="D22" s="1">
        <f>+'PassRev Herb'!D115</f>
        <v>0</v>
      </c>
      <c r="E22" s="1">
        <f>+'PassRev Herb'!E115</f>
        <v>0</v>
      </c>
      <c r="F22" s="1">
        <f>+'PassRev Herb'!F115</f>
        <v>0</v>
      </c>
      <c r="G22" s="1">
        <f>+'PassRev Herb'!G115</f>
        <v>5479.8000000000029</v>
      </c>
      <c r="H22" s="1">
        <f>+'PassRev Herb'!H115</f>
        <v>12632.76</v>
      </c>
      <c r="I22" s="1">
        <f>+'PassRev Herb'!I115</f>
        <v>3514.3</v>
      </c>
      <c r="J22" s="1">
        <f>+'PassRev Herb'!J115</f>
        <v>4058.8399999999992</v>
      </c>
      <c r="K22" s="1">
        <f>+'PassRev Herb'!K115</f>
        <v>5528.6399999999994</v>
      </c>
      <c r="L22" s="1">
        <f>+'PassRev Herb'!L115</f>
        <v>15954.380000000001</v>
      </c>
      <c r="M22" s="1">
        <f>+'PassRev Herb'!M115</f>
        <v>14254.779999999999</v>
      </c>
      <c r="N22" s="1">
        <f>+'PassRev Herb'!N115</f>
        <v>17199.100000000002</v>
      </c>
      <c r="O22" s="1">
        <f>+'PassRev Herb'!O115</f>
        <v>19643.2</v>
      </c>
      <c r="P22" s="1">
        <f>+'PassRev Herb'!P115</f>
        <v>31004.679999999997</v>
      </c>
      <c r="Q22" s="1">
        <f>+'PassRev Herb'!Q115</f>
        <v>28313.03</v>
      </c>
      <c r="R22" s="1">
        <f>+'PassRev Herb'!R115</f>
        <v>32449.249999999996</v>
      </c>
      <c r="S22" s="1">
        <f>+'PassRev Herb'!S115</f>
        <v>39935.78</v>
      </c>
      <c r="T22" s="1">
        <f>+'PassRev Herb'!T115</f>
        <v>32384.329999999994</v>
      </c>
      <c r="U22" s="1">
        <f>+'PassRev Herb'!U115</f>
        <v>41505.11</v>
      </c>
      <c r="V22" s="1">
        <f>+'PassRev Herb'!V115</f>
        <v>28703.300000000007</v>
      </c>
      <c r="W22" s="1">
        <f>+'PassRev Herb'!W115</f>
        <v>35608.420000000006</v>
      </c>
      <c r="X22" s="1">
        <f>+'PassRev Herb'!X115</f>
        <v>29291.999999999993</v>
      </c>
      <c r="Y22" s="1">
        <f>+'PassRev Herb'!Y115</f>
        <v>21749.45</v>
      </c>
      <c r="Z22" s="1">
        <f>+'PassRev Herb'!Z115</f>
        <v>17732.000000000004</v>
      </c>
      <c r="AA22" s="1">
        <f>+'PassRev Herb'!AA115</f>
        <v>14584.010000000002</v>
      </c>
      <c r="AB22" s="1">
        <f>+'PassRev Herb'!AB115</f>
        <v>9399.3000000000011</v>
      </c>
      <c r="AC22" s="1">
        <f>+'PassRev Herb'!AC115</f>
        <v>11329.1</v>
      </c>
      <c r="AD22" s="1">
        <f>+'PassRev Herb'!AD115</f>
        <v>5213.3799999999992</v>
      </c>
      <c r="AE22" s="1">
        <f>+'PassRev Herb'!AE115</f>
        <v>5143.3199999999988</v>
      </c>
      <c r="AF22" s="1">
        <f>+'PassRev Herb'!AF115</f>
        <v>5018.2000000000007</v>
      </c>
      <c r="AG22" s="1">
        <f>+'PassRev Herb'!AG115</f>
        <v>3899.62</v>
      </c>
      <c r="AH22" s="1">
        <f>+'PassRev Herb'!AH115</f>
        <v>4980.8999999999996</v>
      </c>
      <c r="AI22" s="1">
        <f>+'PassRev Herb'!AI115</f>
        <v>2017.5800000000008</v>
      </c>
      <c r="AJ22" s="1">
        <f>+'PassRev Herb'!AJ115</f>
        <v>7799.0899999999974</v>
      </c>
      <c r="AK22" s="1">
        <f>+'PassRev Herb'!AK115</f>
        <v>3459.68</v>
      </c>
      <c r="AL22" s="1">
        <f>+'PassRev Herb'!AL115</f>
        <v>4270</v>
      </c>
      <c r="AM22" s="1">
        <f>+'PassRev Herb'!AM115</f>
        <v>1195.3200000000002</v>
      </c>
      <c r="AN22" s="1">
        <f>+'PassRev Herb'!AN115</f>
        <v>1857.7499999999998</v>
      </c>
      <c r="AO22" s="1">
        <f>+'PassRev Herb'!AO115</f>
        <v>562</v>
      </c>
      <c r="AP22" s="1">
        <f>+'PassRev Herb'!AP115</f>
        <v>506.06</v>
      </c>
      <c r="AQ22" s="1">
        <f>+'PassRev Herb'!AQ115</f>
        <v>0</v>
      </c>
      <c r="AR22" s="3">
        <f t="shared" si="0"/>
        <v>518178.46</v>
      </c>
      <c r="AT22" s="1">
        <f t="shared" si="1"/>
        <v>518178.46</v>
      </c>
    </row>
    <row r="23" spans="1:46" x14ac:dyDescent="0.25">
      <c r="C23" t="s">
        <v>217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3">
        <f t="shared" si="0"/>
        <v>0</v>
      </c>
      <c r="AT23" s="1">
        <f t="shared" si="1"/>
        <v>0</v>
      </c>
    </row>
    <row r="24" spans="1:46" s="2" customFormat="1" x14ac:dyDescent="0.25">
      <c r="A24" s="2" t="s">
        <v>2</v>
      </c>
      <c r="D24" s="3">
        <f>SUM(D4:D23)</f>
        <v>0</v>
      </c>
      <c r="E24" s="3">
        <f t="shared" ref="E24:K24" si="2">SUM(E4:E23)</f>
        <v>0</v>
      </c>
      <c r="F24" s="3">
        <f t="shared" si="2"/>
        <v>0</v>
      </c>
      <c r="G24" s="3">
        <f t="shared" si="2"/>
        <v>81506.080000000002</v>
      </c>
      <c r="H24" s="3">
        <f t="shared" si="2"/>
        <v>38290.620000000003</v>
      </c>
      <c r="I24" s="3">
        <f t="shared" si="2"/>
        <v>7306.25</v>
      </c>
      <c r="J24" s="3">
        <f t="shared" si="2"/>
        <v>22766.76</v>
      </c>
      <c r="K24" s="3">
        <f t="shared" si="2"/>
        <v>55754.720000000001</v>
      </c>
      <c r="L24" s="3">
        <f>SUM(L4:L23)</f>
        <v>56677.720000000016</v>
      </c>
      <c r="M24" s="3">
        <f t="shared" ref="M24:AR24" si="3">SUM(M4:M23)</f>
        <v>49382.96</v>
      </c>
      <c r="N24" s="3">
        <f t="shared" si="3"/>
        <v>61761.920000000013</v>
      </c>
      <c r="O24" s="3">
        <f t="shared" si="3"/>
        <v>45861.96</v>
      </c>
      <c r="P24" s="3">
        <f t="shared" si="3"/>
        <v>70844.399999999994</v>
      </c>
      <c r="Q24" s="3">
        <f t="shared" si="3"/>
        <v>73741.550000000017</v>
      </c>
      <c r="R24" s="3">
        <f t="shared" si="3"/>
        <v>79987.14</v>
      </c>
      <c r="S24" s="3">
        <f t="shared" si="3"/>
        <v>86076.5</v>
      </c>
      <c r="T24" s="3">
        <f t="shared" si="3"/>
        <v>88307.209999999992</v>
      </c>
      <c r="U24" s="3">
        <f t="shared" si="3"/>
        <v>100534.05</v>
      </c>
      <c r="V24" s="3">
        <f t="shared" si="3"/>
        <v>80883.320000000007</v>
      </c>
      <c r="W24" s="3">
        <f t="shared" si="3"/>
        <v>78734.52</v>
      </c>
      <c r="X24" s="3">
        <f t="shared" si="3"/>
        <v>87527.599999999991</v>
      </c>
      <c r="Y24" s="3">
        <f t="shared" si="3"/>
        <v>75563.654999999999</v>
      </c>
      <c r="Z24" s="3">
        <f t="shared" si="3"/>
        <v>42946.16</v>
      </c>
      <c r="AA24" s="3">
        <f t="shared" si="3"/>
        <v>46231.75</v>
      </c>
      <c r="AB24" s="3">
        <f t="shared" si="3"/>
        <v>35999.96</v>
      </c>
      <c r="AC24" s="3">
        <f t="shared" si="3"/>
        <v>27525.919999999998</v>
      </c>
      <c r="AD24" s="3">
        <f t="shared" si="3"/>
        <v>29390.400000000001</v>
      </c>
      <c r="AE24" s="3">
        <f t="shared" si="3"/>
        <v>15214.719999999998</v>
      </c>
      <c r="AF24" s="3">
        <f t="shared" si="3"/>
        <v>13091.05</v>
      </c>
      <c r="AG24" s="3">
        <f t="shared" si="3"/>
        <v>14197.279999999999</v>
      </c>
      <c r="AH24" s="3">
        <f t="shared" si="3"/>
        <v>15673.919999999996</v>
      </c>
      <c r="AI24" s="3">
        <f t="shared" si="3"/>
        <v>17196.919999999998</v>
      </c>
      <c r="AJ24" s="3">
        <f t="shared" si="3"/>
        <v>33586.219999999994</v>
      </c>
      <c r="AK24" s="3">
        <f t="shared" si="3"/>
        <v>14955.1</v>
      </c>
      <c r="AL24" s="3">
        <f t="shared" si="3"/>
        <v>11801.760000000002</v>
      </c>
      <c r="AM24" s="3">
        <f t="shared" si="3"/>
        <v>7326.26</v>
      </c>
      <c r="AN24" s="3">
        <f t="shared" si="3"/>
        <v>6573.13</v>
      </c>
      <c r="AO24" s="3">
        <f t="shared" si="3"/>
        <v>2176.4</v>
      </c>
      <c r="AP24" s="3">
        <f t="shared" si="3"/>
        <v>990.28</v>
      </c>
      <c r="AQ24" s="3">
        <f t="shared" si="3"/>
        <v>-154.4</v>
      </c>
      <c r="AR24" s="3">
        <f t="shared" si="3"/>
        <v>1576231.7650000001</v>
      </c>
      <c r="AS24" s="3"/>
      <c r="AT24" s="3">
        <f t="shared" si="1"/>
        <v>1576386.1649999998</v>
      </c>
    </row>
    <row r="25" spans="1:46" s="10" customFormat="1" ht="12.75" x14ac:dyDescent="0.2">
      <c r="D25" s="11">
        <f>+D24</f>
        <v>0</v>
      </c>
      <c r="E25" s="11">
        <f>+D25+E24</f>
        <v>0</v>
      </c>
      <c r="F25" s="11">
        <f t="shared" ref="F25:AQ25" si="4">+E25+F24</f>
        <v>0</v>
      </c>
      <c r="G25" s="11">
        <f t="shared" si="4"/>
        <v>81506.080000000002</v>
      </c>
      <c r="H25" s="11">
        <f t="shared" si="4"/>
        <v>119796.70000000001</v>
      </c>
      <c r="I25" s="11">
        <f t="shared" si="4"/>
        <v>127102.95000000001</v>
      </c>
      <c r="J25" s="11">
        <f t="shared" si="4"/>
        <v>149869.71000000002</v>
      </c>
      <c r="K25" s="11">
        <f t="shared" si="4"/>
        <v>205624.43000000002</v>
      </c>
      <c r="L25" s="11">
        <f t="shared" si="4"/>
        <v>262302.15000000002</v>
      </c>
      <c r="M25" s="11">
        <f t="shared" si="4"/>
        <v>311685.11000000004</v>
      </c>
      <c r="N25" s="11">
        <f t="shared" si="4"/>
        <v>373447.03</v>
      </c>
      <c r="O25" s="11">
        <f t="shared" si="4"/>
        <v>419308.99000000005</v>
      </c>
      <c r="P25" s="11">
        <f t="shared" si="4"/>
        <v>490153.39</v>
      </c>
      <c r="Q25" s="11">
        <f t="shared" si="4"/>
        <v>563894.94000000006</v>
      </c>
      <c r="R25" s="11">
        <f t="shared" si="4"/>
        <v>643882.08000000007</v>
      </c>
      <c r="S25" s="11">
        <f t="shared" si="4"/>
        <v>729958.58000000007</v>
      </c>
      <c r="T25" s="11">
        <f t="shared" si="4"/>
        <v>818265.79</v>
      </c>
      <c r="U25" s="11">
        <f t="shared" si="4"/>
        <v>918799.84000000008</v>
      </c>
      <c r="V25" s="11">
        <f t="shared" si="4"/>
        <v>999683.16000000015</v>
      </c>
      <c r="W25" s="11">
        <f t="shared" si="4"/>
        <v>1078417.6800000002</v>
      </c>
      <c r="X25" s="11">
        <f t="shared" si="4"/>
        <v>1165945.2800000003</v>
      </c>
      <c r="Y25" s="11">
        <f t="shared" si="4"/>
        <v>1241508.9350000003</v>
      </c>
      <c r="Z25" s="11">
        <f t="shared" si="4"/>
        <v>1284455.0950000002</v>
      </c>
      <c r="AA25" s="11">
        <f t="shared" si="4"/>
        <v>1330686.8450000002</v>
      </c>
      <c r="AB25" s="11">
        <f t="shared" si="4"/>
        <v>1366686.8050000002</v>
      </c>
      <c r="AC25" s="11">
        <f t="shared" si="4"/>
        <v>1394212.7250000001</v>
      </c>
      <c r="AD25" s="11">
        <f t="shared" si="4"/>
        <v>1423603.125</v>
      </c>
      <c r="AE25" s="11">
        <f t="shared" si="4"/>
        <v>1438817.845</v>
      </c>
      <c r="AF25" s="11">
        <f t="shared" si="4"/>
        <v>1451908.895</v>
      </c>
      <c r="AG25" s="11">
        <f t="shared" si="4"/>
        <v>1466106.175</v>
      </c>
      <c r="AH25" s="11">
        <f t="shared" si="4"/>
        <v>1481780.095</v>
      </c>
      <c r="AI25" s="11">
        <f t="shared" si="4"/>
        <v>1498977.0149999999</v>
      </c>
      <c r="AJ25" s="11">
        <f t="shared" si="4"/>
        <v>1532563.2349999999</v>
      </c>
      <c r="AK25" s="11">
        <f t="shared" si="4"/>
        <v>1547518.335</v>
      </c>
      <c r="AL25" s="11">
        <f t="shared" si="4"/>
        <v>1559320.095</v>
      </c>
      <c r="AM25" s="11">
        <f t="shared" si="4"/>
        <v>1566646.355</v>
      </c>
      <c r="AN25" s="11">
        <f t="shared" si="4"/>
        <v>1573219.4849999999</v>
      </c>
      <c r="AO25" s="11">
        <f t="shared" si="4"/>
        <v>1575395.8849999998</v>
      </c>
      <c r="AP25" s="11">
        <f t="shared" si="4"/>
        <v>1576386.1649999998</v>
      </c>
      <c r="AQ25" s="11">
        <f t="shared" si="4"/>
        <v>1576231.7649999999</v>
      </c>
      <c r="AR25" s="40"/>
    </row>
    <row r="26" spans="1:46" x14ac:dyDescent="0.25">
      <c r="A26" s="2" t="s">
        <v>80</v>
      </c>
    </row>
    <row r="27" spans="1:46" x14ac:dyDescent="0.25">
      <c r="B27" s="59">
        <f>+Accrualstrip!B28</f>
        <v>1.4999999999999999E-2</v>
      </c>
      <c r="C27" t="s">
        <v>435</v>
      </c>
      <c r="D27" s="1">
        <f t="shared" ref="D27:N27" si="5">-D4*$B27</f>
        <v>0</v>
      </c>
      <c r="E27" s="1">
        <f t="shared" si="5"/>
        <v>0</v>
      </c>
      <c r="F27" s="1">
        <f t="shared" si="5"/>
        <v>0</v>
      </c>
      <c r="G27" s="1">
        <f t="shared" si="5"/>
        <v>-150.43979999999999</v>
      </c>
      <c r="H27" s="1">
        <v>0</v>
      </c>
      <c r="I27" s="1">
        <f t="shared" si="5"/>
        <v>0</v>
      </c>
      <c r="J27" s="1">
        <f t="shared" si="5"/>
        <v>-6.049199999999999</v>
      </c>
      <c r="K27" s="1">
        <f t="shared" si="5"/>
        <v>-13.5177</v>
      </c>
      <c r="L27" s="1">
        <f t="shared" si="5"/>
        <v>-235.26120000000003</v>
      </c>
      <c r="M27" s="1">
        <f t="shared" si="5"/>
        <v>0.76950000000000007</v>
      </c>
      <c r="N27" s="1">
        <f t="shared" si="5"/>
        <v>-30.848099999999999</v>
      </c>
      <c r="O27" s="1">
        <f t="shared" ref="D27:AQ34" si="6">-O4*$B27</f>
        <v>-26.339099999999998</v>
      </c>
      <c r="P27" s="1">
        <f t="shared" si="6"/>
        <v>-67.391099999999994</v>
      </c>
      <c r="Q27" s="1">
        <f t="shared" si="6"/>
        <v>-129.03029999999998</v>
      </c>
      <c r="R27" s="1">
        <f t="shared" si="6"/>
        <v>-157.67609999999999</v>
      </c>
      <c r="S27" s="1">
        <f t="shared" si="6"/>
        <v>-35.583000000000006</v>
      </c>
      <c r="T27" s="1">
        <f t="shared" si="6"/>
        <v>-141.31979999999999</v>
      </c>
      <c r="U27" s="1">
        <f t="shared" si="6"/>
        <v>-26.5869</v>
      </c>
      <c r="V27" s="1">
        <f t="shared" si="6"/>
        <v>-68.536650000000009</v>
      </c>
      <c r="W27" s="1">
        <f t="shared" si="6"/>
        <v>-58.824599999999997</v>
      </c>
      <c r="X27" s="1">
        <f t="shared" si="6"/>
        <v>-182.44589999999999</v>
      </c>
      <c r="Y27" s="1">
        <f t="shared" si="6"/>
        <v>-24.983774999999998</v>
      </c>
      <c r="Z27" s="1">
        <f t="shared" si="6"/>
        <v>-39.655500000000004</v>
      </c>
      <c r="AA27" s="1">
        <f t="shared" si="6"/>
        <v>-15.002999999999995</v>
      </c>
      <c r="AB27" s="1">
        <f t="shared" si="6"/>
        <v>-42.113699999999994</v>
      </c>
      <c r="AC27" s="1">
        <f t="shared" si="6"/>
        <v>-31.229099999999999</v>
      </c>
      <c r="AD27" s="1">
        <f t="shared" si="6"/>
        <v>-21.152699999999999</v>
      </c>
      <c r="AE27" s="1">
        <f t="shared" si="6"/>
        <v>-24.639000000000003</v>
      </c>
      <c r="AF27" s="1">
        <f t="shared" si="6"/>
        <v>-35.299949999999995</v>
      </c>
      <c r="AG27" s="1">
        <f t="shared" si="6"/>
        <v>-23.7273</v>
      </c>
      <c r="AH27" s="1">
        <f t="shared" si="6"/>
        <v>-70.826099999999997</v>
      </c>
      <c r="AI27" s="1">
        <f t="shared" si="6"/>
        <v>-63.054899999999996</v>
      </c>
      <c r="AJ27" s="1">
        <f t="shared" si="6"/>
        <v>-193.03395</v>
      </c>
      <c r="AK27" s="1">
        <f t="shared" si="6"/>
        <v>-25.907699999999998</v>
      </c>
      <c r="AL27" s="1">
        <f t="shared" si="6"/>
        <v>-29.303999999999998</v>
      </c>
      <c r="AM27" s="1">
        <f t="shared" si="6"/>
        <v>-16.659600000000001</v>
      </c>
      <c r="AN27" s="1">
        <f t="shared" si="6"/>
        <v>0.63449999999999995</v>
      </c>
      <c r="AO27" s="1">
        <f t="shared" si="6"/>
        <v>0</v>
      </c>
      <c r="AP27" s="1">
        <f t="shared" si="6"/>
        <v>0</v>
      </c>
      <c r="AQ27" s="1">
        <f t="shared" si="6"/>
        <v>0</v>
      </c>
      <c r="AR27" s="3">
        <f t="shared" ref="AR27:AR45" si="7">SUM(D27:AQ27)</f>
        <v>-1985.0357250000002</v>
      </c>
      <c r="AT27" s="1">
        <f t="shared" ref="AT27:AT47" si="8">SUM(D27:AP27)</f>
        <v>-1985.0357250000002</v>
      </c>
    </row>
    <row r="28" spans="1:46" x14ac:dyDescent="0.25">
      <c r="B28" s="59">
        <f>+Accrualstrip!B29</f>
        <v>0.05</v>
      </c>
      <c r="C28" t="s">
        <v>424</v>
      </c>
      <c r="D28" s="1">
        <f t="shared" si="6"/>
        <v>0</v>
      </c>
      <c r="E28" s="1">
        <f t="shared" ref="E28:K42" si="9">-E5*$B28</f>
        <v>0</v>
      </c>
      <c r="F28" s="1">
        <f t="shared" si="9"/>
        <v>0</v>
      </c>
      <c r="G28" s="1">
        <f t="shared" si="9"/>
        <v>0</v>
      </c>
      <c r="H28" s="1">
        <f t="shared" si="9"/>
        <v>-26.768000000000001</v>
      </c>
      <c r="I28" s="1">
        <f t="shared" si="9"/>
        <v>-36.032000000000004</v>
      </c>
      <c r="J28" s="1">
        <f t="shared" si="9"/>
        <v>0</v>
      </c>
      <c r="K28" s="1">
        <f t="shared" si="9"/>
        <v>0</v>
      </c>
      <c r="L28" s="1">
        <f t="shared" si="6"/>
        <v>-51.94400000000001</v>
      </c>
      <c r="M28" s="1">
        <f t="shared" si="6"/>
        <v>-105.21999999999998</v>
      </c>
      <c r="N28" s="1">
        <f t="shared" si="6"/>
        <v>-58.072000000000003</v>
      </c>
      <c r="O28" s="1">
        <f t="shared" si="6"/>
        <v>-129.38399999999999</v>
      </c>
      <c r="P28" s="1">
        <f t="shared" si="6"/>
        <v>-145.172</v>
      </c>
      <c r="Q28" s="1">
        <f t="shared" si="6"/>
        <v>-128.81800000000001</v>
      </c>
      <c r="R28" s="1">
        <f t="shared" si="6"/>
        <v>-134.816</v>
      </c>
      <c r="S28" s="1">
        <f t="shared" si="6"/>
        <v>-193.89200000000002</v>
      </c>
      <c r="T28" s="1">
        <f t="shared" si="6"/>
        <v>-158.87200000000001</v>
      </c>
      <c r="U28" s="1">
        <f t="shared" si="6"/>
        <v>-65.86</v>
      </c>
      <c r="V28" s="1">
        <f t="shared" si="6"/>
        <v>-136.19600000000003</v>
      </c>
      <c r="W28" s="1">
        <f t="shared" si="6"/>
        <v>-195.69600000000003</v>
      </c>
      <c r="X28" s="1">
        <f t="shared" si="6"/>
        <v>-69.432000000000002</v>
      </c>
      <c r="Y28" s="1">
        <f t="shared" si="6"/>
        <v>-58.81900000000001</v>
      </c>
      <c r="Z28" s="1">
        <f t="shared" si="6"/>
        <v>-115.27600000000001</v>
      </c>
      <c r="AA28" s="1">
        <f t="shared" si="6"/>
        <v>-37.131999999999998</v>
      </c>
      <c r="AB28" s="1">
        <f t="shared" si="6"/>
        <v>-20.988</v>
      </c>
      <c r="AC28" s="1">
        <f t="shared" si="6"/>
        <v>-37.556000000000004</v>
      </c>
      <c r="AD28" s="1">
        <f t="shared" si="6"/>
        <v>-23.16</v>
      </c>
      <c r="AE28" s="1">
        <f t="shared" si="6"/>
        <v>-32.616</v>
      </c>
      <c r="AF28" s="1">
        <f t="shared" si="6"/>
        <v>-12.12</v>
      </c>
      <c r="AG28" s="1">
        <f t="shared" si="6"/>
        <v>0</v>
      </c>
      <c r="AH28" s="1">
        <f t="shared" si="6"/>
        <v>0</v>
      </c>
      <c r="AI28" s="1">
        <f t="shared" si="6"/>
        <v>0</v>
      </c>
      <c r="AJ28" s="1">
        <f t="shared" si="6"/>
        <v>-20.495999999999999</v>
      </c>
      <c r="AK28" s="1">
        <f t="shared" si="6"/>
        <v>0</v>
      </c>
      <c r="AL28" s="1">
        <f t="shared" si="6"/>
        <v>-32.876000000000005</v>
      </c>
      <c r="AM28" s="1">
        <f t="shared" si="6"/>
        <v>0</v>
      </c>
      <c r="AN28" s="1">
        <f t="shared" si="6"/>
        <v>0</v>
      </c>
      <c r="AO28" s="1">
        <f t="shared" si="6"/>
        <v>0</v>
      </c>
      <c r="AP28" s="1">
        <f t="shared" si="6"/>
        <v>0</v>
      </c>
      <c r="AQ28" s="1">
        <f t="shared" si="6"/>
        <v>0</v>
      </c>
      <c r="AR28" s="3">
        <f t="shared" si="7"/>
        <v>-2027.213</v>
      </c>
      <c r="AT28" s="1">
        <f t="shared" si="8"/>
        <v>-2027.213</v>
      </c>
    </row>
    <row r="29" spans="1:46" x14ac:dyDescent="0.25">
      <c r="B29" s="59">
        <f>+Accrualstrip!B30</f>
        <v>0.05</v>
      </c>
      <c r="C29" t="s">
        <v>347</v>
      </c>
      <c r="D29" s="1">
        <f t="shared" si="6"/>
        <v>0</v>
      </c>
      <c r="E29" s="1">
        <f t="shared" si="9"/>
        <v>0</v>
      </c>
      <c r="F29" s="1">
        <f t="shared" si="9"/>
        <v>0</v>
      </c>
      <c r="G29" s="1">
        <f t="shared" si="9"/>
        <v>0</v>
      </c>
      <c r="H29" s="1">
        <f t="shared" si="9"/>
        <v>0</v>
      </c>
      <c r="I29" s="1">
        <f t="shared" si="9"/>
        <v>0</v>
      </c>
      <c r="J29" s="1">
        <f t="shared" si="9"/>
        <v>0</v>
      </c>
      <c r="K29" s="1">
        <f t="shared" si="9"/>
        <v>0</v>
      </c>
      <c r="L29" s="1">
        <f t="shared" si="6"/>
        <v>-7.7200000000000006</v>
      </c>
      <c r="M29" s="1">
        <f t="shared" si="6"/>
        <v>0</v>
      </c>
      <c r="N29" s="1">
        <f t="shared" si="6"/>
        <v>0</v>
      </c>
      <c r="O29" s="1">
        <f t="shared" si="6"/>
        <v>-9.4759999999999991</v>
      </c>
      <c r="P29" s="1">
        <f t="shared" si="6"/>
        <v>-30.299999999999997</v>
      </c>
      <c r="Q29" s="1">
        <f t="shared" si="6"/>
        <v>-11.347999999999999</v>
      </c>
      <c r="R29" s="1">
        <f t="shared" si="6"/>
        <v>-34.207999999999998</v>
      </c>
      <c r="S29" s="1">
        <f t="shared" si="6"/>
        <v>-28.544</v>
      </c>
      <c r="T29" s="1">
        <f t="shared" si="6"/>
        <v>-67.992000000000004</v>
      </c>
      <c r="U29" s="1">
        <f t="shared" si="6"/>
        <v>-29.951999999999998</v>
      </c>
      <c r="V29" s="1">
        <f t="shared" si="6"/>
        <v>-71.76400000000001</v>
      </c>
      <c r="W29" s="1">
        <f t="shared" si="6"/>
        <v>-85.756</v>
      </c>
      <c r="X29" s="1">
        <f t="shared" si="6"/>
        <v>-83.788000000000011</v>
      </c>
      <c r="Y29" s="1">
        <f t="shared" si="6"/>
        <v>-0.93599999999999994</v>
      </c>
      <c r="Z29" s="1">
        <f t="shared" si="6"/>
        <v>-18.72</v>
      </c>
      <c r="AA29" s="1">
        <f t="shared" si="6"/>
        <v>-4.68</v>
      </c>
      <c r="AB29" s="1">
        <f t="shared" si="6"/>
        <v>-10.247999999999999</v>
      </c>
      <c r="AC29" s="1">
        <f t="shared" si="6"/>
        <v>-12.352</v>
      </c>
      <c r="AD29" s="1">
        <f t="shared" si="6"/>
        <v>-15.768000000000001</v>
      </c>
      <c r="AE29" s="1">
        <f t="shared" si="6"/>
        <v>0</v>
      </c>
      <c r="AF29" s="1">
        <f t="shared" si="6"/>
        <v>-5.6159999999999997</v>
      </c>
      <c r="AG29" s="1">
        <f t="shared" si="6"/>
        <v>-26.604000000000003</v>
      </c>
      <c r="AH29" s="1">
        <f t="shared" si="6"/>
        <v>0</v>
      </c>
      <c r="AI29" s="1">
        <f t="shared" si="6"/>
        <v>-7.7200000000000006</v>
      </c>
      <c r="AJ29" s="1">
        <f t="shared" si="6"/>
        <v>-10.247999999999999</v>
      </c>
      <c r="AK29" s="1">
        <f t="shared" si="6"/>
        <v>-19.28</v>
      </c>
      <c r="AL29" s="1">
        <f t="shared" si="6"/>
        <v>0</v>
      </c>
      <c r="AM29" s="1">
        <f t="shared" si="6"/>
        <v>0</v>
      </c>
      <c r="AN29" s="1">
        <f t="shared" si="6"/>
        <v>0</v>
      </c>
      <c r="AO29" s="1">
        <f t="shared" si="6"/>
        <v>0</v>
      </c>
      <c r="AP29" s="1">
        <f t="shared" si="6"/>
        <v>0</v>
      </c>
      <c r="AQ29" s="1">
        <f t="shared" si="6"/>
        <v>0</v>
      </c>
      <c r="AR29" s="3">
        <f t="shared" si="7"/>
        <v>-593.02</v>
      </c>
      <c r="AT29" s="1">
        <f t="shared" si="8"/>
        <v>-593.02</v>
      </c>
    </row>
    <row r="30" spans="1:46" x14ac:dyDescent="0.25">
      <c r="B30" s="59">
        <f>+Accrualstrip!B31</f>
        <v>6.5000000000000002E-2</v>
      </c>
      <c r="C30" t="s">
        <v>0</v>
      </c>
      <c r="D30" s="1">
        <f t="shared" si="6"/>
        <v>0</v>
      </c>
      <c r="E30" s="1">
        <f t="shared" si="9"/>
        <v>0</v>
      </c>
      <c r="F30" s="1">
        <f t="shared" si="9"/>
        <v>0</v>
      </c>
      <c r="G30" s="1">
        <f t="shared" si="9"/>
        <v>-4159.4175999999998</v>
      </c>
      <c r="H30" s="1">
        <f t="shared" si="9"/>
        <v>0</v>
      </c>
      <c r="I30" s="1">
        <f t="shared" si="9"/>
        <v>0</v>
      </c>
      <c r="J30" s="1">
        <f t="shared" si="9"/>
        <v>-1110.07</v>
      </c>
      <c r="K30" s="1">
        <f t="shared" si="9"/>
        <v>-1488.7080000000001</v>
      </c>
      <c r="L30" s="1">
        <f t="shared" si="6"/>
        <v>-78.296400000000006</v>
      </c>
      <c r="M30" s="1">
        <f t="shared" si="6"/>
        <v>-1581.8036000000002</v>
      </c>
      <c r="N30" s="1">
        <f t="shared" si="6"/>
        <v>-1451.9908</v>
      </c>
      <c r="O30" s="1">
        <f t="shared" si="6"/>
        <v>-977.35040000000004</v>
      </c>
      <c r="P30" s="1">
        <f t="shared" si="6"/>
        <v>-656.24</v>
      </c>
      <c r="Q30" s="1">
        <f t="shared" si="6"/>
        <v>-1144.7176000000002</v>
      </c>
      <c r="R30" s="1">
        <f t="shared" si="6"/>
        <v>-981.96280000000002</v>
      </c>
      <c r="S30" s="1">
        <f t="shared" si="6"/>
        <v>-1511.0004000000001</v>
      </c>
      <c r="T30" s="1">
        <f t="shared" si="6"/>
        <v>-1167.8732</v>
      </c>
      <c r="U30" s="1">
        <f t="shared" si="6"/>
        <v>-2416.0811999999996</v>
      </c>
      <c r="V30" s="1">
        <f t="shared" si="6"/>
        <v>-1088.7344000000003</v>
      </c>
      <c r="W30" s="1">
        <f t="shared" si="6"/>
        <v>-1394.7647999999999</v>
      </c>
      <c r="X30" s="1">
        <f t="shared" si="6"/>
        <v>-1310.8576</v>
      </c>
      <c r="Y30" s="1">
        <f t="shared" si="6"/>
        <v>-1256.3980000000001</v>
      </c>
      <c r="Z30" s="1">
        <f t="shared" si="6"/>
        <v>-1002.3572000000001</v>
      </c>
      <c r="AA30" s="1">
        <f t="shared" si="6"/>
        <v>-1110.2624000000001</v>
      </c>
      <c r="AB30" s="1">
        <f t="shared" si="6"/>
        <v>-1158.6795999999999</v>
      </c>
      <c r="AC30" s="1">
        <f t="shared" si="6"/>
        <v>-608.49360000000001</v>
      </c>
      <c r="AD30" s="1">
        <f t="shared" si="6"/>
        <v>-1160.0264</v>
      </c>
      <c r="AE30" s="1">
        <f t="shared" si="6"/>
        <v>-171.49599999999998</v>
      </c>
      <c r="AF30" s="1">
        <f t="shared" si="6"/>
        <v>-96.304000000000002</v>
      </c>
      <c r="AG30" s="1">
        <f t="shared" si="6"/>
        <v>-292.70280000000002</v>
      </c>
      <c r="AH30" s="1">
        <f t="shared" si="6"/>
        <v>-93.501200000000011</v>
      </c>
      <c r="AI30" s="1">
        <f t="shared" si="6"/>
        <v>-468.59800000000001</v>
      </c>
      <c r="AJ30" s="1">
        <f t="shared" si="6"/>
        <v>-404.3</v>
      </c>
      <c r="AK30" s="1">
        <f t="shared" si="6"/>
        <v>-405.89640000000003</v>
      </c>
      <c r="AL30" s="1">
        <f t="shared" si="6"/>
        <v>-219.19560000000001</v>
      </c>
      <c r="AM30" s="1">
        <f t="shared" si="6"/>
        <v>-109.35600000000001</v>
      </c>
      <c r="AN30" s="1">
        <f t="shared" si="6"/>
        <v>-192.738</v>
      </c>
      <c r="AO30" s="1">
        <f t="shared" si="6"/>
        <v>0</v>
      </c>
      <c r="AP30" s="1">
        <f t="shared" si="6"/>
        <v>0</v>
      </c>
      <c r="AQ30" s="1">
        <f t="shared" si="6"/>
        <v>0</v>
      </c>
      <c r="AR30" s="3">
        <f t="shared" si="7"/>
        <v>-31270.173999999999</v>
      </c>
      <c r="AT30" s="1">
        <f t="shared" si="8"/>
        <v>-31270.173999999999</v>
      </c>
    </row>
    <row r="31" spans="1:46" x14ac:dyDescent="0.25">
      <c r="B31" s="59">
        <f>+Accrualstrip!B32</f>
        <v>0.05</v>
      </c>
      <c r="C31" t="s">
        <v>354</v>
      </c>
      <c r="D31" s="1">
        <f t="shared" si="6"/>
        <v>0</v>
      </c>
      <c r="E31" s="1">
        <f t="shared" si="9"/>
        <v>0</v>
      </c>
      <c r="F31" s="1">
        <f t="shared" si="9"/>
        <v>0</v>
      </c>
      <c r="G31" s="1">
        <f t="shared" si="9"/>
        <v>0</v>
      </c>
      <c r="H31" s="1">
        <f t="shared" si="9"/>
        <v>0</v>
      </c>
      <c r="I31" s="1">
        <f t="shared" si="9"/>
        <v>0</v>
      </c>
      <c r="J31" s="1">
        <f t="shared" si="9"/>
        <v>0</v>
      </c>
      <c r="K31" s="1">
        <f t="shared" si="9"/>
        <v>0</v>
      </c>
      <c r="L31" s="1">
        <f t="shared" si="6"/>
        <v>0</v>
      </c>
      <c r="M31" s="1">
        <f t="shared" si="6"/>
        <v>0</v>
      </c>
      <c r="N31" s="1">
        <f t="shared" si="6"/>
        <v>-6.5519999999999996</v>
      </c>
      <c r="O31" s="1">
        <f t="shared" si="6"/>
        <v>-12.891999999999999</v>
      </c>
      <c r="P31" s="1">
        <f t="shared" si="6"/>
        <v>-17.244</v>
      </c>
      <c r="Q31" s="1">
        <f t="shared" si="6"/>
        <v>-4.3519999999999994</v>
      </c>
      <c r="R31" s="1">
        <f t="shared" si="6"/>
        <v>-4.516</v>
      </c>
      <c r="S31" s="1">
        <f t="shared" si="6"/>
        <v>-33.408000000000008</v>
      </c>
      <c r="T31" s="1">
        <f t="shared" si="6"/>
        <v>-12.448</v>
      </c>
      <c r="U31" s="1">
        <f t="shared" si="6"/>
        <v>-3.8600000000000003</v>
      </c>
      <c r="V31" s="1">
        <f t="shared" si="6"/>
        <v>-1.6559999999999999</v>
      </c>
      <c r="W31" s="1">
        <f t="shared" si="6"/>
        <v>-0.93599999999999994</v>
      </c>
      <c r="X31" s="1">
        <f t="shared" si="6"/>
        <v>-6.06</v>
      </c>
      <c r="Y31" s="1">
        <f t="shared" si="6"/>
        <v>-4.6580000000000004</v>
      </c>
      <c r="Z31" s="1">
        <f t="shared" si="6"/>
        <v>-13.007999999999999</v>
      </c>
      <c r="AA31" s="1">
        <f t="shared" si="6"/>
        <v>-12.168000000000001</v>
      </c>
      <c r="AB31" s="1">
        <f t="shared" si="6"/>
        <v>0</v>
      </c>
      <c r="AC31" s="1">
        <f t="shared" si="6"/>
        <v>0</v>
      </c>
      <c r="AD31" s="1">
        <f t="shared" si="6"/>
        <v>0</v>
      </c>
      <c r="AE31" s="1">
        <f t="shared" si="6"/>
        <v>0</v>
      </c>
      <c r="AF31" s="1">
        <f t="shared" si="6"/>
        <v>0</v>
      </c>
      <c r="AG31" s="1">
        <f t="shared" si="6"/>
        <v>0</v>
      </c>
      <c r="AH31" s="1">
        <f t="shared" si="6"/>
        <v>0</v>
      </c>
      <c r="AI31" s="1">
        <f t="shared" si="6"/>
        <v>0</v>
      </c>
      <c r="AJ31" s="1">
        <f t="shared" si="6"/>
        <v>0</v>
      </c>
      <c r="AK31" s="1">
        <f t="shared" si="6"/>
        <v>0</v>
      </c>
      <c r="AL31" s="1">
        <f t="shared" si="6"/>
        <v>0</v>
      </c>
      <c r="AM31" s="1">
        <f t="shared" si="6"/>
        <v>0</v>
      </c>
      <c r="AN31" s="1">
        <f t="shared" si="6"/>
        <v>0</v>
      </c>
      <c r="AO31" s="1">
        <f t="shared" si="6"/>
        <v>0</v>
      </c>
      <c r="AP31" s="1">
        <f t="shared" si="6"/>
        <v>0</v>
      </c>
      <c r="AQ31" s="1">
        <f t="shared" si="6"/>
        <v>0</v>
      </c>
      <c r="AR31" s="3">
        <f t="shared" si="7"/>
        <v>-133.75800000000001</v>
      </c>
      <c r="AT31" s="1">
        <f t="shared" si="8"/>
        <v>-133.75800000000001</v>
      </c>
    </row>
    <row r="32" spans="1:46" x14ac:dyDescent="0.25">
      <c r="B32" s="59">
        <f>+Accrualstrip!B33</f>
        <v>0</v>
      </c>
      <c r="C32" t="s">
        <v>265</v>
      </c>
      <c r="D32" s="1">
        <f t="shared" si="6"/>
        <v>0</v>
      </c>
      <c r="E32" s="1">
        <f t="shared" si="9"/>
        <v>0</v>
      </c>
      <c r="F32" s="1">
        <f t="shared" si="9"/>
        <v>0</v>
      </c>
      <c r="G32" s="1">
        <f t="shared" si="9"/>
        <v>0</v>
      </c>
      <c r="H32" s="1">
        <f t="shared" si="9"/>
        <v>0</v>
      </c>
      <c r="I32" s="1">
        <f t="shared" si="9"/>
        <v>0</v>
      </c>
      <c r="J32" s="1">
        <f t="shared" si="9"/>
        <v>0</v>
      </c>
      <c r="K32" s="1">
        <f t="shared" si="9"/>
        <v>0</v>
      </c>
      <c r="L32" s="1">
        <f t="shared" si="6"/>
        <v>0</v>
      </c>
      <c r="M32" s="1">
        <f t="shared" si="6"/>
        <v>0</v>
      </c>
      <c r="N32" s="1">
        <f t="shared" si="6"/>
        <v>0</v>
      </c>
      <c r="O32" s="1">
        <f t="shared" si="6"/>
        <v>0</v>
      </c>
      <c r="P32" s="1">
        <f t="shared" si="6"/>
        <v>0</v>
      </c>
      <c r="Q32" s="1">
        <f t="shared" si="6"/>
        <v>0</v>
      </c>
      <c r="R32" s="1">
        <f t="shared" si="6"/>
        <v>0</v>
      </c>
      <c r="S32" s="1">
        <f t="shared" si="6"/>
        <v>0</v>
      </c>
      <c r="T32" s="1">
        <f t="shared" si="6"/>
        <v>0</v>
      </c>
      <c r="U32" s="1">
        <f t="shared" si="6"/>
        <v>0</v>
      </c>
      <c r="V32" s="1">
        <f t="shared" si="6"/>
        <v>0</v>
      </c>
      <c r="W32" s="1">
        <f t="shared" si="6"/>
        <v>0</v>
      </c>
      <c r="X32" s="1">
        <f t="shared" si="6"/>
        <v>0</v>
      </c>
      <c r="Y32" s="1">
        <f t="shared" si="6"/>
        <v>0</v>
      </c>
      <c r="Z32" s="1">
        <f t="shared" si="6"/>
        <v>0</v>
      </c>
      <c r="AA32" s="1">
        <f t="shared" si="6"/>
        <v>0</v>
      </c>
      <c r="AB32" s="1">
        <f t="shared" si="6"/>
        <v>0</v>
      </c>
      <c r="AC32" s="1">
        <f t="shared" si="6"/>
        <v>0</v>
      </c>
      <c r="AD32" s="1">
        <f t="shared" si="6"/>
        <v>0</v>
      </c>
      <c r="AE32" s="1">
        <f t="shared" si="6"/>
        <v>0</v>
      </c>
      <c r="AF32" s="1">
        <f t="shared" si="6"/>
        <v>0</v>
      </c>
      <c r="AG32" s="1">
        <f t="shared" si="6"/>
        <v>0</v>
      </c>
      <c r="AH32" s="1">
        <f t="shared" si="6"/>
        <v>0</v>
      </c>
      <c r="AI32" s="1">
        <f t="shared" si="6"/>
        <v>0</v>
      </c>
      <c r="AJ32" s="1">
        <f t="shared" si="6"/>
        <v>0</v>
      </c>
      <c r="AK32" s="1">
        <f t="shared" si="6"/>
        <v>0</v>
      </c>
      <c r="AL32" s="1">
        <f t="shared" si="6"/>
        <v>0</v>
      </c>
      <c r="AM32" s="1">
        <f t="shared" si="6"/>
        <v>0</v>
      </c>
      <c r="AN32" s="1">
        <f t="shared" si="6"/>
        <v>0</v>
      </c>
      <c r="AO32" s="1">
        <f t="shared" si="6"/>
        <v>0</v>
      </c>
      <c r="AP32" s="1">
        <f t="shared" si="6"/>
        <v>0</v>
      </c>
      <c r="AQ32" s="1">
        <f t="shared" si="6"/>
        <v>0</v>
      </c>
      <c r="AR32" s="3">
        <f t="shared" si="7"/>
        <v>0</v>
      </c>
      <c r="AT32" s="1">
        <f t="shared" si="8"/>
        <v>0</v>
      </c>
    </row>
    <row r="33" spans="1:46" x14ac:dyDescent="0.25">
      <c r="B33" s="59">
        <f>+Accrualstrip!B34</f>
        <v>0.05</v>
      </c>
      <c r="C33" t="s">
        <v>191</v>
      </c>
      <c r="D33" s="1">
        <f t="shared" si="6"/>
        <v>0</v>
      </c>
      <c r="E33" s="1">
        <f t="shared" si="9"/>
        <v>0</v>
      </c>
      <c r="F33" s="1">
        <f t="shared" si="9"/>
        <v>0</v>
      </c>
      <c r="G33" s="1">
        <f t="shared" si="9"/>
        <v>0</v>
      </c>
      <c r="H33" s="1">
        <f t="shared" si="9"/>
        <v>-599.93999999999994</v>
      </c>
      <c r="I33" s="1">
        <f t="shared" si="9"/>
        <v>3.9895000000000005</v>
      </c>
      <c r="J33" s="1">
        <f t="shared" si="9"/>
        <v>0</v>
      </c>
      <c r="K33" s="1">
        <f t="shared" si="9"/>
        <v>-493.68000000000006</v>
      </c>
      <c r="L33" s="1">
        <f t="shared" si="6"/>
        <v>0</v>
      </c>
      <c r="M33" s="1">
        <f t="shared" si="6"/>
        <v>-224.4</v>
      </c>
      <c r="N33" s="1">
        <f t="shared" si="6"/>
        <v>-113.55799999999999</v>
      </c>
      <c r="O33" s="1">
        <f t="shared" si="6"/>
        <v>-83.26600000000002</v>
      </c>
      <c r="P33" s="1">
        <f t="shared" si="6"/>
        <v>-13.625</v>
      </c>
      <c r="Q33" s="1">
        <f t="shared" si="6"/>
        <v>-239.91300000000001</v>
      </c>
      <c r="R33" s="1">
        <f t="shared" si="6"/>
        <v>1.4025000000000001</v>
      </c>
      <c r="S33" s="1">
        <f t="shared" si="6"/>
        <v>3.74</v>
      </c>
      <c r="T33" s="1">
        <f t="shared" si="6"/>
        <v>0</v>
      </c>
      <c r="U33" s="1">
        <f t="shared" si="6"/>
        <v>1.4960000000000002</v>
      </c>
      <c r="V33" s="1">
        <f t="shared" si="6"/>
        <v>0</v>
      </c>
      <c r="W33" s="1">
        <f t="shared" si="6"/>
        <v>0</v>
      </c>
      <c r="X33" s="1">
        <f t="shared" si="6"/>
        <v>0</v>
      </c>
      <c r="Y33" s="1">
        <f t="shared" si="6"/>
        <v>-42.163000000000004</v>
      </c>
      <c r="Z33" s="1">
        <f t="shared" si="6"/>
        <v>-3.4750000000000001</v>
      </c>
      <c r="AA33" s="1">
        <f t="shared" si="6"/>
        <v>-224.4</v>
      </c>
      <c r="AB33" s="1">
        <f t="shared" si="6"/>
        <v>-13.463999999999999</v>
      </c>
      <c r="AC33" s="1">
        <f t="shared" si="6"/>
        <v>-23.936000000000003</v>
      </c>
      <c r="AD33" s="1">
        <f t="shared" si="6"/>
        <v>0</v>
      </c>
      <c r="AE33" s="1">
        <f t="shared" si="6"/>
        <v>1.9190000000000003</v>
      </c>
      <c r="AF33" s="1">
        <f t="shared" si="6"/>
        <v>0</v>
      </c>
      <c r="AG33" s="1">
        <f t="shared" si="6"/>
        <v>0</v>
      </c>
      <c r="AH33" s="1">
        <f t="shared" si="6"/>
        <v>0</v>
      </c>
      <c r="AI33" s="1">
        <f t="shared" si="6"/>
        <v>0</v>
      </c>
      <c r="AJ33" s="1">
        <f t="shared" si="6"/>
        <v>0</v>
      </c>
      <c r="AK33" s="1">
        <f t="shared" si="6"/>
        <v>0</v>
      </c>
      <c r="AL33" s="1">
        <f t="shared" si="6"/>
        <v>-4.4880000000000004</v>
      </c>
      <c r="AM33" s="1">
        <f t="shared" si="6"/>
        <v>-31.047000000000004</v>
      </c>
      <c r="AN33" s="1">
        <f t="shared" si="6"/>
        <v>-13.463999999999999</v>
      </c>
      <c r="AO33" s="1">
        <f t="shared" si="6"/>
        <v>0</v>
      </c>
      <c r="AP33" s="1">
        <f t="shared" si="6"/>
        <v>-24.211000000000002</v>
      </c>
      <c r="AQ33" s="1">
        <f t="shared" si="6"/>
        <v>0</v>
      </c>
      <c r="AR33" s="3">
        <f t="shared" si="7"/>
        <v>-2136.4829999999997</v>
      </c>
      <c r="AT33" s="1">
        <f t="shared" si="8"/>
        <v>-2136.4829999999997</v>
      </c>
    </row>
    <row r="34" spans="1:46" x14ac:dyDescent="0.25">
      <c r="B34" s="59">
        <f>+Accrualstrip!B35</f>
        <v>0</v>
      </c>
      <c r="C34" t="s">
        <v>549</v>
      </c>
      <c r="D34" s="1">
        <f t="shared" si="6"/>
        <v>0</v>
      </c>
      <c r="E34" s="1">
        <f t="shared" si="9"/>
        <v>0</v>
      </c>
      <c r="F34" s="1">
        <f t="shared" si="9"/>
        <v>0</v>
      </c>
      <c r="G34" s="1">
        <f t="shared" si="9"/>
        <v>0</v>
      </c>
      <c r="H34" s="1">
        <f t="shared" si="9"/>
        <v>0</v>
      </c>
      <c r="I34" s="1">
        <f t="shared" si="9"/>
        <v>0</v>
      </c>
      <c r="J34" s="1">
        <f t="shared" si="9"/>
        <v>0</v>
      </c>
      <c r="K34" s="1">
        <f t="shared" si="9"/>
        <v>0</v>
      </c>
      <c r="L34" s="1">
        <f t="shared" si="6"/>
        <v>0</v>
      </c>
      <c r="M34" s="1">
        <f t="shared" si="6"/>
        <v>0</v>
      </c>
      <c r="N34" s="1">
        <f t="shared" si="6"/>
        <v>0</v>
      </c>
      <c r="O34" s="1">
        <f t="shared" si="6"/>
        <v>0</v>
      </c>
      <c r="P34" s="1">
        <f t="shared" si="6"/>
        <v>0</v>
      </c>
      <c r="Q34" s="1">
        <f t="shared" si="6"/>
        <v>0</v>
      </c>
      <c r="R34" s="1">
        <f t="shared" si="6"/>
        <v>0</v>
      </c>
      <c r="S34" s="1">
        <f t="shared" si="6"/>
        <v>0</v>
      </c>
      <c r="T34" s="1">
        <f t="shared" si="6"/>
        <v>0</v>
      </c>
      <c r="U34" s="1">
        <f t="shared" si="6"/>
        <v>0</v>
      </c>
      <c r="V34" s="1">
        <f t="shared" si="6"/>
        <v>0</v>
      </c>
      <c r="W34" s="1">
        <f t="shared" si="6"/>
        <v>0</v>
      </c>
      <c r="X34" s="1">
        <f t="shared" si="6"/>
        <v>0</v>
      </c>
      <c r="Y34" s="1">
        <f t="shared" si="6"/>
        <v>0</v>
      </c>
      <c r="Z34" s="1">
        <f t="shared" si="6"/>
        <v>0</v>
      </c>
      <c r="AA34" s="1">
        <f t="shared" si="6"/>
        <v>0</v>
      </c>
      <c r="AB34" s="1">
        <f t="shared" ref="AB34:AQ34" si="10">-AB11*$B34</f>
        <v>0</v>
      </c>
      <c r="AC34" s="1">
        <f t="shared" si="10"/>
        <v>0</v>
      </c>
      <c r="AD34" s="1">
        <f t="shared" si="10"/>
        <v>0</v>
      </c>
      <c r="AE34" s="1">
        <f t="shared" si="10"/>
        <v>0</v>
      </c>
      <c r="AF34" s="1">
        <f t="shared" si="10"/>
        <v>0</v>
      </c>
      <c r="AG34" s="1">
        <f t="shared" si="10"/>
        <v>0</v>
      </c>
      <c r="AH34" s="1">
        <f t="shared" si="10"/>
        <v>0</v>
      </c>
      <c r="AI34" s="1">
        <f t="shared" si="10"/>
        <v>0</v>
      </c>
      <c r="AJ34" s="1">
        <f t="shared" si="10"/>
        <v>0</v>
      </c>
      <c r="AK34" s="1">
        <f t="shared" si="10"/>
        <v>0</v>
      </c>
      <c r="AL34" s="1">
        <f t="shared" si="10"/>
        <v>0</v>
      </c>
      <c r="AM34" s="1">
        <f t="shared" si="10"/>
        <v>0</v>
      </c>
      <c r="AN34" s="1">
        <f t="shared" si="10"/>
        <v>0</v>
      </c>
      <c r="AO34" s="1">
        <f t="shared" si="10"/>
        <v>0</v>
      </c>
      <c r="AP34" s="1">
        <f t="shared" si="10"/>
        <v>0</v>
      </c>
      <c r="AQ34" s="1">
        <f t="shared" si="10"/>
        <v>0</v>
      </c>
      <c r="AR34" s="3">
        <f t="shared" si="7"/>
        <v>0</v>
      </c>
      <c r="AT34" s="1">
        <f t="shared" si="8"/>
        <v>0</v>
      </c>
    </row>
    <row r="35" spans="1:46" x14ac:dyDescent="0.25">
      <c r="B35" s="59">
        <f>+Accrualstrip!B36</f>
        <v>0.04</v>
      </c>
      <c r="C35" t="s">
        <v>550</v>
      </c>
      <c r="D35" s="1">
        <f t="shared" ref="D35:AQ42" si="11">-D12*$B35</f>
        <v>0</v>
      </c>
      <c r="E35" s="1">
        <f t="shared" si="9"/>
        <v>0</v>
      </c>
      <c r="F35" s="1">
        <f t="shared" si="9"/>
        <v>0</v>
      </c>
      <c r="G35" s="1">
        <f t="shared" si="9"/>
        <v>0</v>
      </c>
      <c r="H35" s="1">
        <f t="shared" si="9"/>
        <v>0</v>
      </c>
      <c r="I35" s="1">
        <f t="shared" si="9"/>
        <v>0</v>
      </c>
      <c r="J35" s="1">
        <f t="shared" si="9"/>
        <v>0</v>
      </c>
      <c r="K35" s="1">
        <f t="shared" si="9"/>
        <v>0</v>
      </c>
      <c r="L35" s="1">
        <f t="shared" si="11"/>
        <v>0</v>
      </c>
      <c r="M35" s="1">
        <f t="shared" si="11"/>
        <v>0</v>
      </c>
      <c r="N35" s="1">
        <f t="shared" si="11"/>
        <v>0</v>
      </c>
      <c r="O35" s="1">
        <f t="shared" si="11"/>
        <v>-20.851199999999999</v>
      </c>
      <c r="P35" s="1">
        <f t="shared" si="11"/>
        <v>0.74880000000000002</v>
      </c>
      <c r="Q35" s="1">
        <f t="shared" si="11"/>
        <v>-38.729599999999998</v>
      </c>
      <c r="R35" s="1">
        <f t="shared" si="11"/>
        <v>0</v>
      </c>
      <c r="S35" s="1">
        <f t="shared" si="11"/>
        <v>0</v>
      </c>
      <c r="T35" s="1">
        <f t="shared" si="11"/>
        <v>-163.96799999999999</v>
      </c>
      <c r="U35" s="1">
        <f t="shared" si="11"/>
        <v>0</v>
      </c>
      <c r="V35" s="1">
        <f t="shared" si="11"/>
        <v>-271.0976</v>
      </c>
      <c r="W35" s="1">
        <f t="shared" si="11"/>
        <v>-112.77760000000001</v>
      </c>
      <c r="X35" s="1">
        <f t="shared" si="11"/>
        <v>-88.668800000000019</v>
      </c>
      <c r="Y35" s="1">
        <f t="shared" si="11"/>
        <v>-370.11839999999995</v>
      </c>
      <c r="Z35" s="1">
        <f t="shared" si="11"/>
        <v>-61.148799999999994</v>
      </c>
      <c r="AA35" s="1">
        <f t="shared" si="11"/>
        <v>-140.5968</v>
      </c>
      <c r="AB35" s="1">
        <f t="shared" si="11"/>
        <v>-59.788800000000002</v>
      </c>
      <c r="AC35" s="1">
        <f t="shared" si="11"/>
        <v>-79.6768</v>
      </c>
      <c r="AD35" s="1">
        <f t="shared" si="11"/>
        <v>-80.934399999999997</v>
      </c>
      <c r="AE35" s="1">
        <f t="shared" si="11"/>
        <v>-127.8176</v>
      </c>
      <c r="AF35" s="1">
        <f t="shared" si="11"/>
        <v>-23.36</v>
      </c>
      <c r="AG35" s="1">
        <f t="shared" si="11"/>
        <v>-52.649599999999992</v>
      </c>
      <c r="AH35" s="1">
        <f t="shared" si="11"/>
        <v>-48.441600000000001</v>
      </c>
      <c r="AI35" s="1">
        <f t="shared" si="11"/>
        <v>-31.203199999999999</v>
      </c>
      <c r="AJ35" s="1">
        <f t="shared" si="11"/>
        <v>-41.478400000000001</v>
      </c>
      <c r="AK35" s="1">
        <f t="shared" si="11"/>
        <v>-40.073599999999999</v>
      </c>
      <c r="AL35" s="1">
        <f t="shared" si="11"/>
        <v>-35.92</v>
      </c>
      <c r="AM35" s="1">
        <f t="shared" si="11"/>
        <v>-59.148800000000001</v>
      </c>
      <c r="AN35" s="1">
        <f t="shared" si="11"/>
        <v>-48.271999999999998</v>
      </c>
      <c r="AO35" s="1">
        <f t="shared" si="11"/>
        <v>0.61760000000000004</v>
      </c>
      <c r="AP35" s="1">
        <f t="shared" si="11"/>
        <v>0</v>
      </c>
      <c r="AQ35" s="1">
        <f t="shared" si="11"/>
        <v>6.1760000000000002</v>
      </c>
      <c r="AR35" s="3">
        <f t="shared" si="7"/>
        <v>-1989.1791999999998</v>
      </c>
      <c r="AT35" s="1">
        <f t="shared" si="8"/>
        <v>-1995.3551999999997</v>
      </c>
    </row>
    <row r="36" spans="1:46" x14ac:dyDescent="0.25">
      <c r="B36" s="59">
        <f>+Accrualstrip!B37</f>
        <v>6.5000000000000002E-2</v>
      </c>
      <c r="C36" t="s">
        <v>6</v>
      </c>
      <c r="D36" s="1">
        <f t="shared" si="11"/>
        <v>0</v>
      </c>
      <c r="E36" s="1">
        <f t="shared" si="9"/>
        <v>0</v>
      </c>
      <c r="F36" s="1">
        <f t="shared" si="9"/>
        <v>0</v>
      </c>
      <c r="G36" s="1">
        <f t="shared" si="9"/>
        <v>0</v>
      </c>
      <c r="H36" s="1">
        <f t="shared" si="9"/>
        <v>0</v>
      </c>
      <c r="I36" s="1">
        <f t="shared" si="9"/>
        <v>0</v>
      </c>
      <c r="J36" s="1">
        <f t="shared" si="9"/>
        <v>0</v>
      </c>
      <c r="K36" s="1">
        <f t="shared" si="9"/>
        <v>0</v>
      </c>
      <c r="L36" s="1">
        <f t="shared" si="11"/>
        <v>0</v>
      </c>
      <c r="M36" s="1">
        <f t="shared" si="11"/>
        <v>0</v>
      </c>
      <c r="N36" s="1">
        <f t="shared" si="11"/>
        <v>0</v>
      </c>
      <c r="O36" s="1">
        <f t="shared" si="11"/>
        <v>0</v>
      </c>
      <c r="P36" s="1">
        <f t="shared" si="11"/>
        <v>0</v>
      </c>
      <c r="Q36" s="1">
        <f t="shared" si="11"/>
        <v>0</v>
      </c>
      <c r="R36" s="1">
        <f t="shared" si="11"/>
        <v>0</v>
      </c>
      <c r="S36" s="1">
        <f t="shared" si="11"/>
        <v>0</v>
      </c>
      <c r="T36" s="1">
        <f t="shared" si="11"/>
        <v>0</v>
      </c>
      <c r="U36" s="1">
        <f t="shared" si="11"/>
        <v>0</v>
      </c>
      <c r="V36" s="1">
        <f t="shared" si="11"/>
        <v>0</v>
      </c>
      <c r="W36" s="1">
        <f t="shared" si="11"/>
        <v>0</v>
      </c>
      <c r="X36" s="1">
        <f t="shared" si="11"/>
        <v>0</v>
      </c>
      <c r="Y36" s="1">
        <f t="shared" si="11"/>
        <v>0</v>
      </c>
      <c r="Z36" s="1">
        <f t="shared" si="11"/>
        <v>0</v>
      </c>
      <c r="AA36" s="1">
        <f t="shared" si="11"/>
        <v>0</v>
      </c>
      <c r="AB36" s="1">
        <f t="shared" si="11"/>
        <v>0</v>
      </c>
      <c r="AC36" s="1">
        <f t="shared" si="11"/>
        <v>0</v>
      </c>
      <c r="AD36" s="1">
        <f t="shared" si="11"/>
        <v>0</v>
      </c>
      <c r="AE36" s="1">
        <f t="shared" si="11"/>
        <v>0</v>
      </c>
      <c r="AF36" s="1">
        <f t="shared" si="11"/>
        <v>0</v>
      </c>
      <c r="AG36" s="1">
        <f t="shared" si="11"/>
        <v>0</v>
      </c>
      <c r="AH36" s="1">
        <f t="shared" si="11"/>
        <v>0</v>
      </c>
      <c r="AI36" s="1">
        <f t="shared" si="11"/>
        <v>0</v>
      </c>
      <c r="AJ36" s="1">
        <f t="shared" si="11"/>
        <v>0</v>
      </c>
      <c r="AK36" s="1">
        <f t="shared" si="11"/>
        <v>0</v>
      </c>
      <c r="AL36" s="1">
        <f t="shared" si="11"/>
        <v>0</v>
      </c>
      <c r="AM36" s="1">
        <f t="shared" si="11"/>
        <v>0</v>
      </c>
      <c r="AN36" s="1">
        <f t="shared" si="11"/>
        <v>0</v>
      </c>
      <c r="AO36" s="1">
        <f t="shared" si="11"/>
        <v>0</v>
      </c>
      <c r="AP36" s="1">
        <f t="shared" si="11"/>
        <v>0</v>
      </c>
      <c r="AQ36" s="1">
        <f t="shared" si="11"/>
        <v>0</v>
      </c>
      <c r="AR36" s="3">
        <f t="shared" si="7"/>
        <v>0</v>
      </c>
      <c r="AT36" s="1">
        <f t="shared" si="8"/>
        <v>0</v>
      </c>
    </row>
    <row r="37" spans="1:46" x14ac:dyDescent="0.25">
      <c r="B37" s="59">
        <f>+Accrualstrip!B38</f>
        <v>0.05</v>
      </c>
      <c r="C37" t="s">
        <v>262</v>
      </c>
      <c r="D37" s="1">
        <f t="shared" si="11"/>
        <v>0</v>
      </c>
      <c r="E37" s="1">
        <f t="shared" si="9"/>
        <v>0</v>
      </c>
      <c r="F37" s="1">
        <f t="shared" si="9"/>
        <v>0</v>
      </c>
      <c r="G37" s="1">
        <f t="shared" si="9"/>
        <v>0</v>
      </c>
      <c r="H37" s="1">
        <f t="shared" si="9"/>
        <v>0</v>
      </c>
      <c r="I37" s="1">
        <f t="shared" si="9"/>
        <v>0</v>
      </c>
      <c r="J37" s="1">
        <f t="shared" si="9"/>
        <v>0</v>
      </c>
      <c r="K37" s="1">
        <f t="shared" si="9"/>
        <v>0</v>
      </c>
      <c r="L37" s="1">
        <f t="shared" si="11"/>
        <v>0</v>
      </c>
      <c r="M37" s="1">
        <f t="shared" si="11"/>
        <v>0</v>
      </c>
      <c r="N37" s="1">
        <f t="shared" si="11"/>
        <v>0</v>
      </c>
      <c r="O37" s="1">
        <f t="shared" si="11"/>
        <v>0</v>
      </c>
      <c r="P37" s="1">
        <f t="shared" si="11"/>
        <v>0</v>
      </c>
      <c r="Q37" s="1">
        <f t="shared" si="11"/>
        <v>0</v>
      </c>
      <c r="R37" s="1">
        <f t="shared" si="11"/>
        <v>0</v>
      </c>
      <c r="S37" s="1">
        <f t="shared" si="11"/>
        <v>0</v>
      </c>
      <c r="T37" s="1">
        <f t="shared" si="11"/>
        <v>0</v>
      </c>
      <c r="U37" s="1">
        <f t="shared" si="11"/>
        <v>0</v>
      </c>
      <c r="V37" s="1">
        <f t="shared" si="11"/>
        <v>0</v>
      </c>
      <c r="W37" s="1">
        <f t="shared" si="11"/>
        <v>0</v>
      </c>
      <c r="X37" s="1">
        <f t="shared" si="11"/>
        <v>0</v>
      </c>
      <c r="Y37" s="1">
        <f t="shared" si="11"/>
        <v>0</v>
      </c>
      <c r="Z37" s="1">
        <f t="shared" si="11"/>
        <v>0</v>
      </c>
      <c r="AA37" s="1">
        <f t="shared" si="11"/>
        <v>0</v>
      </c>
      <c r="AB37" s="1">
        <f t="shared" si="11"/>
        <v>0</v>
      </c>
      <c r="AC37" s="1">
        <f t="shared" si="11"/>
        <v>0</v>
      </c>
      <c r="AD37" s="1">
        <f t="shared" si="11"/>
        <v>0</v>
      </c>
      <c r="AE37" s="1">
        <f t="shared" si="11"/>
        <v>0</v>
      </c>
      <c r="AF37" s="1">
        <f t="shared" si="11"/>
        <v>0</v>
      </c>
      <c r="AG37" s="1">
        <f t="shared" si="11"/>
        <v>0</v>
      </c>
      <c r="AH37" s="1">
        <f t="shared" si="11"/>
        <v>0</v>
      </c>
      <c r="AI37" s="1">
        <f t="shared" si="11"/>
        <v>0</v>
      </c>
      <c r="AJ37" s="1">
        <f t="shared" si="11"/>
        <v>0</v>
      </c>
      <c r="AK37" s="1">
        <f t="shared" si="11"/>
        <v>0</v>
      </c>
      <c r="AL37" s="1">
        <f t="shared" si="11"/>
        <v>0</v>
      </c>
      <c r="AM37" s="1">
        <f t="shared" si="11"/>
        <v>0</v>
      </c>
      <c r="AN37" s="1">
        <f t="shared" si="11"/>
        <v>0</v>
      </c>
      <c r="AO37" s="1">
        <f t="shared" si="11"/>
        <v>0</v>
      </c>
      <c r="AP37" s="1">
        <f t="shared" si="11"/>
        <v>0</v>
      </c>
      <c r="AQ37" s="1">
        <f t="shared" si="11"/>
        <v>0</v>
      </c>
      <c r="AR37" s="3">
        <f t="shared" si="7"/>
        <v>0</v>
      </c>
      <c r="AT37" s="1">
        <f t="shared" si="8"/>
        <v>0</v>
      </c>
    </row>
    <row r="38" spans="1:46" x14ac:dyDescent="0.25">
      <c r="B38" s="59">
        <f>+Accrualstrip!B39</f>
        <v>0</v>
      </c>
      <c r="C38" t="s">
        <v>42</v>
      </c>
      <c r="D38" s="1">
        <f t="shared" si="11"/>
        <v>0</v>
      </c>
      <c r="E38" s="1">
        <f t="shared" si="9"/>
        <v>0</v>
      </c>
      <c r="F38" s="1">
        <f t="shared" si="9"/>
        <v>0</v>
      </c>
      <c r="G38" s="1">
        <f t="shared" si="9"/>
        <v>0</v>
      </c>
      <c r="H38" s="1">
        <f t="shared" si="9"/>
        <v>0</v>
      </c>
      <c r="I38" s="1">
        <f t="shared" si="9"/>
        <v>0</v>
      </c>
      <c r="J38" s="1">
        <f t="shared" si="9"/>
        <v>0</v>
      </c>
      <c r="K38" s="1">
        <f t="shared" si="9"/>
        <v>0</v>
      </c>
      <c r="L38" s="1">
        <f t="shared" si="11"/>
        <v>0</v>
      </c>
      <c r="M38" s="1">
        <f t="shared" si="11"/>
        <v>0</v>
      </c>
      <c r="N38" s="1">
        <f t="shared" si="11"/>
        <v>0</v>
      </c>
      <c r="O38" s="1">
        <f t="shared" si="11"/>
        <v>0</v>
      </c>
      <c r="P38" s="1">
        <f t="shared" si="11"/>
        <v>0</v>
      </c>
      <c r="Q38" s="1">
        <f t="shared" si="11"/>
        <v>0</v>
      </c>
      <c r="R38" s="1">
        <f t="shared" si="11"/>
        <v>0</v>
      </c>
      <c r="S38" s="1">
        <f t="shared" si="11"/>
        <v>0</v>
      </c>
      <c r="T38" s="1">
        <f t="shared" si="11"/>
        <v>0</v>
      </c>
      <c r="U38" s="1">
        <f t="shared" si="11"/>
        <v>0</v>
      </c>
      <c r="V38" s="1">
        <f t="shared" si="11"/>
        <v>0</v>
      </c>
      <c r="W38" s="1">
        <f t="shared" si="11"/>
        <v>0</v>
      </c>
      <c r="X38" s="1">
        <f t="shared" si="11"/>
        <v>0</v>
      </c>
      <c r="Y38" s="1">
        <f t="shared" si="11"/>
        <v>0</v>
      </c>
      <c r="Z38" s="1">
        <f t="shared" si="11"/>
        <v>0</v>
      </c>
      <c r="AA38" s="1">
        <f t="shared" si="11"/>
        <v>0</v>
      </c>
      <c r="AB38" s="1">
        <f t="shared" si="11"/>
        <v>0</v>
      </c>
      <c r="AC38" s="1">
        <f t="shared" si="11"/>
        <v>0</v>
      </c>
      <c r="AD38" s="1">
        <f t="shared" si="11"/>
        <v>0</v>
      </c>
      <c r="AE38" s="1">
        <f t="shared" si="11"/>
        <v>0</v>
      </c>
      <c r="AF38" s="1">
        <f t="shared" si="11"/>
        <v>0</v>
      </c>
      <c r="AG38" s="1">
        <f t="shared" si="11"/>
        <v>0</v>
      </c>
      <c r="AH38" s="1">
        <f t="shared" si="11"/>
        <v>0</v>
      </c>
      <c r="AI38" s="1">
        <f t="shared" si="11"/>
        <v>0</v>
      </c>
      <c r="AJ38" s="1">
        <f t="shared" si="11"/>
        <v>0</v>
      </c>
      <c r="AK38" s="1">
        <f t="shared" si="11"/>
        <v>0</v>
      </c>
      <c r="AL38" s="1">
        <f t="shared" si="11"/>
        <v>0</v>
      </c>
      <c r="AM38" s="1">
        <f t="shared" si="11"/>
        <v>0</v>
      </c>
      <c r="AN38" s="1">
        <f t="shared" si="11"/>
        <v>0</v>
      </c>
      <c r="AO38" s="1">
        <f t="shared" si="11"/>
        <v>0</v>
      </c>
      <c r="AP38" s="1">
        <f t="shared" si="11"/>
        <v>0</v>
      </c>
      <c r="AQ38" s="1">
        <f t="shared" si="11"/>
        <v>0</v>
      </c>
      <c r="AR38" s="3">
        <f t="shared" si="7"/>
        <v>0</v>
      </c>
      <c r="AT38" s="1">
        <f t="shared" si="8"/>
        <v>0</v>
      </c>
    </row>
    <row r="39" spans="1:46" x14ac:dyDescent="0.25">
      <c r="B39" s="59">
        <f>+Accrualstrip!B40</f>
        <v>0</v>
      </c>
      <c r="C39" t="s">
        <v>192</v>
      </c>
      <c r="D39" s="1">
        <f t="shared" si="11"/>
        <v>0</v>
      </c>
      <c r="E39" s="1">
        <f t="shared" si="9"/>
        <v>0</v>
      </c>
      <c r="F39" s="1">
        <f t="shared" si="9"/>
        <v>0</v>
      </c>
      <c r="G39" s="1">
        <f t="shared" si="9"/>
        <v>0</v>
      </c>
      <c r="H39" s="1">
        <f t="shared" si="9"/>
        <v>0</v>
      </c>
      <c r="I39" s="1">
        <f t="shared" si="9"/>
        <v>0</v>
      </c>
      <c r="J39" s="1">
        <f t="shared" si="9"/>
        <v>0</v>
      </c>
      <c r="K39" s="1">
        <f t="shared" si="9"/>
        <v>0</v>
      </c>
      <c r="L39" s="1">
        <f t="shared" si="11"/>
        <v>0</v>
      </c>
      <c r="M39" s="1">
        <f t="shared" si="11"/>
        <v>0</v>
      </c>
      <c r="N39" s="1">
        <f t="shared" si="11"/>
        <v>0</v>
      </c>
      <c r="O39" s="1">
        <f t="shared" si="11"/>
        <v>0</v>
      </c>
      <c r="P39" s="1">
        <f t="shared" si="11"/>
        <v>0</v>
      </c>
      <c r="Q39" s="1">
        <f t="shared" si="11"/>
        <v>0</v>
      </c>
      <c r="R39" s="1">
        <f t="shared" si="11"/>
        <v>0</v>
      </c>
      <c r="S39" s="1">
        <f t="shared" si="11"/>
        <v>0</v>
      </c>
      <c r="T39" s="1">
        <f t="shared" si="11"/>
        <v>0</v>
      </c>
      <c r="U39" s="1">
        <f t="shared" si="11"/>
        <v>0</v>
      </c>
      <c r="V39" s="1">
        <f t="shared" si="11"/>
        <v>0</v>
      </c>
      <c r="W39" s="1">
        <f t="shared" si="11"/>
        <v>0</v>
      </c>
      <c r="X39" s="1">
        <f t="shared" si="11"/>
        <v>0</v>
      </c>
      <c r="Y39" s="1">
        <f t="shared" si="11"/>
        <v>0</v>
      </c>
      <c r="Z39" s="1">
        <f t="shared" si="11"/>
        <v>0</v>
      </c>
      <c r="AA39" s="1">
        <f t="shared" si="11"/>
        <v>0</v>
      </c>
      <c r="AB39" s="1">
        <f t="shared" si="11"/>
        <v>0</v>
      </c>
      <c r="AC39" s="1">
        <f t="shared" si="11"/>
        <v>0</v>
      </c>
      <c r="AD39" s="1">
        <f t="shared" si="11"/>
        <v>0</v>
      </c>
      <c r="AE39" s="1">
        <f t="shared" si="11"/>
        <v>0</v>
      </c>
      <c r="AF39" s="1">
        <f t="shared" si="11"/>
        <v>0</v>
      </c>
      <c r="AG39" s="1">
        <f t="shared" si="11"/>
        <v>0</v>
      </c>
      <c r="AH39" s="1">
        <f t="shared" si="11"/>
        <v>0</v>
      </c>
      <c r="AI39" s="1">
        <f t="shared" si="11"/>
        <v>0</v>
      </c>
      <c r="AJ39" s="1">
        <f t="shared" si="11"/>
        <v>0</v>
      </c>
      <c r="AK39" s="1">
        <f t="shared" si="11"/>
        <v>0</v>
      </c>
      <c r="AL39" s="1">
        <f t="shared" si="11"/>
        <v>0</v>
      </c>
      <c r="AM39" s="1">
        <f t="shared" si="11"/>
        <v>0</v>
      </c>
      <c r="AN39" s="1">
        <f t="shared" si="11"/>
        <v>0</v>
      </c>
      <c r="AO39" s="1">
        <f t="shared" si="11"/>
        <v>0</v>
      </c>
      <c r="AP39" s="1">
        <f t="shared" si="11"/>
        <v>0</v>
      </c>
      <c r="AQ39" s="1">
        <f t="shared" si="11"/>
        <v>0</v>
      </c>
      <c r="AR39" s="3">
        <f t="shared" si="7"/>
        <v>0</v>
      </c>
      <c r="AT39" s="1">
        <f t="shared" si="8"/>
        <v>0</v>
      </c>
    </row>
    <row r="40" spans="1:46" x14ac:dyDescent="0.25">
      <c r="B40" s="59">
        <f>+Accrualstrip!B41</f>
        <v>0.05</v>
      </c>
      <c r="C40" t="s">
        <v>133</v>
      </c>
      <c r="D40" s="1">
        <f t="shared" si="11"/>
        <v>0</v>
      </c>
      <c r="E40" s="1">
        <f t="shared" si="9"/>
        <v>0</v>
      </c>
      <c r="F40" s="1">
        <f t="shared" si="9"/>
        <v>0</v>
      </c>
      <c r="G40" s="1">
        <f t="shared" si="9"/>
        <v>0</v>
      </c>
      <c r="H40" s="1">
        <f t="shared" si="9"/>
        <v>0</v>
      </c>
      <c r="I40" s="1">
        <f t="shared" si="9"/>
        <v>0</v>
      </c>
      <c r="J40" s="1">
        <f t="shared" si="9"/>
        <v>0</v>
      </c>
      <c r="K40" s="1">
        <f t="shared" si="9"/>
        <v>0</v>
      </c>
      <c r="L40" s="1">
        <f t="shared" si="11"/>
        <v>0</v>
      </c>
      <c r="M40" s="1">
        <f t="shared" si="11"/>
        <v>0</v>
      </c>
      <c r="N40" s="1">
        <f t="shared" si="11"/>
        <v>0</v>
      </c>
      <c r="O40" s="1">
        <f t="shared" si="11"/>
        <v>0</v>
      </c>
      <c r="P40" s="1">
        <f t="shared" si="11"/>
        <v>0</v>
      </c>
      <c r="Q40" s="1">
        <f t="shared" si="11"/>
        <v>-2.8079999999999998</v>
      </c>
      <c r="R40" s="1">
        <f t="shared" si="11"/>
        <v>-6.34</v>
      </c>
      <c r="S40" s="1">
        <f t="shared" si="11"/>
        <v>-5.2880000000000003</v>
      </c>
      <c r="T40" s="1">
        <f t="shared" si="11"/>
        <v>-2.8079999999999998</v>
      </c>
      <c r="U40" s="1">
        <f t="shared" si="11"/>
        <v>-0.77199999999999991</v>
      </c>
      <c r="V40" s="1">
        <f t="shared" si="11"/>
        <v>-1.708</v>
      </c>
      <c r="W40" s="1">
        <f t="shared" si="11"/>
        <v>0</v>
      </c>
      <c r="X40" s="1">
        <f t="shared" si="11"/>
        <v>0</v>
      </c>
      <c r="Y40" s="1">
        <f t="shared" si="11"/>
        <v>0</v>
      </c>
      <c r="Z40" s="1">
        <f t="shared" si="11"/>
        <v>-14.648</v>
      </c>
      <c r="AA40" s="1">
        <f t="shared" si="11"/>
        <v>-3.4159999999999999</v>
      </c>
      <c r="AB40" s="1">
        <f t="shared" si="11"/>
        <v>0</v>
      </c>
      <c r="AC40" s="1">
        <f t="shared" si="11"/>
        <v>0</v>
      </c>
      <c r="AD40" s="1">
        <f t="shared" si="11"/>
        <v>-5.1239999999999997</v>
      </c>
      <c r="AE40" s="1">
        <f t="shared" si="11"/>
        <v>0</v>
      </c>
      <c r="AF40" s="1">
        <f t="shared" si="11"/>
        <v>-24.144000000000002</v>
      </c>
      <c r="AG40" s="1">
        <f t="shared" si="11"/>
        <v>-7.4879999999999995</v>
      </c>
      <c r="AH40" s="1">
        <f t="shared" si="11"/>
        <v>0</v>
      </c>
      <c r="AI40" s="1">
        <f t="shared" si="11"/>
        <v>0</v>
      </c>
      <c r="AJ40" s="1">
        <f t="shared" si="11"/>
        <v>0</v>
      </c>
      <c r="AK40" s="1">
        <f t="shared" si="11"/>
        <v>0</v>
      </c>
      <c r="AL40" s="1">
        <f t="shared" si="11"/>
        <v>0</v>
      </c>
      <c r="AM40" s="1">
        <f t="shared" si="11"/>
        <v>0</v>
      </c>
      <c r="AN40" s="1">
        <f t="shared" si="11"/>
        <v>0</v>
      </c>
      <c r="AO40" s="1">
        <f t="shared" si="11"/>
        <v>0</v>
      </c>
      <c r="AP40" s="1">
        <f t="shared" si="11"/>
        <v>0</v>
      </c>
      <c r="AQ40" s="1">
        <f t="shared" si="11"/>
        <v>0</v>
      </c>
      <c r="AR40" s="3">
        <f t="shared" si="7"/>
        <v>-74.543999999999997</v>
      </c>
      <c r="AT40" s="1">
        <f t="shared" si="8"/>
        <v>-74.543999999999997</v>
      </c>
    </row>
    <row r="41" spans="1:46" x14ac:dyDescent="0.25">
      <c r="B41" s="59">
        <f>+Accrualstrip!B42</f>
        <v>0.06</v>
      </c>
      <c r="C41" t="s">
        <v>41</v>
      </c>
      <c r="D41" s="1">
        <f t="shared" si="11"/>
        <v>0</v>
      </c>
      <c r="E41" s="1">
        <f t="shared" si="9"/>
        <v>0</v>
      </c>
      <c r="F41" s="1">
        <f t="shared" si="9"/>
        <v>0</v>
      </c>
      <c r="G41" s="1">
        <f t="shared" si="9"/>
        <v>0</v>
      </c>
      <c r="H41" s="1">
        <f t="shared" si="9"/>
        <v>-801.14400000000001</v>
      </c>
      <c r="I41" s="1">
        <f t="shared" si="9"/>
        <v>0</v>
      </c>
      <c r="J41" s="1">
        <f t="shared" si="9"/>
        <v>0.92639999999999989</v>
      </c>
      <c r="K41" s="1">
        <f t="shared" si="9"/>
        <v>-28.972799999999999</v>
      </c>
      <c r="L41" s="1">
        <f t="shared" si="11"/>
        <v>-843.37439999999992</v>
      </c>
      <c r="M41" s="1">
        <f t="shared" si="11"/>
        <v>-156.648</v>
      </c>
      <c r="N41" s="1">
        <f t="shared" si="11"/>
        <v>-852.00000000000011</v>
      </c>
      <c r="O41" s="1">
        <f t="shared" si="11"/>
        <v>-80.131199999999993</v>
      </c>
      <c r="P41" s="1">
        <f t="shared" si="11"/>
        <v>-1005.4416</v>
      </c>
      <c r="Q41" s="1">
        <f t="shared" si="11"/>
        <v>-56.068799999999996</v>
      </c>
      <c r="R41" s="1">
        <f t="shared" si="11"/>
        <v>-852.02279999999996</v>
      </c>
      <c r="S41" s="1">
        <f t="shared" si="11"/>
        <v>-340.20959999999997</v>
      </c>
      <c r="T41" s="1">
        <f t="shared" si="11"/>
        <v>-766.9008</v>
      </c>
      <c r="U41" s="1">
        <f t="shared" si="11"/>
        <v>-596.48159999999996</v>
      </c>
      <c r="V41" s="1">
        <f t="shared" si="11"/>
        <v>-900.86099999999999</v>
      </c>
      <c r="W41" s="1">
        <f t="shared" si="11"/>
        <v>-173.62560000000002</v>
      </c>
      <c r="X41" s="1">
        <f t="shared" si="11"/>
        <v>-939.20640000000003</v>
      </c>
      <c r="Y41" s="1">
        <f t="shared" si="11"/>
        <v>-1106.2751999999998</v>
      </c>
      <c r="Z41" s="1">
        <f t="shared" si="11"/>
        <v>-90.067199999999985</v>
      </c>
      <c r="AA41" s="1">
        <f t="shared" si="11"/>
        <v>-62.356799999999993</v>
      </c>
      <c r="AB41" s="1">
        <f t="shared" si="11"/>
        <v>-86.500799999999998</v>
      </c>
      <c r="AC41" s="1">
        <f t="shared" si="11"/>
        <v>-28.022400000000001</v>
      </c>
      <c r="AD41" s="1">
        <f t="shared" si="11"/>
        <v>-91.051199999999994</v>
      </c>
      <c r="AE41" s="1">
        <f t="shared" si="11"/>
        <v>-80.467199999999991</v>
      </c>
      <c r="AF41" s="1">
        <f t="shared" si="11"/>
        <v>-167.23199999999997</v>
      </c>
      <c r="AG41" s="1">
        <f t="shared" si="11"/>
        <v>-106.67039999999999</v>
      </c>
      <c r="AH41" s="1">
        <f t="shared" si="11"/>
        <v>-58.257599999999996</v>
      </c>
      <c r="AI41" s="1">
        <f t="shared" si="11"/>
        <v>-137.06880000000001</v>
      </c>
      <c r="AJ41" s="1">
        <f t="shared" si="11"/>
        <v>-179.64479999999998</v>
      </c>
      <c r="AK41" s="1">
        <f t="shared" si="11"/>
        <v>-97.430400000000006</v>
      </c>
      <c r="AL41" s="1">
        <f t="shared" si="11"/>
        <v>-33.638400000000004</v>
      </c>
      <c r="AM41" s="1">
        <f t="shared" si="11"/>
        <v>-57.503999999999998</v>
      </c>
      <c r="AN41" s="1">
        <f t="shared" si="11"/>
        <v>-10.247999999999999</v>
      </c>
      <c r="AO41" s="1">
        <f t="shared" si="11"/>
        <v>-97.790400000000005</v>
      </c>
      <c r="AP41" s="1">
        <f t="shared" si="11"/>
        <v>0</v>
      </c>
      <c r="AQ41" s="1">
        <f t="shared" si="11"/>
        <v>0</v>
      </c>
      <c r="AR41" s="3">
        <f t="shared" si="7"/>
        <v>-10882.387799999999</v>
      </c>
      <c r="AT41" s="1">
        <f t="shared" si="8"/>
        <v>-10882.387799999999</v>
      </c>
    </row>
    <row r="42" spans="1:46" x14ac:dyDescent="0.25">
      <c r="B42" s="59">
        <f>+Accrualstrip!B43</f>
        <v>0</v>
      </c>
      <c r="C42" t="s">
        <v>193</v>
      </c>
      <c r="D42" s="1">
        <f t="shared" si="11"/>
        <v>0</v>
      </c>
      <c r="E42" s="1">
        <f t="shared" si="9"/>
        <v>0</v>
      </c>
      <c r="F42" s="1">
        <f t="shared" si="9"/>
        <v>0</v>
      </c>
      <c r="G42" s="1">
        <f t="shared" si="9"/>
        <v>0</v>
      </c>
      <c r="H42" s="1">
        <f t="shared" si="9"/>
        <v>0</v>
      </c>
      <c r="I42" s="1">
        <f t="shared" si="9"/>
        <v>0</v>
      </c>
      <c r="J42" s="1">
        <f t="shared" si="9"/>
        <v>0</v>
      </c>
      <c r="K42" s="1">
        <f t="shared" si="9"/>
        <v>0</v>
      </c>
      <c r="L42" s="1">
        <f t="shared" si="11"/>
        <v>0</v>
      </c>
      <c r="M42" s="1">
        <f t="shared" si="11"/>
        <v>0</v>
      </c>
      <c r="N42" s="1">
        <f t="shared" si="11"/>
        <v>0</v>
      </c>
      <c r="O42" s="1">
        <f t="shared" si="11"/>
        <v>0</v>
      </c>
      <c r="P42" s="1">
        <f t="shared" si="11"/>
        <v>0</v>
      </c>
      <c r="Q42" s="1">
        <f t="shared" si="11"/>
        <v>0</v>
      </c>
      <c r="R42" s="1">
        <f t="shared" si="11"/>
        <v>0</v>
      </c>
      <c r="S42" s="1">
        <f t="shared" si="11"/>
        <v>0</v>
      </c>
      <c r="T42" s="1">
        <f t="shared" si="11"/>
        <v>0</v>
      </c>
      <c r="U42" s="1">
        <f t="shared" si="11"/>
        <v>0</v>
      </c>
      <c r="V42" s="1">
        <f t="shared" si="11"/>
        <v>0</v>
      </c>
      <c r="W42" s="1">
        <f t="shared" si="11"/>
        <v>0</v>
      </c>
      <c r="X42" s="1">
        <f t="shared" si="11"/>
        <v>0</v>
      </c>
      <c r="Y42" s="1">
        <f t="shared" si="11"/>
        <v>0</v>
      </c>
      <c r="Z42" s="1">
        <f t="shared" si="11"/>
        <v>0</v>
      </c>
      <c r="AA42" s="1">
        <f t="shared" ref="AA42:AQ42" si="12">-AA19*$B42</f>
        <v>0</v>
      </c>
      <c r="AB42" s="1">
        <f t="shared" si="12"/>
        <v>0</v>
      </c>
      <c r="AC42" s="1">
        <f t="shared" si="12"/>
        <v>0</v>
      </c>
      <c r="AD42" s="1">
        <f t="shared" si="12"/>
        <v>0</v>
      </c>
      <c r="AE42" s="1">
        <f t="shared" si="12"/>
        <v>0</v>
      </c>
      <c r="AF42" s="1">
        <f t="shared" si="12"/>
        <v>0</v>
      </c>
      <c r="AG42" s="1">
        <f t="shared" si="12"/>
        <v>0</v>
      </c>
      <c r="AH42" s="1">
        <f t="shared" si="12"/>
        <v>0</v>
      </c>
      <c r="AI42" s="1">
        <f t="shared" si="12"/>
        <v>0</v>
      </c>
      <c r="AJ42" s="1">
        <f t="shared" si="12"/>
        <v>0</v>
      </c>
      <c r="AK42" s="1">
        <f t="shared" si="12"/>
        <v>0</v>
      </c>
      <c r="AL42" s="1">
        <f t="shared" si="12"/>
        <v>0</v>
      </c>
      <c r="AM42" s="1">
        <f t="shared" si="12"/>
        <v>0</v>
      </c>
      <c r="AN42" s="1">
        <f t="shared" si="12"/>
        <v>0</v>
      </c>
      <c r="AO42" s="1">
        <f t="shared" si="12"/>
        <v>0</v>
      </c>
      <c r="AP42" s="1">
        <f t="shared" si="12"/>
        <v>0</v>
      </c>
      <c r="AQ42" s="1">
        <f t="shared" si="12"/>
        <v>0</v>
      </c>
      <c r="AR42" s="3">
        <f t="shared" si="7"/>
        <v>0</v>
      </c>
      <c r="AT42" s="1">
        <f t="shared" si="8"/>
        <v>0</v>
      </c>
    </row>
    <row r="43" spans="1:46" x14ac:dyDescent="0.25">
      <c r="B43" s="59">
        <v>0</v>
      </c>
      <c r="C43" t="s">
        <v>194</v>
      </c>
      <c r="D43" s="1">
        <f t="shared" ref="D43:AQ45" si="13">-D20*$B43</f>
        <v>0</v>
      </c>
      <c r="E43" s="1">
        <f t="shared" ref="E43:K43" si="14">-E20*$B43</f>
        <v>0</v>
      </c>
      <c r="F43" s="1">
        <f t="shared" si="14"/>
        <v>0</v>
      </c>
      <c r="G43" s="1">
        <f t="shared" si="14"/>
        <v>0</v>
      </c>
      <c r="H43" s="1">
        <f t="shared" si="14"/>
        <v>0</v>
      </c>
      <c r="I43" s="1">
        <f t="shared" si="14"/>
        <v>0</v>
      </c>
      <c r="J43" s="1">
        <f t="shared" si="14"/>
        <v>0</v>
      </c>
      <c r="K43" s="1">
        <f t="shared" si="14"/>
        <v>0</v>
      </c>
      <c r="L43" s="1">
        <f t="shared" si="13"/>
        <v>0</v>
      </c>
      <c r="M43" s="1">
        <f t="shared" si="13"/>
        <v>0</v>
      </c>
      <c r="N43" s="1">
        <f t="shared" si="13"/>
        <v>0</v>
      </c>
      <c r="O43" s="1">
        <f t="shared" si="13"/>
        <v>0</v>
      </c>
      <c r="P43" s="1">
        <f t="shared" si="13"/>
        <v>0</v>
      </c>
      <c r="Q43" s="1">
        <f t="shared" si="13"/>
        <v>0</v>
      </c>
      <c r="R43" s="1">
        <f t="shared" si="13"/>
        <v>0</v>
      </c>
      <c r="S43" s="1">
        <f t="shared" si="13"/>
        <v>0</v>
      </c>
      <c r="T43" s="1">
        <f t="shared" si="13"/>
        <v>0</v>
      </c>
      <c r="U43" s="1">
        <f t="shared" si="13"/>
        <v>0</v>
      </c>
      <c r="V43" s="1">
        <f t="shared" si="13"/>
        <v>0</v>
      </c>
      <c r="W43" s="1">
        <f t="shared" si="13"/>
        <v>0</v>
      </c>
      <c r="X43" s="1">
        <f t="shared" si="13"/>
        <v>0</v>
      </c>
      <c r="Y43" s="1">
        <f t="shared" si="13"/>
        <v>0</v>
      </c>
      <c r="Z43" s="1">
        <f t="shared" si="13"/>
        <v>0</v>
      </c>
      <c r="AA43" s="1">
        <f t="shared" si="13"/>
        <v>0</v>
      </c>
      <c r="AB43" s="1">
        <f t="shared" si="13"/>
        <v>0</v>
      </c>
      <c r="AC43" s="1">
        <f t="shared" si="13"/>
        <v>0</v>
      </c>
      <c r="AD43" s="1">
        <f t="shared" si="13"/>
        <v>0</v>
      </c>
      <c r="AE43" s="1">
        <f t="shared" si="13"/>
        <v>0</v>
      </c>
      <c r="AF43" s="1">
        <f t="shared" si="13"/>
        <v>0</v>
      </c>
      <c r="AG43" s="1">
        <f t="shared" si="13"/>
        <v>0</v>
      </c>
      <c r="AH43" s="1">
        <f t="shared" si="13"/>
        <v>0</v>
      </c>
      <c r="AI43" s="1">
        <f t="shared" si="13"/>
        <v>0</v>
      </c>
      <c r="AJ43" s="1">
        <f t="shared" si="13"/>
        <v>0</v>
      </c>
      <c r="AK43" s="1">
        <f t="shared" si="13"/>
        <v>0</v>
      </c>
      <c r="AL43" s="1">
        <f t="shared" si="13"/>
        <v>0</v>
      </c>
      <c r="AM43" s="1">
        <f t="shared" si="13"/>
        <v>0</v>
      </c>
      <c r="AN43" s="1">
        <f t="shared" si="13"/>
        <v>0</v>
      </c>
      <c r="AO43" s="1">
        <f t="shared" si="13"/>
        <v>0</v>
      </c>
      <c r="AP43" s="1">
        <f t="shared" si="13"/>
        <v>0</v>
      </c>
      <c r="AQ43" s="1">
        <f t="shared" si="13"/>
        <v>0</v>
      </c>
      <c r="AR43" s="3">
        <f t="shared" si="7"/>
        <v>0</v>
      </c>
      <c r="AT43" s="1">
        <f t="shared" si="8"/>
        <v>0</v>
      </c>
    </row>
    <row r="44" spans="1:46" x14ac:dyDescent="0.25">
      <c r="B44" s="59">
        <f>+Accrualstrip!B45</f>
        <v>0.05</v>
      </c>
      <c r="C44" t="s">
        <v>296</v>
      </c>
      <c r="D44" s="1">
        <f t="shared" si="13"/>
        <v>0</v>
      </c>
      <c r="E44" s="1">
        <f t="shared" ref="E44:K44" si="15">-E21*$B44</f>
        <v>0</v>
      </c>
      <c r="F44" s="1">
        <f t="shared" si="15"/>
        <v>0</v>
      </c>
      <c r="G44" s="1">
        <f t="shared" si="15"/>
        <v>-46.608000000000004</v>
      </c>
      <c r="H44" s="1">
        <f t="shared" si="15"/>
        <v>8.5015000000000001</v>
      </c>
      <c r="I44" s="1">
        <f t="shared" si="15"/>
        <v>0.10400000000000001</v>
      </c>
      <c r="J44" s="1">
        <f t="shared" si="15"/>
        <v>0.41600000000000004</v>
      </c>
      <c r="K44" s="1">
        <f t="shared" si="15"/>
        <v>0</v>
      </c>
      <c r="L44" s="1">
        <f t="shared" si="13"/>
        <v>-25.456000000000003</v>
      </c>
      <c r="M44" s="1">
        <f t="shared" si="13"/>
        <v>-8.2120000000000015</v>
      </c>
      <c r="N44" s="1">
        <f t="shared" si="13"/>
        <v>-26.603999999999999</v>
      </c>
      <c r="O44" s="1">
        <f t="shared" si="13"/>
        <v>-14.436000000000002</v>
      </c>
      <c r="P44" s="1">
        <f t="shared" si="13"/>
        <v>-28.475999999999999</v>
      </c>
      <c r="Q44" s="1">
        <f t="shared" si="13"/>
        <v>-37.74</v>
      </c>
      <c r="R44" s="1">
        <f t="shared" si="13"/>
        <v>-11.744</v>
      </c>
      <c r="S44" s="1">
        <f t="shared" si="13"/>
        <v>-34.816000000000003</v>
      </c>
      <c r="T44" s="1">
        <f t="shared" si="13"/>
        <v>-44.408000000000001</v>
      </c>
      <c r="U44" s="1">
        <f t="shared" si="13"/>
        <v>-30.136000000000003</v>
      </c>
      <c r="V44" s="1">
        <f t="shared" si="13"/>
        <v>-17.195999999999998</v>
      </c>
      <c r="W44" s="1">
        <f t="shared" si="13"/>
        <v>-16.028000000000002</v>
      </c>
      <c r="X44" s="1">
        <f t="shared" si="13"/>
        <v>-11.956000000000001</v>
      </c>
      <c r="Y44" s="1">
        <f t="shared" si="13"/>
        <v>-38.116000000000007</v>
      </c>
      <c r="Z44" s="1">
        <f t="shared" si="13"/>
        <v>-10.528</v>
      </c>
      <c r="AA44" s="1">
        <f t="shared" si="13"/>
        <v>-19.348000000000003</v>
      </c>
      <c r="AB44" s="1">
        <f t="shared" si="13"/>
        <v>-33.552</v>
      </c>
      <c r="AC44" s="1">
        <f t="shared" si="13"/>
        <v>-7.4399999999999995</v>
      </c>
      <c r="AD44" s="1">
        <f t="shared" si="13"/>
        <v>0</v>
      </c>
      <c r="AE44" s="1">
        <f t="shared" si="13"/>
        <v>-21.992000000000004</v>
      </c>
      <c r="AF44" s="1">
        <f t="shared" si="13"/>
        <v>0</v>
      </c>
      <c r="AG44" s="1">
        <f t="shared" si="13"/>
        <v>0</v>
      </c>
      <c r="AH44" s="1">
        <f t="shared" si="13"/>
        <v>-9.64</v>
      </c>
      <c r="AI44" s="1">
        <f t="shared" si="13"/>
        <v>0</v>
      </c>
      <c r="AJ44" s="1">
        <f t="shared" si="13"/>
        <v>-8.2120000000000015</v>
      </c>
      <c r="AK44" s="1">
        <f t="shared" si="13"/>
        <v>0</v>
      </c>
      <c r="AL44" s="1">
        <f t="shared" si="13"/>
        <v>0</v>
      </c>
      <c r="AM44" s="1">
        <f t="shared" si="13"/>
        <v>-13.991999999999999</v>
      </c>
      <c r="AN44" s="1">
        <f t="shared" si="13"/>
        <v>0</v>
      </c>
      <c r="AO44" s="1">
        <f t="shared" si="13"/>
        <v>0</v>
      </c>
      <c r="AP44" s="1">
        <f t="shared" si="13"/>
        <v>0</v>
      </c>
      <c r="AQ44" s="1">
        <f t="shared" si="13"/>
        <v>0</v>
      </c>
      <c r="AR44" s="3">
        <f t="shared" si="7"/>
        <v>-507.61450000000013</v>
      </c>
      <c r="AT44" s="1">
        <f t="shared" si="8"/>
        <v>-507.61450000000013</v>
      </c>
    </row>
    <row r="45" spans="1:46" x14ac:dyDescent="0.25">
      <c r="B45" s="59">
        <f>+Accrualstrip!B46</f>
        <v>0</v>
      </c>
      <c r="C45" t="s">
        <v>44</v>
      </c>
      <c r="D45" s="1">
        <f t="shared" si="13"/>
        <v>0</v>
      </c>
      <c r="E45" s="1">
        <f t="shared" ref="E45:K45" si="16">-E22*$B45</f>
        <v>0</v>
      </c>
      <c r="F45" s="1">
        <f t="shared" si="16"/>
        <v>0</v>
      </c>
      <c r="G45" s="1">
        <f t="shared" si="16"/>
        <v>0</v>
      </c>
      <c r="H45" s="1">
        <f t="shared" si="16"/>
        <v>0</v>
      </c>
      <c r="I45" s="1">
        <f t="shared" si="16"/>
        <v>0</v>
      </c>
      <c r="J45" s="1">
        <f t="shared" si="16"/>
        <v>0</v>
      </c>
      <c r="K45" s="1">
        <f t="shared" si="16"/>
        <v>0</v>
      </c>
      <c r="L45" s="1">
        <f t="shared" si="13"/>
        <v>0</v>
      </c>
      <c r="M45" s="1">
        <f t="shared" si="13"/>
        <v>0</v>
      </c>
      <c r="N45" s="1">
        <f t="shared" si="13"/>
        <v>0</v>
      </c>
      <c r="O45" s="1">
        <f t="shared" si="13"/>
        <v>0</v>
      </c>
      <c r="P45" s="1">
        <f t="shared" si="13"/>
        <v>0</v>
      </c>
      <c r="Q45" s="1">
        <f t="shared" si="13"/>
        <v>0</v>
      </c>
      <c r="R45" s="1">
        <f t="shared" si="13"/>
        <v>0</v>
      </c>
      <c r="S45" s="1">
        <f t="shared" si="13"/>
        <v>0</v>
      </c>
      <c r="T45" s="1">
        <f t="shared" si="13"/>
        <v>0</v>
      </c>
      <c r="U45" s="1">
        <f t="shared" si="13"/>
        <v>0</v>
      </c>
      <c r="V45" s="1">
        <f t="shared" si="13"/>
        <v>0</v>
      </c>
      <c r="W45" s="1">
        <f t="shared" si="13"/>
        <v>0</v>
      </c>
      <c r="X45" s="1">
        <f t="shared" si="13"/>
        <v>0</v>
      </c>
      <c r="Y45" s="1">
        <f t="shared" si="13"/>
        <v>0</v>
      </c>
      <c r="Z45" s="1">
        <f t="shared" si="13"/>
        <v>0</v>
      </c>
      <c r="AA45" s="1">
        <f t="shared" si="13"/>
        <v>0</v>
      </c>
      <c r="AB45" s="1">
        <f t="shared" si="13"/>
        <v>0</v>
      </c>
      <c r="AC45" s="1">
        <f t="shared" si="13"/>
        <v>0</v>
      </c>
      <c r="AD45" s="1">
        <f t="shared" si="13"/>
        <v>0</v>
      </c>
      <c r="AE45" s="1">
        <f t="shared" si="13"/>
        <v>0</v>
      </c>
      <c r="AF45" s="1">
        <f t="shared" si="13"/>
        <v>0</v>
      </c>
      <c r="AG45" s="1">
        <f t="shared" si="13"/>
        <v>0</v>
      </c>
      <c r="AH45" s="1">
        <f t="shared" si="13"/>
        <v>0</v>
      </c>
      <c r="AI45" s="1">
        <f t="shared" si="13"/>
        <v>0</v>
      </c>
      <c r="AJ45" s="1">
        <f t="shared" si="13"/>
        <v>0</v>
      </c>
      <c r="AK45" s="1">
        <f t="shared" si="13"/>
        <v>0</v>
      </c>
      <c r="AL45" s="1">
        <f t="shared" si="13"/>
        <v>0</v>
      </c>
      <c r="AM45" s="1">
        <f t="shared" si="13"/>
        <v>0</v>
      </c>
      <c r="AN45" s="1">
        <f t="shared" si="13"/>
        <v>0</v>
      </c>
      <c r="AO45" s="1">
        <f t="shared" si="13"/>
        <v>0</v>
      </c>
      <c r="AP45" s="1">
        <f t="shared" si="13"/>
        <v>0</v>
      </c>
      <c r="AQ45" s="1">
        <f t="shared" si="13"/>
        <v>0</v>
      </c>
      <c r="AR45" s="3">
        <f t="shared" si="7"/>
        <v>0</v>
      </c>
      <c r="AT45" s="1">
        <f t="shared" si="8"/>
        <v>0</v>
      </c>
    </row>
    <row r="46" spans="1:46" x14ac:dyDescent="0.25">
      <c r="B46" s="45"/>
      <c r="C46" t="s">
        <v>217</v>
      </c>
      <c r="AT46" s="1">
        <f t="shared" si="8"/>
        <v>0</v>
      </c>
    </row>
    <row r="47" spans="1:46" x14ac:dyDescent="0.25">
      <c r="A47" s="2" t="s">
        <v>82</v>
      </c>
      <c r="D47" s="3">
        <f t="shared" ref="D47:AR47" si="17">SUM(D27:D46)</f>
        <v>0</v>
      </c>
      <c r="E47" s="3">
        <f t="shared" si="17"/>
        <v>0</v>
      </c>
      <c r="F47" s="3">
        <f t="shared" si="17"/>
        <v>0</v>
      </c>
      <c r="G47" s="3">
        <f t="shared" si="17"/>
        <v>-4356.4654</v>
      </c>
      <c r="H47" s="3">
        <f t="shared" si="17"/>
        <v>-1419.3504999999998</v>
      </c>
      <c r="I47" s="3">
        <f t="shared" si="17"/>
        <v>-31.938500000000005</v>
      </c>
      <c r="J47" s="3">
        <f t="shared" si="17"/>
        <v>-1114.7767999999999</v>
      </c>
      <c r="K47" s="3">
        <f t="shared" si="17"/>
        <v>-2024.8785000000003</v>
      </c>
      <c r="L47" s="3">
        <f t="shared" si="17"/>
        <v>-1242.0519999999999</v>
      </c>
      <c r="M47" s="3">
        <f t="shared" si="17"/>
        <v>-2075.5141000000003</v>
      </c>
      <c r="N47" s="3">
        <f t="shared" si="17"/>
        <v>-2539.6248999999998</v>
      </c>
      <c r="O47" s="3">
        <f t="shared" si="17"/>
        <v>-1354.1259000000002</v>
      </c>
      <c r="P47" s="3">
        <f t="shared" si="17"/>
        <v>-1963.1409000000003</v>
      </c>
      <c r="Q47" s="3">
        <f t="shared" si="17"/>
        <v>-1793.5253000000002</v>
      </c>
      <c r="R47" s="3">
        <f t="shared" si="17"/>
        <v>-2181.8832000000002</v>
      </c>
      <c r="S47" s="3">
        <f t="shared" si="17"/>
        <v>-2179.0009999999997</v>
      </c>
      <c r="T47" s="3">
        <f t="shared" si="17"/>
        <v>-2526.5898000000002</v>
      </c>
      <c r="U47" s="3">
        <f t="shared" si="17"/>
        <v>-3168.2336999999998</v>
      </c>
      <c r="V47" s="3">
        <f t="shared" si="17"/>
        <v>-2557.7496500000002</v>
      </c>
      <c r="W47" s="3">
        <f t="shared" si="17"/>
        <v>-2038.4086000000002</v>
      </c>
      <c r="X47" s="3">
        <f t="shared" si="17"/>
        <v>-2692.4147000000003</v>
      </c>
      <c r="Y47" s="3">
        <f t="shared" si="17"/>
        <v>-2902.4673750000002</v>
      </c>
      <c r="Z47" s="3">
        <f t="shared" si="17"/>
        <v>-1368.8836999999999</v>
      </c>
      <c r="AA47" s="3">
        <f t="shared" si="17"/>
        <v>-1629.3630000000001</v>
      </c>
      <c r="AB47" s="3">
        <f t="shared" si="17"/>
        <v>-1425.3348999999998</v>
      </c>
      <c r="AC47" s="3">
        <f t="shared" si="17"/>
        <v>-828.70590000000004</v>
      </c>
      <c r="AD47" s="3">
        <f t="shared" si="17"/>
        <v>-1397.2166999999999</v>
      </c>
      <c r="AE47" s="3">
        <f t="shared" si="17"/>
        <v>-457.10879999999997</v>
      </c>
      <c r="AF47" s="3">
        <f t="shared" si="17"/>
        <v>-364.07594999999998</v>
      </c>
      <c r="AG47" s="3">
        <f t="shared" si="17"/>
        <v>-509.84210000000002</v>
      </c>
      <c r="AH47" s="3">
        <f t="shared" si="17"/>
        <v>-280.66649999999998</v>
      </c>
      <c r="AI47" s="3">
        <f t="shared" si="17"/>
        <v>-707.64490000000012</v>
      </c>
      <c r="AJ47" s="3">
        <f t="shared" si="17"/>
        <v>-857.41314999999986</v>
      </c>
      <c r="AK47" s="3">
        <f t="shared" si="17"/>
        <v>-588.58810000000005</v>
      </c>
      <c r="AL47" s="3">
        <f t="shared" si="17"/>
        <v>-355.42200000000003</v>
      </c>
      <c r="AM47" s="3">
        <f t="shared" si="17"/>
        <v>-287.70740000000001</v>
      </c>
      <c r="AN47" s="3">
        <f t="shared" si="17"/>
        <v>-264.08749999999998</v>
      </c>
      <c r="AO47" s="3">
        <f t="shared" si="17"/>
        <v>-97.172800000000009</v>
      </c>
      <c r="AP47" s="3">
        <f t="shared" si="17"/>
        <v>-24.211000000000002</v>
      </c>
      <c r="AQ47" s="3">
        <f t="shared" si="17"/>
        <v>6.1760000000000002</v>
      </c>
      <c r="AR47" s="3">
        <f t="shared" si="17"/>
        <v>-51599.409225000003</v>
      </c>
      <c r="AS47" s="3"/>
      <c r="AT47" s="3">
        <f t="shared" si="8"/>
        <v>-51605.58522500001</v>
      </c>
    </row>
    <row r="49" spans="1:46" x14ac:dyDescent="0.25">
      <c r="A49" s="2" t="s">
        <v>499</v>
      </c>
    </row>
    <row r="50" spans="1:46" x14ac:dyDescent="0.25">
      <c r="C50" t="s">
        <v>190</v>
      </c>
      <c r="D50" s="1">
        <f t="shared" ref="D50:AQ57" si="18">+D4+D27</f>
        <v>0</v>
      </c>
      <c r="E50" s="1">
        <f t="shared" ref="E50:K65" si="19">+E4+E27</f>
        <v>0</v>
      </c>
      <c r="F50" s="1">
        <f t="shared" si="19"/>
        <v>0</v>
      </c>
      <c r="G50" s="1">
        <f t="shared" si="19"/>
        <v>9878.8801999999996</v>
      </c>
      <c r="H50" s="1">
        <f t="shared" si="19"/>
        <v>-58.67</v>
      </c>
      <c r="I50" s="1">
        <f t="shared" si="19"/>
        <v>0</v>
      </c>
      <c r="J50" s="1">
        <f t="shared" si="19"/>
        <v>397.23079999999999</v>
      </c>
      <c r="K50" s="1">
        <f t="shared" si="19"/>
        <v>887.66230000000007</v>
      </c>
      <c r="L50" s="1">
        <f t="shared" si="18"/>
        <v>15448.818800000001</v>
      </c>
      <c r="M50" s="1">
        <f t="shared" si="18"/>
        <v>-50.530500000000004</v>
      </c>
      <c r="N50" s="1">
        <f t="shared" si="18"/>
        <v>2025.6919</v>
      </c>
      <c r="O50" s="1">
        <f t="shared" si="18"/>
        <v>1729.6009000000001</v>
      </c>
      <c r="P50" s="1">
        <f t="shared" si="18"/>
        <v>4425.3489</v>
      </c>
      <c r="Q50" s="1">
        <f t="shared" si="18"/>
        <v>8472.9896999999983</v>
      </c>
      <c r="R50" s="1">
        <f t="shared" si="18"/>
        <v>10354.063899999999</v>
      </c>
      <c r="S50" s="1">
        <f t="shared" si="18"/>
        <v>2336.6170000000002</v>
      </c>
      <c r="T50" s="1">
        <f t="shared" si="18"/>
        <v>9280.0002000000004</v>
      </c>
      <c r="U50" s="1">
        <f t="shared" si="18"/>
        <v>1745.8731</v>
      </c>
      <c r="V50" s="1">
        <f t="shared" si="18"/>
        <v>4500.5733500000006</v>
      </c>
      <c r="W50" s="1">
        <f t="shared" si="18"/>
        <v>3862.8154</v>
      </c>
      <c r="X50" s="1">
        <f t="shared" si="18"/>
        <v>11980.614099999999</v>
      </c>
      <c r="Y50" s="1">
        <f t="shared" si="18"/>
        <v>1640.6012250000001</v>
      </c>
      <c r="Z50" s="1">
        <f t="shared" si="18"/>
        <v>2604.0445000000004</v>
      </c>
      <c r="AA50" s="1">
        <f t="shared" si="18"/>
        <v>985.19699999999966</v>
      </c>
      <c r="AB50" s="1">
        <f t="shared" si="18"/>
        <v>2765.4663</v>
      </c>
      <c r="AC50" s="1">
        <f t="shared" si="18"/>
        <v>2050.7109</v>
      </c>
      <c r="AD50" s="1">
        <f t="shared" si="18"/>
        <v>1389.0273</v>
      </c>
      <c r="AE50" s="1">
        <f t="shared" si="18"/>
        <v>1617.9610000000002</v>
      </c>
      <c r="AF50" s="1">
        <f t="shared" si="18"/>
        <v>2318.0300499999998</v>
      </c>
      <c r="AG50" s="1">
        <f t="shared" si="18"/>
        <v>1558.0926999999999</v>
      </c>
      <c r="AH50" s="1">
        <f t="shared" si="18"/>
        <v>4650.9138999999996</v>
      </c>
      <c r="AI50" s="1">
        <f t="shared" si="18"/>
        <v>4140.6050999999998</v>
      </c>
      <c r="AJ50" s="1">
        <f t="shared" si="18"/>
        <v>12675.896049999999</v>
      </c>
      <c r="AK50" s="1">
        <f t="shared" si="18"/>
        <v>1701.2723000000001</v>
      </c>
      <c r="AL50" s="1">
        <f t="shared" si="18"/>
        <v>1924.2959999999998</v>
      </c>
      <c r="AM50" s="1">
        <f t="shared" si="18"/>
        <v>1093.9804000000001</v>
      </c>
      <c r="AN50" s="1">
        <f t="shared" si="18"/>
        <v>-41.665499999999994</v>
      </c>
      <c r="AO50" s="1">
        <f t="shared" si="18"/>
        <v>0</v>
      </c>
      <c r="AP50" s="1">
        <f t="shared" si="18"/>
        <v>0</v>
      </c>
      <c r="AQ50" s="1">
        <f t="shared" si="18"/>
        <v>0</v>
      </c>
      <c r="AR50" s="3">
        <f t="shared" ref="AR50:AR68" si="20">SUM(D50:AQ50)</f>
        <v>130292.00927500002</v>
      </c>
      <c r="AT50" s="1">
        <f t="shared" ref="AT50:AT70" si="21">SUM(D50:AP50)</f>
        <v>130292.00927500002</v>
      </c>
    </row>
    <row r="51" spans="1:46" x14ac:dyDescent="0.25">
      <c r="C51" t="s">
        <v>424</v>
      </c>
      <c r="D51" s="1">
        <f t="shared" si="18"/>
        <v>0</v>
      </c>
      <c r="E51" s="1">
        <f t="shared" si="19"/>
        <v>0</v>
      </c>
      <c r="F51" s="1">
        <f t="shared" si="19"/>
        <v>0</v>
      </c>
      <c r="G51" s="1">
        <f t="shared" si="19"/>
        <v>0</v>
      </c>
      <c r="H51" s="1">
        <f t="shared" si="19"/>
        <v>508.59199999999998</v>
      </c>
      <c r="I51" s="1">
        <f t="shared" si="19"/>
        <v>684.60799999999995</v>
      </c>
      <c r="J51" s="1">
        <f t="shared" si="19"/>
        <v>0</v>
      </c>
      <c r="K51" s="1">
        <f t="shared" si="19"/>
        <v>0</v>
      </c>
      <c r="L51" s="1">
        <f t="shared" si="18"/>
        <v>986.93600000000015</v>
      </c>
      <c r="M51" s="1">
        <f t="shared" si="18"/>
        <v>1999.1799999999996</v>
      </c>
      <c r="N51" s="1">
        <f t="shared" si="18"/>
        <v>1103.3679999999999</v>
      </c>
      <c r="O51" s="1">
        <f t="shared" si="18"/>
        <v>2458.2959999999998</v>
      </c>
      <c r="P51" s="1">
        <f t="shared" si="18"/>
        <v>2758.268</v>
      </c>
      <c r="Q51" s="1">
        <f t="shared" si="18"/>
        <v>2447.5419999999999</v>
      </c>
      <c r="R51" s="1">
        <f t="shared" si="18"/>
        <v>2561.5039999999999</v>
      </c>
      <c r="S51" s="1">
        <f t="shared" si="18"/>
        <v>3683.9480000000003</v>
      </c>
      <c r="T51" s="1">
        <f t="shared" si="18"/>
        <v>3018.5680000000002</v>
      </c>
      <c r="U51" s="1">
        <f t="shared" si="18"/>
        <v>1251.3400000000001</v>
      </c>
      <c r="V51" s="1">
        <f t="shared" si="18"/>
        <v>2587.7240000000006</v>
      </c>
      <c r="W51" s="1">
        <f t="shared" si="18"/>
        <v>3718.2240000000002</v>
      </c>
      <c r="X51" s="1">
        <f t="shared" si="18"/>
        <v>1319.2080000000001</v>
      </c>
      <c r="Y51" s="1">
        <f t="shared" si="18"/>
        <v>1117.5610000000001</v>
      </c>
      <c r="Z51" s="1">
        <f t="shared" si="18"/>
        <v>2190.2440000000001</v>
      </c>
      <c r="AA51" s="1">
        <f t="shared" si="18"/>
        <v>705.50800000000004</v>
      </c>
      <c r="AB51" s="1">
        <f t="shared" si="18"/>
        <v>398.77199999999999</v>
      </c>
      <c r="AC51" s="1">
        <f t="shared" si="18"/>
        <v>713.56399999999996</v>
      </c>
      <c r="AD51" s="1">
        <f t="shared" si="18"/>
        <v>440.03999999999996</v>
      </c>
      <c r="AE51" s="1">
        <f t="shared" si="18"/>
        <v>619.70399999999995</v>
      </c>
      <c r="AF51" s="1">
        <f t="shared" si="18"/>
        <v>230.27999999999997</v>
      </c>
      <c r="AG51" s="1">
        <f t="shared" si="18"/>
        <v>0</v>
      </c>
      <c r="AH51" s="1">
        <f t="shared" si="18"/>
        <v>0</v>
      </c>
      <c r="AI51" s="1">
        <f t="shared" si="18"/>
        <v>0</v>
      </c>
      <c r="AJ51" s="1">
        <f t="shared" si="18"/>
        <v>389.42399999999998</v>
      </c>
      <c r="AK51" s="1">
        <f t="shared" si="18"/>
        <v>0</v>
      </c>
      <c r="AL51" s="1">
        <f t="shared" si="18"/>
        <v>624.64400000000012</v>
      </c>
      <c r="AM51" s="1">
        <f t="shared" si="18"/>
        <v>0</v>
      </c>
      <c r="AN51" s="1">
        <f t="shared" si="18"/>
        <v>0</v>
      </c>
      <c r="AO51" s="1">
        <f t="shared" si="18"/>
        <v>0</v>
      </c>
      <c r="AP51" s="1">
        <f t="shared" si="18"/>
        <v>0</v>
      </c>
      <c r="AQ51" s="1">
        <f t="shared" si="18"/>
        <v>0</v>
      </c>
      <c r="AR51" s="3">
        <f t="shared" si="20"/>
        <v>38517.046999999991</v>
      </c>
      <c r="AT51" s="1">
        <f t="shared" si="21"/>
        <v>38517.046999999991</v>
      </c>
    </row>
    <row r="52" spans="1:46" x14ac:dyDescent="0.25">
      <c r="C52" t="s">
        <v>347</v>
      </c>
      <c r="D52" s="1">
        <f t="shared" si="18"/>
        <v>0</v>
      </c>
      <c r="E52" s="1">
        <f t="shared" si="19"/>
        <v>0</v>
      </c>
      <c r="F52" s="1">
        <f t="shared" si="19"/>
        <v>0</v>
      </c>
      <c r="G52" s="1">
        <f t="shared" si="19"/>
        <v>0</v>
      </c>
      <c r="H52" s="1">
        <f t="shared" si="19"/>
        <v>0</v>
      </c>
      <c r="I52" s="1">
        <f t="shared" si="19"/>
        <v>0</v>
      </c>
      <c r="J52" s="1">
        <f t="shared" si="19"/>
        <v>0</v>
      </c>
      <c r="K52" s="1">
        <f t="shared" si="19"/>
        <v>0</v>
      </c>
      <c r="L52" s="1">
        <f t="shared" si="18"/>
        <v>146.68</v>
      </c>
      <c r="M52" s="1">
        <f t="shared" si="18"/>
        <v>0</v>
      </c>
      <c r="N52" s="1">
        <f t="shared" si="18"/>
        <v>0</v>
      </c>
      <c r="O52" s="1">
        <f t="shared" si="18"/>
        <v>180.04399999999998</v>
      </c>
      <c r="P52" s="1">
        <f t="shared" si="18"/>
        <v>575.69999999999993</v>
      </c>
      <c r="Q52" s="1">
        <f t="shared" si="18"/>
        <v>215.61199999999997</v>
      </c>
      <c r="R52" s="1">
        <f t="shared" si="18"/>
        <v>649.952</v>
      </c>
      <c r="S52" s="1">
        <f t="shared" si="18"/>
        <v>542.33600000000001</v>
      </c>
      <c r="T52" s="1">
        <f t="shared" si="18"/>
        <v>1291.8480000000002</v>
      </c>
      <c r="U52" s="1">
        <f t="shared" si="18"/>
        <v>569.08799999999997</v>
      </c>
      <c r="V52" s="1">
        <f t="shared" si="18"/>
        <v>1363.5160000000001</v>
      </c>
      <c r="W52" s="1">
        <f t="shared" si="18"/>
        <v>1629.3639999999998</v>
      </c>
      <c r="X52" s="1">
        <f t="shared" si="18"/>
        <v>1591.972</v>
      </c>
      <c r="Y52" s="1">
        <f t="shared" si="18"/>
        <v>17.783999999999999</v>
      </c>
      <c r="Z52" s="1">
        <f t="shared" si="18"/>
        <v>355.67999999999995</v>
      </c>
      <c r="AA52" s="1">
        <f t="shared" si="18"/>
        <v>88.919999999999987</v>
      </c>
      <c r="AB52" s="1">
        <f t="shared" si="18"/>
        <v>194.71199999999999</v>
      </c>
      <c r="AC52" s="1">
        <f t="shared" si="18"/>
        <v>234.68799999999999</v>
      </c>
      <c r="AD52" s="1">
        <f t="shared" si="18"/>
        <v>299.59199999999998</v>
      </c>
      <c r="AE52" s="1">
        <f t="shared" si="18"/>
        <v>0</v>
      </c>
      <c r="AF52" s="1">
        <f t="shared" si="18"/>
        <v>106.70399999999999</v>
      </c>
      <c r="AG52" s="1">
        <f t="shared" si="18"/>
        <v>505.47600000000006</v>
      </c>
      <c r="AH52" s="1">
        <f t="shared" si="18"/>
        <v>0</v>
      </c>
      <c r="AI52" s="1">
        <f t="shared" si="18"/>
        <v>146.68</v>
      </c>
      <c r="AJ52" s="1">
        <f t="shared" si="18"/>
        <v>194.71199999999999</v>
      </c>
      <c r="AK52" s="1">
        <f t="shared" si="18"/>
        <v>366.31999999999994</v>
      </c>
      <c r="AL52" s="1">
        <f t="shared" si="18"/>
        <v>0</v>
      </c>
      <c r="AM52" s="1">
        <f t="shared" si="18"/>
        <v>0</v>
      </c>
      <c r="AN52" s="1">
        <f t="shared" si="18"/>
        <v>0</v>
      </c>
      <c r="AO52" s="1">
        <f t="shared" si="18"/>
        <v>0</v>
      </c>
      <c r="AP52" s="1">
        <f t="shared" si="18"/>
        <v>0</v>
      </c>
      <c r="AQ52" s="1">
        <f t="shared" si="18"/>
        <v>0</v>
      </c>
      <c r="AR52" s="3">
        <f t="shared" si="20"/>
        <v>11267.38</v>
      </c>
      <c r="AT52" s="1">
        <f t="shared" si="21"/>
        <v>11267.38</v>
      </c>
    </row>
    <row r="53" spans="1:46" x14ac:dyDescent="0.25">
      <c r="C53" t="s">
        <v>0</v>
      </c>
      <c r="D53" s="1">
        <f t="shared" si="18"/>
        <v>0</v>
      </c>
      <c r="E53" s="1">
        <f t="shared" si="19"/>
        <v>0</v>
      </c>
      <c r="F53" s="1">
        <f t="shared" si="19"/>
        <v>0</v>
      </c>
      <c r="G53" s="1">
        <f t="shared" si="19"/>
        <v>59831.6224</v>
      </c>
      <c r="H53" s="1">
        <f t="shared" si="19"/>
        <v>0</v>
      </c>
      <c r="I53" s="1">
        <f t="shared" si="19"/>
        <v>0</v>
      </c>
      <c r="J53" s="1">
        <f t="shared" si="19"/>
        <v>15967.93</v>
      </c>
      <c r="K53" s="1">
        <f t="shared" si="19"/>
        <v>21414.492000000002</v>
      </c>
      <c r="L53" s="1">
        <f t="shared" si="18"/>
        <v>1126.2636</v>
      </c>
      <c r="M53" s="1">
        <f t="shared" si="18"/>
        <v>22753.636400000003</v>
      </c>
      <c r="N53" s="1">
        <f t="shared" si="18"/>
        <v>20886.3292</v>
      </c>
      <c r="O53" s="1">
        <f t="shared" si="18"/>
        <v>14058.809600000001</v>
      </c>
      <c r="P53" s="1">
        <f t="shared" si="18"/>
        <v>9439.76</v>
      </c>
      <c r="Q53" s="1">
        <f t="shared" si="18"/>
        <v>16466.322400000001</v>
      </c>
      <c r="R53" s="1">
        <f t="shared" si="18"/>
        <v>14125.1572</v>
      </c>
      <c r="S53" s="1">
        <f t="shared" si="18"/>
        <v>21735.159599999999</v>
      </c>
      <c r="T53" s="1">
        <f t="shared" si="18"/>
        <v>16799.406799999997</v>
      </c>
      <c r="U53" s="1">
        <f t="shared" si="18"/>
        <v>34754.398799999995</v>
      </c>
      <c r="V53" s="1">
        <f t="shared" si="18"/>
        <v>15661.025600000001</v>
      </c>
      <c r="W53" s="1">
        <f t="shared" si="18"/>
        <v>20063.155199999997</v>
      </c>
      <c r="X53" s="1">
        <f t="shared" si="18"/>
        <v>18856.182400000002</v>
      </c>
      <c r="Y53" s="1">
        <f t="shared" si="18"/>
        <v>18072.802</v>
      </c>
      <c r="Z53" s="1">
        <f t="shared" si="18"/>
        <v>14418.522800000001</v>
      </c>
      <c r="AA53" s="1">
        <f t="shared" si="18"/>
        <v>15970.6976</v>
      </c>
      <c r="AB53" s="1">
        <f t="shared" si="18"/>
        <v>16667.160400000001</v>
      </c>
      <c r="AC53" s="1">
        <f t="shared" si="18"/>
        <v>8752.9464000000007</v>
      </c>
      <c r="AD53" s="1">
        <f t="shared" si="18"/>
        <v>16686.533599999999</v>
      </c>
      <c r="AE53" s="1">
        <f t="shared" si="18"/>
        <v>2466.9039999999995</v>
      </c>
      <c r="AF53" s="1">
        <f t="shared" si="18"/>
        <v>1385.2959999999998</v>
      </c>
      <c r="AG53" s="1">
        <f t="shared" si="18"/>
        <v>4210.4171999999999</v>
      </c>
      <c r="AH53" s="1">
        <f t="shared" si="18"/>
        <v>1344.9788000000001</v>
      </c>
      <c r="AI53" s="1">
        <f t="shared" si="18"/>
        <v>6740.6019999999999</v>
      </c>
      <c r="AJ53" s="1">
        <f t="shared" si="18"/>
        <v>5815.7</v>
      </c>
      <c r="AK53" s="1">
        <f t="shared" si="18"/>
        <v>5838.6636000000008</v>
      </c>
      <c r="AL53" s="1">
        <f t="shared" si="18"/>
        <v>3153.0444000000002</v>
      </c>
      <c r="AM53" s="1">
        <f t="shared" si="18"/>
        <v>1573.0440000000001</v>
      </c>
      <c r="AN53" s="1">
        <f t="shared" si="18"/>
        <v>2772.462</v>
      </c>
      <c r="AO53" s="1">
        <f t="shared" si="18"/>
        <v>0</v>
      </c>
      <c r="AP53" s="1">
        <f t="shared" si="18"/>
        <v>0</v>
      </c>
      <c r="AQ53" s="1">
        <f t="shared" si="18"/>
        <v>0</v>
      </c>
      <c r="AR53" s="3">
        <f t="shared" si="20"/>
        <v>449809.42600000009</v>
      </c>
      <c r="AT53" s="1">
        <f t="shared" si="21"/>
        <v>449809.42600000009</v>
      </c>
    </row>
    <row r="54" spans="1:46" x14ac:dyDescent="0.25">
      <c r="C54" t="s">
        <v>354</v>
      </c>
      <c r="D54" s="1">
        <f t="shared" si="18"/>
        <v>0</v>
      </c>
      <c r="E54" s="1">
        <f t="shared" si="19"/>
        <v>0</v>
      </c>
      <c r="F54" s="1">
        <f t="shared" si="19"/>
        <v>0</v>
      </c>
      <c r="G54" s="1">
        <f t="shared" si="19"/>
        <v>0</v>
      </c>
      <c r="H54" s="1">
        <f t="shared" si="19"/>
        <v>0</v>
      </c>
      <c r="I54" s="1">
        <f t="shared" si="19"/>
        <v>0</v>
      </c>
      <c r="J54" s="1">
        <f t="shared" si="19"/>
        <v>0</v>
      </c>
      <c r="K54" s="1">
        <f t="shared" si="19"/>
        <v>0</v>
      </c>
      <c r="L54" s="1">
        <f t="shared" si="18"/>
        <v>0</v>
      </c>
      <c r="M54" s="1">
        <f t="shared" si="18"/>
        <v>0</v>
      </c>
      <c r="N54" s="1">
        <f t="shared" si="18"/>
        <v>124.488</v>
      </c>
      <c r="O54" s="1">
        <f t="shared" si="18"/>
        <v>244.94799999999998</v>
      </c>
      <c r="P54" s="1">
        <f t="shared" si="18"/>
        <v>327.63599999999997</v>
      </c>
      <c r="Q54" s="1">
        <f t="shared" si="18"/>
        <v>82.687999999999988</v>
      </c>
      <c r="R54" s="1">
        <f t="shared" si="18"/>
        <v>85.803999999999988</v>
      </c>
      <c r="S54" s="1">
        <f t="shared" si="18"/>
        <v>634.75200000000007</v>
      </c>
      <c r="T54" s="1">
        <f t="shared" si="18"/>
        <v>236.51199999999997</v>
      </c>
      <c r="U54" s="1">
        <f t="shared" si="18"/>
        <v>73.34</v>
      </c>
      <c r="V54" s="1">
        <f t="shared" si="18"/>
        <v>31.463999999999999</v>
      </c>
      <c r="W54" s="1">
        <f t="shared" si="18"/>
        <v>17.783999999999999</v>
      </c>
      <c r="X54" s="1">
        <f t="shared" si="18"/>
        <v>115.13999999999999</v>
      </c>
      <c r="Y54" s="1">
        <f t="shared" si="18"/>
        <v>88.501999999999995</v>
      </c>
      <c r="Z54" s="1">
        <f t="shared" si="18"/>
        <v>247.15199999999996</v>
      </c>
      <c r="AA54" s="1">
        <f t="shared" si="18"/>
        <v>231.19200000000001</v>
      </c>
      <c r="AB54" s="1">
        <f t="shared" si="18"/>
        <v>0</v>
      </c>
      <c r="AC54" s="1">
        <f t="shared" si="18"/>
        <v>0</v>
      </c>
      <c r="AD54" s="1">
        <f t="shared" si="18"/>
        <v>0</v>
      </c>
      <c r="AE54" s="1">
        <f t="shared" si="18"/>
        <v>0</v>
      </c>
      <c r="AF54" s="1">
        <f t="shared" si="18"/>
        <v>0</v>
      </c>
      <c r="AG54" s="1">
        <f t="shared" si="18"/>
        <v>0</v>
      </c>
      <c r="AH54" s="1">
        <f t="shared" si="18"/>
        <v>0</v>
      </c>
      <c r="AI54" s="1">
        <f t="shared" si="18"/>
        <v>0</v>
      </c>
      <c r="AJ54" s="1">
        <f t="shared" si="18"/>
        <v>0</v>
      </c>
      <c r="AK54" s="1">
        <f t="shared" si="18"/>
        <v>0</v>
      </c>
      <c r="AL54" s="1">
        <f t="shared" si="18"/>
        <v>0</v>
      </c>
      <c r="AM54" s="1">
        <f t="shared" si="18"/>
        <v>0</v>
      </c>
      <c r="AN54" s="1">
        <f t="shared" si="18"/>
        <v>0</v>
      </c>
      <c r="AO54" s="1">
        <f t="shared" si="18"/>
        <v>0</v>
      </c>
      <c r="AP54" s="1">
        <f t="shared" si="18"/>
        <v>0</v>
      </c>
      <c r="AQ54" s="1">
        <f t="shared" si="18"/>
        <v>0</v>
      </c>
      <c r="AR54" s="3">
        <f t="shared" si="20"/>
        <v>2541.4019999999996</v>
      </c>
      <c r="AT54" s="1">
        <f t="shared" si="21"/>
        <v>2541.4019999999996</v>
      </c>
    </row>
    <row r="55" spans="1:46" x14ac:dyDescent="0.25">
      <c r="C55" t="s">
        <v>265</v>
      </c>
      <c r="D55" s="1">
        <f t="shared" si="18"/>
        <v>0</v>
      </c>
      <c r="E55" s="1">
        <f t="shared" si="19"/>
        <v>0</v>
      </c>
      <c r="F55" s="1">
        <f t="shared" si="19"/>
        <v>0</v>
      </c>
      <c r="G55" s="1">
        <f t="shared" si="19"/>
        <v>0</v>
      </c>
      <c r="H55" s="1">
        <f t="shared" si="19"/>
        <v>0</v>
      </c>
      <c r="I55" s="1">
        <f t="shared" si="19"/>
        <v>2700</v>
      </c>
      <c r="J55" s="1">
        <f t="shared" si="19"/>
        <v>-16.2</v>
      </c>
      <c r="K55" s="1">
        <f t="shared" si="19"/>
        <v>0</v>
      </c>
      <c r="L55" s="1">
        <f t="shared" si="18"/>
        <v>837.54</v>
      </c>
      <c r="M55" s="1">
        <f t="shared" si="18"/>
        <v>1476.6</v>
      </c>
      <c r="N55" s="1">
        <f t="shared" si="18"/>
        <v>966.12000000000012</v>
      </c>
      <c r="O55" s="1">
        <f t="shared" si="18"/>
        <v>1099.8</v>
      </c>
      <c r="P55" s="1">
        <f t="shared" si="18"/>
        <v>2828.5200000000004</v>
      </c>
      <c r="Q55" s="1">
        <f t="shared" si="18"/>
        <v>3960.7799999999997</v>
      </c>
      <c r="R55" s="1">
        <f t="shared" si="18"/>
        <v>2934.06</v>
      </c>
      <c r="S55" s="1">
        <f t="shared" si="18"/>
        <v>4954.08</v>
      </c>
      <c r="T55" s="1">
        <f t="shared" si="18"/>
        <v>2186.94</v>
      </c>
      <c r="U55" s="1">
        <f t="shared" si="18"/>
        <v>4222.0200000000004</v>
      </c>
      <c r="V55" s="1">
        <f t="shared" si="18"/>
        <v>3047.46</v>
      </c>
      <c r="W55" s="1">
        <f t="shared" si="18"/>
        <v>2612.1</v>
      </c>
      <c r="X55" s="1">
        <f t="shared" si="18"/>
        <v>945.24</v>
      </c>
      <c r="Y55" s="1">
        <f t="shared" si="18"/>
        <v>1320.7800000000002</v>
      </c>
      <c r="Z55" s="1">
        <f t="shared" si="18"/>
        <v>-138.12</v>
      </c>
      <c r="AA55" s="1">
        <f t="shared" si="18"/>
        <v>1266.6600000000001</v>
      </c>
      <c r="AB55" s="1">
        <f t="shared" si="18"/>
        <v>-17.82</v>
      </c>
      <c r="AC55" s="1">
        <f t="shared" si="18"/>
        <v>0</v>
      </c>
      <c r="AD55" s="1">
        <f t="shared" si="18"/>
        <v>0</v>
      </c>
      <c r="AE55" s="1">
        <f t="shared" si="18"/>
        <v>0</v>
      </c>
      <c r="AF55" s="1">
        <f t="shared" si="18"/>
        <v>0</v>
      </c>
      <c r="AG55" s="1">
        <f t="shared" si="18"/>
        <v>0</v>
      </c>
      <c r="AH55" s="1">
        <f t="shared" si="18"/>
        <v>1478.6399999999999</v>
      </c>
      <c r="AI55" s="1">
        <f t="shared" si="18"/>
        <v>0</v>
      </c>
      <c r="AJ55" s="1">
        <f t="shared" si="18"/>
        <v>0</v>
      </c>
      <c r="AK55" s="1">
        <f t="shared" si="18"/>
        <v>512.4</v>
      </c>
      <c r="AL55" s="1">
        <f t="shared" si="18"/>
        <v>0</v>
      </c>
      <c r="AM55" s="1">
        <f t="shared" si="18"/>
        <v>0</v>
      </c>
      <c r="AN55" s="1">
        <f t="shared" si="18"/>
        <v>0</v>
      </c>
      <c r="AO55" s="1">
        <f t="shared" si="18"/>
        <v>0</v>
      </c>
      <c r="AP55" s="1">
        <f t="shared" si="18"/>
        <v>0</v>
      </c>
      <c r="AQ55" s="1">
        <f t="shared" si="18"/>
        <v>0</v>
      </c>
      <c r="AR55" s="3">
        <f t="shared" si="20"/>
        <v>39177.599999999999</v>
      </c>
      <c r="AT55" s="1">
        <f t="shared" si="21"/>
        <v>39177.599999999999</v>
      </c>
    </row>
    <row r="56" spans="1:46" x14ac:dyDescent="0.25">
      <c r="C56" t="s">
        <v>191</v>
      </c>
      <c r="D56" s="1">
        <f t="shared" si="18"/>
        <v>0</v>
      </c>
      <c r="E56" s="1">
        <f t="shared" si="19"/>
        <v>0</v>
      </c>
      <c r="F56" s="1">
        <f t="shared" si="19"/>
        <v>0</v>
      </c>
      <c r="G56" s="1">
        <f t="shared" si="19"/>
        <v>0</v>
      </c>
      <c r="H56" s="1">
        <f t="shared" si="19"/>
        <v>11398.859999999999</v>
      </c>
      <c r="I56" s="1">
        <f t="shared" si="19"/>
        <v>-75.8005</v>
      </c>
      <c r="J56" s="1">
        <f t="shared" si="19"/>
        <v>0</v>
      </c>
      <c r="K56" s="1">
        <f t="shared" si="19"/>
        <v>9379.92</v>
      </c>
      <c r="L56" s="1">
        <f t="shared" si="18"/>
        <v>0</v>
      </c>
      <c r="M56" s="1">
        <f t="shared" si="18"/>
        <v>4263.6000000000004</v>
      </c>
      <c r="N56" s="1">
        <f t="shared" si="18"/>
        <v>2157.6019999999999</v>
      </c>
      <c r="O56" s="1">
        <f t="shared" si="18"/>
        <v>1582.0540000000001</v>
      </c>
      <c r="P56" s="1">
        <f t="shared" si="18"/>
        <v>258.875</v>
      </c>
      <c r="Q56" s="1">
        <f t="shared" si="18"/>
        <v>4558.3469999999998</v>
      </c>
      <c r="R56" s="1">
        <f t="shared" si="18"/>
        <v>-26.647500000000001</v>
      </c>
      <c r="S56" s="1">
        <f t="shared" si="18"/>
        <v>-71.06</v>
      </c>
      <c r="T56" s="1">
        <f t="shared" si="18"/>
        <v>0</v>
      </c>
      <c r="U56" s="1">
        <f t="shared" si="18"/>
        <v>-28.424000000000003</v>
      </c>
      <c r="V56" s="1">
        <f t="shared" si="18"/>
        <v>0</v>
      </c>
      <c r="W56" s="1">
        <f t="shared" si="18"/>
        <v>0</v>
      </c>
      <c r="X56" s="1">
        <f t="shared" si="18"/>
        <v>0</v>
      </c>
      <c r="Y56" s="1">
        <f t="shared" si="18"/>
        <v>801.09699999999998</v>
      </c>
      <c r="Z56" s="1">
        <f t="shared" si="18"/>
        <v>66.025000000000006</v>
      </c>
      <c r="AA56" s="1">
        <f t="shared" si="18"/>
        <v>4263.6000000000004</v>
      </c>
      <c r="AB56" s="1">
        <f t="shared" si="18"/>
        <v>255.81599999999997</v>
      </c>
      <c r="AC56" s="1">
        <f t="shared" si="18"/>
        <v>454.78400000000005</v>
      </c>
      <c r="AD56" s="1">
        <f t="shared" si="18"/>
        <v>0</v>
      </c>
      <c r="AE56" s="1">
        <f t="shared" si="18"/>
        <v>-36.461000000000006</v>
      </c>
      <c r="AF56" s="1">
        <f t="shared" si="18"/>
        <v>0</v>
      </c>
      <c r="AG56" s="1">
        <f t="shared" si="18"/>
        <v>0</v>
      </c>
      <c r="AH56" s="1">
        <f t="shared" si="18"/>
        <v>0</v>
      </c>
      <c r="AI56" s="1">
        <f t="shared" si="18"/>
        <v>0</v>
      </c>
      <c r="AJ56" s="1">
        <f t="shared" si="18"/>
        <v>0</v>
      </c>
      <c r="AK56" s="1">
        <f t="shared" si="18"/>
        <v>0</v>
      </c>
      <c r="AL56" s="1">
        <f t="shared" si="18"/>
        <v>85.272000000000006</v>
      </c>
      <c r="AM56" s="1">
        <f t="shared" si="18"/>
        <v>589.89300000000003</v>
      </c>
      <c r="AN56" s="1">
        <f t="shared" si="18"/>
        <v>255.81599999999997</v>
      </c>
      <c r="AO56" s="1">
        <f t="shared" si="18"/>
        <v>0</v>
      </c>
      <c r="AP56" s="1">
        <f t="shared" si="18"/>
        <v>460.00900000000001</v>
      </c>
      <c r="AQ56" s="1">
        <f t="shared" si="18"/>
        <v>0</v>
      </c>
      <c r="AR56" s="3">
        <f t="shared" si="20"/>
        <v>40593.176999999996</v>
      </c>
      <c r="AT56" s="1">
        <f t="shared" si="21"/>
        <v>40593.176999999996</v>
      </c>
    </row>
    <row r="57" spans="1:46" x14ac:dyDescent="0.25">
      <c r="C57" t="s">
        <v>549</v>
      </c>
      <c r="D57" s="1">
        <f t="shared" si="18"/>
        <v>0</v>
      </c>
      <c r="E57" s="1">
        <f t="shared" si="19"/>
        <v>0</v>
      </c>
      <c r="F57" s="1">
        <f t="shared" si="19"/>
        <v>0</v>
      </c>
      <c r="G57" s="1">
        <f t="shared" si="19"/>
        <v>0</v>
      </c>
      <c r="H57" s="1">
        <f t="shared" si="19"/>
        <v>0</v>
      </c>
      <c r="I57" s="1">
        <f t="shared" si="19"/>
        <v>0</v>
      </c>
      <c r="J57" s="1">
        <f t="shared" si="19"/>
        <v>0</v>
      </c>
      <c r="K57" s="1">
        <f t="shared" si="19"/>
        <v>0</v>
      </c>
      <c r="L57" s="1">
        <f t="shared" si="18"/>
        <v>0</v>
      </c>
      <c r="M57" s="1">
        <f t="shared" si="18"/>
        <v>0</v>
      </c>
      <c r="N57" s="1">
        <f t="shared" si="18"/>
        <v>0</v>
      </c>
      <c r="O57" s="1">
        <f t="shared" si="18"/>
        <v>0</v>
      </c>
      <c r="P57" s="1">
        <f t="shared" si="18"/>
        <v>0</v>
      </c>
      <c r="Q57" s="1">
        <f t="shared" si="18"/>
        <v>0</v>
      </c>
      <c r="R57" s="1">
        <f t="shared" si="18"/>
        <v>0</v>
      </c>
      <c r="S57" s="1">
        <f t="shared" si="18"/>
        <v>0</v>
      </c>
      <c r="T57" s="1">
        <f t="shared" si="18"/>
        <v>0</v>
      </c>
      <c r="U57" s="1">
        <f t="shared" si="18"/>
        <v>0</v>
      </c>
      <c r="V57" s="1">
        <f t="shared" si="18"/>
        <v>0</v>
      </c>
      <c r="W57" s="1">
        <f t="shared" si="18"/>
        <v>0</v>
      </c>
      <c r="X57" s="1">
        <f t="shared" si="18"/>
        <v>0</v>
      </c>
      <c r="Y57" s="1">
        <f t="shared" si="18"/>
        <v>0</v>
      </c>
      <c r="Z57" s="1">
        <f t="shared" si="18"/>
        <v>0</v>
      </c>
      <c r="AA57" s="1">
        <f t="shared" ref="AA57:AQ57" si="22">+AA11+AA34</f>
        <v>0</v>
      </c>
      <c r="AB57" s="1">
        <f t="shared" si="22"/>
        <v>0</v>
      </c>
      <c r="AC57" s="1">
        <f t="shared" si="22"/>
        <v>0</v>
      </c>
      <c r="AD57" s="1">
        <f t="shared" si="22"/>
        <v>0</v>
      </c>
      <c r="AE57" s="1">
        <f t="shared" si="22"/>
        <v>0</v>
      </c>
      <c r="AF57" s="1">
        <f t="shared" si="22"/>
        <v>0</v>
      </c>
      <c r="AG57" s="1">
        <f t="shared" si="22"/>
        <v>0</v>
      </c>
      <c r="AH57" s="1">
        <f t="shared" si="22"/>
        <v>0</v>
      </c>
      <c r="AI57" s="1">
        <f t="shared" si="22"/>
        <v>0</v>
      </c>
      <c r="AJ57" s="1">
        <f t="shared" si="22"/>
        <v>0</v>
      </c>
      <c r="AK57" s="1">
        <f t="shared" si="22"/>
        <v>0</v>
      </c>
      <c r="AL57" s="1">
        <f t="shared" si="22"/>
        <v>0</v>
      </c>
      <c r="AM57" s="1">
        <f t="shared" si="22"/>
        <v>0</v>
      </c>
      <c r="AN57" s="1">
        <f t="shared" si="22"/>
        <v>0</v>
      </c>
      <c r="AO57" s="1">
        <f t="shared" si="22"/>
        <v>0</v>
      </c>
      <c r="AP57" s="1">
        <f t="shared" si="22"/>
        <v>0</v>
      </c>
      <c r="AQ57" s="1">
        <f t="shared" si="22"/>
        <v>0</v>
      </c>
      <c r="AR57" s="3">
        <f t="shared" si="20"/>
        <v>0</v>
      </c>
      <c r="AT57" s="1">
        <f t="shared" si="21"/>
        <v>0</v>
      </c>
    </row>
    <row r="58" spans="1:46" x14ac:dyDescent="0.25">
      <c r="C58" t="s">
        <v>550</v>
      </c>
      <c r="D58" s="1">
        <f t="shared" ref="D58:AQ65" si="23">+D12+D35</f>
        <v>0</v>
      </c>
      <c r="E58" s="1">
        <f t="shared" si="19"/>
        <v>0</v>
      </c>
      <c r="F58" s="1">
        <f t="shared" si="19"/>
        <v>0</v>
      </c>
      <c r="G58" s="1">
        <f t="shared" si="19"/>
        <v>0</v>
      </c>
      <c r="H58" s="1">
        <f t="shared" si="19"/>
        <v>0</v>
      </c>
      <c r="I58" s="1">
        <f t="shared" si="19"/>
        <v>0</v>
      </c>
      <c r="J58" s="1">
        <f t="shared" si="19"/>
        <v>0</v>
      </c>
      <c r="K58" s="1">
        <f t="shared" si="19"/>
        <v>0</v>
      </c>
      <c r="L58" s="1">
        <f t="shared" si="23"/>
        <v>0</v>
      </c>
      <c r="M58" s="1">
        <f t="shared" si="23"/>
        <v>0</v>
      </c>
      <c r="N58" s="1">
        <f t="shared" si="23"/>
        <v>0</v>
      </c>
      <c r="O58" s="1">
        <f t="shared" si="23"/>
        <v>500.42879999999997</v>
      </c>
      <c r="P58" s="1">
        <f t="shared" si="23"/>
        <v>-17.9712</v>
      </c>
      <c r="Q58" s="1">
        <f t="shared" si="23"/>
        <v>929.5104</v>
      </c>
      <c r="R58" s="1">
        <f t="shared" si="23"/>
        <v>0</v>
      </c>
      <c r="S58" s="1">
        <f t="shared" si="23"/>
        <v>0</v>
      </c>
      <c r="T58" s="1">
        <f t="shared" si="23"/>
        <v>3935.232</v>
      </c>
      <c r="U58" s="1">
        <f t="shared" si="23"/>
        <v>0</v>
      </c>
      <c r="V58" s="1">
        <f t="shared" si="23"/>
        <v>6506.3423999999995</v>
      </c>
      <c r="W58" s="1">
        <f t="shared" si="23"/>
        <v>2706.6624000000002</v>
      </c>
      <c r="X58" s="1">
        <f t="shared" si="23"/>
        <v>2128.0512000000003</v>
      </c>
      <c r="Y58" s="1">
        <f t="shared" si="23"/>
        <v>8882.8415999999997</v>
      </c>
      <c r="Z58" s="1">
        <f t="shared" si="23"/>
        <v>1467.5711999999999</v>
      </c>
      <c r="AA58" s="1">
        <f t="shared" si="23"/>
        <v>3374.3232000000003</v>
      </c>
      <c r="AB58" s="1">
        <f t="shared" si="23"/>
        <v>1434.9312</v>
      </c>
      <c r="AC58" s="1">
        <f t="shared" si="23"/>
        <v>1912.2432000000001</v>
      </c>
      <c r="AD58" s="1">
        <f t="shared" si="23"/>
        <v>1942.4255999999998</v>
      </c>
      <c r="AE58" s="1">
        <f t="shared" si="23"/>
        <v>3067.6224000000002</v>
      </c>
      <c r="AF58" s="1">
        <f t="shared" si="23"/>
        <v>560.64</v>
      </c>
      <c r="AG58" s="1">
        <f t="shared" si="23"/>
        <v>1263.5903999999998</v>
      </c>
      <c r="AH58" s="1">
        <f t="shared" si="23"/>
        <v>1162.5983999999999</v>
      </c>
      <c r="AI58" s="1">
        <f t="shared" si="23"/>
        <v>748.87679999999989</v>
      </c>
      <c r="AJ58" s="1">
        <f t="shared" si="23"/>
        <v>995.48160000000007</v>
      </c>
      <c r="AK58" s="1">
        <f t="shared" si="23"/>
        <v>961.76639999999998</v>
      </c>
      <c r="AL58" s="1">
        <f t="shared" si="23"/>
        <v>862.08</v>
      </c>
      <c r="AM58" s="1">
        <f t="shared" si="23"/>
        <v>1419.5712000000001</v>
      </c>
      <c r="AN58" s="1">
        <f t="shared" si="23"/>
        <v>1158.528</v>
      </c>
      <c r="AO58" s="1">
        <f t="shared" si="23"/>
        <v>-14.8224</v>
      </c>
      <c r="AP58" s="1">
        <f t="shared" si="23"/>
        <v>0</v>
      </c>
      <c r="AQ58" s="1">
        <f t="shared" si="23"/>
        <v>-148.22400000000002</v>
      </c>
      <c r="AR58" s="3">
        <f t="shared" si="20"/>
        <v>47740.300799999997</v>
      </c>
      <c r="AT58" s="1">
        <f t="shared" si="21"/>
        <v>47888.524799999999</v>
      </c>
    </row>
    <row r="59" spans="1:46" x14ac:dyDescent="0.25">
      <c r="C59" t="s">
        <v>6</v>
      </c>
      <c r="D59" s="1">
        <f t="shared" si="23"/>
        <v>0</v>
      </c>
      <c r="E59" s="1">
        <f t="shared" si="19"/>
        <v>0</v>
      </c>
      <c r="F59" s="1">
        <f t="shared" si="19"/>
        <v>0</v>
      </c>
      <c r="G59" s="1">
        <f t="shared" si="19"/>
        <v>0</v>
      </c>
      <c r="H59" s="1">
        <f t="shared" si="19"/>
        <v>0</v>
      </c>
      <c r="I59" s="1">
        <f t="shared" si="19"/>
        <v>0</v>
      </c>
      <c r="J59" s="1">
        <f t="shared" si="19"/>
        <v>0</v>
      </c>
      <c r="K59" s="1">
        <f t="shared" si="19"/>
        <v>0</v>
      </c>
      <c r="L59" s="1">
        <f t="shared" si="23"/>
        <v>0</v>
      </c>
      <c r="M59" s="1">
        <f t="shared" si="23"/>
        <v>0</v>
      </c>
      <c r="N59" s="1">
        <f t="shared" si="23"/>
        <v>0</v>
      </c>
      <c r="O59" s="1">
        <f t="shared" si="23"/>
        <v>0</v>
      </c>
      <c r="P59" s="1">
        <f t="shared" si="23"/>
        <v>0</v>
      </c>
      <c r="Q59" s="1">
        <f t="shared" si="23"/>
        <v>0</v>
      </c>
      <c r="R59" s="1">
        <f t="shared" si="23"/>
        <v>0</v>
      </c>
      <c r="S59" s="1">
        <f t="shared" si="23"/>
        <v>0</v>
      </c>
      <c r="T59" s="1">
        <f t="shared" si="23"/>
        <v>0</v>
      </c>
      <c r="U59" s="1">
        <f t="shared" si="23"/>
        <v>0</v>
      </c>
      <c r="V59" s="1">
        <f t="shared" si="23"/>
        <v>0</v>
      </c>
      <c r="W59" s="1">
        <f t="shared" si="23"/>
        <v>0</v>
      </c>
      <c r="X59" s="1">
        <f t="shared" si="23"/>
        <v>0</v>
      </c>
      <c r="Y59" s="1">
        <f t="shared" si="23"/>
        <v>0</v>
      </c>
      <c r="Z59" s="1">
        <f t="shared" si="23"/>
        <v>0</v>
      </c>
      <c r="AA59" s="1">
        <f t="shared" si="23"/>
        <v>0</v>
      </c>
      <c r="AB59" s="1">
        <f t="shared" si="23"/>
        <v>0</v>
      </c>
      <c r="AC59" s="1">
        <f t="shared" si="23"/>
        <v>0</v>
      </c>
      <c r="AD59" s="1">
        <f t="shared" si="23"/>
        <v>0</v>
      </c>
      <c r="AE59" s="1">
        <f t="shared" si="23"/>
        <v>0</v>
      </c>
      <c r="AF59" s="1">
        <f t="shared" si="23"/>
        <v>0</v>
      </c>
      <c r="AG59" s="1">
        <f t="shared" si="23"/>
        <v>0</v>
      </c>
      <c r="AH59" s="1">
        <f t="shared" si="23"/>
        <v>0</v>
      </c>
      <c r="AI59" s="1">
        <f t="shared" si="23"/>
        <v>0</v>
      </c>
      <c r="AJ59" s="1">
        <f t="shared" si="23"/>
        <v>0</v>
      </c>
      <c r="AK59" s="1">
        <f t="shared" si="23"/>
        <v>0</v>
      </c>
      <c r="AL59" s="1">
        <f t="shared" si="23"/>
        <v>0</v>
      </c>
      <c r="AM59" s="1">
        <f t="shared" si="23"/>
        <v>0</v>
      </c>
      <c r="AN59" s="1">
        <f t="shared" si="23"/>
        <v>0</v>
      </c>
      <c r="AO59" s="1">
        <f t="shared" si="23"/>
        <v>0</v>
      </c>
      <c r="AP59" s="1">
        <f t="shared" si="23"/>
        <v>0</v>
      </c>
      <c r="AQ59" s="1">
        <f t="shared" si="23"/>
        <v>0</v>
      </c>
      <c r="AR59" s="3">
        <f t="shared" si="20"/>
        <v>0</v>
      </c>
      <c r="AT59" s="1">
        <f t="shared" si="21"/>
        <v>0</v>
      </c>
    </row>
    <row r="60" spans="1:46" x14ac:dyDescent="0.25">
      <c r="C60" t="s">
        <v>262</v>
      </c>
      <c r="D60" s="1">
        <f t="shared" si="23"/>
        <v>0</v>
      </c>
      <c r="E60" s="1">
        <f t="shared" si="19"/>
        <v>0</v>
      </c>
      <c r="F60" s="1">
        <f t="shared" si="19"/>
        <v>0</v>
      </c>
      <c r="G60" s="1">
        <f t="shared" si="19"/>
        <v>0</v>
      </c>
      <c r="H60" s="1">
        <f t="shared" si="19"/>
        <v>0</v>
      </c>
      <c r="I60" s="1">
        <f t="shared" si="19"/>
        <v>0</v>
      </c>
      <c r="J60" s="1">
        <f t="shared" si="19"/>
        <v>0</v>
      </c>
      <c r="K60" s="1">
        <f t="shared" si="19"/>
        <v>0</v>
      </c>
      <c r="L60" s="1">
        <f t="shared" si="23"/>
        <v>0</v>
      </c>
      <c r="M60" s="1">
        <f t="shared" si="23"/>
        <v>0</v>
      </c>
      <c r="N60" s="1">
        <f t="shared" si="23"/>
        <v>0</v>
      </c>
      <c r="O60" s="1">
        <f t="shared" si="23"/>
        <v>0</v>
      </c>
      <c r="P60" s="1">
        <f t="shared" si="23"/>
        <v>0</v>
      </c>
      <c r="Q60" s="1">
        <f t="shared" si="23"/>
        <v>0</v>
      </c>
      <c r="R60" s="1">
        <f t="shared" si="23"/>
        <v>0</v>
      </c>
      <c r="S60" s="1">
        <f t="shared" si="23"/>
        <v>0</v>
      </c>
      <c r="T60" s="1">
        <f t="shared" si="23"/>
        <v>0</v>
      </c>
      <c r="U60" s="1">
        <f t="shared" si="23"/>
        <v>0</v>
      </c>
      <c r="V60" s="1">
        <f t="shared" si="23"/>
        <v>0</v>
      </c>
      <c r="W60" s="1">
        <f t="shared" si="23"/>
        <v>0</v>
      </c>
      <c r="X60" s="1">
        <f t="shared" si="23"/>
        <v>0</v>
      </c>
      <c r="Y60" s="1">
        <f t="shared" si="23"/>
        <v>0</v>
      </c>
      <c r="Z60" s="1">
        <f t="shared" si="23"/>
        <v>0</v>
      </c>
      <c r="AA60" s="1">
        <f t="shared" si="23"/>
        <v>0</v>
      </c>
      <c r="AB60" s="1">
        <f t="shared" si="23"/>
        <v>0</v>
      </c>
      <c r="AC60" s="1">
        <f t="shared" si="23"/>
        <v>0</v>
      </c>
      <c r="AD60" s="1">
        <f t="shared" si="23"/>
        <v>0</v>
      </c>
      <c r="AE60" s="1">
        <f t="shared" si="23"/>
        <v>0</v>
      </c>
      <c r="AF60" s="1">
        <f t="shared" si="23"/>
        <v>0</v>
      </c>
      <c r="AG60" s="1">
        <f t="shared" si="23"/>
        <v>0</v>
      </c>
      <c r="AH60" s="1">
        <f t="shared" si="23"/>
        <v>0</v>
      </c>
      <c r="AI60" s="1">
        <f t="shared" si="23"/>
        <v>0</v>
      </c>
      <c r="AJ60" s="1">
        <f t="shared" si="23"/>
        <v>0</v>
      </c>
      <c r="AK60" s="1">
        <f t="shared" si="23"/>
        <v>0</v>
      </c>
      <c r="AL60" s="1">
        <f t="shared" si="23"/>
        <v>0</v>
      </c>
      <c r="AM60" s="1">
        <f t="shared" si="23"/>
        <v>0</v>
      </c>
      <c r="AN60" s="1">
        <f t="shared" si="23"/>
        <v>0</v>
      </c>
      <c r="AO60" s="1">
        <f t="shared" si="23"/>
        <v>0</v>
      </c>
      <c r="AP60" s="1">
        <f t="shared" si="23"/>
        <v>0</v>
      </c>
      <c r="AQ60" s="1">
        <f t="shared" si="23"/>
        <v>0</v>
      </c>
      <c r="AR60" s="3">
        <f t="shared" si="20"/>
        <v>0</v>
      </c>
      <c r="AT60" s="1">
        <f t="shared" si="21"/>
        <v>0</v>
      </c>
    </row>
    <row r="61" spans="1:46" x14ac:dyDescent="0.25">
      <c r="C61" t="s">
        <v>42</v>
      </c>
      <c r="D61" s="1">
        <f t="shared" si="23"/>
        <v>0</v>
      </c>
      <c r="E61" s="1">
        <f t="shared" si="19"/>
        <v>0</v>
      </c>
      <c r="F61" s="1">
        <f t="shared" si="19"/>
        <v>0</v>
      </c>
      <c r="G61" s="1">
        <f t="shared" si="19"/>
        <v>0</v>
      </c>
      <c r="H61" s="1">
        <f t="shared" si="19"/>
        <v>0</v>
      </c>
      <c r="I61" s="1">
        <f t="shared" si="19"/>
        <v>0</v>
      </c>
      <c r="J61" s="1">
        <f t="shared" si="19"/>
        <v>0</v>
      </c>
      <c r="K61" s="1">
        <f t="shared" si="19"/>
        <v>454.9</v>
      </c>
      <c r="L61" s="1">
        <f t="shared" si="23"/>
        <v>7238.52</v>
      </c>
      <c r="M61" s="1">
        <f t="shared" si="23"/>
        <v>0</v>
      </c>
      <c r="N61" s="1">
        <f t="shared" si="23"/>
        <v>640.08000000000004</v>
      </c>
      <c r="O61" s="1">
        <f t="shared" si="23"/>
        <v>618.6</v>
      </c>
      <c r="P61" s="1">
        <f t="shared" si="23"/>
        <v>160.07999999999998</v>
      </c>
      <c r="Q61" s="1">
        <f t="shared" si="23"/>
        <v>2571.9</v>
      </c>
      <c r="R61" s="1">
        <f t="shared" si="23"/>
        <v>0</v>
      </c>
      <c r="S61" s="1">
        <f t="shared" si="23"/>
        <v>1527.8400000000001</v>
      </c>
      <c r="T61" s="1">
        <f t="shared" si="23"/>
        <v>2040.4200000000003</v>
      </c>
      <c r="U61" s="1">
        <f t="shared" si="23"/>
        <v>509.36</v>
      </c>
      <c r="V61" s="1">
        <f t="shared" si="23"/>
        <v>338.26</v>
      </c>
      <c r="W61" s="1">
        <f t="shared" si="23"/>
        <v>767.7399999999999</v>
      </c>
      <c r="X61" s="1">
        <f t="shared" si="23"/>
        <v>509.20000000000005</v>
      </c>
      <c r="Y61" s="1">
        <f t="shared" si="23"/>
        <v>0</v>
      </c>
      <c r="Z61" s="1">
        <f t="shared" si="23"/>
        <v>378.16</v>
      </c>
      <c r="AA61" s="1">
        <f t="shared" si="23"/>
        <v>480.48</v>
      </c>
      <c r="AB61" s="1">
        <f t="shared" si="23"/>
        <v>0</v>
      </c>
      <c r="AC61" s="1">
        <f t="shared" si="23"/>
        <v>130.96</v>
      </c>
      <c r="AD61" s="1">
        <f t="shared" si="23"/>
        <v>0</v>
      </c>
      <c r="AE61" s="1">
        <f t="shared" si="23"/>
        <v>200.06</v>
      </c>
      <c r="AF61" s="1">
        <f t="shared" si="23"/>
        <v>29.12</v>
      </c>
      <c r="AG61" s="1">
        <f t="shared" si="23"/>
        <v>436.8</v>
      </c>
      <c r="AH61" s="1">
        <f t="shared" si="23"/>
        <v>189.28</v>
      </c>
      <c r="AI61" s="1">
        <f t="shared" si="23"/>
        <v>189.2</v>
      </c>
      <c r="AJ61" s="1">
        <f t="shared" si="23"/>
        <v>541.93999999999994</v>
      </c>
      <c r="AK61" s="1">
        <f t="shared" si="23"/>
        <v>0</v>
      </c>
      <c r="AL61" s="1">
        <f t="shared" si="23"/>
        <v>0</v>
      </c>
      <c r="AM61" s="1">
        <f t="shared" si="23"/>
        <v>0</v>
      </c>
      <c r="AN61" s="1">
        <f t="shared" si="23"/>
        <v>145.6</v>
      </c>
      <c r="AO61" s="1">
        <f t="shared" si="23"/>
        <v>0</v>
      </c>
      <c r="AP61" s="1">
        <f t="shared" si="23"/>
        <v>0</v>
      </c>
      <c r="AQ61" s="1">
        <f t="shared" si="23"/>
        <v>0</v>
      </c>
      <c r="AR61" s="3">
        <f t="shared" si="20"/>
        <v>20098.499999999996</v>
      </c>
      <c r="AT61" s="1">
        <f t="shared" si="21"/>
        <v>20098.499999999996</v>
      </c>
    </row>
    <row r="62" spans="1:46" x14ac:dyDescent="0.25">
      <c r="C62" t="s">
        <v>192</v>
      </c>
      <c r="D62" s="1">
        <f t="shared" si="23"/>
        <v>0</v>
      </c>
      <c r="E62" s="1">
        <f t="shared" si="19"/>
        <v>0</v>
      </c>
      <c r="F62" s="1">
        <f t="shared" si="19"/>
        <v>0</v>
      </c>
      <c r="G62" s="1">
        <f t="shared" si="19"/>
        <v>1073.76</v>
      </c>
      <c r="H62" s="1">
        <f t="shared" si="19"/>
        <v>0</v>
      </c>
      <c r="I62" s="1">
        <f t="shared" si="19"/>
        <v>453.18</v>
      </c>
      <c r="J62" s="1">
        <f t="shared" si="19"/>
        <v>1266.5999999999999</v>
      </c>
      <c r="K62" s="1">
        <f t="shared" si="19"/>
        <v>15610.32</v>
      </c>
      <c r="L62" s="1">
        <f t="shared" si="23"/>
        <v>0</v>
      </c>
      <c r="M62" s="1">
        <f t="shared" si="23"/>
        <v>0</v>
      </c>
      <c r="N62" s="1">
        <f t="shared" si="23"/>
        <v>266.03999999999996</v>
      </c>
      <c r="O62" s="1">
        <f t="shared" si="23"/>
        <v>862.38</v>
      </c>
      <c r="P62" s="1">
        <f t="shared" si="23"/>
        <v>827.40000000000009</v>
      </c>
      <c r="Q62" s="1">
        <f t="shared" si="23"/>
        <v>2280.48</v>
      </c>
      <c r="R62" s="1">
        <f t="shared" si="23"/>
        <v>980.16000000000008</v>
      </c>
      <c r="S62" s="1">
        <f t="shared" si="23"/>
        <v>2526.12</v>
      </c>
      <c r="T62" s="1">
        <f t="shared" si="23"/>
        <v>1695.48</v>
      </c>
      <c r="U62" s="1">
        <f t="shared" si="23"/>
        <v>2831.58</v>
      </c>
      <c r="V62" s="1">
        <f t="shared" si="23"/>
        <v>1113.24</v>
      </c>
      <c r="W62" s="1">
        <f t="shared" si="23"/>
        <v>2685.1800000000003</v>
      </c>
      <c r="X62" s="1">
        <f t="shared" si="23"/>
        <v>3156.18</v>
      </c>
      <c r="Y62" s="1">
        <f t="shared" si="23"/>
        <v>913.92000000000007</v>
      </c>
      <c r="Z62" s="1">
        <f t="shared" si="23"/>
        <v>366.6</v>
      </c>
      <c r="AA62" s="1">
        <f t="shared" si="23"/>
        <v>1242.3600000000001</v>
      </c>
      <c r="AB62" s="1">
        <f t="shared" si="23"/>
        <v>1483.62</v>
      </c>
      <c r="AC62" s="1">
        <f t="shared" si="23"/>
        <v>537.84</v>
      </c>
      <c r="AD62" s="1">
        <f t="shared" si="23"/>
        <v>498.36</v>
      </c>
      <c r="AE62" s="1">
        <f t="shared" si="23"/>
        <v>0</v>
      </c>
      <c r="AF62" s="1">
        <f t="shared" si="23"/>
        <v>0</v>
      </c>
      <c r="AG62" s="1">
        <f t="shared" si="23"/>
        <v>0</v>
      </c>
      <c r="AH62" s="1">
        <f t="shared" si="23"/>
        <v>490.08000000000004</v>
      </c>
      <c r="AI62" s="1">
        <f t="shared" si="23"/>
        <v>358.32000000000005</v>
      </c>
      <c r="AJ62" s="1">
        <f t="shared" si="23"/>
        <v>1346.1</v>
      </c>
      <c r="AK62" s="1">
        <f t="shared" si="23"/>
        <v>0</v>
      </c>
      <c r="AL62" s="1">
        <f t="shared" si="23"/>
        <v>0</v>
      </c>
      <c r="AM62" s="1">
        <f t="shared" si="23"/>
        <v>0</v>
      </c>
      <c r="AN62" s="1">
        <f t="shared" si="23"/>
        <v>0</v>
      </c>
      <c r="AO62" s="1">
        <f t="shared" si="23"/>
        <v>0</v>
      </c>
      <c r="AP62" s="1">
        <f t="shared" si="23"/>
        <v>0</v>
      </c>
      <c r="AQ62" s="1">
        <f t="shared" si="23"/>
        <v>0</v>
      </c>
      <c r="AR62" s="3">
        <f t="shared" si="20"/>
        <v>44865.299999999996</v>
      </c>
      <c r="AT62" s="1">
        <f t="shared" si="21"/>
        <v>44865.299999999996</v>
      </c>
    </row>
    <row r="63" spans="1:46" x14ac:dyDescent="0.25">
      <c r="C63" t="s">
        <v>133</v>
      </c>
      <c r="D63" s="1">
        <f t="shared" si="23"/>
        <v>0</v>
      </c>
      <c r="E63" s="1">
        <f t="shared" si="19"/>
        <v>0</v>
      </c>
      <c r="F63" s="1">
        <f t="shared" si="19"/>
        <v>0</v>
      </c>
      <c r="G63" s="1">
        <f t="shared" si="19"/>
        <v>0</v>
      </c>
      <c r="H63" s="1">
        <f t="shared" si="19"/>
        <v>0</v>
      </c>
      <c r="I63" s="1">
        <f t="shared" si="19"/>
        <v>0</v>
      </c>
      <c r="J63" s="1">
        <f t="shared" si="19"/>
        <v>0</v>
      </c>
      <c r="K63" s="1">
        <f t="shared" si="19"/>
        <v>0</v>
      </c>
      <c r="L63" s="1">
        <f t="shared" si="23"/>
        <v>0</v>
      </c>
      <c r="M63" s="1">
        <f t="shared" si="23"/>
        <v>0</v>
      </c>
      <c r="N63" s="1">
        <f t="shared" si="23"/>
        <v>0</v>
      </c>
      <c r="O63" s="1">
        <f t="shared" si="23"/>
        <v>0</v>
      </c>
      <c r="P63" s="1">
        <f t="shared" si="23"/>
        <v>0</v>
      </c>
      <c r="Q63" s="1">
        <f t="shared" si="23"/>
        <v>53.351999999999997</v>
      </c>
      <c r="R63" s="1">
        <f t="shared" si="23"/>
        <v>120.46</v>
      </c>
      <c r="S63" s="1">
        <f t="shared" si="23"/>
        <v>100.47199999999999</v>
      </c>
      <c r="T63" s="1">
        <f t="shared" si="23"/>
        <v>53.351999999999997</v>
      </c>
      <c r="U63" s="1">
        <f t="shared" si="23"/>
        <v>14.667999999999997</v>
      </c>
      <c r="V63" s="1">
        <f t="shared" si="23"/>
        <v>32.451999999999998</v>
      </c>
      <c r="W63" s="1">
        <f t="shared" si="23"/>
        <v>0</v>
      </c>
      <c r="X63" s="1">
        <f t="shared" si="23"/>
        <v>0</v>
      </c>
      <c r="Y63" s="1">
        <f t="shared" si="23"/>
        <v>0</v>
      </c>
      <c r="Z63" s="1">
        <f t="shared" si="23"/>
        <v>278.31199999999995</v>
      </c>
      <c r="AA63" s="1">
        <f t="shared" si="23"/>
        <v>64.903999999999996</v>
      </c>
      <c r="AB63" s="1">
        <f t="shared" si="23"/>
        <v>0</v>
      </c>
      <c r="AC63" s="1">
        <f t="shared" si="23"/>
        <v>0</v>
      </c>
      <c r="AD63" s="1">
        <f t="shared" si="23"/>
        <v>97.355999999999995</v>
      </c>
      <c r="AE63" s="1">
        <f t="shared" si="23"/>
        <v>0</v>
      </c>
      <c r="AF63" s="1">
        <f t="shared" si="23"/>
        <v>458.73599999999999</v>
      </c>
      <c r="AG63" s="1">
        <f t="shared" si="23"/>
        <v>142.27199999999999</v>
      </c>
      <c r="AH63" s="1">
        <f t="shared" si="23"/>
        <v>0</v>
      </c>
      <c r="AI63" s="1">
        <f t="shared" si="23"/>
        <v>0</v>
      </c>
      <c r="AJ63" s="1">
        <f t="shared" si="23"/>
        <v>0</v>
      </c>
      <c r="AK63" s="1">
        <f t="shared" si="23"/>
        <v>0</v>
      </c>
      <c r="AL63" s="1">
        <f t="shared" si="23"/>
        <v>0</v>
      </c>
      <c r="AM63" s="1">
        <f t="shared" si="23"/>
        <v>0</v>
      </c>
      <c r="AN63" s="1">
        <f t="shared" si="23"/>
        <v>0</v>
      </c>
      <c r="AO63" s="1">
        <f t="shared" si="23"/>
        <v>0</v>
      </c>
      <c r="AP63" s="1">
        <f t="shared" si="23"/>
        <v>0</v>
      </c>
      <c r="AQ63" s="1">
        <f t="shared" si="23"/>
        <v>0</v>
      </c>
      <c r="AR63" s="3">
        <f t="shared" si="20"/>
        <v>1416.3359999999998</v>
      </c>
      <c r="AT63" s="1">
        <f t="shared" si="21"/>
        <v>1416.3359999999998</v>
      </c>
    </row>
    <row r="64" spans="1:46" x14ac:dyDescent="0.25">
      <c r="C64" t="s">
        <v>41</v>
      </c>
      <c r="D64" s="1">
        <f t="shared" si="23"/>
        <v>0</v>
      </c>
      <c r="E64" s="1">
        <f t="shared" si="19"/>
        <v>0</v>
      </c>
      <c r="F64" s="1">
        <f t="shared" si="19"/>
        <v>0</v>
      </c>
      <c r="G64" s="1">
        <f t="shared" si="19"/>
        <v>0</v>
      </c>
      <c r="H64" s="1">
        <f t="shared" si="19"/>
        <v>12551.256000000001</v>
      </c>
      <c r="I64" s="1">
        <f t="shared" si="19"/>
        <v>0</v>
      </c>
      <c r="J64" s="1">
        <f t="shared" si="19"/>
        <v>-14.5136</v>
      </c>
      <c r="K64" s="1">
        <f t="shared" si="19"/>
        <v>453.90719999999999</v>
      </c>
      <c r="L64" s="1">
        <f t="shared" si="23"/>
        <v>13212.865599999999</v>
      </c>
      <c r="M64" s="1">
        <f t="shared" si="23"/>
        <v>2454.152</v>
      </c>
      <c r="N64" s="1">
        <f t="shared" si="23"/>
        <v>13348.000000000002</v>
      </c>
      <c r="O64" s="1">
        <f t="shared" si="23"/>
        <v>1255.3887999999999</v>
      </c>
      <c r="P64" s="1">
        <f t="shared" si="23"/>
        <v>15751.9184</v>
      </c>
      <c r="Q64" s="1">
        <f t="shared" si="23"/>
        <v>878.41120000000001</v>
      </c>
      <c r="R64" s="1">
        <f t="shared" si="23"/>
        <v>13348.357199999999</v>
      </c>
      <c r="S64" s="1">
        <f t="shared" si="23"/>
        <v>5329.9503999999997</v>
      </c>
      <c r="T64" s="1">
        <f t="shared" si="23"/>
        <v>12014.779200000001</v>
      </c>
      <c r="U64" s="1">
        <f t="shared" si="23"/>
        <v>9344.8783999999996</v>
      </c>
      <c r="V64" s="1">
        <f t="shared" si="23"/>
        <v>14113.489</v>
      </c>
      <c r="W64" s="1">
        <f t="shared" si="23"/>
        <v>2720.1344000000004</v>
      </c>
      <c r="X64" s="1">
        <f t="shared" si="23"/>
        <v>14714.2336</v>
      </c>
      <c r="Y64" s="1">
        <f t="shared" si="23"/>
        <v>17331.644799999998</v>
      </c>
      <c r="Z64" s="1">
        <f t="shared" si="23"/>
        <v>1411.0527999999999</v>
      </c>
      <c r="AA64" s="1">
        <f t="shared" si="23"/>
        <v>976.92319999999995</v>
      </c>
      <c r="AB64" s="1">
        <f t="shared" si="23"/>
        <v>1355.1792</v>
      </c>
      <c r="AC64" s="1">
        <f t="shared" si="23"/>
        <v>439.01760000000002</v>
      </c>
      <c r="AD64" s="1">
        <f t="shared" si="23"/>
        <v>1426.4688000000001</v>
      </c>
      <c r="AE64" s="1">
        <f t="shared" si="23"/>
        <v>1260.6527999999998</v>
      </c>
      <c r="AF64" s="1">
        <f t="shared" si="23"/>
        <v>2619.9679999999998</v>
      </c>
      <c r="AG64" s="1">
        <f t="shared" si="23"/>
        <v>1671.1695999999999</v>
      </c>
      <c r="AH64" s="1">
        <f t="shared" si="23"/>
        <v>912.7023999999999</v>
      </c>
      <c r="AI64" s="1">
        <f t="shared" si="23"/>
        <v>2147.4112</v>
      </c>
      <c r="AJ64" s="1">
        <f t="shared" si="23"/>
        <v>2814.4351999999999</v>
      </c>
      <c r="AK64" s="1">
        <f t="shared" si="23"/>
        <v>1526.4096000000002</v>
      </c>
      <c r="AL64" s="1">
        <f t="shared" si="23"/>
        <v>527.00160000000005</v>
      </c>
      <c r="AM64" s="1">
        <f t="shared" si="23"/>
        <v>900.89599999999996</v>
      </c>
      <c r="AN64" s="1">
        <f t="shared" si="23"/>
        <v>160.55199999999999</v>
      </c>
      <c r="AO64" s="1">
        <f t="shared" si="23"/>
        <v>1532.0496000000001</v>
      </c>
      <c r="AP64" s="1">
        <f t="shared" si="23"/>
        <v>0</v>
      </c>
      <c r="AQ64" s="1">
        <f t="shared" si="23"/>
        <v>0</v>
      </c>
      <c r="AR64" s="3">
        <f t="shared" si="20"/>
        <v>170490.74220000004</v>
      </c>
      <c r="AT64" s="1">
        <f t="shared" si="21"/>
        <v>170490.74220000004</v>
      </c>
    </row>
    <row r="65" spans="1:49" x14ac:dyDescent="0.25">
      <c r="C65" t="s">
        <v>193</v>
      </c>
      <c r="D65" s="1">
        <f t="shared" si="23"/>
        <v>0</v>
      </c>
      <c r="E65" s="1">
        <f t="shared" si="19"/>
        <v>0</v>
      </c>
      <c r="F65" s="1">
        <f t="shared" si="19"/>
        <v>0</v>
      </c>
      <c r="G65" s="1">
        <f t="shared" si="19"/>
        <v>0</v>
      </c>
      <c r="H65" s="1">
        <f t="shared" si="19"/>
        <v>0</v>
      </c>
      <c r="I65" s="1">
        <f t="shared" si="19"/>
        <v>0</v>
      </c>
      <c r="J65" s="1">
        <f t="shared" si="19"/>
        <v>0</v>
      </c>
      <c r="K65" s="1">
        <f t="shared" si="19"/>
        <v>0</v>
      </c>
      <c r="L65" s="1">
        <f t="shared" si="23"/>
        <v>0</v>
      </c>
      <c r="M65" s="1">
        <f t="shared" si="23"/>
        <v>0</v>
      </c>
      <c r="N65" s="1">
        <f t="shared" si="23"/>
        <v>0</v>
      </c>
      <c r="O65" s="1">
        <f t="shared" si="23"/>
        <v>0</v>
      </c>
      <c r="P65" s="1">
        <f t="shared" si="23"/>
        <v>0</v>
      </c>
      <c r="Q65" s="1">
        <f t="shared" si="23"/>
        <v>0</v>
      </c>
      <c r="R65" s="1">
        <f t="shared" si="23"/>
        <v>0</v>
      </c>
      <c r="S65" s="1">
        <f t="shared" si="23"/>
        <v>0</v>
      </c>
      <c r="T65" s="1">
        <f t="shared" si="23"/>
        <v>0</v>
      </c>
      <c r="U65" s="1">
        <f t="shared" si="23"/>
        <v>0</v>
      </c>
      <c r="V65" s="1">
        <f t="shared" si="23"/>
        <v>0</v>
      </c>
      <c r="W65" s="1">
        <f t="shared" si="23"/>
        <v>0</v>
      </c>
      <c r="X65" s="1">
        <f t="shared" si="23"/>
        <v>0</v>
      </c>
      <c r="Y65" s="1">
        <f t="shared" si="23"/>
        <v>0</v>
      </c>
      <c r="Z65" s="1">
        <f t="shared" si="23"/>
        <v>0</v>
      </c>
      <c r="AA65" s="1">
        <f t="shared" ref="AA65:AQ65" si="24">+AA19+AA42</f>
        <v>0</v>
      </c>
      <c r="AB65" s="1">
        <f t="shared" si="24"/>
        <v>0</v>
      </c>
      <c r="AC65" s="1">
        <f t="shared" si="24"/>
        <v>0</v>
      </c>
      <c r="AD65" s="1">
        <f t="shared" si="24"/>
        <v>0</v>
      </c>
      <c r="AE65" s="1">
        <f t="shared" si="24"/>
        <v>0</v>
      </c>
      <c r="AF65" s="1">
        <f t="shared" si="24"/>
        <v>0</v>
      </c>
      <c r="AG65" s="1">
        <f t="shared" si="24"/>
        <v>0</v>
      </c>
      <c r="AH65" s="1">
        <f t="shared" si="24"/>
        <v>0</v>
      </c>
      <c r="AI65" s="1">
        <f t="shared" si="24"/>
        <v>0</v>
      </c>
      <c r="AJ65" s="1">
        <f t="shared" si="24"/>
        <v>0</v>
      </c>
      <c r="AK65" s="1">
        <f t="shared" si="24"/>
        <v>0</v>
      </c>
      <c r="AL65" s="1">
        <f t="shared" si="24"/>
        <v>0</v>
      </c>
      <c r="AM65" s="1">
        <f t="shared" si="24"/>
        <v>0</v>
      </c>
      <c r="AN65" s="1">
        <f t="shared" si="24"/>
        <v>0</v>
      </c>
      <c r="AO65" s="1">
        <f t="shared" si="24"/>
        <v>0</v>
      </c>
      <c r="AP65" s="1">
        <f t="shared" si="24"/>
        <v>0</v>
      </c>
      <c r="AQ65" s="1">
        <f t="shared" si="24"/>
        <v>0</v>
      </c>
      <c r="AR65" s="3">
        <f t="shared" si="20"/>
        <v>0</v>
      </c>
      <c r="AT65" s="1">
        <f t="shared" si="21"/>
        <v>0</v>
      </c>
    </row>
    <row r="66" spans="1:49" x14ac:dyDescent="0.25">
      <c r="C66" t="s">
        <v>194</v>
      </c>
      <c r="D66" s="1">
        <f t="shared" ref="D66:AQ69" si="25">+D20+D43</f>
        <v>0</v>
      </c>
      <c r="E66" s="1">
        <f t="shared" ref="E66:K66" si="26">+E20+E43</f>
        <v>0</v>
      </c>
      <c r="F66" s="1">
        <f t="shared" si="26"/>
        <v>0</v>
      </c>
      <c r="G66" s="1">
        <f t="shared" si="26"/>
        <v>0</v>
      </c>
      <c r="H66" s="1">
        <f t="shared" si="26"/>
        <v>0</v>
      </c>
      <c r="I66" s="1">
        <f t="shared" si="26"/>
        <v>0</v>
      </c>
      <c r="J66" s="1">
        <f t="shared" si="26"/>
        <v>0</v>
      </c>
      <c r="K66" s="1">
        <f t="shared" si="26"/>
        <v>0</v>
      </c>
      <c r="L66" s="1">
        <f t="shared" si="25"/>
        <v>0</v>
      </c>
      <c r="M66" s="1">
        <f t="shared" si="25"/>
        <v>0</v>
      </c>
      <c r="N66" s="1">
        <f t="shared" si="25"/>
        <v>0</v>
      </c>
      <c r="O66" s="1">
        <f t="shared" si="25"/>
        <v>0</v>
      </c>
      <c r="P66" s="1">
        <f t="shared" si="25"/>
        <v>0</v>
      </c>
      <c r="Q66" s="1">
        <f t="shared" si="25"/>
        <v>0</v>
      </c>
      <c r="R66" s="1">
        <f t="shared" si="25"/>
        <v>0</v>
      </c>
      <c r="S66" s="1">
        <f t="shared" si="25"/>
        <v>0</v>
      </c>
      <c r="T66" s="1">
        <f t="shared" si="25"/>
        <v>0</v>
      </c>
      <c r="U66" s="1">
        <f t="shared" si="25"/>
        <v>0</v>
      </c>
      <c r="V66" s="1">
        <f t="shared" si="25"/>
        <v>0</v>
      </c>
      <c r="W66" s="1">
        <f t="shared" si="25"/>
        <v>0</v>
      </c>
      <c r="X66" s="1">
        <f t="shared" si="25"/>
        <v>0</v>
      </c>
      <c r="Y66" s="1">
        <f t="shared" si="25"/>
        <v>0</v>
      </c>
      <c r="Z66" s="1">
        <f t="shared" si="25"/>
        <v>0</v>
      </c>
      <c r="AA66" s="1">
        <f t="shared" si="25"/>
        <v>0</v>
      </c>
      <c r="AB66" s="1">
        <f t="shared" si="25"/>
        <v>0</v>
      </c>
      <c r="AC66" s="1">
        <f t="shared" si="25"/>
        <v>0</v>
      </c>
      <c r="AD66" s="1">
        <f t="shared" si="25"/>
        <v>0</v>
      </c>
      <c r="AE66" s="1">
        <f t="shared" si="25"/>
        <v>0</v>
      </c>
      <c r="AF66" s="1">
        <f t="shared" si="25"/>
        <v>0</v>
      </c>
      <c r="AG66" s="1">
        <f t="shared" si="25"/>
        <v>0</v>
      </c>
      <c r="AH66" s="1">
        <f t="shared" si="25"/>
        <v>0</v>
      </c>
      <c r="AI66" s="1">
        <f t="shared" si="25"/>
        <v>0</v>
      </c>
      <c r="AJ66" s="1">
        <f t="shared" si="25"/>
        <v>0</v>
      </c>
      <c r="AK66" s="1">
        <f t="shared" si="25"/>
        <v>0</v>
      </c>
      <c r="AL66" s="1">
        <f t="shared" si="25"/>
        <v>0</v>
      </c>
      <c r="AM66" s="1">
        <f t="shared" si="25"/>
        <v>0</v>
      </c>
      <c r="AN66" s="1">
        <f t="shared" si="25"/>
        <v>0</v>
      </c>
      <c r="AO66" s="1">
        <f t="shared" si="25"/>
        <v>0</v>
      </c>
      <c r="AP66" s="1">
        <f t="shared" si="25"/>
        <v>0</v>
      </c>
      <c r="AQ66" s="1">
        <f t="shared" si="25"/>
        <v>0</v>
      </c>
      <c r="AR66" s="3">
        <f t="shared" si="20"/>
        <v>0</v>
      </c>
      <c r="AT66" s="1">
        <f t="shared" si="21"/>
        <v>0</v>
      </c>
    </row>
    <row r="67" spans="1:49" x14ac:dyDescent="0.25">
      <c r="C67" t="s">
        <v>296</v>
      </c>
      <c r="D67" s="1">
        <f t="shared" si="25"/>
        <v>0</v>
      </c>
      <c r="E67" s="1">
        <f t="shared" ref="E67:K67" si="27">+E21+E44</f>
        <v>0</v>
      </c>
      <c r="F67" s="1">
        <f t="shared" si="27"/>
        <v>0</v>
      </c>
      <c r="G67" s="1">
        <f t="shared" si="27"/>
        <v>885.55200000000013</v>
      </c>
      <c r="H67" s="1">
        <f t="shared" si="27"/>
        <v>-161.52850000000001</v>
      </c>
      <c r="I67" s="1">
        <f t="shared" si="27"/>
        <v>-1.976</v>
      </c>
      <c r="J67" s="1">
        <f t="shared" si="27"/>
        <v>-7.9039999999999999</v>
      </c>
      <c r="K67" s="1">
        <f t="shared" si="27"/>
        <v>0</v>
      </c>
      <c r="L67" s="1">
        <f t="shared" si="25"/>
        <v>483.66399999999999</v>
      </c>
      <c r="M67" s="1">
        <f t="shared" si="25"/>
        <v>156.02800000000002</v>
      </c>
      <c r="N67" s="1">
        <f t="shared" si="25"/>
        <v>505.47599999999994</v>
      </c>
      <c r="O67" s="1">
        <f t="shared" si="25"/>
        <v>274.28400000000005</v>
      </c>
      <c r="P67" s="1">
        <f t="shared" si="25"/>
        <v>541.04399999999998</v>
      </c>
      <c r="Q67" s="1">
        <f t="shared" si="25"/>
        <v>717.06</v>
      </c>
      <c r="R67" s="1">
        <f t="shared" si="25"/>
        <v>223.136</v>
      </c>
      <c r="S67" s="1">
        <f t="shared" si="25"/>
        <v>661.50400000000002</v>
      </c>
      <c r="T67" s="1">
        <f t="shared" si="25"/>
        <v>843.75199999999995</v>
      </c>
      <c r="U67" s="1">
        <f t="shared" si="25"/>
        <v>572.58400000000006</v>
      </c>
      <c r="V67" s="1">
        <f t="shared" si="25"/>
        <v>326.72399999999993</v>
      </c>
      <c r="W67" s="1">
        <f t="shared" si="25"/>
        <v>304.53199999999998</v>
      </c>
      <c r="X67" s="1">
        <f t="shared" si="25"/>
        <v>227.16400000000002</v>
      </c>
      <c r="Y67" s="1">
        <f t="shared" si="25"/>
        <v>724.20400000000006</v>
      </c>
      <c r="Z67" s="1">
        <f t="shared" si="25"/>
        <v>200.03200000000001</v>
      </c>
      <c r="AA67" s="1">
        <f t="shared" si="25"/>
        <v>367.61200000000002</v>
      </c>
      <c r="AB67" s="1">
        <f t="shared" si="25"/>
        <v>637.48799999999994</v>
      </c>
      <c r="AC67" s="1">
        <f t="shared" si="25"/>
        <v>141.35999999999999</v>
      </c>
      <c r="AD67" s="1">
        <f t="shared" si="25"/>
        <v>0</v>
      </c>
      <c r="AE67" s="1">
        <f t="shared" si="25"/>
        <v>417.84800000000001</v>
      </c>
      <c r="AF67" s="1">
        <f t="shared" si="25"/>
        <v>0</v>
      </c>
      <c r="AG67" s="1">
        <f t="shared" si="25"/>
        <v>0</v>
      </c>
      <c r="AH67" s="1">
        <f t="shared" si="25"/>
        <v>183.15999999999997</v>
      </c>
      <c r="AI67" s="1">
        <f t="shared" si="25"/>
        <v>0</v>
      </c>
      <c r="AJ67" s="1">
        <f t="shared" si="25"/>
        <v>156.02800000000002</v>
      </c>
      <c r="AK67" s="1">
        <f t="shared" si="25"/>
        <v>0</v>
      </c>
      <c r="AL67" s="1">
        <f t="shared" si="25"/>
        <v>0</v>
      </c>
      <c r="AM67" s="1">
        <f t="shared" si="25"/>
        <v>265.84799999999996</v>
      </c>
      <c r="AN67" s="1">
        <f t="shared" si="25"/>
        <v>0</v>
      </c>
      <c r="AO67" s="1">
        <f t="shared" si="25"/>
        <v>0</v>
      </c>
      <c r="AP67" s="1">
        <f t="shared" si="25"/>
        <v>0</v>
      </c>
      <c r="AQ67" s="1">
        <f t="shared" si="25"/>
        <v>0</v>
      </c>
      <c r="AR67" s="3">
        <f t="shared" si="20"/>
        <v>9644.6755000000012</v>
      </c>
      <c r="AT67" s="1">
        <f t="shared" si="21"/>
        <v>9644.6755000000012</v>
      </c>
    </row>
    <row r="68" spans="1:49" x14ac:dyDescent="0.25">
      <c r="C68" t="s">
        <v>44</v>
      </c>
      <c r="D68" s="1">
        <f t="shared" si="25"/>
        <v>0</v>
      </c>
      <c r="E68" s="1">
        <f t="shared" ref="E68:K68" si="28">+E22+E45</f>
        <v>0</v>
      </c>
      <c r="F68" s="1">
        <f t="shared" si="28"/>
        <v>0</v>
      </c>
      <c r="G68" s="1">
        <f t="shared" si="28"/>
        <v>5479.8000000000029</v>
      </c>
      <c r="H68" s="1">
        <f t="shared" si="28"/>
        <v>12632.76</v>
      </c>
      <c r="I68" s="1">
        <f t="shared" si="28"/>
        <v>3514.3</v>
      </c>
      <c r="J68" s="1">
        <f t="shared" si="28"/>
        <v>4058.8399999999992</v>
      </c>
      <c r="K68" s="1">
        <f t="shared" si="28"/>
        <v>5528.6399999999994</v>
      </c>
      <c r="L68" s="1">
        <f t="shared" si="25"/>
        <v>15954.380000000001</v>
      </c>
      <c r="M68" s="1">
        <f t="shared" si="25"/>
        <v>14254.779999999999</v>
      </c>
      <c r="N68" s="1">
        <f t="shared" si="25"/>
        <v>17199.100000000002</v>
      </c>
      <c r="O68" s="1">
        <f t="shared" si="25"/>
        <v>19643.2</v>
      </c>
      <c r="P68" s="1">
        <f t="shared" si="25"/>
        <v>31004.679999999997</v>
      </c>
      <c r="Q68" s="1">
        <f t="shared" si="25"/>
        <v>28313.03</v>
      </c>
      <c r="R68" s="1">
        <f t="shared" si="25"/>
        <v>32449.249999999996</v>
      </c>
      <c r="S68" s="1">
        <f t="shared" si="25"/>
        <v>39935.78</v>
      </c>
      <c r="T68" s="1">
        <f t="shared" si="25"/>
        <v>32384.329999999994</v>
      </c>
      <c r="U68" s="1">
        <f t="shared" si="25"/>
        <v>41505.11</v>
      </c>
      <c r="V68" s="1">
        <f t="shared" si="25"/>
        <v>28703.300000000007</v>
      </c>
      <c r="W68" s="1">
        <f t="shared" si="25"/>
        <v>35608.420000000006</v>
      </c>
      <c r="X68" s="1">
        <f t="shared" si="25"/>
        <v>29291.999999999993</v>
      </c>
      <c r="Y68" s="1">
        <f t="shared" si="25"/>
        <v>21749.45</v>
      </c>
      <c r="Z68" s="1">
        <f t="shared" si="25"/>
        <v>17732.000000000004</v>
      </c>
      <c r="AA68" s="1">
        <f t="shared" si="25"/>
        <v>14584.010000000002</v>
      </c>
      <c r="AB68" s="1">
        <f t="shared" si="25"/>
        <v>9399.3000000000011</v>
      </c>
      <c r="AC68" s="1">
        <f t="shared" si="25"/>
        <v>11329.1</v>
      </c>
      <c r="AD68" s="1">
        <f t="shared" si="25"/>
        <v>5213.3799999999992</v>
      </c>
      <c r="AE68" s="1">
        <f t="shared" si="25"/>
        <v>5143.3199999999988</v>
      </c>
      <c r="AF68" s="1">
        <f t="shared" si="25"/>
        <v>5018.2000000000007</v>
      </c>
      <c r="AG68" s="1">
        <f t="shared" si="25"/>
        <v>3899.62</v>
      </c>
      <c r="AH68" s="1">
        <f t="shared" si="25"/>
        <v>4980.8999999999996</v>
      </c>
      <c r="AI68" s="1">
        <f t="shared" si="25"/>
        <v>2017.5800000000008</v>
      </c>
      <c r="AJ68" s="1">
        <f t="shared" si="25"/>
        <v>7799.0899999999974</v>
      </c>
      <c r="AK68" s="1">
        <f t="shared" si="25"/>
        <v>3459.68</v>
      </c>
      <c r="AL68" s="1">
        <f t="shared" si="25"/>
        <v>4270</v>
      </c>
      <c r="AM68" s="1">
        <f t="shared" si="25"/>
        <v>1195.3200000000002</v>
      </c>
      <c r="AN68" s="1">
        <f t="shared" si="25"/>
        <v>1857.7499999999998</v>
      </c>
      <c r="AO68" s="1">
        <f t="shared" si="25"/>
        <v>562</v>
      </c>
      <c r="AP68" s="1">
        <f t="shared" si="25"/>
        <v>506.06</v>
      </c>
      <c r="AQ68" s="1">
        <f t="shared" si="25"/>
        <v>0</v>
      </c>
      <c r="AR68" s="3">
        <f t="shared" si="20"/>
        <v>518178.46</v>
      </c>
      <c r="AT68" s="1">
        <f t="shared" si="21"/>
        <v>518178.46</v>
      </c>
    </row>
    <row r="69" spans="1:49" x14ac:dyDescent="0.25">
      <c r="C69" t="s">
        <v>217</v>
      </c>
      <c r="D69" s="1">
        <f t="shared" si="25"/>
        <v>0</v>
      </c>
      <c r="E69" s="1">
        <f t="shared" si="25"/>
        <v>0</v>
      </c>
      <c r="F69" s="1">
        <f t="shared" si="25"/>
        <v>0</v>
      </c>
      <c r="G69" s="1">
        <f t="shared" si="25"/>
        <v>0</v>
      </c>
      <c r="H69" s="1">
        <f t="shared" si="25"/>
        <v>0</v>
      </c>
      <c r="I69" s="1">
        <f t="shared" si="25"/>
        <v>0</v>
      </c>
      <c r="J69" s="1">
        <f t="shared" si="25"/>
        <v>0</v>
      </c>
      <c r="K69" s="1">
        <f t="shared" si="25"/>
        <v>0</v>
      </c>
      <c r="L69" s="1">
        <f t="shared" si="25"/>
        <v>0</v>
      </c>
      <c r="M69" s="1">
        <f t="shared" si="25"/>
        <v>0</v>
      </c>
      <c r="N69" s="1">
        <f t="shared" si="25"/>
        <v>0</v>
      </c>
      <c r="O69" s="1">
        <f t="shared" si="25"/>
        <v>0</v>
      </c>
      <c r="P69" s="1">
        <f t="shared" si="25"/>
        <v>0</v>
      </c>
      <c r="Q69" s="1">
        <f t="shared" si="25"/>
        <v>0</v>
      </c>
      <c r="R69" s="1">
        <f t="shared" si="25"/>
        <v>0</v>
      </c>
      <c r="S69" s="1">
        <f t="shared" si="25"/>
        <v>0</v>
      </c>
      <c r="T69" s="1">
        <f t="shared" si="25"/>
        <v>0</v>
      </c>
      <c r="U69" s="1">
        <f t="shared" si="25"/>
        <v>0</v>
      </c>
      <c r="V69" s="1">
        <f t="shared" si="25"/>
        <v>0</v>
      </c>
      <c r="W69" s="1">
        <f t="shared" si="25"/>
        <v>0</v>
      </c>
      <c r="X69" s="1">
        <f t="shared" si="25"/>
        <v>0</v>
      </c>
      <c r="Y69" s="1">
        <f t="shared" si="25"/>
        <v>0</v>
      </c>
      <c r="Z69" s="1">
        <f t="shared" si="25"/>
        <v>0</v>
      </c>
      <c r="AA69" s="1">
        <f t="shared" si="25"/>
        <v>0</v>
      </c>
      <c r="AB69" s="1">
        <f t="shared" si="25"/>
        <v>0</v>
      </c>
      <c r="AC69" s="1">
        <f t="shared" si="25"/>
        <v>0</v>
      </c>
      <c r="AD69" s="1">
        <f t="shared" si="25"/>
        <v>0</v>
      </c>
      <c r="AE69" s="1">
        <f t="shared" si="25"/>
        <v>0</v>
      </c>
      <c r="AF69" s="1">
        <f t="shared" si="25"/>
        <v>0</v>
      </c>
      <c r="AG69" s="1">
        <f t="shared" si="25"/>
        <v>0</v>
      </c>
      <c r="AH69" s="1">
        <f t="shared" si="25"/>
        <v>0</v>
      </c>
      <c r="AI69" s="1">
        <f t="shared" si="25"/>
        <v>0</v>
      </c>
      <c r="AJ69" s="1">
        <f t="shared" si="25"/>
        <v>0</v>
      </c>
      <c r="AK69" s="1">
        <f t="shared" si="25"/>
        <v>0</v>
      </c>
      <c r="AL69" s="1">
        <f t="shared" si="25"/>
        <v>0</v>
      </c>
      <c r="AM69" s="1">
        <f t="shared" si="25"/>
        <v>0</v>
      </c>
      <c r="AN69" s="1">
        <f t="shared" si="25"/>
        <v>0</v>
      </c>
      <c r="AO69" s="1">
        <f t="shared" si="25"/>
        <v>0</v>
      </c>
      <c r="AP69" s="1">
        <f t="shared" si="25"/>
        <v>0</v>
      </c>
      <c r="AQ69" s="1">
        <f t="shared" si="25"/>
        <v>0</v>
      </c>
      <c r="AR69" s="3">
        <f>+AR23+AR46</f>
        <v>0</v>
      </c>
      <c r="AT69" s="1">
        <f t="shared" si="21"/>
        <v>0</v>
      </c>
    </row>
    <row r="70" spans="1:49" x14ac:dyDescent="0.25">
      <c r="A70" s="2" t="s">
        <v>311</v>
      </c>
      <c r="D70" s="3">
        <f t="shared" ref="D70:AR70" si="29">SUM(D50:D69)</f>
        <v>0</v>
      </c>
      <c r="E70" s="3">
        <f t="shared" ref="E70:K70" si="30">SUM(E50:E69)</f>
        <v>0</v>
      </c>
      <c r="F70" s="3">
        <f t="shared" si="30"/>
        <v>0</v>
      </c>
      <c r="G70" s="3">
        <f t="shared" si="30"/>
        <v>77149.614600000001</v>
      </c>
      <c r="H70" s="3">
        <f t="shared" si="30"/>
        <v>36871.269500000002</v>
      </c>
      <c r="I70" s="3">
        <f t="shared" si="30"/>
        <v>7274.3114999999998</v>
      </c>
      <c r="J70" s="3">
        <f t="shared" si="30"/>
        <v>21651.983200000002</v>
      </c>
      <c r="K70" s="3">
        <f t="shared" si="30"/>
        <v>53729.841500000002</v>
      </c>
      <c r="L70" s="3">
        <f t="shared" si="29"/>
        <v>55435.668000000005</v>
      </c>
      <c r="M70" s="3">
        <f t="shared" si="29"/>
        <v>47307.445899999999</v>
      </c>
      <c r="N70" s="3">
        <f t="shared" si="29"/>
        <v>59222.295100000003</v>
      </c>
      <c r="O70" s="3">
        <f t="shared" si="29"/>
        <v>44507.834100000007</v>
      </c>
      <c r="P70" s="3">
        <f t="shared" si="29"/>
        <v>68881.259099999996</v>
      </c>
      <c r="Q70" s="3">
        <f t="shared" si="29"/>
        <v>71948.024699999994</v>
      </c>
      <c r="R70" s="3">
        <f t="shared" si="29"/>
        <v>77805.256799999988</v>
      </c>
      <c r="S70" s="3">
        <f t="shared" si="29"/>
        <v>83897.499000000011</v>
      </c>
      <c r="T70" s="3">
        <f t="shared" si="29"/>
        <v>85780.62019999999</v>
      </c>
      <c r="U70" s="3">
        <f t="shared" si="29"/>
        <v>97365.816300000006</v>
      </c>
      <c r="V70" s="3">
        <f t="shared" si="29"/>
        <v>78325.570350000009</v>
      </c>
      <c r="W70" s="3">
        <f t="shared" si="29"/>
        <v>76696.111399999994</v>
      </c>
      <c r="X70" s="3">
        <f t="shared" si="29"/>
        <v>84835.185299999983</v>
      </c>
      <c r="Y70" s="3">
        <f t="shared" si="29"/>
        <v>72661.187624999991</v>
      </c>
      <c r="Z70" s="3">
        <f t="shared" si="29"/>
        <v>41577.276300000005</v>
      </c>
      <c r="AA70" s="3">
        <f t="shared" si="29"/>
        <v>44602.387000000002</v>
      </c>
      <c r="AB70" s="3">
        <f t="shared" si="29"/>
        <v>34574.625099999997</v>
      </c>
      <c r="AC70" s="3">
        <f t="shared" si="29"/>
        <v>26697.214100000001</v>
      </c>
      <c r="AD70" s="3">
        <f t="shared" si="29"/>
        <v>27993.183299999997</v>
      </c>
      <c r="AE70" s="3">
        <f t="shared" si="29"/>
        <v>14757.611199999999</v>
      </c>
      <c r="AF70" s="3">
        <f t="shared" si="29"/>
        <v>12726.974050000001</v>
      </c>
      <c r="AG70" s="3">
        <f t="shared" si="29"/>
        <v>13687.437900000001</v>
      </c>
      <c r="AH70" s="3">
        <f t="shared" si="29"/>
        <v>15393.253499999999</v>
      </c>
      <c r="AI70" s="3">
        <f t="shared" si="29"/>
        <v>16489.275100000003</v>
      </c>
      <c r="AJ70" s="3">
        <f t="shared" si="29"/>
        <v>32728.80684999999</v>
      </c>
      <c r="AK70" s="3">
        <f t="shared" si="29"/>
        <v>14366.511900000003</v>
      </c>
      <c r="AL70" s="3">
        <f t="shared" si="29"/>
        <v>11446.338</v>
      </c>
      <c r="AM70" s="3">
        <f t="shared" si="29"/>
        <v>7038.5526000000009</v>
      </c>
      <c r="AN70" s="3">
        <f t="shared" si="29"/>
        <v>6309.0424999999996</v>
      </c>
      <c r="AO70" s="3">
        <f t="shared" si="29"/>
        <v>2079.2272000000003</v>
      </c>
      <c r="AP70" s="3">
        <f t="shared" si="29"/>
        <v>966.06899999999996</v>
      </c>
      <c r="AQ70" s="3">
        <f t="shared" si="29"/>
        <v>-148.22400000000002</v>
      </c>
      <c r="AR70" s="3">
        <f t="shared" si="29"/>
        <v>1524632.3557750003</v>
      </c>
      <c r="AS70" s="1"/>
      <c r="AT70" s="3">
        <f t="shared" si="21"/>
        <v>1524780.5797750005</v>
      </c>
      <c r="AV70">
        <v>861614</v>
      </c>
      <c r="AW70" s="1">
        <f>+AV70-AT70</f>
        <v>-663166.57977500046</v>
      </c>
    </row>
    <row r="71" spans="1:49" s="24" customFormat="1" x14ac:dyDescent="0.25">
      <c r="A71" s="2"/>
      <c r="B71" s="23"/>
      <c r="C71" s="27"/>
      <c r="D71" s="25">
        <f>+D70</f>
        <v>0</v>
      </c>
      <c r="E71" s="25">
        <f>+D71+E70</f>
        <v>0</v>
      </c>
      <c r="F71" s="25">
        <f t="shared" ref="F71:AQ71" si="31">+E71+F70</f>
        <v>0</v>
      </c>
      <c r="G71" s="25">
        <f t="shared" si="31"/>
        <v>77149.614600000001</v>
      </c>
      <c r="H71" s="25">
        <f t="shared" si="31"/>
        <v>114020.8841</v>
      </c>
      <c r="I71" s="25">
        <f t="shared" si="31"/>
        <v>121295.19559999999</v>
      </c>
      <c r="J71" s="25">
        <f t="shared" si="31"/>
        <v>142947.17879999999</v>
      </c>
      <c r="K71" s="25">
        <f t="shared" si="31"/>
        <v>196677.0203</v>
      </c>
      <c r="L71" s="25">
        <f t="shared" si="31"/>
        <v>252112.68830000001</v>
      </c>
      <c r="M71" s="25">
        <f t="shared" si="31"/>
        <v>299420.13420000003</v>
      </c>
      <c r="N71" s="25">
        <f t="shared" si="31"/>
        <v>358642.42930000002</v>
      </c>
      <c r="O71" s="25">
        <f t="shared" si="31"/>
        <v>403150.26340000005</v>
      </c>
      <c r="P71" s="25">
        <f t="shared" si="31"/>
        <v>472031.52250000008</v>
      </c>
      <c r="Q71" s="25">
        <f t="shared" si="31"/>
        <v>543979.54720000003</v>
      </c>
      <c r="R71" s="25">
        <f t="shared" si="31"/>
        <v>621784.804</v>
      </c>
      <c r="S71" s="25">
        <f t="shared" si="31"/>
        <v>705682.30300000007</v>
      </c>
      <c r="T71" s="25">
        <f t="shared" si="31"/>
        <v>791462.92320000008</v>
      </c>
      <c r="U71" s="25">
        <f t="shared" si="31"/>
        <v>888828.73950000014</v>
      </c>
      <c r="V71" s="25">
        <f t="shared" si="31"/>
        <v>967154.30985000019</v>
      </c>
      <c r="W71" s="25">
        <f t="shared" si="31"/>
        <v>1043850.4212500001</v>
      </c>
      <c r="X71" s="25">
        <f t="shared" si="31"/>
        <v>1128685.6065500001</v>
      </c>
      <c r="Y71" s="25">
        <f t="shared" si="31"/>
        <v>1201346.7941750002</v>
      </c>
      <c r="Z71" s="25">
        <f t="shared" si="31"/>
        <v>1242924.0704750002</v>
      </c>
      <c r="AA71" s="25">
        <f t="shared" si="31"/>
        <v>1287526.4574750003</v>
      </c>
      <c r="AB71" s="25">
        <f t="shared" si="31"/>
        <v>1322101.0825750004</v>
      </c>
      <c r="AC71" s="25">
        <f t="shared" si="31"/>
        <v>1348798.2966750003</v>
      </c>
      <c r="AD71" s="25">
        <f t="shared" si="31"/>
        <v>1376791.4799750003</v>
      </c>
      <c r="AE71" s="25">
        <f t="shared" si="31"/>
        <v>1391549.0911750002</v>
      </c>
      <c r="AF71" s="25">
        <f t="shared" si="31"/>
        <v>1404276.0652250003</v>
      </c>
      <c r="AG71" s="25">
        <f t="shared" si="31"/>
        <v>1417963.5031250003</v>
      </c>
      <c r="AH71" s="25">
        <f t="shared" si="31"/>
        <v>1433356.7566250004</v>
      </c>
      <c r="AI71" s="25">
        <f t="shared" si="31"/>
        <v>1449846.0317250004</v>
      </c>
      <c r="AJ71" s="25">
        <f t="shared" si="31"/>
        <v>1482574.8385750004</v>
      </c>
      <c r="AK71" s="25">
        <f t="shared" si="31"/>
        <v>1496941.3504750005</v>
      </c>
      <c r="AL71" s="25">
        <f t="shared" si="31"/>
        <v>1508387.6884750004</v>
      </c>
      <c r="AM71" s="25">
        <f t="shared" si="31"/>
        <v>1515426.2410750005</v>
      </c>
      <c r="AN71" s="25">
        <f t="shared" si="31"/>
        <v>1521735.2835750005</v>
      </c>
      <c r="AO71" s="25">
        <f t="shared" si="31"/>
        <v>1523814.5107750006</v>
      </c>
      <c r="AP71" s="25">
        <f t="shared" si="31"/>
        <v>1524780.5797750005</v>
      </c>
      <c r="AQ71" s="25">
        <f t="shared" si="31"/>
        <v>1524632.3557750005</v>
      </c>
      <c r="AR71" s="48"/>
      <c r="AT71"/>
    </row>
    <row r="72" spans="1:49" x14ac:dyDescent="0.25">
      <c r="A72" s="2" t="s">
        <v>500</v>
      </c>
      <c r="B72"/>
      <c r="AT72" s="3"/>
    </row>
    <row r="73" spans="1:49" x14ac:dyDescent="0.25">
      <c r="B73" t="s">
        <v>606</v>
      </c>
      <c r="D73" s="1">
        <f>+Transport!E18</f>
        <v>0</v>
      </c>
      <c r="E73" s="1">
        <f>+Transport!F18</f>
        <v>0</v>
      </c>
      <c r="F73" s="1">
        <f>+Transport!G18</f>
        <v>0</v>
      </c>
      <c r="G73" s="1">
        <f>+Transport!H18</f>
        <v>11180</v>
      </c>
      <c r="H73" s="1">
        <f>+Transport!I18</f>
        <v>4484</v>
      </c>
      <c r="I73" s="1">
        <f>+Transport!J18</f>
        <v>852</v>
      </c>
      <c r="J73" s="1">
        <f>+Transport!K18</f>
        <v>2941.2</v>
      </c>
      <c r="K73" s="1">
        <f>+Transport!L18</f>
        <v>6910.2999999999993</v>
      </c>
      <c r="L73" s="1">
        <f>+Transport!M18</f>
        <v>6534.0999999999995</v>
      </c>
      <c r="M73" s="1">
        <f>+Transport!N18</f>
        <v>6186.4</v>
      </c>
      <c r="N73" s="1">
        <f>+Transport!O18</f>
        <v>7410</v>
      </c>
      <c r="O73" s="1">
        <f>+Transport!P18</f>
        <v>5513.8</v>
      </c>
      <c r="P73" s="1">
        <f>+Transport!Q18</f>
        <v>8289.6999999999989</v>
      </c>
      <c r="Q73" s="1">
        <f>+Transport!R18</f>
        <v>8802.6999999999989</v>
      </c>
      <c r="R73" s="1">
        <f>+Transport!S18</f>
        <v>9230.1999999999989</v>
      </c>
      <c r="S73" s="1">
        <f>+Transport!T18</f>
        <v>10332.199999999999</v>
      </c>
      <c r="T73" s="1">
        <f>+Transport!U18</f>
        <v>10579.199999999999</v>
      </c>
      <c r="U73" s="1">
        <f>+Transport!V18</f>
        <v>12361.4</v>
      </c>
      <c r="V73" s="1">
        <f>+Transport!W18</f>
        <v>9437.2999999999993</v>
      </c>
      <c r="W73" s="1">
        <f>+Transport!X18</f>
        <v>9340.4</v>
      </c>
      <c r="X73" s="1">
        <f>+Transport!Y18</f>
        <v>10799.6</v>
      </c>
      <c r="Y73" s="1">
        <f>+Transport!Z18</f>
        <v>9474</v>
      </c>
      <c r="Z73" s="1">
        <f>+Transport!AA18</f>
        <v>5658</v>
      </c>
      <c r="AA73" s="1">
        <f>+Transport!AB18</f>
        <v>6551.375</v>
      </c>
      <c r="AB73" s="1">
        <f>+Transport!AC18</f>
        <v>5199.875</v>
      </c>
      <c r="AC73" s="1">
        <f>+Transport!AD18</f>
        <v>3774</v>
      </c>
      <c r="AD73" s="1">
        <f>+Transport!AE18</f>
        <v>4175.625</v>
      </c>
      <c r="AE73" s="1">
        <f>+Transport!AF18</f>
        <v>2076.125</v>
      </c>
      <c r="AF73" s="1">
        <f>+Transport!AG18</f>
        <v>1697.875</v>
      </c>
      <c r="AG73" s="1">
        <f>+Transport!AH18</f>
        <v>2231.9500000000003</v>
      </c>
      <c r="AH73" s="1">
        <f>+Transport!AI18</f>
        <v>2646</v>
      </c>
      <c r="AI73" s="1">
        <f>+Transport!AJ18</f>
        <v>2788.1000000000004</v>
      </c>
      <c r="AJ73" s="1">
        <f>+Transport!AK18</f>
        <v>5367.9500000000007</v>
      </c>
      <c r="AK73" s="1">
        <f>+Transport!AL18</f>
        <v>2339.75</v>
      </c>
      <c r="AL73" s="1">
        <f>+Transport!AM18</f>
        <v>1683</v>
      </c>
      <c r="AM73" s="1">
        <f>+Transport!AN18</f>
        <v>1035</v>
      </c>
      <c r="AN73" s="1">
        <f>+Transport!AO18</f>
        <v>976.5</v>
      </c>
      <c r="AO73" s="1">
        <f>+Transport!AP18</f>
        <v>283.5</v>
      </c>
      <c r="AP73" s="1">
        <f>+Transport!AQ18</f>
        <v>135</v>
      </c>
      <c r="AQ73" s="1">
        <f>+Transport!AR18</f>
        <v>0</v>
      </c>
      <c r="AR73" s="3">
        <f t="shared" ref="AR73:AR80" si="32">SUM(D73:AQ73)</f>
        <v>199278.125</v>
      </c>
      <c r="AT73" s="1">
        <f t="shared" ref="AT73:AT81" si="33">SUM(D73:AP73)</f>
        <v>199278.125</v>
      </c>
    </row>
    <row r="74" spans="1:49" x14ac:dyDescent="0.25">
      <c r="B74" t="s">
        <v>9</v>
      </c>
      <c r="D74" s="1">
        <f>+Transport!E48</f>
        <v>0</v>
      </c>
      <c r="E74" s="1">
        <f>+Transport!F48</f>
        <v>0</v>
      </c>
      <c r="F74" s="1">
        <f>+Transport!G48</f>
        <v>0</v>
      </c>
      <c r="G74" s="1">
        <f>+Transport!H48</f>
        <v>0</v>
      </c>
      <c r="H74" s="1">
        <f>+Transport!I48</f>
        <v>0</v>
      </c>
      <c r="I74" s="1">
        <f>+Transport!J48</f>
        <v>0</v>
      </c>
      <c r="J74" s="1">
        <f>+Transport!K48</f>
        <v>0</v>
      </c>
      <c r="K74" s="1">
        <f>+Transport!L48</f>
        <v>0</v>
      </c>
      <c r="L74" s="1">
        <f>+Transport!M48</f>
        <v>0</v>
      </c>
      <c r="M74" s="1">
        <f>+Transport!N48</f>
        <v>0</v>
      </c>
      <c r="N74" s="1">
        <f>+Transport!O48</f>
        <v>0</v>
      </c>
      <c r="O74" s="1">
        <f>+Transport!P48</f>
        <v>0</v>
      </c>
      <c r="P74" s="1">
        <f>+Transport!Q48</f>
        <v>0</v>
      </c>
      <c r="Q74" s="1">
        <f>+Transport!R48</f>
        <v>0</v>
      </c>
      <c r="R74" s="1">
        <f>+Transport!S48</f>
        <v>0</v>
      </c>
      <c r="S74" s="1">
        <f>+Transport!T48</f>
        <v>0</v>
      </c>
      <c r="T74" s="1">
        <f>+Transport!U48</f>
        <v>0</v>
      </c>
      <c r="U74" s="1">
        <f>+Transport!V48</f>
        <v>0</v>
      </c>
      <c r="V74" s="1">
        <f>+Transport!W48</f>
        <v>0</v>
      </c>
      <c r="W74" s="1">
        <f>+Transport!X48</f>
        <v>0</v>
      </c>
      <c r="X74" s="1">
        <f>+Transport!Y48</f>
        <v>0</v>
      </c>
      <c r="Y74" s="1">
        <f>+Transport!Z48</f>
        <v>0</v>
      </c>
      <c r="Z74" s="1">
        <f>+Transport!AA48</f>
        <v>0</v>
      </c>
      <c r="AA74" s="1">
        <f>+Transport!AB48</f>
        <v>0</v>
      </c>
      <c r="AB74" s="1">
        <f>+Transport!AC48</f>
        <v>0</v>
      </c>
      <c r="AC74" s="1">
        <f>+Transport!AD48</f>
        <v>0</v>
      </c>
      <c r="AD74" s="1">
        <f>+Transport!AE48</f>
        <v>0</v>
      </c>
      <c r="AE74" s="1">
        <f>+Transport!AF48</f>
        <v>0</v>
      </c>
      <c r="AF74" s="1">
        <f>+Transport!AG48</f>
        <v>0</v>
      </c>
      <c r="AG74" s="1">
        <f>+Transport!AH48</f>
        <v>0</v>
      </c>
      <c r="AH74" s="1">
        <f>+Transport!AI48</f>
        <v>0</v>
      </c>
      <c r="AI74" s="1">
        <f>+Transport!AJ48</f>
        <v>0</v>
      </c>
      <c r="AJ74" s="1">
        <f>+Transport!AK48</f>
        <v>0</v>
      </c>
      <c r="AK74" s="1">
        <f>+Transport!AL48</f>
        <v>0</v>
      </c>
      <c r="AL74" s="1">
        <f>+Transport!AM48</f>
        <v>0</v>
      </c>
      <c r="AM74" s="1">
        <f>+Transport!AN48</f>
        <v>0</v>
      </c>
      <c r="AN74" s="1">
        <f>+Transport!AO48</f>
        <v>0</v>
      </c>
      <c r="AO74" s="1">
        <f>+Transport!AP48</f>
        <v>0</v>
      </c>
      <c r="AP74" s="1">
        <f>+Transport!AQ48</f>
        <v>0</v>
      </c>
      <c r="AQ74" s="1">
        <f>+Transport!AR48</f>
        <v>0</v>
      </c>
      <c r="AR74" s="3">
        <f t="shared" si="32"/>
        <v>0</v>
      </c>
      <c r="AT74" s="1">
        <f t="shared" si="33"/>
        <v>0</v>
      </c>
    </row>
    <row r="75" spans="1:49" x14ac:dyDescent="0.25">
      <c r="B75" t="s">
        <v>607</v>
      </c>
      <c r="D75" s="1">
        <v>500</v>
      </c>
      <c r="E75" s="1">
        <v>500</v>
      </c>
      <c r="F75" s="1">
        <v>500</v>
      </c>
      <c r="G75" s="1">
        <v>500</v>
      </c>
      <c r="H75" s="1">
        <v>500</v>
      </c>
      <c r="I75" s="1">
        <v>500</v>
      </c>
      <c r="J75" s="1">
        <v>500</v>
      </c>
      <c r="K75" s="1">
        <v>500</v>
      </c>
      <c r="L75" s="1">
        <v>500</v>
      </c>
      <c r="M75" s="1">
        <v>500</v>
      </c>
      <c r="N75" s="1">
        <v>500</v>
      </c>
      <c r="O75" s="1">
        <v>500</v>
      </c>
      <c r="P75" s="1">
        <v>500</v>
      </c>
      <c r="Q75" s="1">
        <v>500</v>
      </c>
      <c r="R75" s="1">
        <v>500</v>
      </c>
      <c r="S75" s="1">
        <v>500</v>
      </c>
      <c r="T75" s="1">
        <v>500</v>
      </c>
      <c r="U75" s="1">
        <v>500</v>
      </c>
      <c r="V75" s="1">
        <v>500</v>
      </c>
      <c r="W75" s="1">
        <v>500</v>
      </c>
      <c r="X75" s="1">
        <v>500</v>
      </c>
      <c r="Y75" s="1">
        <v>500</v>
      </c>
      <c r="Z75" s="1">
        <f>+Transport!AA12</f>
        <v>0</v>
      </c>
      <c r="AA75" s="1">
        <f>+Transport!AB12</f>
        <v>0</v>
      </c>
      <c r="AB75" s="1">
        <f>+Transport!AC12</f>
        <v>0</v>
      </c>
      <c r="AC75" s="1">
        <f>+Transport!AD12</f>
        <v>0</v>
      </c>
      <c r="AD75" s="1">
        <f>+Transport!AE12</f>
        <v>0</v>
      </c>
      <c r="AE75" s="1">
        <f>+Transport!AF12</f>
        <v>0</v>
      </c>
      <c r="AF75" s="1">
        <f>+Transport!AG12</f>
        <v>0</v>
      </c>
      <c r="AG75" s="1">
        <f>+Transport!AH12</f>
        <v>0</v>
      </c>
      <c r="AH75" s="1">
        <f>+Transport!AI12</f>
        <v>0</v>
      </c>
      <c r="AI75" s="1">
        <f>+Transport!AJ12</f>
        <v>0</v>
      </c>
      <c r="AJ75" s="1">
        <f>+Transport!AK12</f>
        <v>0</v>
      </c>
      <c r="AK75" s="1">
        <f>+Transport!AL12</f>
        <v>0</v>
      </c>
      <c r="AL75" s="1">
        <f>+Transport!AM12</f>
        <v>0</v>
      </c>
      <c r="AM75" s="1">
        <f>+Transport!AN12</f>
        <v>0</v>
      </c>
      <c r="AN75" s="1">
        <f>+Transport!AO12</f>
        <v>0</v>
      </c>
      <c r="AO75" s="1">
        <f>+Transport!AP12</f>
        <v>0</v>
      </c>
      <c r="AP75" s="1">
        <f>+Transport!AQ12</f>
        <v>0</v>
      </c>
      <c r="AQ75" s="1">
        <f>+Transport!AR12</f>
        <v>0</v>
      </c>
      <c r="AR75" s="3">
        <f t="shared" si="32"/>
        <v>11000</v>
      </c>
      <c r="AT75" s="1">
        <f t="shared" si="33"/>
        <v>11000</v>
      </c>
    </row>
    <row r="76" spans="1:49" x14ac:dyDescent="0.25">
      <c r="B76" t="s">
        <v>432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3">
        <f t="shared" si="32"/>
        <v>0</v>
      </c>
      <c r="AT76" s="1">
        <f t="shared" si="33"/>
        <v>0</v>
      </c>
    </row>
    <row r="77" spans="1:49" x14ac:dyDescent="0.25">
      <c r="B77" t="s">
        <v>591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f>+Accrualstrip!$H102</f>
        <v>300</v>
      </c>
      <c r="L77" s="1">
        <f>+Accrualstrip!$H102</f>
        <v>300</v>
      </c>
      <c r="M77" s="1">
        <f>+Accrualstrip!$H102</f>
        <v>300</v>
      </c>
      <c r="N77" s="1">
        <f>+Accrualstrip!$H102</f>
        <v>300</v>
      </c>
      <c r="O77" s="1">
        <f>+Accrualstrip!$H102</f>
        <v>300</v>
      </c>
      <c r="P77" s="1">
        <f>+Accrualstrip!$H102</f>
        <v>300</v>
      </c>
      <c r="Q77" s="1">
        <f>+Accrualstrip!$H102</f>
        <v>300</v>
      </c>
      <c r="R77" s="1">
        <f>+Accrualstrip!$H102</f>
        <v>300</v>
      </c>
      <c r="S77" s="1">
        <f>+Accrualstrip!$H102</f>
        <v>300</v>
      </c>
      <c r="T77" s="1">
        <f>+Accrualstrip!$H102</f>
        <v>300</v>
      </c>
      <c r="U77" s="1">
        <f>+Accrualstrip!$H102</f>
        <v>300</v>
      </c>
      <c r="V77" s="1">
        <f>+Accrualstrip!$H102</f>
        <v>300</v>
      </c>
      <c r="W77" s="1">
        <f>+Accrualstrip!$H102</f>
        <v>300</v>
      </c>
      <c r="X77" s="1">
        <f>+Accrualstrip!$H102</f>
        <v>300</v>
      </c>
      <c r="Y77" s="1">
        <f>+Accrualstrip!$H102</f>
        <v>300</v>
      </c>
      <c r="Z77" s="1">
        <f>+Accrualstrip!$H102</f>
        <v>300</v>
      </c>
      <c r="AA77" s="1">
        <f>+Accrualstrip!$H102</f>
        <v>300</v>
      </c>
      <c r="AB77" s="1">
        <f>+Accrualstrip!$H102</f>
        <v>300</v>
      </c>
      <c r="AC77" s="1">
        <f>+Accrualstrip!$H102</f>
        <v>300</v>
      </c>
      <c r="AD77" s="1">
        <f>+Accrualstrip!$H102</f>
        <v>300</v>
      </c>
      <c r="AR77" s="3">
        <f t="shared" si="32"/>
        <v>6000</v>
      </c>
      <c r="AT77" s="1">
        <f t="shared" si="33"/>
        <v>6000</v>
      </c>
    </row>
    <row r="78" spans="1:49" x14ac:dyDescent="0.25">
      <c r="B78" t="s">
        <v>586</v>
      </c>
      <c r="G78" s="1">
        <v>209.81</v>
      </c>
      <c r="AR78" s="3">
        <f t="shared" si="32"/>
        <v>209.81</v>
      </c>
      <c r="AT78" s="1">
        <f t="shared" si="33"/>
        <v>209.81</v>
      </c>
    </row>
    <row r="79" spans="1:49" x14ac:dyDescent="0.25">
      <c r="B79" t="s">
        <v>259</v>
      </c>
      <c r="AR79" s="3">
        <f t="shared" si="32"/>
        <v>0</v>
      </c>
      <c r="AT79" s="1">
        <f t="shared" si="33"/>
        <v>0</v>
      </c>
    </row>
    <row r="80" spans="1:49" x14ac:dyDescent="0.25">
      <c r="B80" t="s">
        <v>173</v>
      </c>
      <c r="T80" s="104"/>
      <c r="Y80" s="104"/>
      <c r="AR80" s="3">
        <f t="shared" si="32"/>
        <v>0</v>
      </c>
      <c r="AT80" s="1">
        <f t="shared" si="33"/>
        <v>0</v>
      </c>
    </row>
    <row r="81" spans="1:53" s="2" customFormat="1" x14ac:dyDescent="0.25">
      <c r="A81" s="2" t="s">
        <v>501</v>
      </c>
      <c r="D81" s="3">
        <f>SUM(D73:D80)</f>
        <v>500</v>
      </c>
      <c r="E81" s="3">
        <f t="shared" ref="E81:J81" si="34">SUM(E73:E80)</f>
        <v>500</v>
      </c>
      <c r="F81" s="3">
        <f t="shared" si="34"/>
        <v>500</v>
      </c>
      <c r="G81" s="3">
        <f t="shared" si="34"/>
        <v>11889.81</v>
      </c>
      <c r="H81" s="3">
        <f t="shared" si="34"/>
        <v>4984</v>
      </c>
      <c r="I81" s="3">
        <f t="shared" si="34"/>
        <v>1352</v>
      </c>
      <c r="J81" s="3">
        <f t="shared" si="34"/>
        <v>3441.2</v>
      </c>
      <c r="K81" s="3">
        <f>SUM(K73:K80)</f>
        <v>7710.2999999999993</v>
      </c>
      <c r="L81" s="3">
        <f>SUM(L73:L80)</f>
        <v>7334.0999999999995</v>
      </c>
      <c r="M81" s="3">
        <f t="shared" ref="M81:AR81" si="35">SUM(M73:M80)</f>
        <v>6986.4</v>
      </c>
      <c r="N81" s="3">
        <f t="shared" si="35"/>
        <v>8210</v>
      </c>
      <c r="O81" s="3">
        <f t="shared" si="35"/>
        <v>6313.8</v>
      </c>
      <c r="P81" s="3">
        <f t="shared" si="35"/>
        <v>9089.6999999999989</v>
      </c>
      <c r="Q81" s="3">
        <f t="shared" si="35"/>
        <v>9602.6999999999989</v>
      </c>
      <c r="R81" s="3">
        <f t="shared" si="35"/>
        <v>10030.199999999999</v>
      </c>
      <c r="S81" s="3">
        <f t="shared" si="35"/>
        <v>11132.199999999999</v>
      </c>
      <c r="T81" s="3">
        <f t="shared" si="35"/>
        <v>11379.199999999999</v>
      </c>
      <c r="U81" s="3">
        <f t="shared" si="35"/>
        <v>13161.4</v>
      </c>
      <c r="V81" s="3">
        <f t="shared" si="35"/>
        <v>10237.299999999999</v>
      </c>
      <c r="W81" s="3">
        <f t="shared" si="35"/>
        <v>10140.4</v>
      </c>
      <c r="X81" s="3">
        <f t="shared" si="35"/>
        <v>11599.6</v>
      </c>
      <c r="Y81" s="3">
        <f t="shared" si="35"/>
        <v>10274</v>
      </c>
      <c r="Z81" s="3">
        <f t="shared" si="35"/>
        <v>5958</v>
      </c>
      <c r="AA81" s="3">
        <f t="shared" si="35"/>
        <v>6851.375</v>
      </c>
      <c r="AB81" s="3">
        <f t="shared" si="35"/>
        <v>5499.875</v>
      </c>
      <c r="AC81" s="3">
        <f t="shared" si="35"/>
        <v>4074</v>
      </c>
      <c r="AD81" s="3">
        <f t="shared" si="35"/>
        <v>4475.625</v>
      </c>
      <c r="AE81" s="3">
        <f t="shared" si="35"/>
        <v>2076.125</v>
      </c>
      <c r="AF81" s="3">
        <f t="shared" si="35"/>
        <v>1697.875</v>
      </c>
      <c r="AG81" s="3">
        <f t="shared" si="35"/>
        <v>2231.9500000000003</v>
      </c>
      <c r="AH81" s="3">
        <f t="shared" si="35"/>
        <v>2646</v>
      </c>
      <c r="AI81" s="3">
        <f t="shared" si="35"/>
        <v>2788.1000000000004</v>
      </c>
      <c r="AJ81" s="3">
        <f t="shared" si="35"/>
        <v>5367.9500000000007</v>
      </c>
      <c r="AK81" s="3">
        <f t="shared" si="35"/>
        <v>2339.75</v>
      </c>
      <c r="AL81" s="3">
        <f t="shared" si="35"/>
        <v>1683</v>
      </c>
      <c r="AM81" s="3">
        <f t="shared" si="35"/>
        <v>1035</v>
      </c>
      <c r="AN81" s="3">
        <f t="shared" si="35"/>
        <v>976.5</v>
      </c>
      <c r="AO81" s="3">
        <f t="shared" si="35"/>
        <v>283.5</v>
      </c>
      <c r="AP81" s="3">
        <f t="shared" si="35"/>
        <v>135</v>
      </c>
      <c r="AQ81" s="3">
        <f t="shared" si="35"/>
        <v>0</v>
      </c>
      <c r="AR81" s="3">
        <f t="shared" si="35"/>
        <v>216487.935</v>
      </c>
      <c r="AT81" s="3">
        <f t="shared" si="33"/>
        <v>216487.935</v>
      </c>
    </row>
    <row r="82" spans="1:53" s="24" customFormat="1" x14ac:dyDescent="0.25">
      <c r="A82" s="23"/>
      <c r="B82" s="23"/>
      <c r="C82" s="27" t="s">
        <v>97</v>
      </c>
      <c r="D82" s="25">
        <f>+D81</f>
        <v>500</v>
      </c>
      <c r="E82" s="25">
        <f>+D82+E81</f>
        <v>1000</v>
      </c>
      <c r="F82" s="25">
        <f t="shared" ref="F82:J82" si="36">+E82+F81</f>
        <v>1500</v>
      </c>
      <c r="G82" s="25">
        <f t="shared" si="36"/>
        <v>13389.81</v>
      </c>
      <c r="H82" s="25">
        <f t="shared" si="36"/>
        <v>18373.809999999998</v>
      </c>
      <c r="I82" s="25">
        <f t="shared" si="36"/>
        <v>19725.809999999998</v>
      </c>
      <c r="J82" s="25">
        <f t="shared" si="36"/>
        <v>23167.01</v>
      </c>
      <c r="K82" s="25">
        <f t="shared" ref="K82" si="37">+J82+K81</f>
        <v>30877.309999999998</v>
      </c>
      <c r="L82" s="25">
        <f t="shared" ref="L82" si="38">+K82+L81</f>
        <v>38211.409999999996</v>
      </c>
      <c r="M82" s="25">
        <f t="shared" ref="M82" si="39">+L82+M81</f>
        <v>45197.81</v>
      </c>
      <c r="N82" s="25">
        <f t="shared" ref="N82" si="40">+M82+N81</f>
        <v>53407.81</v>
      </c>
      <c r="O82" s="25">
        <f t="shared" ref="O82" si="41">+N82+O81</f>
        <v>59721.61</v>
      </c>
      <c r="P82" s="25">
        <f t="shared" ref="P82" si="42">+O82+P81</f>
        <v>68811.31</v>
      </c>
      <c r="Q82" s="25">
        <f t="shared" ref="Q82" si="43">+P82+Q81</f>
        <v>78414.009999999995</v>
      </c>
      <c r="R82" s="25">
        <f t="shared" ref="R82" si="44">+Q82+R81</f>
        <v>88444.209999999992</v>
      </c>
      <c r="S82" s="25">
        <f t="shared" ref="S82" si="45">+R82+S81</f>
        <v>99576.409999999989</v>
      </c>
      <c r="T82" s="25">
        <f t="shared" ref="T82" si="46">+S82+T81</f>
        <v>110955.60999999999</v>
      </c>
      <c r="U82" s="25">
        <f t="shared" ref="U82" si="47">+T82+U81</f>
        <v>124117.00999999998</v>
      </c>
      <c r="V82" s="25">
        <f t="shared" ref="V82" si="48">+U82+V81</f>
        <v>134354.30999999997</v>
      </c>
      <c r="W82" s="25">
        <f t="shared" ref="W82" si="49">+V82+W81</f>
        <v>144494.70999999996</v>
      </c>
      <c r="X82" s="25">
        <f t="shared" ref="X82" si="50">+W82+X81</f>
        <v>156094.30999999997</v>
      </c>
      <c r="Y82" s="25">
        <f t="shared" ref="Y82" si="51">+X82+Y81</f>
        <v>166368.30999999997</v>
      </c>
      <c r="Z82" s="25">
        <f t="shared" ref="Z82" si="52">+Y82+Z81</f>
        <v>172326.30999999997</v>
      </c>
      <c r="AA82" s="25">
        <f t="shared" ref="AA82" si="53">+Z82+AA81</f>
        <v>179177.68499999997</v>
      </c>
      <c r="AB82" s="25">
        <f t="shared" ref="AB82" si="54">+AA82+AB81</f>
        <v>184677.55999999997</v>
      </c>
      <c r="AC82" s="25">
        <f t="shared" ref="AC82" si="55">+AB82+AC81</f>
        <v>188751.55999999997</v>
      </c>
      <c r="AD82" s="25">
        <f t="shared" ref="AD82" si="56">+AC82+AD81</f>
        <v>193227.18499999997</v>
      </c>
      <c r="AE82" s="25">
        <f t="shared" ref="AE82" si="57">+AD82+AE81</f>
        <v>195303.30999999997</v>
      </c>
      <c r="AF82" s="25">
        <f t="shared" ref="AF82" si="58">+AE82+AF81</f>
        <v>197001.18499999997</v>
      </c>
      <c r="AG82" s="25">
        <f t="shared" ref="AG82" si="59">+AF82+AG81</f>
        <v>199233.13499999998</v>
      </c>
      <c r="AH82" s="25">
        <f t="shared" ref="AH82" si="60">+AG82+AH81</f>
        <v>201879.13499999998</v>
      </c>
      <c r="AI82" s="25">
        <f t="shared" ref="AI82" si="61">+AH82+AI81</f>
        <v>204667.23499999999</v>
      </c>
      <c r="AJ82" s="25">
        <f t="shared" ref="AJ82" si="62">+AI82+AJ81</f>
        <v>210035.185</v>
      </c>
      <c r="AK82" s="25">
        <f t="shared" ref="AK82" si="63">+AJ82+AK81</f>
        <v>212374.935</v>
      </c>
      <c r="AL82" s="25">
        <f t="shared" ref="AL82" si="64">+AK82+AL81</f>
        <v>214057.935</v>
      </c>
      <c r="AM82" s="25">
        <f t="shared" ref="AM82" si="65">+AL82+AM81</f>
        <v>215092.935</v>
      </c>
      <c r="AN82" s="25">
        <f t="shared" ref="AN82" si="66">+AM82+AN81</f>
        <v>216069.435</v>
      </c>
      <c r="AO82" s="25">
        <f t="shared" ref="AO82" si="67">+AN82+AO81</f>
        <v>216352.935</v>
      </c>
      <c r="AP82" s="25">
        <f t="shared" ref="AP82" si="68">+AO82+AP81</f>
        <v>216487.935</v>
      </c>
      <c r="AQ82" s="25">
        <f t="shared" ref="AQ82" si="69">+AP82+AQ81</f>
        <v>216487.935</v>
      </c>
      <c r="AR82" s="48"/>
    </row>
    <row r="83" spans="1:53" x14ac:dyDescent="0.25">
      <c r="B83"/>
      <c r="C83" t="s">
        <v>439</v>
      </c>
      <c r="AT83" s="3"/>
    </row>
    <row r="84" spans="1:53" x14ac:dyDescent="0.25">
      <c r="B84"/>
    </row>
    <row r="85" spans="1:53" x14ac:dyDescent="0.25">
      <c r="B85"/>
      <c r="Q85" s="1" t="s">
        <v>671</v>
      </c>
      <c r="U85" s="1" t="s">
        <v>671</v>
      </c>
      <c r="AQ85" s="3" t="s">
        <v>479</v>
      </c>
      <c r="AT85" s="145">
        <f>+AT81/AT70</f>
        <v>0.1419797299831464</v>
      </c>
      <c r="AX85" t="s">
        <v>288</v>
      </c>
      <c r="AY85">
        <v>22684</v>
      </c>
      <c r="AZ85" s="1">
        <f>+Accrualstrip!AT91</f>
        <v>497569.70049066667</v>
      </c>
      <c r="BA85" s="1">
        <f>+AZ85-AY85</f>
        <v>474885.70049066667</v>
      </c>
    </row>
    <row r="86" spans="1:53" x14ac:dyDescent="0.25">
      <c r="B86"/>
      <c r="AX86" t="s">
        <v>223</v>
      </c>
      <c r="AY86">
        <v>0</v>
      </c>
      <c r="AZ86" s="1">
        <f>+Accrualpot!AT81</f>
        <v>404950.20091199997</v>
      </c>
      <c r="BA86" s="1">
        <f>+AZ86-AY86</f>
        <v>404950.20091199997</v>
      </c>
    </row>
    <row r="87" spans="1:53" x14ac:dyDescent="0.25">
      <c r="AX87" t="s">
        <v>226</v>
      </c>
      <c r="AY87">
        <v>7128</v>
      </c>
      <c r="AZ87" s="1">
        <f>+AT81</f>
        <v>216487.935</v>
      </c>
      <c r="BA87" s="1">
        <f>+AZ87-AY87</f>
        <v>209359.935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U583"/>
  <sheetViews>
    <sheetView workbookViewId="0">
      <pane xSplit="3" ySplit="2" topLeftCell="AM193" activePane="bottomRight" state="frozen"/>
      <selection pane="topRight" activeCell="D1" sqref="D1"/>
      <selection pane="bottomLeft" activeCell="A3" sqref="A3"/>
      <selection pane="bottomRight" activeCell="AR197" sqref="AR197"/>
    </sheetView>
  </sheetViews>
  <sheetFormatPr defaultRowHeight="15" customHeight="1" x14ac:dyDescent="0.25"/>
  <cols>
    <col min="1" max="2" width="3.42578125" style="2" customWidth="1"/>
    <col min="3" max="3" width="28.85546875" customWidth="1"/>
    <col min="4" max="14" width="9.140625" style="1"/>
    <col min="15" max="33" width="9.140625" style="1" customWidth="1"/>
    <col min="34" max="34" width="9.140625" style="117" customWidth="1"/>
    <col min="35" max="37" width="9.140625" style="1" customWidth="1"/>
    <col min="38" max="38" width="9.140625" style="117" customWidth="1"/>
    <col min="39" max="43" width="9.140625" style="1" customWidth="1"/>
    <col min="44" max="44" width="9.42578125" style="3" bestFit="1" customWidth="1"/>
    <col min="45" max="45" width="4.42578125" style="1" customWidth="1"/>
    <col min="46" max="46" width="8.85546875" style="1" customWidth="1"/>
    <col min="47" max="48" width="11.5703125" style="1" customWidth="1"/>
    <col min="49" max="51" width="9.5703125" style="1" customWidth="1"/>
    <col min="52" max="57" width="9.140625" style="1"/>
    <col min="64" max="68" width="9.140625" customWidth="1"/>
    <col min="69" max="69" width="10.85546875" customWidth="1"/>
  </cols>
  <sheetData>
    <row r="1" spans="1:69" ht="15" customHeight="1" x14ac:dyDescent="0.25">
      <c r="A1" s="2" t="s">
        <v>43</v>
      </c>
      <c r="D1" s="142">
        <v>45292</v>
      </c>
      <c r="E1" s="142">
        <v>45292</v>
      </c>
      <c r="F1" s="142">
        <v>45292</v>
      </c>
      <c r="G1" s="142">
        <v>45292</v>
      </c>
      <c r="H1" s="142">
        <v>45292</v>
      </c>
      <c r="I1" s="142">
        <v>45323</v>
      </c>
      <c r="J1" s="142">
        <v>45323</v>
      </c>
      <c r="K1" s="142">
        <v>45323</v>
      </c>
      <c r="L1" s="142">
        <v>45323</v>
      </c>
      <c r="M1" s="142">
        <v>45352</v>
      </c>
      <c r="N1" s="142">
        <v>45352</v>
      </c>
      <c r="O1" s="142">
        <v>45352</v>
      </c>
      <c r="P1" s="142">
        <v>45352</v>
      </c>
      <c r="Q1" s="142">
        <v>45383</v>
      </c>
      <c r="R1" s="142">
        <v>45383</v>
      </c>
      <c r="S1" s="142">
        <v>45383</v>
      </c>
      <c r="T1" s="142">
        <v>45383</v>
      </c>
      <c r="U1" s="142">
        <v>45413</v>
      </c>
      <c r="V1" s="142">
        <v>45413</v>
      </c>
      <c r="W1" s="142">
        <v>45413</v>
      </c>
      <c r="X1" s="142">
        <v>45413</v>
      </c>
      <c r="Y1" s="142">
        <v>45413</v>
      </c>
      <c r="Z1" s="142">
        <v>45444</v>
      </c>
      <c r="AA1" s="142">
        <v>45444</v>
      </c>
      <c r="AB1" s="142">
        <v>45444</v>
      </c>
      <c r="AC1" s="142">
        <v>45444</v>
      </c>
      <c r="AD1" s="142">
        <v>45474</v>
      </c>
      <c r="AE1" s="142">
        <v>45474</v>
      </c>
      <c r="AF1" s="142">
        <v>45474</v>
      </c>
      <c r="AG1" s="142">
        <v>45474</v>
      </c>
      <c r="AH1" s="149">
        <v>45474</v>
      </c>
      <c r="AI1" s="142">
        <v>45505</v>
      </c>
      <c r="AJ1" s="142">
        <v>45505</v>
      </c>
      <c r="AK1" s="142">
        <v>45505</v>
      </c>
      <c r="AL1" s="149">
        <v>45505</v>
      </c>
      <c r="AM1" s="142">
        <v>45536</v>
      </c>
      <c r="AN1" s="142">
        <v>45536</v>
      </c>
      <c r="AO1" s="142">
        <v>45536</v>
      </c>
      <c r="AP1" s="142">
        <v>45536</v>
      </c>
      <c r="AQ1" s="13" t="s">
        <v>282</v>
      </c>
      <c r="AT1" s="1" t="s">
        <v>468</v>
      </c>
      <c r="AW1" s="1" t="s">
        <v>251</v>
      </c>
      <c r="BH1" s="1" t="s">
        <v>367</v>
      </c>
      <c r="BQ1" s="5" t="s">
        <v>368</v>
      </c>
    </row>
    <row r="2" spans="1:69" ht="15" customHeight="1" x14ac:dyDescent="0.25">
      <c r="A2" s="2" t="s">
        <v>53</v>
      </c>
      <c r="D2" s="13" t="s">
        <v>491</v>
      </c>
      <c r="E2" s="13" t="s">
        <v>492</v>
      </c>
      <c r="F2" s="13" t="s">
        <v>493</v>
      </c>
      <c r="G2" s="13" t="s">
        <v>494</v>
      </c>
      <c r="H2" s="13" t="s">
        <v>495</v>
      </c>
      <c r="I2" s="13" t="s">
        <v>496</v>
      </c>
      <c r="J2" s="13" t="s">
        <v>263</v>
      </c>
      <c r="K2" s="13" t="s">
        <v>264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3" t="s">
        <v>54</v>
      </c>
      <c r="V2" s="13" t="s">
        <v>20</v>
      </c>
      <c r="W2" s="13" t="s">
        <v>21</v>
      </c>
      <c r="X2" s="13" t="s">
        <v>22</v>
      </c>
      <c r="Y2" s="13" t="s">
        <v>23</v>
      </c>
      <c r="Z2" s="13" t="s">
        <v>24</v>
      </c>
      <c r="AA2" s="13" t="s">
        <v>25</v>
      </c>
      <c r="AB2" s="13" t="s">
        <v>26</v>
      </c>
      <c r="AC2" s="13" t="s">
        <v>27</v>
      </c>
      <c r="AD2" s="13" t="s">
        <v>28</v>
      </c>
      <c r="AE2" s="13" t="s">
        <v>29</v>
      </c>
      <c r="AF2" s="13" t="s">
        <v>30</v>
      </c>
      <c r="AG2" s="13" t="s">
        <v>31</v>
      </c>
      <c r="AH2" s="120" t="s">
        <v>32</v>
      </c>
      <c r="AI2" s="13" t="s">
        <v>33</v>
      </c>
      <c r="AJ2" s="13" t="s">
        <v>34</v>
      </c>
      <c r="AK2" s="13" t="s">
        <v>55</v>
      </c>
      <c r="AL2" s="120" t="s">
        <v>56</v>
      </c>
      <c r="AM2" s="13" t="s">
        <v>57</v>
      </c>
      <c r="AN2" s="13" t="s">
        <v>58</v>
      </c>
      <c r="AO2" s="13" t="s">
        <v>59</v>
      </c>
      <c r="AP2" s="13" t="s">
        <v>60</v>
      </c>
      <c r="AQ2" s="4" t="s">
        <v>61</v>
      </c>
      <c r="AR2" s="52" t="s">
        <v>2</v>
      </c>
      <c r="AT2" s="1" t="s">
        <v>672</v>
      </c>
      <c r="AV2" s="4" t="s">
        <v>490</v>
      </c>
      <c r="AW2" s="4" t="s">
        <v>35</v>
      </c>
      <c r="AX2" s="4" t="s">
        <v>249</v>
      </c>
      <c r="AY2" s="4" t="s">
        <v>250</v>
      </c>
      <c r="AZ2" s="4" t="s">
        <v>38</v>
      </c>
      <c r="BA2" s="4" t="s">
        <v>39</v>
      </c>
      <c r="BB2" s="4" t="s">
        <v>86</v>
      </c>
      <c r="BC2" s="4" t="s">
        <v>181</v>
      </c>
      <c r="BD2" s="4" t="s">
        <v>252</v>
      </c>
      <c r="BE2" s="4" t="s">
        <v>253</v>
      </c>
      <c r="BF2" s="13"/>
      <c r="BG2" s="4" t="s">
        <v>490</v>
      </c>
      <c r="BH2" s="4" t="s">
        <v>35</v>
      </c>
      <c r="BI2" s="4" t="s">
        <v>249</v>
      </c>
      <c r="BJ2" s="4" t="s">
        <v>250</v>
      </c>
      <c r="BK2" s="4" t="s">
        <v>38</v>
      </c>
      <c r="BL2" s="4" t="s">
        <v>39</v>
      </c>
      <c r="BM2" s="4" t="s">
        <v>86</v>
      </c>
      <c r="BN2" s="4" t="s">
        <v>181</v>
      </c>
      <c r="BO2" s="4" t="s">
        <v>252</v>
      </c>
      <c r="BP2" s="4" t="s">
        <v>253</v>
      </c>
      <c r="BQ2" s="79" t="s">
        <v>369</v>
      </c>
    </row>
    <row r="3" spans="1:69" ht="15" customHeight="1" x14ac:dyDescent="0.25">
      <c r="B3" s="2" t="s">
        <v>69</v>
      </c>
    </row>
    <row r="4" spans="1:69" ht="15" customHeight="1" x14ac:dyDescent="0.25">
      <c r="C4" t="s">
        <v>190</v>
      </c>
      <c r="L4" s="1">
        <v>2504</v>
      </c>
      <c r="M4" s="1">
        <v>33</v>
      </c>
      <c r="N4" s="1">
        <v>346</v>
      </c>
      <c r="O4" s="1">
        <v>1958</v>
      </c>
      <c r="P4" s="1">
        <v>972</v>
      </c>
      <c r="Q4" s="1">
        <v>2859</v>
      </c>
      <c r="R4" s="1">
        <v>2840</v>
      </c>
      <c r="S4" s="1">
        <v>2353</v>
      </c>
      <c r="T4" s="1">
        <v>2099</v>
      </c>
      <c r="U4" s="1">
        <v>2366</v>
      </c>
      <c r="V4" s="1">
        <v>1932</v>
      </c>
      <c r="W4" s="1">
        <v>2280</v>
      </c>
      <c r="X4" s="1">
        <v>1999</v>
      </c>
      <c r="Y4" s="1">
        <v>585</v>
      </c>
      <c r="Z4" s="1">
        <v>764</v>
      </c>
      <c r="AA4" s="1">
        <v>290</v>
      </c>
      <c r="AB4" s="1">
        <v>537</v>
      </c>
      <c r="AC4" s="1">
        <v>198</v>
      </c>
      <c r="AD4" s="1">
        <v>48</v>
      </c>
      <c r="AE4" s="1">
        <v>189</v>
      </c>
      <c r="AF4" s="1">
        <v>75</v>
      </c>
      <c r="AG4" s="1">
        <v>30</v>
      </c>
      <c r="AH4" s="117">
        <v>1143</v>
      </c>
      <c r="AI4" s="1">
        <v>486</v>
      </c>
      <c r="AJ4" s="1">
        <v>435</v>
      </c>
      <c r="AK4" s="1">
        <v>171</v>
      </c>
      <c r="AL4" s="117">
        <v>246</v>
      </c>
      <c r="AM4" s="1">
        <v>48</v>
      </c>
      <c r="AR4" s="3">
        <f>SUM(D4:AQ4)</f>
        <v>29786</v>
      </c>
      <c r="AT4" s="1">
        <f>+[1]PassVol!$AU4</f>
        <v>25466</v>
      </c>
      <c r="AU4" s="1">
        <f>+AR4-AT4</f>
        <v>4320</v>
      </c>
      <c r="AV4" s="1">
        <f>SUM(D4:G4)</f>
        <v>0</v>
      </c>
      <c r="AW4" s="1">
        <f>SUM(H4:K4)</f>
        <v>0</v>
      </c>
      <c r="AX4" s="1">
        <f>SUM(L4:P4)</f>
        <v>5813</v>
      </c>
      <c r="AY4" s="1">
        <f>SUM(Q4:T4)</f>
        <v>10151</v>
      </c>
      <c r="AZ4" s="1">
        <f>SUM(U4:X4)</f>
        <v>8577</v>
      </c>
      <c r="BA4" s="1">
        <f>SUM(Y4:AC4)</f>
        <v>2374</v>
      </c>
      <c r="BB4" s="1">
        <f>SUM(AD4:AG4)</f>
        <v>342</v>
      </c>
      <c r="BC4" s="1">
        <f>SUM(AH4:AK4)</f>
        <v>2235</v>
      </c>
      <c r="BD4" s="1">
        <f>SUM(AL4:AP4)</f>
        <v>294</v>
      </c>
      <c r="BE4" s="1">
        <f>+AQ4</f>
        <v>0</v>
      </c>
      <c r="BG4" s="1">
        <f t="shared" ref="BG4:BP4" si="0">+AV4*6</f>
        <v>0</v>
      </c>
      <c r="BH4" s="1">
        <f t="shared" si="0"/>
        <v>0</v>
      </c>
      <c r="BI4" s="1">
        <f t="shared" si="0"/>
        <v>34878</v>
      </c>
      <c r="BJ4" s="1">
        <f t="shared" si="0"/>
        <v>60906</v>
      </c>
      <c r="BK4" s="1">
        <f t="shared" si="0"/>
        <v>51462</v>
      </c>
      <c r="BL4" s="1">
        <f t="shared" si="0"/>
        <v>14244</v>
      </c>
      <c r="BM4" s="1">
        <f t="shared" si="0"/>
        <v>2052</v>
      </c>
      <c r="BN4" s="1">
        <f t="shared" si="0"/>
        <v>13410</v>
      </c>
      <c r="BO4" s="1">
        <f t="shared" si="0"/>
        <v>1764</v>
      </c>
      <c r="BP4" s="1">
        <f t="shared" si="0"/>
        <v>0</v>
      </c>
      <c r="BQ4" s="1">
        <f>SUM(BG4:BP4)</f>
        <v>178716</v>
      </c>
    </row>
    <row r="5" spans="1:69" ht="15" customHeight="1" x14ac:dyDescent="0.25">
      <c r="C5" t="s">
        <v>424</v>
      </c>
      <c r="L5" s="1">
        <v>110</v>
      </c>
      <c r="M5" s="1">
        <v>363</v>
      </c>
      <c r="N5" s="1">
        <v>371</v>
      </c>
      <c r="O5" s="1">
        <v>600</v>
      </c>
      <c r="P5" s="1">
        <v>729</v>
      </c>
      <c r="Q5" s="1">
        <v>539</v>
      </c>
      <c r="R5" s="1">
        <v>688</v>
      </c>
      <c r="S5" s="1">
        <v>642</v>
      </c>
      <c r="T5" s="1">
        <v>864</v>
      </c>
      <c r="U5" s="1">
        <v>1205</v>
      </c>
      <c r="V5" s="1">
        <v>937</v>
      </c>
      <c r="W5" s="1">
        <v>1375</v>
      </c>
      <c r="X5" s="1">
        <v>817</v>
      </c>
      <c r="Y5" s="1">
        <v>362</v>
      </c>
      <c r="Z5" s="1">
        <v>281</v>
      </c>
      <c r="AA5" s="1">
        <v>135</v>
      </c>
      <c r="AB5" s="1">
        <v>201</v>
      </c>
      <c r="AC5" s="1">
        <v>48</v>
      </c>
      <c r="AE5" s="1">
        <v>24</v>
      </c>
      <c r="AF5" s="1">
        <v>51</v>
      </c>
      <c r="AH5" s="117">
        <v>60</v>
      </c>
      <c r="AI5" s="1">
        <v>102</v>
      </c>
      <c r="AJ5" s="1">
        <v>66</v>
      </c>
      <c r="AL5" s="117">
        <v>147</v>
      </c>
      <c r="AR5" s="3">
        <f>SUM(D5:AQ5)</f>
        <v>10717</v>
      </c>
      <c r="AT5" s="1">
        <f>+[1]PassVol!$AU5</f>
        <v>5349</v>
      </c>
      <c r="AU5" s="1">
        <f t="shared" ref="AU5:AU22" si="1">+AR5-AT5</f>
        <v>5368</v>
      </c>
      <c r="AV5" s="1">
        <f t="shared" ref="AV5:AV22" si="2">SUM(D5:G5)</f>
        <v>0</v>
      </c>
      <c r="AW5" s="1">
        <f t="shared" ref="AW5:AW22" si="3">SUM(H5:K5)</f>
        <v>0</v>
      </c>
      <c r="AX5" s="1">
        <f t="shared" ref="AX5:AX22" si="4">SUM(L5:P5)</f>
        <v>2173</v>
      </c>
      <c r="AY5" s="1">
        <f t="shared" ref="AY5:AY22" si="5">SUM(Q5:T5)</f>
        <v>2733</v>
      </c>
      <c r="AZ5" s="1">
        <f t="shared" ref="AZ5:AZ22" si="6">SUM(U5:X5)</f>
        <v>4334</v>
      </c>
      <c r="BA5" s="1">
        <f t="shared" ref="BA5:BA22" si="7">SUM(Y5:AC5)</f>
        <v>1027</v>
      </c>
      <c r="BB5" s="1">
        <f t="shared" ref="BB5:BB22" si="8">SUM(AD5:AG5)</f>
        <v>75</v>
      </c>
      <c r="BC5" s="1">
        <f t="shared" ref="BC5:BC22" si="9">SUM(AH5:AK5)</f>
        <v>228</v>
      </c>
      <c r="BD5" s="1">
        <f t="shared" ref="BD5:BD22" si="10">SUM(AL5:AP5)</f>
        <v>147</v>
      </c>
      <c r="BE5" s="1">
        <f t="shared" ref="BE5:BE22" si="11">+AQ5</f>
        <v>0</v>
      </c>
      <c r="BG5" s="1">
        <f t="shared" ref="BG5:BG22" si="12">+AV5*6</f>
        <v>0</v>
      </c>
      <c r="BH5" s="1">
        <f t="shared" ref="BH5:BP5" si="13">+AW5*6</f>
        <v>0</v>
      </c>
      <c r="BI5" s="1">
        <f t="shared" si="13"/>
        <v>13038</v>
      </c>
      <c r="BJ5" s="1">
        <f t="shared" si="13"/>
        <v>16398</v>
      </c>
      <c r="BK5" s="1">
        <f t="shared" si="13"/>
        <v>26004</v>
      </c>
      <c r="BL5" s="1">
        <f t="shared" si="13"/>
        <v>6162</v>
      </c>
      <c r="BM5" s="1">
        <f t="shared" si="13"/>
        <v>450</v>
      </c>
      <c r="BN5" s="1">
        <f t="shared" si="13"/>
        <v>1368</v>
      </c>
      <c r="BO5" s="1">
        <f t="shared" si="13"/>
        <v>882</v>
      </c>
      <c r="BP5" s="1">
        <f t="shared" si="13"/>
        <v>0</v>
      </c>
      <c r="BQ5" s="1">
        <f t="shared" ref="BQ5:BQ22" si="14">SUM(BG5:BP5)</f>
        <v>64302</v>
      </c>
    </row>
    <row r="6" spans="1:69" ht="15" customHeight="1" x14ac:dyDescent="0.25">
      <c r="C6" t="s">
        <v>347</v>
      </c>
      <c r="L6" s="1">
        <v>150</v>
      </c>
      <c r="M6" s="1">
        <v>312</v>
      </c>
      <c r="N6" s="1">
        <v>186</v>
      </c>
      <c r="O6" s="1">
        <v>327</v>
      </c>
      <c r="P6" s="1">
        <v>579</v>
      </c>
      <c r="Q6" s="1">
        <v>348</v>
      </c>
      <c r="R6" s="1">
        <v>504</v>
      </c>
      <c r="S6" s="1">
        <v>510</v>
      </c>
      <c r="T6" s="1">
        <v>478</v>
      </c>
      <c r="U6" s="1">
        <v>678</v>
      </c>
      <c r="V6" s="1">
        <v>650</v>
      </c>
      <c r="W6" s="1">
        <v>800</v>
      </c>
      <c r="X6" s="1">
        <v>684</v>
      </c>
      <c r="Y6" s="1">
        <v>201</v>
      </c>
      <c r="Z6" s="1">
        <v>174</v>
      </c>
      <c r="AA6" s="1">
        <v>54</v>
      </c>
      <c r="AB6" s="1">
        <v>48</v>
      </c>
      <c r="AC6" s="1">
        <v>15</v>
      </c>
      <c r="AD6" s="1">
        <v>9</v>
      </c>
      <c r="AF6" s="1">
        <v>57</v>
      </c>
      <c r="AG6" s="1">
        <v>39</v>
      </c>
      <c r="AH6" s="117">
        <v>30</v>
      </c>
      <c r="AI6" s="1">
        <v>21</v>
      </c>
      <c r="AJ6" s="1">
        <v>48</v>
      </c>
      <c r="AK6" s="1">
        <v>9</v>
      </c>
      <c r="AL6" s="117">
        <v>30</v>
      </c>
      <c r="AN6" s="1">
        <v>30</v>
      </c>
      <c r="AR6" s="3">
        <f t="shared" ref="AR6:AR22" si="15">SUM(D6:AQ6)</f>
        <v>6971</v>
      </c>
      <c r="AT6" s="1">
        <f>+[1]PassVol!$AU6</f>
        <v>2725</v>
      </c>
      <c r="AU6" s="1">
        <f t="shared" si="1"/>
        <v>4246</v>
      </c>
      <c r="AV6" s="1">
        <f t="shared" si="2"/>
        <v>0</v>
      </c>
      <c r="AW6" s="1">
        <f t="shared" si="3"/>
        <v>0</v>
      </c>
      <c r="AX6" s="1">
        <f t="shared" si="4"/>
        <v>1554</v>
      </c>
      <c r="AY6" s="1">
        <f t="shared" si="5"/>
        <v>1840</v>
      </c>
      <c r="AZ6" s="1">
        <f t="shared" si="6"/>
        <v>2812</v>
      </c>
      <c r="BA6" s="1">
        <f t="shared" si="7"/>
        <v>492</v>
      </c>
      <c r="BB6" s="1">
        <f t="shared" si="8"/>
        <v>105</v>
      </c>
      <c r="BC6" s="1">
        <f t="shared" si="9"/>
        <v>108</v>
      </c>
      <c r="BD6" s="1">
        <f t="shared" si="10"/>
        <v>60</v>
      </c>
      <c r="BE6" s="1">
        <f t="shared" si="11"/>
        <v>0</v>
      </c>
      <c r="BG6" s="1">
        <f t="shared" si="12"/>
        <v>0</v>
      </c>
      <c r="BH6" s="1">
        <f t="shared" ref="BH6:BH22" si="16">+AW6*6</f>
        <v>0</v>
      </c>
      <c r="BI6" s="1">
        <f t="shared" ref="BI6:BI22" si="17">+AX6*6</f>
        <v>9324</v>
      </c>
      <c r="BJ6" s="1">
        <f t="shared" ref="BJ6:BJ22" si="18">+AY6*6</f>
        <v>11040</v>
      </c>
      <c r="BK6" s="1">
        <f t="shared" ref="BK6:BK22" si="19">+AZ6*6</f>
        <v>16872</v>
      </c>
      <c r="BL6" s="1">
        <f t="shared" ref="BL6:BL22" si="20">+BA6*6</f>
        <v>2952</v>
      </c>
      <c r="BM6" s="1">
        <f t="shared" ref="BM6:BM22" si="21">+BB6*6</f>
        <v>630</v>
      </c>
      <c r="BN6" s="1">
        <f t="shared" ref="BN6:BN22" si="22">+BC6*6</f>
        <v>648</v>
      </c>
      <c r="BO6" s="1">
        <f t="shared" ref="BO6:BO22" si="23">+BD6*6</f>
        <v>360</v>
      </c>
      <c r="BP6" s="1">
        <f t="shared" ref="BP6:BP22" si="24">+BE6*6</f>
        <v>0</v>
      </c>
      <c r="BQ6" s="1">
        <f t="shared" si="14"/>
        <v>41826</v>
      </c>
    </row>
    <row r="7" spans="1:69" ht="15" customHeight="1" x14ac:dyDescent="0.25">
      <c r="C7" t="s">
        <v>0</v>
      </c>
      <c r="L7" s="1">
        <v>3474</v>
      </c>
      <c r="M7" s="1">
        <v>803</v>
      </c>
      <c r="N7" s="1">
        <v>1612</v>
      </c>
      <c r="O7" s="1">
        <v>3007</v>
      </c>
      <c r="P7" s="1">
        <v>2501</v>
      </c>
      <c r="Q7" s="1">
        <v>3301</v>
      </c>
      <c r="R7" s="1">
        <v>2368</v>
      </c>
      <c r="S7" s="1">
        <v>2772</v>
      </c>
      <c r="T7" s="1">
        <v>2998</v>
      </c>
      <c r="U7" s="1">
        <v>3331</v>
      </c>
      <c r="V7" s="1">
        <v>2615</v>
      </c>
      <c r="W7" s="1">
        <v>3065</v>
      </c>
      <c r="X7" s="1">
        <v>4360</v>
      </c>
      <c r="Y7" s="1">
        <v>3332</v>
      </c>
      <c r="Z7" s="1">
        <v>2746</v>
      </c>
      <c r="AA7" s="1">
        <v>2077</v>
      </c>
      <c r="AB7" s="1">
        <v>2779</v>
      </c>
      <c r="AC7" s="1">
        <v>1296</v>
      </c>
      <c r="AD7" s="1">
        <v>3118</v>
      </c>
      <c r="AE7" s="1">
        <v>603</v>
      </c>
      <c r="AF7" s="1">
        <v>306</v>
      </c>
      <c r="AG7" s="1">
        <v>878</v>
      </c>
      <c r="AH7" s="117">
        <v>2321</v>
      </c>
      <c r="AI7" s="1">
        <v>126</v>
      </c>
      <c r="AK7" s="1">
        <v>1174</v>
      </c>
      <c r="AL7" s="117">
        <v>396</v>
      </c>
      <c r="AM7" s="1">
        <v>415</v>
      </c>
      <c r="AR7" s="3">
        <f t="shared" si="15"/>
        <v>57774</v>
      </c>
      <c r="AT7" s="1">
        <f>+[1]PassVol!$AU7</f>
        <v>34733</v>
      </c>
      <c r="AU7" s="1">
        <f t="shared" si="1"/>
        <v>23041</v>
      </c>
      <c r="AV7" s="1">
        <f t="shared" si="2"/>
        <v>0</v>
      </c>
      <c r="AW7" s="1">
        <f t="shared" si="3"/>
        <v>0</v>
      </c>
      <c r="AX7" s="1">
        <f t="shared" si="4"/>
        <v>11397</v>
      </c>
      <c r="AY7" s="1">
        <f t="shared" si="5"/>
        <v>11439</v>
      </c>
      <c r="AZ7" s="1">
        <f t="shared" si="6"/>
        <v>13371</v>
      </c>
      <c r="BA7" s="1">
        <f t="shared" si="7"/>
        <v>12230</v>
      </c>
      <c r="BB7" s="1">
        <f t="shared" si="8"/>
        <v>4905</v>
      </c>
      <c r="BC7" s="1">
        <f t="shared" si="9"/>
        <v>3621</v>
      </c>
      <c r="BD7" s="1">
        <f t="shared" si="10"/>
        <v>811</v>
      </c>
      <c r="BE7" s="1">
        <f t="shared" si="11"/>
        <v>0</v>
      </c>
      <c r="BG7" s="1">
        <f t="shared" si="12"/>
        <v>0</v>
      </c>
      <c r="BH7" s="1">
        <f t="shared" si="16"/>
        <v>0</v>
      </c>
      <c r="BI7" s="1">
        <f t="shared" si="17"/>
        <v>68382</v>
      </c>
      <c r="BJ7" s="1">
        <f t="shared" si="18"/>
        <v>68634</v>
      </c>
      <c r="BK7" s="1">
        <f t="shared" si="19"/>
        <v>80226</v>
      </c>
      <c r="BL7" s="1">
        <f t="shared" si="20"/>
        <v>73380</v>
      </c>
      <c r="BM7" s="1">
        <f t="shared" si="21"/>
        <v>29430</v>
      </c>
      <c r="BN7" s="1">
        <f t="shared" si="22"/>
        <v>21726</v>
      </c>
      <c r="BO7" s="1">
        <f t="shared" si="23"/>
        <v>4866</v>
      </c>
      <c r="BP7" s="1">
        <f t="shared" si="24"/>
        <v>0</v>
      </c>
      <c r="BQ7" s="1">
        <f t="shared" si="14"/>
        <v>346644</v>
      </c>
    </row>
    <row r="8" spans="1:69" ht="15" customHeight="1" x14ac:dyDescent="0.25">
      <c r="C8" t="s">
        <v>354</v>
      </c>
      <c r="L8" s="1">
        <v>120</v>
      </c>
      <c r="M8" s="1">
        <v>27</v>
      </c>
      <c r="N8" s="1">
        <v>54</v>
      </c>
      <c r="O8" s="1">
        <v>120</v>
      </c>
      <c r="P8" s="1">
        <v>150</v>
      </c>
      <c r="Q8" s="1">
        <v>195</v>
      </c>
      <c r="R8" s="1">
        <v>180</v>
      </c>
      <c r="S8" s="1">
        <v>183</v>
      </c>
      <c r="T8" s="1">
        <v>195</v>
      </c>
      <c r="U8" s="1">
        <v>144</v>
      </c>
      <c r="V8" s="1">
        <v>78</v>
      </c>
      <c r="W8" s="1">
        <v>177</v>
      </c>
      <c r="X8" s="1">
        <v>231</v>
      </c>
      <c r="Y8" s="1">
        <v>87</v>
      </c>
      <c r="Z8" s="1">
        <v>87</v>
      </c>
      <c r="AA8" s="1">
        <v>81</v>
      </c>
      <c r="AB8" s="1">
        <v>54</v>
      </c>
      <c r="AC8" s="1">
        <v>30</v>
      </c>
      <c r="AH8" s="117">
        <v>120</v>
      </c>
      <c r="AR8" s="3">
        <f t="shared" si="15"/>
        <v>2313</v>
      </c>
      <c r="AT8" s="1">
        <f>+[1]PassVol!$AU8</f>
        <v>2097</v>
      </c>
      <c r="AU8" s="1">
        <f t="shared" si="1"/>
        <v>216</v>
      </c>
      <c r="AV8" s="1">
        <f t="shared" si="2"/>
        <v>0</v>
      </c>
      <c r="AW8" s="1">
        <f t="shared" si="3"/>
        <v>0</v>
      </c>
      <c r="AX8" s="1">
        <f t="shared" si="4"/>
        <v>471</v>
      </c>
      <c r="AY8" s="1">
        <f t="shared" si="5"/>
        <v>753</v>
      </c>
      <c r="AZ8" s="1">
        <f t="shared" si="6"/>
        <v>630</v>
      </c>
      <c r="BA8" s="1">
        <f t="shared" si="7"/>
        <v>339</v>
      </c>
      <c r="BB8" s="1">
        <f t="shared" si="8"/>
        <v>0</v>
      </c>
      <c r="BC8" s="1">
        <f t="shared" si="9"/>
        <v>120</v>
      </c>
      <c r="BD8" s="1">
        <f t="shared" si="10"/>
        <v>0</v>
      </c>
      <c r="BE8" s="1">
        <f t="shared" si="11"/>
        <v>0</v>
      </c>
      <c r="BG8" s="1">
        <f t="shared" si="12"/>
        <v>0</v>
      </c>
      <c r="BH8" s="1">
        <f t="shared" si="16"/>
        <v>0</v>
      </c>
      <c r="BI8" s="1">
        <f t="shared" si="17"/>
        <v>2826</v>
      </c>
      <c r="BJ8" s="1">
        <f t="shared" si="18"/>
        <v>4518</v>
      </c>
      <c r="BK8" s="1">
        <f t="shared" si="19"/>
        <v>3780</v>
      </c>
      <c r="BL8" s="1">
        <f t="shared" si="20"/>
        <v>2034</v>
      </c>
      <c r="BM8" s="1">
        <f t="shared" si="21"/>
        <v>0</v>
      </c>
      <c r="BN8" s="1">
        <f t="shared" si="22"/>
        <v>720</v>
      </c>
      <c r="BO8" s="1">
        <f t="shared" si="23"/>
        <v>0</v>
      </c>
      <c r="BP8" s="1">
        <f t="shared" si="24"/>
        <v>0</v>
      </c>
      <c r="BQ8" s="1">
        <f t="shared" si="14"/>
        <v>13878</v>
      </c>
    </row>
    <row r="9" spans="1:69" ht="15" customHeight="1" x14ac:dyDescent="0.25">
      <c r="C9" t="s">
        <v>265</v>
      </c>
      <c r="L9" s="1">
        <v>299</v>
      </c>
      <c r="M9" s="1">
        <v>150</v>
      </c>
      <c r="N9" s="1">
        <v>139</v>
      </c>
      <c r="O9" s="1">
        <v>247</v>
      </c>
      <c r="P9" s="1">
        <v>456</v>
      </c>
      <c r="Q9" s="1">
        <v>350</v>
      </c>
      <c r="R9" s="1">
        <v>255</v>
      </c>
      <c r="S9" s="1">
        <v>593</v>
      </c>
      <c r="T9" s="1">
        <v>408</v>
      </c>
      <c r="U9" s="1">
        <v>950</v>
      </c>
      <c r="V9" s="1">
        <v>677</v>
      </c>
      <c r="W9" s="1">
        <v>383</v>
      </c>
      <c r="X9" s="1">
        <v>768</v>
      </c>
      <c r="Y9" s="1">
        <v>238</v>
      </c>
      <c r="AA9" s="1">
        <v>71</v>
      </c>
      <c r="AH9" s="117">
        <v>313</v>
      </c>
      <c r="AK9" s="1">
        <v>84</v>
      </c>
      <c r="AR9" s="3">
        <f t="shared" si="15"/>
        <v>6381</v>
      </c>
      <c r="AT9" s="1">
        <f>+[1]PassVol!$AU9</f>
        <v>5570</v>
      </c>
      <c r="AU9" s="1">
        <f t="shared" si="1"/>
        <v>811</v>
      </c>
      <c r="AV9" s="1">
        <f t="shared" si="2"/>
        <v>0</v>
      </c>
      <c r="AW9" s="1">
        <f t="shared" si="3"/>
        <v>0</v>
      </c>
      <c r="AX9" s="1">
        <f t="shared" si="4"/>
        <v>1291</v>
      </c>
      <c r="AY9" s="1">
        <f t="shared" si="5"/>
        <v>1606</v>
      </c>
      <c r="AZ9" s="1">
        <f t="shared" si="6"/>
        <v>2778</v>
      </c>
      <c r="BA9" s="1">
        <f t="shared" si="7"/>
        <v>309</v>
      </c>
      <c r="BB9" s="1">
        <f t="shared" si="8"/>
        <v>0</v>
      </c>
      <c r="BC9" s="1">
        <f t="shared" si="9"/>
        <v>397</v>
      </c>
      <c r="BD9" s="1">
        <f t="shared" si="10"/>
        <v>0</v>
      </c>
      <c r="BE9" s="1">
        <f t="shared" si="11"/>
        <v>0</v>
      </c>
      <c r="BG9" s="1">
        <f t="shared" si="12"/>
        <v>0</v>
      </c>
      <c r="BH9" s="1">
        <f t="shared" si="16"/>
        <v>0</v>
      </c>
      <c r="BI9" s="1">
        <f t="shared" si="17"/>
        <v>7746</v>
      </c>
      <c r="BJ9" s="1">
        <f t="shared" si="18"/>
        <v>9636</v>
      </c>
      <c r="BK9" s="1">
        <f t="shared" si="19"/>
        <v>16668</v>
      </c>
      <c r="BL9" s="1">
        <f t="shared" si="20"/>
        <v>1854</v>
      </c>
      <c r="BM9" s="1">
        <f t="shared" si="21"/>
        <v>0</v>
      </c>
      <c r="BN9" s="1">
        <f t="shared" si="22"/>
        <v>2382</v>
      </c>
      <c r="BO9" s="1">
        <f t="shared" si="23"/>
        <v>0</v>
      </c>
      <c r="BP9" s="1">
        <f t="shared" si="24"/>
        <v>0</v>
      </c>
      <c r="BQ9" s="1">
        <f t="shared" si="14"/>
        <v>38286</v>
      </c>
    </row>
    <row r="10" spans="1:69" ht="15" customHeight="1" x14ac:dyDescent="0.25">
      <c r="C10" t="s">
        <v>191</v>
      </c>
      <c r="M10" s="1">
        <v>1436</v>
      </c>
      <c r="N10" s="1">
        <v>120</v>
      </c>
      <c r="O10" s="1">
        <v>521</v>
      </c>
      <c r="P10" s="1">
        <v>1572</v>
      </c>
      <c r="Q10" s="1">
        <v>631</v>
      </c>
      <c r="R10" s="1">
        <v>1398</v>
      </c>
      <c r="S10" s="1">
        <v>2612</v>
      </c>
      <c r="T10" s="1">
        <v>2204</v>
      </c>
      <c r="U10" s="1">
        <v>998</v>
      </c>
      <c r="V10" s="1">
        <v>9</v>
      </c>
      <c r="W10" s="1">
        <v>1269</v>
      </c>
      <c r="X10" s="1">
        <v>933</v>
      </c>
      <c r="Y10" s="1">
        <v>987</v>
      </c>
      <c r="Z10" s="1">
        <v>894</v>
      </c>
      <c r="AA10" s="1">
        <v>625</v>
      </c>
      <c r="AB10" s="1">
        <v>518</v>
      </c>
      <c r="AC10" s="1">
        <v>45</v>
      </c>
      <c r="AL10" s="117">
        <v>24</v>
      </c>
      <c r="AM10" s="1">
        <v>51</v>
      </c>
      <c r="AN10" s="1">
        <v>75</v>
      </c>
      <c r="AR10" s="3">
        <f t="shared" si="15"/>
        <v>16922</v>
      </c>
      <c r="AT10" s="1">
        <f>+[1]PassVol!$AU10</f>
        <v>8116</v>
      </c>
      <c r="AU10" s="1">
        <f t="shared" si="1"/>
        <v>8806</v>
      </c>
      <c r="AV10" s="1">
        <f t="shared" si="2"/>
        <v>0</v>
      </c>
      <c r="AW10" s="1">
        <f t="shared" si="3"/>
        <v>0</v>
      </c>
      <c r="AX10" s="1">
        <f t="shared" si="4"/>
        <v>3649</v>
      </c>
      <c r="AY10" s="1">
        <f t="shared" si="5"/>
        <v>6845</v>
      </c>
      <c r="AZ10" s="1">
        <f t="shared" si="6"/>
        <v>3209</v>
      </c>
      <c r="BA10" s="1">
        <f t="shared" si="7"/>
        <v>3069</v>
      </c>
      <c r="BB10" s="1">
        <f t="shared" si="8"/>
        <v>0</v>
      </c>
      <c r="BC10" s="1">
        <f t="shared" si="9"/>
        <v>0</v>
      </c>
      <c r="BD10" s="1">
        <f t="shared" si="10"/>
        <v>150</v>
      </c>
      <c r="BE10" s="1">
        <f t="shared" si="11"/>
        <v>0</v>
      </c>
      <c r="BG10" s="1">
        <f t="shared" si="12"/>
        <v>0</v>
      </c>
      <c r="BH10" s="1">
        <f t="shared" si="16"/>
        <v>0</v>
      </c>
      <c r="BI10" s="1">
        <f t="shared" si="17"/>
        <v>21894</v>
      </c>
      <c r="BJ10" s="1">
        <f t="shared" si="18"/>
        <v>41070</v>
      </c>
      <c r="BK10" s="1">
        <f t="shared" si="19"/>
        <v>19254</v>
      </c>
      <c r="BL10" s="1">
        <f t="shared" si="20"/>
        <v>18414</v>
      </c>
      <c r="BM10" s="1">
        <f t="shared" si="21"/>
        <v>0</v>
      </c>
      <c r="BN10" s="1">
        <f t="shared" si="22"/>
        <v>0</v>
      </c>
      <c r="BO10" s="1">
        <f t="shared" si="23"/>
        <v>900</v>
      </c>
      <c r="BP10" s="1">
        <f t="shared" si="24"/>
        <v>0</v>
      </c>
      <c r="BQ10" s="1">
        <f t="shared" si="14"/>
        <v>101532</v>
      </c>
    </row>
    <row r="11" spans="1:69" ht="15" customHeight="1" x14ac:dyDescent="0.25">
      <c r="C11" t="s">
        <v>549</v>
      </c>
      <c r="AR11" s="3">
        <f t="shared" si="15"/>
        <v>0</v>
      </c>
      <c r="AT11" s="1">
        <f>+[1]PassVol!$AU11</f>
        <v>0</v>
      </c>
      <c r="AU11" s="1">
        <f t="shared" si="1"/>
        <v>0</v>
      </c>
      <c r="AV11" s="1">
        <f t="shared" si="2"/>
        <v>0</v>
      </c>
      <c r="AW11" s="1">
        <f t="shared" si="3"/>
        <v>0</v>
      </c>
      <c r="AX11" s="1">
        <f t="shared" si="4"/>
        <v>0</v>
      </c>
      <c r="AY11" s="1">
        <f t="shared" si="5"/>
        <v>0</v>
      </c>
      <c r="AZ11" s="1">
        <f t="shared" si="6"/>
        <v>0</v>
      </c>
      <c r="BA11" s="1">
        <f t="shared" si="7"/>
        <v>0</v>
      </c>
      <c r="BB11" s="1">
        <f t="shared" si="8"/>
        <v>0</v>
      </c>
      <c r="BC11" s="1">
        <f t="shared" si="9"/>
        <v>0</v>
      </c>
      <c r="BD11" s="1">
        <f t="shared" si="10"/>
        <v>0</v>
      </c>
      <c r="BE11" s="1">
        <f t="shared" si="11"/>
        <v>0</v>
      </c>
      <c r="BG11" s="1">
        <f t="shared" si="12"/>
        <v>0</v>
      </c>
      <c r="BH11" s="1">
        <f t="shared" si="16"/>
        <v>0</v>
      </c>
      <c r="BI11" s="1">
        <f t="shared" si="17"/>
        <v>0</v>
      </c>
      <c r="BJ11" s="1">
        <f t="shared" si="18"/>
        <v>0</v>
      </c>
      <c r="BK11" s="1">
        <f t="shared" si="19"/>
        <v>0</v>
      </c>
      <c r="BL11" s="1">
        <f t="shared" si="20"/>
        <v>0</v>
      </c>
      <c r="BM11" s="1">
        <f t="shared" si="21"/>
        <v>0</v>
      </c>
      <c r="BN11" s="1">
        <f t="shared" si="22"/>
        <v>0</v>
      </c>
      <c r="BO11" s="1">
        <f t="shared" si="23"/>
        <v>0</v>
      </c>
      <c r="BP11" s="1">
        <f t="shared" si="24"/>
        <v>0</v>
      </c>
      <c r="BQ11" s="1">
        <f t="shared" si="14"/>
        <v>0</v>
      </c>
    </row>
    <row r="12" spans="1:69" ht="15" customHeight="1" x14ac:dyDescent="0.25">
      <c r="C12" t="s">
        <v>550</v>
      </c>
      <c r="M12" s="1">
        <v>192</v>
      </c>
      <c r="O12" s="1">
        <v>42</v>
      </c>
      <c r="Q12" s="1">
        <v>93</v>
      </c>
      <c r="R12" s="1">
        <v>168</v>
      </c>
      <c r="S12" s="1">
        <v>272</v>
      </c>
      <c r="U12" s="1">
        <v>374</v>
      </c>
      <c r="V12" s="1">
        <v>341</v>
      </c>
      <c r="W12" s="1">
        <v>165</v>
      </c>
      <c r="X12" s="1">
        <v>497</v>
      </c>
      <c r="Y12" s="1">
        <v>213</v>
      </c>
      <c r="Z12" s="1">
        <v>114</v>
      </c>
      <c r="AA12" s="1">
        <v>116</v>
      </c>
      <c r="AB12" s="1">
        <v>203</v>
      </c>
      <c r="AC12" s="1">
        <v>172</v>
      </c>
      <c r="AD12" s="1">
        <v>324</v>
      </c>
      <c r="AE12" s="1">
        <v>201</v>
      </c>
      <c r="AF12" s="1">
        <v>16</v>
      </c>
      <c r="AG12" s="1">
        <v>55</v>
      </c>
      <c r="AH12" s="117">
        <v>151</v>
      </c>
      <c r="AI12" s="1">
        <v>168</v>
      </c>
      <c r="AJ12" s="1">
        <v>191</v>
      </c>
      <c r="AK12" s="1">
        <v>122</v>
      </c>
      <c r="AL12" s="117">
        <v>51</v>
      </c>
      <c r="AM12" s="1">
        <v>78</v>
      </c>
      <c r="AN12" s="1">
        <v>63</v>
      </c>
      <c r="AR12" s="3">
        <f t="shared" si="15"/>
        <v>4382</v>
      </c>
      <c r="AT12" s="1">
        <f>+[1]PassVol!$AU12</f>
        <v>0</v>
      </c>
      <c r="AU12" s="1">
        <f t="shared" si="1"/>
        <v>4382</v>
      </c>
      <c r="AV12" s="1">
        <f t="shared" si="2"/>
        <v>0</v>
      </c>
      <c r="AW12" s="1">
        <f t="shared" si="3"/>
        <v>0</v>
      </c>
      <c r="AX12" s="1">
        <f t="shared" si="4"/>
        <v>234</v>
      </c>
      <c r="AY12" s="1">
        <f t="shared" si="5"/>
        <v>533</v>
      </c>
      <c r="AZ12" s="1">
        <f t="shared" si="6"/>
        <v>1377</v>
      </c>
      <c r="BA12" s="1">
        <f t="shared" si="7"/>
        <v>818</v>
      </c>
      <c r="BB12" s="1">
        <f t="shared" si="8"/>
        <v>596</v>
      </c>
      <c r="BC12" s="1">
        <f t="shared" si="9"/>
        <v>632</v>
      </c>
      <c r="BD12" s="1">
        <f t="shared" si="10"/>
        <v>192</v>
      </c>
      <c r="BE12" s="1">
        <f t="shared" si="11"/>
        <v>0</v>
      </c>
      <c r="BG12" s="1">
        <f t="shared" si="12"/>
        <v>0</v>
      </c>
      <c r="BH12" s="1">
        <f t="shared" si="16"/>
        <v>0</v>
      </c>
      <c r="BI12" s="1">
        <f t="shared" si="17"/>
        <v>1404</v>
      </c>
      <c r="BJ12" s="1">
        <f t="shared" si="18"/>
        <v>3198</v>
      </c>
      <c r="BK12" s="1">
        <f t="shared" si="19"/>
        <v>8262</v>
      </c>
      <c r="BL12" s="1">
        <f t="shared" si="20"/>
        <v>4908</v>
      </c>
      <c r="BM12" s="1">
        <f t="shared" si="21"/>
        <v>3576</v>
      </c>
      <c r="BN12" s="1">
        <f t="shared" si="22"/>
        <v>3792</v>
      </c>
      <c r="BO12" s="1">
        <f t="shared" si="23"/>
        <v>1152</v>
      </c>
      <c r="BP12" s="1">
        <f t="shared" si="24"/>
        <v>0</v>
      </c>
      <c r="BQ12" s="1">
        <f t="shared" si="14"/>
        <v>26292</v>
      </c>
    </row>
    <row r="13" spans="1:69" ht="15" customHeight="1" x14ac:dyDescent="0.25">
      <c r="C13" t="s">
        <v>6</v>
      </c>
      <c r="L13" s="1">
        <v>5760</v>
      </c>
      <c r="M13" s="1">
        <v>2400</v>
      </c>
      <c r="N13" s="1">
        <v>2193</v>
      </c>
      <c r="O13" s="1">
        <v>2400</v>
      </c>
      <c r="P13" s="1">
        <v>1920</v>
      </c>
      <c r="Q13" s="1">
        <v>5760</v>
      </c>
      <c r="R13" s="1">
        <v>1920</v>
      </c>
      <c r="S13" s="1">
        <v>2160</v>
      </c>
      <c r="T13" s="1">
        <v>2160</v>
      </c>
      <c r="U13" s="1">
        <v>1920</v>
      </c>
      <c r="V13" s="1">
        <v>1404</v>
      </c>
      <c r="W13" s="1">
        <v>1404</v>
      </c>
      <c r="Y13" s="1">
        <v>1545</v>
      </c>
      <c r="AA13" s="1">
        <v>1300</v>
      </c>
      <c r="AC13" s="1">
        <v>1350</v>
      </c>
      <c r="AE13" s="1">
        <v>1080</v>
      </c>
      <c r="AH13" s="117">
        <v>5400</v>
      </c>
      <c r="AR13" s="3">
        <f t="shared" si="15"/>
        <v>42076</v>
      </c>
      <c r="AT13" s="1">
        <f>+[1]PassVol!$AU13</f>
        <v>26556</v>
      </c>
      <c r="AU13" s="1">
        <f t="shared" si="1"/>
        <v>15520</v>
      </c>
      <c r="AV13" s="1">
        <f t="shared" si="2"/>
        <v>0</v>
      </c>
      <c r="AW13" s="1">
        <f t="shared" si="3"/>
        <v>0</v>
      </c>
      <c r="AX13" s="1">
        <f t="shared" si="4"/>
        <v>14673</v>
      </c>
      <c r="AY13" s="1">
        <f t="shared" si="5"/>
        <v>12000</v>
      </c>
      <c r="AZ13" s="1">
        <f t="shared" si="6"/>
        <v>4728</v>
      </c>
      <c r="BA13" s="1">
        <f t="shared" si="7"/>
        <v>4195</v>
      </c>
      <c r="BB13" s="1">
        <f t="shared" si="8"/>
        <v>1080</v>
      </c>
      <c r="BC13" s="1">
        <f t="shared" si="9"/>
        <v>5400</v>
      </c>
      <c r="BD13" s="1">
        <f t="shared" si="10"/>
        <v>0</v>
      </c>
      <c r="BE13" s="1">
        <f t="shared" si="11"/>
        <v>0</v>
      </c>
      <c r="BG13" s="1">
        <f t="shared" si="12"/>
        <v>0</v>
      </c>
      <c r="BH13" s="1">
        <f t="shared" si="16"/>
        <v>0</v>
      </c>
      <c r="BI13" s="1">
        <f t="shared" si="17"/>
        <v>88038</v>
      </c>
      <c r="BJ13" s="1">
        <f t="shared" si="18"/>
        <v>72000</v>
      </c>
      <c r="BK13" s="1">
        <f t="shared" si="19"/>
        <v>28368</v>
      </c>
      <c r="BL13" s="1">
        <f t="shared" si="20"/>
        <v>25170</v>
      </c>
      <c r="BM13" s="1">
        <f t="shared" si="21"/>
        <v>6480</v>
      </c>
      <c r="BN13" s="1">
        <f t="shared" si="22"/>
        <v>32400</v>
      </c>
      <c r="BO13" s="1">
        <f t="shared" si="23"/>
        <v>0</v>
      </c>
      <c r="BP13" s="1">
        <f t="shared" si="24"/>
        <v>0</v>
      </c>
      <c r="BQ13" s="1">
        <f t="shared" si="14"/>
        <v>252456</v>
      </c>
    </row>
    <row r="14" spans="1:69" ht="15" customHeight="1" x14ac:dyDescent="0.25">
      <c r="C14" t="s">
        <v>262</v>
      </c>
      <c r="L14" s="1">
        <v>21</v>
      </c>
      <c r="N14" s="1">
        <v>339</v>
      </c>
      <c r="O14" s="1">
        <v>591</v>
      </c>
      <c r="P14" s="1">
        <v>501</v>
      </c>
      <c r="Q14" s="1">
        <v>540</v>
      </c>
      <c r="R14" s="1">
        <v>339</v>
      </c>
      <c r="S14" s="1">
        <v>416</v>
      </c>
      <c r="T14" s="1">
        <v>257</v>
      </c>
      <c r="U14" s="1">
        <v>284</v>
      </c>
      <c r="V14" s="1">
        <v>231</v>
      </c>
      <c r="W14" s="1">
        <v>353</v>
      </c>
      <c r="X14" s="1">
        <v>226</v>
      </c>
      <c r="Y14" s="1">
        <v>119</v>
      </c>
      <c r="Z14" s="1">
        <v>73</v>
      </c>
      <c r="AB14" s="1">
        <v>102</v>
      </c>
      <c r="AC14" s="1">
        <v>24</v>
      </c>
      <c r="AE14" s="1">
        <v>33</v>
      </c>
      <c r="AF14" s="1">
        <v>96</v>
      </c>
      <c r="AK14" s="1">
        <v>117</v>
      </c>
      <c r="AL14" s="117">
        <v>159</v>
      </c>
      <c r="AM14" s="1">
        <v>30</v>
      </c>
      <c r="AR14" s="3">
        <f t="shared" si="15"/>
        <v>4851</v>
      </c>
      <c r="AT14" s="1">
        <f>+[1]PassVol!$AU14</f>
        <v>5482</v>
      </c>
      <c r="AU14" s="1">
        <f t="shared" si="1"/>
        <v>-631</v>
      </c>
      <c r="AV14" s="1">
        <f t="shared" si="2"/>
        <v>0</v>
      </c>
      <c r="AW14" s="1">
        <f t="shared" si="3"/>
        <v>0</v>
      </c>
      <c r="AX14" s="1">
        <f t="shared" si="4"/>
        <v>1452</v>
      </c>
      <c r="AY14" s="1">
        <f t="shared" si="5"/>
        <v>1552</v>
      </c>
      <c r="AZ14" s="1">
        <f t="shared" si="6"/>
        <v>1094</v>
      </c>
      <c r="BA14" s="1">
        <f t="shared" si="7"/>
        <v>318</v>
      </c>
      <c r="BB14" s="1">
        <f t="shared" si="8"/>
        <v>129</v>
      </c>
      <c r="BC14" s="1">
        <f t="shared" si="9"/>
        <v>117</v>
      </c>
      <c r="BD14" s="1">
        <f t="shared" si="10"/>
        <v>189</v>
      </c>
      <c r="BE14" s="1">
        <f t="shared" si="11"/>
        <v>0</v>
      </c>
      <c r="BG14" s="1">
        <f t="shared" si="12"/>
        <v>0</v>
      </c>
      <c r="BH14" s="1">
        <f t="shared" si="16"/>
        <v>0</v>
      </c>
      <c r="BI14" s="1">
        <f t="shared" si="17"/>
        <v>8712</v>
      </c>
      <c r="BJ14" s="1">
        <f t="shared" si="18"/>
        <v>9312</v>
      </c>
      <c r="BK14" s="1">
        <f t="shared" si="19"/>
        <v>6564</v>
      </c>
      <c r="BL14" s="1">
        <f t="shared" si="20"/>
        <v>1908</v>
      </c>
      <c r="BM14" s="1">
        <f t="shared" si="21"/>
        <v>774</v>
      </c>
      <c r="BN14" s="1">
        <f t="shared" si="22"/>
        <v>702</v>
      </c>
      <c r="BO14" s="1">
        <f t="shared" si="23"/>
        <v>1134</v>
      </c>
      <c r="BP14" s="1">
        <f t="shared" si="24"/>
        <v>0</v>
      </c>
      <c r="BQ14" s="1">
        <f t="shared" si="14"/>
        <v>29106</v>
      </c>
    </row>
    <row r="15" spans="1:69" ht="15" customHeight="1" x14ac:dyDescent="0.25">
      <c r="C15" t="s">
        <v>42</v>
      </c>
      <c r="L15" s="1">
        <v>696</v>
      </c>
      <c r="N15" s="1">
        <v>375</v>
      </c>
      <c r="O15" s="1">
        <v>198</v>
      </c>
      <c r="P15" s="1">
        <v>717</v>
      </c>
      <c r="Q15" s="1">
        <v>390</v>
      </c>
      <c r="R15" s="1">
        <v>411</v>
      </c>
      <c r="S15" s="1">
        <v>339</v>
      </c>
      <c r="T15" s="1">
        <v>183</v>
      </c>
      <c r="U15" s="1">
        <v>726</v>
      </c>
      <c r="V15" s="1">
        <v>330</v>
      </c>
      <c r="W15" s="1">
        <v>378</v>
      </c>
      <c r="X15" s="1">
        <v>615</v>
      </c>
      <c r="Y15" s="1">
        <v>174</v>
      </c>
      <c r="Z15" s="1">
        <v>78</v>
      </c>
      <c r="AA15" s="1">
        <v>54</v>
      </c>
      <c r="AC15" s="1">
        <v>54</v>
      </c>
      <c r="AE15" s="1">
        <v>60</v>
      </c>
      <c r="AF15" s="1">
        <v>69</v>
      </c>
      <c r="AG15" s="1">
        <v>36</v>
      </c>
      <c r="AH15" s="117">
        <v>27</v>
      </c>
      <c r="AI15" s="1">
        <v>18</v>
      </c>
      <c r="AJ15" s="1">
        <v>45</v>
      </c>
      <c r="AN15" s="1">
        <v>21</v>
      </c>
      <c r="AR15" s="3">
        <f t="shared" si="15"/>
        <v>5994</v>
      </c>
      <c r="AT15" s="1">
        <f>+[1]PassVol!$AU15</f>
        <v>6174</v>
      </c>
      <c r="AU15" s="1">
        <f t="shared" si="1"/>
        <v>-180</v>
      </c>
      <c r="AV15" s="1">
        <f t="shared" si="2"/>
        <v>0</v>
      </c>
      <c r="AW15" s="1">
        <f t="shared" si="3"/>
        <v>0</v>
      </c>
      <c r="AX15" s="1">
        <f t="shared" si="4"/>
        <v>1986</v>
      </c>
      <c r="AY15" s="1">
        <f t="shared" si="5"/>
        <v>1323</v>
      </c>
      <c r="AZ15" s="1">
        <f t="shared" si="6"/>
        <v>2049</v>
      </c>
      <c r="BA15" s="1">
        <f t="shared" si="7"/>
        <v>360</v>
      </c>
      <c r="BB15" s="1">
        <f t="shared" si="8"/>
        <v>165</v>
      </c>
      <c r="BC15" s="1">
        <f t="shared" si="9"/>
        <v>90</v>
      </c>
      <c r="BD15" s="1">
        <f t="shared" si="10"/>
        <v>21</v>
      </c>
      <c r="BE15" s="1">
        <f t="shared" si="11"/>
        <v>0</v>
      </c>
      <c r="BG15" s="1">
        <f t="shared" si="12"/>
        <v>0</v>
      </c>
      <c r="BH15" s="1">
        <f t="shared" si="16"/>
        <v>0</v>
      </c>
      <c r="BI15" s="1">
        <f t="shared" si="17"/>
        <v>11916</v>
      </c>
      <c r="BJ15" s="1">
        <f t="shared" si="18"/>
        <v>7938</v>
      </c>
      <c r="BK15" s="1">
        <f t="shared" si="19"/>
        <v>12294</v>
      </c>
      <c r="BL15" s="1">
        <f t="shared" si="20"/>
        <v>2160</v>
      </c>
      <c r="BM15" s="1">
        <f t="shared" si="21"/>
        <v>990</v>
      </c>
      <c r="BN15" s="1">
        <f t="shared" si="22"/>
        <v>540</v>
      </c>
      <c r="BO15" s="1">
        <f t="shared" si="23"/>
        <v>126</v>
      </c>
      <c r="BP15" s="1">
        <f t="shared" si="24"/>
        <v>0</v>
      </c>
      <c r="BQ15" s="1">
        <f t="shared" si="14"/>
        <v>35964</v>
      </c>
    </row>
    <row r="16" spans="1:69" ht="15" customHeight="1" x14ac:dyDescent="0.25">
      <c r="C16" t="s">
        <v>192</v>
      </c>
      <c r="M16" s="1">
        <v>1356</v>
      </c>
      <c r="N16" s="1">
        <v>197</v>
      </c>
      <c r="O16" s="1">
        <v>440</v>
      </c>
      <c r="P16" s="1">
        <v>506</v>
      </c>
      <c r="Q16" s="1">
        <v>471</v>
      </c>
      <c r="R16" s="1">
        <v>1446</v>
      </c>
      <c r="S16" s="1">
        <v>276</v>
      </c>
      <c r="T16" s="1">
        <v>461</v>
      </c>
      <c r="U16" s="1">
        <v>774</v>
      </c>
      <c r="V16" s="1">
        <v>538</v>
      </c>
      <c r="W16" s="1">
        <v>1014</v>
      </c>
      <c r="X16" s="1">
        <v>845</v>
      </c>
      <c r="Y16" s="1">
        <v>186</v>
      </c>
      <c r="Z16" s="1">
        <v>174</v>
      </c>
      <c r="AA16" s="1">
        <v>114</v>
      </c>
      <c r="AB16" s="1">
        <v>102</v>
      </c>
      <c r="AC16" s="1">
        <v>123</v>
      </c>
      <c r="AD16" s="1">
        <v>30</v>
      </c>
      <c r="AH16" s="117">
        <v>660</v>
      </c>
      <c r="AI16" s="1">
        <v>99</v>
      </c>
      <c r="AJ16" s="1">
        <v>183</v>
      </c>
      <c r="AR16" s="3">
        <f t="shared" si="15"/>
        <v>9995</v>
      </c>
      <c r="AT16" s="1">
        <f>+[1]PassVol!$AU16</f>
        <v>4398</v>
      </c>
      <c r="AU16" s="1">
        <f t="shared" si="1"/>
        <v>5597</v>
      </c>
      <c r="AV16" s="1">
        <f t="shared" si="2"/>
        <v>0</v>
      </c>
      <c r="AW16" s="1">
        <f t="shared" si="3"/>
        <v>0</v>
      </c>
      <c r="AX16" s="1">
        <f t="shared" si="4"/>
        <v>2499</v>
      </c>
      <c r="AY16" s="1">
        <f t="shared" si="5"/>
        <v>2654</v>
      </c>
      <c r="AZ16" s="1">
        <f t="shared" si="6"/>
        <v>3171</v>
      </c>
      <c r="BA16" s="1">
        <f t="shared" si="7"/>
        <v>699</v>
      </c>
      <c r="BB16" s="1">
        <f t="shared" si="8"/>
        <v>30</v>
      </c>
      <c r="BC16" s="1">
        <f t="shared" si="9"/>
        <v>942</v>
      </c>
      <c r="BD16" s="1">
        <f t="shared" si="10"/>
        <v>0</v>
      </c>
      <c r="BE16" s="1">
        <f t="shared" si="11"/>
        <v>0</v>
      </c>
      <c r="BF16" s="8"/>
      <c r="BG16" s="1">
        <f t="shared" si="12"/>
        <v>0</v>
      </c>
      <c r="BH16" s="1">
        <f t="shared" si="16"/>
        <v>0</v>
      </c>
      <c r="BI16" s="1">
        <f t="shared" si="17"/>
        <v>14994</v>
      </c>
      <c r="BJ16" s="1">
        <f t="shared" si="18"/>
        <v>15924</v>
      </c>
      <c r="BK16" s="1">
        <f t="shared" si="19"/>
        <v>19026</v>
      </c>
      <c r="BL16" s="1">
        <f t="shared" si="20"/>
        <v>4194</v>
      </c>
      <c r="BM16" s="1">
        <f t="shared" si="21"/>
        <v>180</v>
      </c>
      <c r="BN16" s="1">
        <f t="shared" si="22"/>
        <v>5652</v>
      </c>
      <c r="BO16" s="1">
        <f t="shared" si="23"/>
        <v>0</v>
      </c>
      <c r="BP16" s="1">
        <f t="shared" si="24"/>
        <v>0</v>
      </c>
      <c r="BQ16" s="1">
        <f t="shared" si="14"/>
        <v>59970</v>
      </c>
    </row>
    <row r="17" spans="1:69" ht="15" customHeight="1" x14ac:dyDescent="0.25">
      <c r="C17" t="s">
        <v>133</v>
      </c>
      <c r="L17" s="1">
        <v>99</v>
      </c>
      <c r="M17" s="1">
        <v>105</v>
      </c>
      <c r="N17" s="1">
        <v>135</v>
      </c>
      <c r="O17" s="1">
        <v>279</v>
      </c>
      <c r="P17" s="1">
        <v>339</v>
      </c>
      <c r="Q17" s="1">
        <v>324</v>
      </c>
      <c r="R17" s="1">
        <v>234</v>
      </c>
      <c r="S17" s="1">
        <v>336</v>
      </c>
      <c r="T17" s="1">
        <v>498</v>
      </c>
      <c r="U17" s="1">
        <v>483</v>
      </c>
      <c r="V17" s="1">
        <v>269</v>
      </c>
      <c r="W17" s="1">
        <v>308</v>
      </c>
      <c r="X17" s="1">
        <v>413</v>
      </c>
      <c r="Y17" s="1">
        <v>178</v>
      </c>
      <c r="Z17" s="1">
        <v>161</v>
      </c>
      <c r="AA17" s="1">
        <v>86</v>
      </c>
      <c r="AB17" s="1">
        <v>99</v>
      </c>
      <c r="AC17" s="1">
        <v>84</v>
      </c>
      <c r="AD17" s="1">
        <v>72</v>
      </c>
      <c r="AE17" s="1">
        <v>61</v>
      </c>
      <c r="AF17" s="1">
        <v>66</v>
      </c>
      <c r="AG17" s="1">
        <v>69</v>
      </c>
      <c r="AH17" s="117">
        <v>60</v>
      </c>
      <c r="AI17" s="1">
        <v>87</v>
      </c>
      <c r="AJ17" s="1">
        <v>33</v>
      </c>
      <c r="AL17" s="117">
        <v>33</v>
      </c>
      <c r="AM17" s="1">
        <v>30</v>
      </c>
      <c r="AN17" s="1">
        <v>30</v>
      </c>
      <c r="AR17" s="3">
        <f t="shared" si="15"/>
        <v>4971</v>
      </c>
      <c r="AT17" s="1">
        <f>+[1]PassVol!$AU17</f>
        <v>2780</v>
      </c>
      <c r="AU17" s="1">
        <f t="shared" si="1"/>
        <v>2191</v>
      </c>
      <c r="AV17" s="1">
        <f t="shared" si="2"/>
        <v>0</v>
      </c>
      <c r="AW17" s="1">
        <f t="shared" si="3"/>
        <v>0</v>
      </c>
      <c r="AX17" s="1">
        <f t="shared" si="4"/>
        <v>957</v>
      </c>
      <c r="AY17" s="1">
        <f t="shared" si="5"/>
        <v>1392</v>
      </c>
      <c r="AZ17" s="1">
        <f t="shared" si="6"/>
        <v>1473</v>
      </c>
      <c r="BA17" s="1">
        <f t="shared" si="7"/>
        <v>608</v>
      </c>
      <c r="BB17" s="1">
        <f t="shared" si="8"/>
        <v>268</v>
      </c>
      <c r="BC17" s="1">
        <f t="shared" si="9"/>
        <v>180</v>
      </c>
      <c r="BD17" s="1">
        <f t="shared" si="10"/>
        <v>93</v>
      </c>
      <c r="BE17" s="1">
        <f t="shared" si="11"/>
        <v>0</v>
      </c>
      <c r="BG17" s="1">
        <f t="shared" si="12"/>
        <v>0</v>
      </c>
      <c r="BH17" s="1">
        <f t="shared" si="16"/>
        <v>0</v>
      </c>
      <c r="BI17" s="1">
        <f t="shared" si="17"/>
        <v>5742</v>
      </c>
      <c r="BJ17" s="1">
        <f t="shared" si="18"/>
        <v>8352</v>
      </c>
      <c r="BK17" s="1">
        <f t="shared" si="19"/>
        <v>8838</v>
      </c>
      <c r="BL17" s="1">
        <f t="shared" si="20"/>
        <v>3648</v>
      </c>
      <c r="BM17" s="1">
        <f t="shared" si="21"/>
        <v>1608</v>
      </c>
      <c r="BN17" s="1">
        <f t="shared" si="22"/>
        <v>1080</v>
      </c>
      <c r="BO17" s="1">
        <f t="shared" si="23"/>
        <v>558</v>
      </c>
      <c r="BP17" s="1">
        <f t="shared" si="24"/>
        <v>0</v>
      </c>
      <c r="BQ17" s="1">
        <f t="shared" si="14"/>
        <v>29826</v>
      </c>
    </row>
    <row r="18" spans="1:69" ht="15" customHeight="1" x14ac:dyDescent="0.25">
      <c r="C18" t="s">
        <v>41</v>
      </c>
      <c r="L18" s="1">
        <v>847</v>
      </c>
      <c r="M18" s="1">
        <v>455</v>
      </c>
      <c r="N18" s="1">
        <v>452</v>
      </c>
      <c r="O18" s="1">
        <v>1365</v>
      </c>
      <c r="P18" s="1">
        <v>1102</v>
      </c>
      <c r="Q18" s="1">
        <v>1491</v>
      </c>
      <c r="R18" s="1">
        <v>1506</v>
      </c>
      <c r="S18" s="1">
        <v>959</v>
      </c>
      <c r="T18" s="1">
        <v>1543</v>
      </c>
      <c r="U18" s="1">
        <v>1795</v>
      </c>
      <c r="V18" s="1">
        <v>1655</v>
      </c>
      <c r="W18" s="1">
        <v>1698</v>
      </c>
      <c r="X18" s="1">
        <v>2609</v>
      </c>
      <c r="Y18" s="1">
        <v>1699</v>
      </c>
      <c r="Z18" s="1">
        <v>784</v>
      </c>
      <c r="AA18" s="1">
        <v>648</v>
      </c>
      <c r="AB18" s="1">
        <v>333</v>
      </c>
      <c r="AC18" s="1">
        <v>543</v>
      </c>
      <c r="AD18" s="1">
        <v>246</v>
      </c>
      <c r="AE18" s="1">
        <v>618</v>
      </c>
      <c r="AF18" s="1">
        <v>390</v>
      </c>
      <c r="AG18" s="1">
        <v>297</v>
      </c>
      <c r="AH18" s="117">
        <v>815</v>
      </c>
      <c r="AI18" s="1">
        <v>414</v>
      </c>
      <c r="AJ18" s="1">
        <v>330</v>
      </c>
      <c r="AK18" s="1">
        <v>231</v>
      </c>
      <c r="AL18" s="117">
        <v>168</v>
      </c>
      <c r="AM18" s="1">
        <v>210</v>
      </c>
      <c r="AN18" s="1">
        <v>108</v>
      </c>
      <c r="AR18" s="3">
        <f t="shared" si="15"/>
        <v>25311</v>
      </c>
      <c r="AT18" s="1">
        <f>+[1]PassVol!$AU18</f>
        <v>18377</v>
      </c>
      <c r="AU18" s="1">
        <f t="shared" si="1"/>
        <v>6934</v>
      </c>
      <c r="AV18" s="1">
        <f t="shared" si="2"/>
        <v>0</v>
      </c>
      <c r="AW18" s="1">
        <f t="shared" si="3"/>
        <v>0</v>
      </c>
      <c r="AX18" s="1">
        <f t="shared" si="4"/>
        <v>4221</v>
      </c>
      <c r="AY18" s="1">
        <f t="shared" si="5"/>
        <v>5499</v>
      </c>
      <c r="AZ18" s="1">
        <f t="shared" si="6"/>
        <v>7757</v>
      </c>
      <c r="BA18" s="1">
        <f t="shared" si="7"/>
        <v>4007</v>
      </c>
      <c r="BB18" s="1">
        <f t="shared" si="8"/>
        <v>1551</v>
      </c>
      <c r="BC18" s="1">
        <f t="shared" si="9"/>
        <v>1790</v>
      </c>
      <c r="BD18" s="1">
        <f t="shared" si="10"/>
        <v>486</v>
      </c>
      <c r="BE18" s="1">
        <f t="shared" si="11"/>
        <v>0</v>
      </c>
      <c r="BG18" s="1">
        <f t="shared" si="12"/>
        <v>0</v>
      </c>
      <c r="BH18" s="1">
        <f t="shared" si="16"/>
        <v>0</v>
      </c>
      <c r="BI18" s="1">
        <f t="shared" si="17"/>
        <v>25326</v>
      </c>
      <c r="BJ18" s="1">
        <f t="shared" si="18"/>
        <v>32994</v>
      </c>
      <c r="BK18" s="1">
        <f t="shared" si="19"/>
        <v>46542</v>
      </c>
      <c r="BL18" s="1">
        <f t="shared" si="20"/>
        <v>24042</v>
      </c>
      <c r="BM18" s="1">
        <f t="shared" si="21"/>
        <v>9306</v>
      </c>
      <c r="BN18" s="1">
        <f t="shared" si="22"/>
        <v>10740</v>
      </c>
      <c r="BO18" s="1">
        <f t="shared" si="23"/>
        <v>2916</v>
      </c>
      <c r="BP18" s="1">
        <f t="shared" si="24"/>
        <v>0</v>
      </c>
      <c r="BQ18" s="1">
        <f t="shared" si="14"/>
        <v>151866</v>
      </c>
    </row>
    <row r="19" spans="1:69" ht="15" customHeight="1" x14ac:dyDescent="0.25">
      <c r="C19" t="s">
        <v>193</v>
      </c>
      <c r="AR19" s="3">
        <f t="shared" si="15"/>
        <v>0</v>
      </c>
      <c r="AT19" s="1">
        <f>+[1]PassVol!$AU19</f>
        <v>0</v>
      </c>
      <c r="AU19" s="1">
        <f t="shared" si="1"/>
        <v>0</v>
      </c>
      <c r="AV19" s="1">
        <f t="shared" si="2"/>
        <v>0</v>
      </c>
      <c r="AW19" s="1">
        <f t="shared" si="3"/>
        <v>0</v>
      </c>
      <c r="AX19" s="1">
        <f t="shared" si="4"/>
        <v>0</v>
      </c>
      <c r="AY19" s="1">
        <f t="shared" si="5"/>
        <v>0</v>
      </c>
      <c r="AZ19" s="1">
        <f t="shared" si="6"/>
        <v>0</v>
      </c>
      <c r="BA19" s="1">
        <f t="shared" si="7"/>
        <v>0</v>
      </c>
      <c r="BB19" s="1">
        <f t="shared" si="8"/>
        <v>0</v>
      </c>
      <c r="BC19" s="1">
        <f t="shared" si="9"/>
        <v>0</v>
      </c>
      <c r="BD19" s="1">
        <f t="shared" si="10"/>
        <v>0</v>
      </c>
      <c r="BE19" s="1">
        <f t="shared" si="11"/>
        <v>0</v>
      </c>
      <c r="BG19" s="1">
        <f t="shared" si="12"/>
        <v>0</v>
      </c>
      <c r="BH19" s="1">
        <f t="shared" si="16"/>
        <v>0</v>
      </c>
      <c r="BI19" s="1">
        <f t="shared" si="17"/>
        <v>0</v>
      </c>
      <c r="BJ19" s="1">
        <f t="shared" si="18"/>
        <v>0</v>
      </c>
      <c r="BK19" s="1">
        <f t="shared" si="19"/>
        <v>0</v>
      </c>
      <c r="BL19" s="1">
        <f t="shared" si="20"/>
        <v>0</v>
      </c>
      <c r="BM19" s="1">
        <f t="shared" si="21"/>
        <v>0</v>
      </c>
      <c r="BN19" s="1">
        <f t="shared" si="22"/>
        <v>0</v>
      </c>
      <c r="BO19" s="1">
        <f t="shared" si="23"/>
        <v>0</v>
      </c>
      <c r="BP19" s="1">
        <f t="shared" si="24"/>
        <v>0</v>
      </c>
      <c r="BQ19" s="1">
        <f t="shared" si="14"/>
        <v>0</v>
      </c>
    </row>
    <row r="20" spans="1:69" ht="15" customHeight="1" x14ac:dyDescent="0.25">
      <c r="C20" t="s">
        <v>297</v>
      </c>
      <c r="AR20" s="3">
        <f t="shared" si="15"/>
        <v>0</v>
      </c>
      <c r="AT20" s="1">
        <f>+[1]PassVol!$AU20</f>
        <v>0</v>
      </c>
      <c r="AU20" s="1">
        <f t="shared" si="1"/>
        <v>0</v>
      </c>
      <c r="AV20" s="1">
        <f t="shared" si="2"/>
        <v>0</v>
      </c>
      <c r="AW20" s="1">
        <f t="shared" si="3"/>
        <v>0</v>
      </c>
      <c r="AX20" s="1">
        <f t="shared" si="4"/>
        <v>0</v>
      </c>
      <c r="AY20" s="1">
        <f t="shared" si="5"/>
        <v>0</v>
      </c>
      <c r="AZ20" s="1">
        <f t="shared" si="6"/>
        <v>0</v>
      </c>
      <c r="BA20" s="1">
        <f t="shared" si="7"/>
        <v>0</v>
      </c>
      <c r="BB20" s="1">
        <f t="shared" si="8"/>
        <v>0</v>
      </c>
      <c r="BC20" s="1">
        <f t="shared" si="9"/>
        <v>0</v>
      </c>
      <c r="BD20" s="1">
        <f t="shared" si="10"/>
        <v>0</v>
      </c>
      <c r="BE20" s="1">
        <f t="shared" si="11"/>
        <v>0</v>
      </c>
      <c r="BG20" s="1">
        <f t="shared" si="12"/>
        <v>0</v>
      </c>
      <c r="BH20" s="1">
        <f t="shared" si="16"/>
        <v>0</v>
      </c>
      <c r="BI20" s="1">
        <f t="shared" si="17"/>
        <v>0</v>
      </c>
      <c r="BJ20" s="1">
        <f t="shared" si="18"/>
        <v>0</v>
      </c>
      <c r="BK20" s="1">
        <f t="shared" si="19"/>
        <v>0</v>
      </c>
      <c r="BL20" s="1">
        <f t="shared" si="20"/>
        <v>0</v>
      </c>
      <c r="BM20" s="1">
        <f t="shared" si="21"/>
        <v>0</v>
      </c>
      <c r="BN20" s="1">
        <f t="shared" si="22"/>
        <v>0</v>
      </c>
      <c r="BO20" s="1">
        <f t="shared" si="23"/>
        <v>0</v>
      </c>
      <c r="BP20" s="1">
        <f t="shared" si="24"/>
        <v>0</v>
      </c>
      <c r="BQ20" s="1">
        <f t="shared" si="14"/>
        <v>0</v>
      </c>
    </row>
    <row r="21" spans="1:69" ht="15" customHeight="1" x14ac:dyDescent="0.25">
      <c r="C21" t="s">
        <v>296</v>
      </c>
      <c r="L21" s="1">
        <v>30</v>
      </c>
      <c r="M21" s="1">
        <v>93</v>
      </c>
      <c r="N21" s="1">
        <v>114</v>
      </c>
      <c r="O21" s="1">
        <v>126</v>
      </c>
      <c r="P21" s="1">
        <v>261</v>
      </c>
      <c r="Q21" s="1">
        <v>165</v>
      </c>
      <c r="R21" s="1">
        <v>123</v>
      </c>
      <c r="S21" s="1">
        <v>151</v>
      </c>
      <c r="T21" s="1">
        <v>249</v>
      </c>
      <c r="U21" s="1">
        <v>357</v>
      </c>
      <c r="V21" s="1">
        <v>268</v>
      </c>
      <c r="W21" s="1">
        <v>378</v>
      </c>
      <c r="X21" s="1">
        <v>316</v>
      </c>
      <c r="Y21" s="1">
        <v>158</v>
      </c>
      <c r="Z21" s="1">
        <v>153</v>
      </c>
      <c r="AA21" s="1">
        <v>125</v>
      </c>
      <c r="AB21" s="1">
        <v>117</v>
      </c>
      <c r="AC21" s="1">
        <v>132</v>
      </c>
      <c r="AD21" s="1">
        <v>33</v>
      </c>
      <c r="AE21" s="1">
        <v>130</v>
      </c>
      <c r="AF21" s="1">
        <v>75</v>
      </c>
      <c r="AG21" s="1">
        <v>30</v>
      </c>
      <c r="AH21" s="117">
        <v>51</v>
      </c>
      <c r="AI21" s="1">
        <v>42</v>
      </c>
      <c r="AJ21" s="1">
        <v>87</v>
      </c>
      <c r="AK21" s="1">
        <v>45</v>
      </c>
      <c r="AL21" s="117">
        <v>30</v>
      </c>
      <c r="AM21" s="1">
        <v>15</v>
      </c>
      <c r="AR21" s="3">
        <f t="shared" si="15"/>
        <v>3854</v>
      </c>
      <c r="AT21" s="1">
        <f>+[1]PassVol!$AU21</f>
        <v>2050</v>
      </c>
      <c r="AU21" s="1">
        <f t="shared" si="1"/>
        <v>1804</v>
      </c>
      <c r="AV21" s="1">
        <f t="shared" si="2"/>
        <v>0</v>
      </c>
      <c r="AW21" s="1">
        <f t="shared" si="3"/>
        <v>0</v>
      </c>
      <c r="AX21" s="1">
        <f t="shared" si="4"/>
        <v>624</v>
      </c>
      <c r="AY21" s="1">
        <f t="shared" si="5"/>
        <v>688</v>
      </c>
      <c r="AZ21" s="1">
        <f t="shared" si="6"/>
        <v>1319</v>
      </c>
      <c r="BA21" s="1">
        <f t="shared" si="7"/>
        <v>685</v>
      </c>
      <c r="BB21" s="1">
        <f t="shared" si="8"/>
        <v>268</v>
      </c>
      <c r="BC21" s="1">
        <f t="shared" si="9"/>
        <v>225</v>
      </c>
      <c r="BD21" s="1">
        <f t="shared" si="10"/>
        <v>45</v>
      </c>
      <c r="BE21" s="1">
        <f t="shared" si="11"/>
        <v>0</v>
      </c>
      <c r="BG21" s="1">
        <f t="shared" si="12"/>
        <v>0</v>
      </c>
      <c r="BH21" s="1">
        <f t="shared" si="16"/>
        <v>0</v>
      </c>
      <c r="BI21" s="1">
        <f t="shared" si="17"/>
        <v>3744</v>
      </c>
      <c r="BJ21" s="1">
        <f t="shared" si="18"/>
        <v>4128</v>
      </c>
      <c r="BK21" s="1">
        <f t="shared" si="19"/>
        <v>7914</v>
      </c>
      <c r="BL21" s="1">
        <f t="shared" si="20"/>
        <v>4110</v>
      </c>
      <c r="BM21" s="1">
        <f t="shared" si="21"/>
        <v>1608</v>
      </c>
      <c r="BN21" s="1">
        <f t="shared" si="22"/>
        <v>1350</v>
      </c>
      <c r="BO21" s="1">
        <f t="shared" si="23"/>
        <v>270</v>
      </c>
      <c r="BP21" s="1">
        <f t="shared" si="24"/>
        <v>0</v>
      </c>
      <c r="BQ21" s="1">
        <f t="shared" si="14"/>
        <v>23124</v>
      </c>
    </row>
    <row r="22" spans="1:69" ht="15" customHeight="1" x14ac:dyDescent="0.25">
      <c r="C22" t="s">
        <v>44</v>
      </c>
      <c r="L22" s="1">
        <f>15735-14110</f>
        <v>1625</v>
      </c>
      <c r="M22" s="1">
        <f>10014-7725-12</f>
        <v>2277</v>
      </c>
      <c r="N22" s="1">
        <f>11267-6615-18</f>
        <v>4634</v>
      </c>
      <c r="O22" s="1">
        <f>18413-12221</f>
        <v>6192</v>
      </c>
      <c r="P22" s="1">
        <f>21316-12304</f>
        <v>9012</v>
      </c>
      <c r="Q22" s="1">
        <f>25177-17457</f>
        <v>7720</v>
      </c>
      <c r="R22" s="1">
        <f>23964-14350-30</f>
        <v>9584</v>
      </c>
      <c r="S22" s="1">
        <f>23407-14557-17</f>
        <v>8833</v>
      </c>
      <c r="T22" s="1">
        <f>23185-14597</f>
        <v>8588</v>
      </c>
      <c r="U22" s="1">
        <f>29741-16385</f>
        <v>13356</v>
      </c>
      <c r="V22" s="1">
        <f>22904-11934</f>
        <v>10970</v>
      </c>
      <c r="W22" s="1">
        <f>28442-15047</f>
        <v>13395</v>
      </c>
      <c r="X22" s="1">
        <f>25947-15313</f>
        <v>10634</v>
      </c>
      <c r="Y22" s="1">
        <f>14008-10064</f>
        <v>3944</v>
      </c>
      <c r="Z22" s="1">
        <f>9744-6483</f>
        <v>3261</v>
      </c>
      <c r="AA22" s="1">
        <f>7703-5776</f>
        <v>1927</v>
      </c>
      <c r="AB22" s="1">
        <f>6458-5093</f>
        <v>1365</v>
      </c>
      <c r="AC22" s="1">
        <f>5370-4113</f>
        <v>1257</v>
      </c>
      <c r="AD22" s="1">
        <f>4099-3880</f>
        <v>219</v>
      </c>
      <c r="AE22" s="1">
        <f>3964-2999</f>
        <v>965</v>
      </c>
      <c r="AF22" s="1">
        <f>1756-1201</f>
        <v>555</v>
      </c>
      <c r="AG22" s="1">
        <f>1779-1434</f>
        <v>345</v>
      </c>
      <c r="AH22" s="117">
        <f>12147-11151</f>
        <v>996</v>
      </c>
      <c r="AI22" s="1">
        <f>2253-1563</f>
        <v>690</v>
      </c>
      <c r="AJ22" s="1">
        <f>2324-1418</f>
        <v>906</v>
      </c>
      <c r="AK22" s="1">
        <f>2349-1953</f>
        <v>396</v>
      </c>
      <c r="AL22" s="117">
        <f>1761-1284</f>
        <v>477</v>
      </c>
      <c r="AM22" s="1">
        <f>958-877</f>
        <v>81</v>
      </c>
      <c r="AN22" s="1">
        <f>477-327</f>
        <v>150</v>
      </c>
      <c r="AR22" s="3">
        <f t="shared" si="15"/>
        <v>124354</v>
      </c>
      <c r="AT22" s="1">
        <f>+[1]PassVol!$AU22</f>
        <v>95722</v>
      </c>
      <c r="AU22" s="1">
        <f t="shared" si="1"/>
        <v>28632</v>
      </c>
      <c r="AV22" s="1">
        <f t="shared" si="2"/>
        <v>0</v>
      </c>
      <c r="AW22" s="1">
        <f t="shared" si="3"/>
        <v>0</v>
      </c>
      <c r="AX22" s="1">
        <f t="shared" si="4"/>
        <v>23740</v>
      </c>
      <c r="AY22" s="1">
        <f t="shared" si="5"/>
        <v>34725</v>
      </c>
      <c r="AZ22" s="1">
        <f t="shared" si="6"/>
        <v>48355</v>
      </c>
      <c r="BA22" s="1">
        <f t="shared" si="7"/>
        <v>11754</v>
      </c>
      <c r="BB22" s="1">
        <f t="shared" si="8"/>
        <v>2084</v>
      </c>
      <c r="BC22" s="1">
        <f t="shared" si="9"/>
        <v>2988</v>
      </c>
      <c r="BD22" s="1">
        <f t="shared" si="10"/>
        <v>708</v>
      </c>
      <c r="BE22" s="1">
        <f t="shared" si="11"/>
        <v>0</v>
      </c>
      <c r="BG22" s="1">
        <f t="shared" si="12"/>
        <v>0</v>
      </c>
      <c r="BH22" s="1">
        <f t="shared" si="16"/>
        <v>0</v>
      </c>
      <c r="BI22" s="1">
        <f t="shared" si="17"/>
        <v>142440</v>
      </c>
      <c r="BJ22" s="1">
        <f t="shared" si="18"/>
        <v>208350</v>
      </c>
      <c r="BK22" s="1">
        <f t="shared" si="19"/>
        <v>290130</v>
      </c>
      <c r="BL22" s="1">
        <f t="shared" si="20"/>
        <v>70524</v>
      </c>
      <c r="BM22" s="1">
        <f t="shared" si="21"/>
        <v>12504</v>
      </c>
      <c r="BN22" s="1">
        <f t="shared" si="22"/>
        <v>17928</v>
      </c>
      <c r="BO22" s="1">
        <f t="shared" si="23"/>
        <v>4248</v>
      </c>
      <c r="BP22" s="1">
        <f t="shared" si="24"/>
        <v>0</v>
      </c>
      <c r="BQ22" s="1">
        <f t="shared" si="14"/>
        <v>746124</v>
      </c>
    </row>
    <row r="23" spans="1:69" s="2" customFormat="1" ht="15" customHeight="1" x14ac:dyDescent="0.25">
      <c r="B23" s="2" t="s">
        <v>70</v>
      </c>
      <c r="D23" s="3">
        <f t="shared" ref="D23:AR23" si="25">SUM(D4:D22)</f>
        <v>0</v>
      </c>
      <c r="E23" s="3">
        <f t="shared" si="25"/>
        <v>0</v>
      </c>
      <c r="F23" s="3">
        <f t="shared" si="25"/>
        <v>0</v>
      </c>
      <c r="G23" s="3">
        <f t="shared" si="25"/>
        <v>0</v>
      </c>
      <c r="H23" s="3">
        <f t="shared" si="25"/>
        <v>0</v>
      </c>
      <c r="I23" s="3">
        <f t="shared" si="25"/>
        <v>0</v>
      </c>
      <c r="J23" s="3">
        <f t="shared" si="25"/>
        <v>0</v>
      </c>
      <c r="K23" s="3">
        <f t="shared" si="25"/>
        <v>0</v>
      </c>
      <c r="L23" s="3">
        <f t="shared" si="25"/>
        <v>15735</v>
      </c>
      <c r="M23" s="3">
        <f t="shared" si="25"/>
        <v>10002</v>
      </c>
      <c r="N23" s="3">
        <f t="shared" si="25"/>
        <v>11267</v>
      </c>
      <c r="O23" s="3">
        <f t="shared" si="25"/>
        <v>18413</v>
      </c>
      <c r="P23" s="3">
        <f t="shared" si="25"/>
        <v>21317</v>
      </c>
      <c r="Q23" s="3">
        <f t="shared" si="25"/>
        <v>25177</v>
      </c>
      <c r="R23" s="3">
        <f t="shared" si="25"/>
        <v>23964</v>
      </c>
      <c r="S23" s="3">
        <f t="shared" si="25"/>
        <v>23407</v>
      </c>
      <c r="T23" s="3">
        <f t="shared" si="25"/>
        <v>23185</v>
      </c>
      <c r="U23" s="3">
        <f t="shared" si="25"/>
        <v>29741</v>
      </c>
      <c r="V23" s="3">
        <f t="shared" si="25"/>
        <v>22904</v>
      </c>
      <c r="W23" s="3">
        <f t="shared" si="25"/>
        <v>28442</v>
      </c>
      <c r="X23" s="3">
        <f t="shared" si="25"/>
        <v>25947</v>
      </c>
      <c r="Y23" s="3">
        <f t="shared" si="25"/>
        <v>14008</v>
      </c>
      <c r="Z23" s="3">
        <f t="shared" si="25"/>
        <v>9744</v>
      </c>
      <c r="AA23" s="3">
        <f t="shared" si="25"/>
        <v>7703</v>
      </c>
      <c r="AB23" s="3">
        <f t="shared" si="25"/>
        <v>6458</v>
      </c>
      <c r="AC23" s="3">
        <f t="shared" si="25"/>
        <v>5371</v>
      </c>
      <c r="AD23" s="3">
        <f t="shared" si="25"/>
        <v>4099</v>
      </c>
      <c r="AE23" s="3">
        <f t="shared" si="25"/>
        <v>3964</v>
      </c>
      <c r="AF23" s="3">
        <f t="shared" si="25"/>
        <v>1756</v>
      </c>
      <c r="AG23" s="3">
        <f t="shared" si="25"/>
        <v>1779</v>
      </c>
      <c r="AH23" s="150">
        <f t="shared" si="25"/>
        <v>12147</v>
      </c>
      <c r="AI23" s="3">
        <f t="shared" si="25"/>
        <v>2253</v>
      </c>
      <c r="AJ23" s="3">
        <f t="shared" si="25"/>
        <v>2324</v>
      </c>
      <c r="AK23" s="3">
        <f t="shared" si="25"/>
        <v>2349</v>
      </c>
      <c r="AL23" s="150">
        <f t="shared" si="25"/>
        <v>1761</v>
      </c>
      <c r="AM23" s="3">
        <f t="shared" si="25"/>
        <v>958</v>
      </c>
      <c r="AN23" s="3">
        <f t="shared" si="25"/>
        <v>477</v>
      </c>
      <c r="AO23" s="3">
        <f t="shared" si="25"/>
        <v>0</v>
      </c>
      <c r="AP23" s="3">
        <f t="shared" si="25"/>
        <v>0</v>
      </c>
      <c r="AQ23" s="3">
        <f t="shared" si="25"/>
        <v>0</v>
      </c>
      <c r="AR23" s="3">
        <f t="shared" si="25"/>
        <v>356652</v>
      </c>
      <c r="AS23" s="3"/>
      <c r="AT23" s="1">
        <f>SUM(AT4:AT22)</f>
        <v>245595</v>
      </c>
      <c r="AU23" s="1">
        <f>SUM(AU4:AU22)</f>
        <v>111057</v>
      </c>
      <c r="AV23" s="3">
        <f>SUM(AV4:AV22)</f>
        <v>0</v>
      </c>
      <c r="AW23" s="3">
        <f>SUM(AW4:AW22)</f>
        <v>0</v>
      </c>
      <c r="AX23" s="3">
        <f t="shared" ref="AX23:BE23" si="26">SUM(AX4:AX22)</f>
        <v>76734</v>
      </c>
      <c r="AY23" s="3">
        <f t="shared" si="26"/>
        <v>95733</v>
      </c>
      <c r="AZ23" s="3">
        <f t="shared" si="26"/>
        <v>107034</v>
      </c>
      <c r="BA23" s="3">
        <f t="shared" si="26"/>
        <v>43284</v>
      </c>
      <c r="BB23" s="3">
        <f t="shared" si="26"/>
        <v>11598</v>
      </c>
      <c r="BC23" s="3">
        <f t="shared" si="26"/>
        <v>19073</v>
      </c>
      <c r="BD23" s="3">
        <f t="shared" si="26"/>
        <v>3196</v>
      </c>
      <c r="BE23" s="3">
        <f t="shared" si="26"/>
        <v>0</v>
      </c>
      <c r="BG23" s="3">
        <f>SUM(BG4:BG22)</f>
        <v>0</v>
      </c>
      <c r="BH23" s="3">
        <f>SUM(BH4:BH22)</f>
        <v>0</v>
      </c>
      <c r="BI23" s="3">
        <f>SUM(BI4:BI22)</f>
        <v>460404</v>
      </c>
      <c r="BJ23" s="3">
        <f t="shared" ref="BJ23:BQ23" si="27">SUM(BJ4:BJ22)</f>
        <v>574398</v>
      </c>
      <c r="BK23" s="3">
        <f t="shared" si="27"/>
        <v>642204</v>
      </c>
      <c r="BL23" s="3">
        <f t="shared" si="27"/>
        <v>259704</v>
      </c>
      <c r="BM23" s="3">
        <f t="shared" si="27"/>
        <v>69588</v>
      </c>
      <c r="BN23" s="3">
        <f t="shared" si="27"/>
        <v>114438</v>
      </c>
      <c r="BO23" s="3">
        <f t="shared" si="27"/>
        <v>19176</v>
      </c>
      <c r="BP23" s="3">
        <f t="shared" si="27"/>
        <v>0</v>
      </c>
      <c r="BQ23" s="3">
        <f t="shared" si="27"/>
        <v>2139912</v>
      </c>
    </row>
    <row r="24" spans="1:69" s="10" customFormat="1" ht="15" customHeight="1" x14ac:dyDescent="0.25">
      <c r="A24" s="39"/>
      <c r="B24" s="39"/>
      <c r="C24" s="38" t="s">
        <v>102</v>
      </c>
      <c r="D24" s="11">
        <f>+D23</f>
        <v>0</v>
      </c>
      <c r="E24" s="11">
        <f>+D24+E23</f>
        <v>0</v>
      </c>
      <c r="F24" s="11">
        <f t="shared" ref="F24:J24" si="28">+E24+F23</f>
        <v>0</v>
      </c>
      <c r="G24" s="11">
        <f t="shared" si="28"/>
        <v>0</v>
      </c>
      <c r="H24" s="11">
        <f t="shared" si="28"/>
        <v>0</v>
      </c>
      <c r="I24" s="11">
        <f t="shared" si="28"/>
        <v>0</v>
      </c>
      <c r="J24" s="11">
        <f t="shared" si="28"/>
        <v>0</v>
      </c>
      <c r="K24" s="11">
        <f t="shared" ref="K24" si="29">+J24+K23</f>
        <v>0</v>
      </c>
      <c r="L24" s="11">
        <f t="shared" ref="L24" si="30">+K24+L23</f>
        <v>15735</v>
      </c>
      <c r="M24" s="11">
        <f t="shared" ref="M24" si="31">+L24+M23</f>
        <v>25737</v>
      </c>
      <c r="N24" s="11">
        <f t="shared" ref="N24" si="32">+M24+N23</f>
        <v>37004</v>
      </c>
      <c r="O24" s="11">
        <f t="shared" ref="O24" si="33">+N24+O23</f>
        <v>55417</v>
      </c>
      <c r="P24" s="11">
        <f t="shared" ref="P24" si="34">+O24+P23</f>
        <v>76734</v>
      </c>
      <c r="Q24" s="11">
        <f t="shared" ref="Q24" si="35">+P24+Q23</f>
        <v>101911</v>
      </c>
      <c r="R24" s="11">
        <f t="shared" ref="R24" si="36">+Q24+R23</f>
        <v>125875</v>
      </c>
      <c r="S24" s="11">
        <f t="shared" ref="S24" si="37">+R24+S23</f>
        <v>149282</v>
      </c>
      <c r="T24" s="11">
        <f t="shared" ref="T24" si="38">+S24+T23</f>
        <v>172467</v>
      </c>
      <c r="U24" s="11">
        <f t="shared" ref="U24" si="39">+T24+U23</f>
        <v>202208</v>
      </c>
      <c r="V24" s="11">
        <f t="shared" ref="V24" si="40">+U24+V23</f>
        <v>225112</v>
      </c>
      <c r="W24" s="11">
        <f t="shared" ref="W24" si="41">+V24+W23</f>
        <v>253554</v>
      </c>
      <c r="X24" s="11">
        <f t="shared" ref="X24" si="42">+W24+X23</f>
        <v>279501</v>
      </c>
      <c r="Y24" s="11">
        <f t="shared" ref="Y24" si="43">+X24+Y23</f>
        <v>293509</v>
      </c>
      <c r="Z24" s="11">
        <f t="shared" ref="Z24" si="44">+Y24+Z23</f>
        <v>303253</v>
      </c>
      <c r="AA24" s="11">
        <f t="shared" ref="AA24" si="45">+Z24+AA23</f>
        <v>310956</v>
      </c>
      <c r="AB24" s="11">
        <f t="shared" ref="AB24" si="46">+AA24+AB23</f>
        <v>317414</v>
      </c>
      <c r="AC24" s="11">
        <f t="shared" ref="AC24" si="47">+AB24+AC23</f>
        <v>322785</v>
      </c>
      <c r="AD24" s="11">
        <f t="shared" ref="AD24" si="48">+AC24+AD23</f>
        <v>326884</v>
      </c>
      <c r="AE24" s="11">
        <f t="shared" ref="AE24" si="49">+AD24+AE23</f>
        <v>330848</v>
      </c>
      <c r="AF24" s="11">
        <f t="shared" ref="AF24" si="50">+AE24+AF23</f>
        <v>332604</v>
      </c>
      <c r="AG24" s="11">
        <f t="shared" ref="AG24" si="51">+AF24+AG23</f>
        <v>334383</v>
      </c>
      <c r="AH24" s="147">
        <f t="shared" ref="AH24" si="52">+AG24+AH23</f>
        <v>346530</v>
      </c>
      <c r="AI24" s="11">
        <f t="shared" ref="AI24" si="53">+AH24+AI23</f>
        <v>348783</v>
      </c>
      <c r="AJ24" s="11">
        <f t="shared" ref="AJ24" si="54">+AI24+AJ23</f>
        <v>351107</v>
      </c>
      <c r="AK24" s="11">
        <f t="shared" ref="AK24" si="55">+AJ24+AK23</f>
        <v>353456</v>
      </c>
      <c r="AL24" s="147">
        <f t="shared" ref="AL24" si="56">+AK24+AL23</f>
        <v>355217</v>
      </c>
      <c r="AM24" s="11">
        <f t="shared" ref="AM24" si="57">+AL24+AM23</f>
        <v>356175</v>
      </c>
      <c r="AN24" s="11">
        <f t="shared" ref="AN24" si="58">+AM24+AN23</f>
        <v>356652</v>
      </c>
      <c r="AO24" s="11">
        <f t="shared" ref="AO24" si="59">+AN24+AO23</f>
        <v>356652</v>
      </c>
      <c r="AP24" s="11">
        <f t="shared" ref="AP24" si="60">+AO24+AP23</f>
        <v>356652</v>
      </c>
      <c r="AQ24" s="11">
        <f t="shared" ref="AQ24" si="61">+AP24+AQ23</f>
        <v>356652</v>
      </c>
      <c r="AR24" s="40"/>
      <c r="AS24" s="11"/>
      <c r="AT24" s="11"/>
      <c r="AU24" s="11"/>
      <c r="AV24" s="11">
        <f>+AV23</f>
        <v>0</v>
      </c>
      <c r="AW24" s="1">
        <f>+AV24+AW23</f>
        <v>0</v>
      </c>
      <c r="AX24" s="1">
        <f t="shared" ref="AX24:BE24" si="62">+AW24+AX23</f>
        <v>76734</v>
      </c>
      <c r="AY24" s="1">
        <f t="shared" si="62"/>
        <v>172467</v>
      </c>
      <c r="AZ24" s="1">
        <f t="shared" si="62"/>
        <v>279501</v>
      </c>
      <c r="BA24" s="1">
        <f t="shared" si="62"/>
        <v>322785</v>
      </c>
      <c r="BB24" s="1">
        <f t="shared" si="62"/>
        <v>334383</v>
      </c>
      <c r="BC24" s="1">
        <f t="shared" si="62"/>
        <v>353456</v>
      </c>
      <c r="BD24" s="1">
        <f t="shared" si="62"/>
        <v>356652</v>
      </c>
      <c r="BE24" s="1">
        <f t="shared" si="62"/>
        <v>356652</v>
      </c>
    </row>
    <row r="25" spans="1:69" s="10" customFormat="1" ht="15" customHeight="1" x14ac:dyDescent="0.2">
      <c r="A25" s="46"/>
      <c r="B25" s="39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47"/>
      <c r="AI25" s="11"/>
      <c r="AJ25" s="11"/>
      <c r="AK25" s="11"/>
      <c r="AL25" s="147"/>
      <c r="AM25" s="11"/>
      <c r="AN25" s="11"/>
      <c r="AO25" s="11"/>
      <c r="AP25" s="11"/>
      <c r="AQ25" s="11"/>
      <c r="AR25" s="40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69" ht="15" customHeight="1" x14ac:dyDescent="0.25">
      <c r="B26" s="2" t="s">
        <v>71</v>
      </c>
      <c r="AT26" s="25"/>
    </row>
    <row r="27" spans="1:69" ht="15" customHeight="1" x14ac:dyDescent="0.25">
      <c r="C27" t="s">
        <v>190</v>
      </c>
      <c r="L27" s="1">
        <v>891</v>
      </c>
      <c r="N27" s="1">
        <v>35</v>
      </c>
      <c r="O27" s="1">
        <v>175</v>
      </c>
      <c r="P27" s="1">
        <v>96</v>
      </c>
      <c r="R27" s="1">
        <v>760</v>
      </c>
      <c r="S27" s="1">
        <v>30</v>
      </c>
      <c r="T27" s="1">
        <v>60</v>
      </c>
      <c r="U27" s="1">
        <v>712</v>
      </c>
      <c r="V27" s="1">
        <v>39</v>
      </c>
      <c r="W27" s="1">
        <v>133</v>
      </c>
      <c r="X27" s="1">
        <v>105</v>
      </c>
      <c r="Y27" s="1">
        <v>12</v>
      </c>
      <c r="Z27" s="1">
        <v>1</v>
      </c>
      <c r="AA27" s="1">
        <v>16</v>
      </c>
      <c r="AR27" s="3">
        <f>SUM(D27:AQ27)</f>
        <v>3065</v>
      </c>
      <c r="AT27" s="1">
        <f>+[1]PassVol!$AU27</f>
        <v>2771</v>
      </c>
      <c r="AU27" s="1">
        <f t="shared" ref="AU27:AU45" si="63">+AR27-AT27</f>
        <v>294</v>
      </c>
      <c r="AV27" s="1">
        <f>SUM(D27:G27)</f>
        <v>0</v>
      </c>
      <c r="AW27" s="1">
        <f>SUM(H27:K27)</f>
        <v>0</v>
      </c>
      <c r="AX27" s="1">
        <f>SUM(L27:P27)</f>
        <v>1197</v>
      </c>
      <c r="AY27" s="1">
        <f>SUM(Q27:T27)</f>
        <v>850</v>
      </c>
      <c r="AZ27" s="1">
        <f>SUM(U27:X27)</f>
        <v>989</v>
      </c>
      <c r="BA27" s="1">
        <f>SUM(Y27:AC27)</f>
        <v>29</v>
      </c>
      <c r="BB27" s="1">
        <f>SUM(AD27:AG27)</f>
        <v>0</v>
      </c>
      <c r="BC27" s="1">
        <f>SUM(AH27:AK27)</f>
        <v>0</v>
      </c>
      <c r="BD27" s="1">
        <f>SUM(AL27:AP27)</f>
        <v>0</v>
      </c>
      <c r="BE27" s="1">
        <f>+AQ27</f>
        <v>0</v>
      </c>
      <c r="BG27" s="1">
        <f t="shared" ref="BG27:BP28" si="64">+AV27*6</f>
        <v>0</v>
      </c>
      <c r="BH27" s="1">
        <f t="shared" si="64"/>
        <v>0</v>
      </c>
      <c r="BI27" s="1">
        <f t="shared" si="64"/>
        <v>7182</v>
      </c>
      <c r="BJ27" s="1">
        <f t="shared" si="64"/>
        <v>5100</v>
      </c>
      <c r="BK27" s="1">
        <f t="shared" si="64"/>
        <v>5934</v>
      </c>
      <c r="BL27" s="1">
        <f t="shared" si="64"/>
        <v>174</v>
      </c>
      <c r="BM27" s="1">
        <f t="shared" si="64"/>
        <v>0</v>
      </c>
      <c r="BN27" s="1">
        <f t="shared" si="64"/>
        <v>0</v>
      </c>
      <c r="BO27" s="1">
        <f t="shared" si="64"/>
        <v>0</v>
      </c>
      <c r="BP27" s="1">
        <f t="shared" si="64"/>
        <v>0</v>
      </c>
      <c r="BQ27" s="1">
        <f t="shared" ref="BQ27:BQ45" si="65">SUM(BG27:BP27)</f>
        <v>18390</v>
      </c>
    </row>
    <row r="28" spans="1:69" ht="15" customHeight="1" x14ac:dyDescent="0.25">
      <c r="C28" t="s">
        <v>424</v>
      </c>
      <c r="L28" s="1">
        <v>84</v>
      </c>
      <c r="M28" s="1">
        <v>75</v>
      </c>
      <c r="N28" s="1">
        <v>64</v>
      </c>
      <c r="O28" s="1">
        <v>9</v>
      </c>
      <c r="P28" s="1">
        <v>140</v>
      </c>
      <c r="Q28" s="1">
        <v>9</v>
      </c>
      <c r="S28" s="1">
        <v>39</v>
      </c>
      <c r="T28" s="1">
        <v>99</v>
      </c>
      <c r="U28" s="1">
        <v>24</v>
      </c>
      <c r="V28" s="1">
        <v>38</v>
      </c>
      <c r="W28" s="1">
        <v>43</v>
      </c>
      <c r="X28" s="1">
        <v>32</v>
      </c>
      <c r="Y28" s="1">
        <v>26</v>
      </c>
      <c r="Z28" s="1">
        <v>28</v>
      </c>
      <c r="AA28" s="1">
        <v>12</v>
      </c>
      <c r="AR28" s="3">
        <f>SUM(D28:AQ28)</f>
        <v>722</v>
      </c>
      <c r="AT28" s="1">
        <f>+[1]PassVol!$AU28</f>
        <v>695</v>
      </c>
      <c r="AU28" s="1">
        <f t="shared" si="63"/>
        <v>27</v>
      </c>
      <c r="AV28" s="1">
        <f t="shared" ref="AV28:AV45" si="66">SUM(D28:G28)</f>
        <v>0</v>
      </c>
      <c r="AW28" s="1">
        <f t="shared" ref="AW28:AW45" si="67">SUM(H28:K28)</f>
        <v>0</v>
      </c>
      <c r="AX28" s="1">
        <f t="shared" ref="AX28:AX45" si="68">SUM(L28:P28)</f>
        <v>372</v>
      </c>
      <c r="AY28" s="1">
        <f t="shared" ref="AY28:AY45" si="69">SUM(Q28:T28)</f>
        <v>147</v>
      </c>
      <c r="AZ28" s="1">
        <f t="shared" ref="AZ28:AZ45" si="70">SUM(U28:X28)</f>
        <v>137</v>
      </c>
      <c r="BA28" s="1">
        <f t="shared" ref="BA28:BA45" si="71">SUM(Y28:AC28)</f>
        <v>66</v>
      </c>
      <c r="BB28" s="1">
        <f t="shared" ref="BB28:BB45" si="72">SUM(AD28:AG28)</f>
        <v>0</v>
      </c>
      <c r="BC28" s="1">
        <f t="shared" ref="BC28:BC45" si="73">SUM(AH28:AK28)</f>
        <v>0</v>
      </c>
      <c r="BD28" s="1">
        <f t="shared" ref="BD28:BD45" si="74">SUM(AL28:AP28)</f>
        <v>0</v>
      </c>
      <c r="BE28" s="1">
        <f t="shared" ref="BE28:BE45" si="75">+AQ28</f>
        <v>0</v>
      </c>
      <c r="BG28" s="1">
        <f t="shared" si="64"/>
        <v>0</v>
      </c>
      <c r="BH28" s="1">
        <f t="shared" si="64"/>
        <v>0</v>
      </c>
      <c r="BI28" s="1">
        <f t="shared" si="64"/>
        <v>2232</v>
      </c>
      <c r="BJ28" s="1">
        <f t="shared" si="64"/>
        <v>882</v>
      </c>
      <c r="BK28" s="1">
        <f t="shared" si="64"/>
        <v>822</v>
      </c>
      <c r="BL28" s="1">
        <f t="shared" si="64"/>
        <v>396</v>
      </c>
      <c r="BM28" s="1">
        <f t="shared" si="64"/>
        <v>0</v>
      </c>
      <c r="BN28" s="1">
        <f t="shared" si="64"/>
        <v>0</v>
      </c>
      <c r="BO28" s="1">
        <f t="shared" si="64"/>
        <v>0</v>
      </c>
      <c r="BP28" s="1">
        <f t="shared" si="64"/>
        <v>0</v>
      </c>
      <c r="BQ28" s="1">
        <f t="shared" si="65"/>
        <v>4332</v>
      </c>
    </row>
    <row r="29" spans="1:69" ht="15" customHeight="1" x14ac:dyDescent="0.25">
      <c r="C29" t="s">
        <v>347</v>
      </c>
      <c r="L29" s="1">
        <v>105</v>
      </c>
      <c r="M29" s="1">
        <v>15</v>
      </c>
      <c r="N29" s="1">
        <v>45</v>
      </c>
      <c r="O29" s="1">
        <v>30</v>
      </c>
      <c r="P29" s="1">
        <v>162</v>
      </c>
      <c r="S29" s="1">
        <v>27</v>
      </c>
      <c r="T29" s="1">
        <v>92</v>
      </c>
      <c r="V29" s="1">
        <v>10</v>
      </c>
      <c r="W29" s="1">
        <v>4</v>
      </c>
      <c r="Y29" s="1">
        <v>9</v>
      </c>
      <c r="Z29" s="1">
        <v>6</v>
      </c>
      <c r="AR29" s="3">
        <f t="shared" ref="AR29:AR45" si="76">SUM(D29:AQ29)</f>
        <v>505</v>
      </c>
      <c r="AT29" s="1">
        <f>+[1]PassVol!$AU29</f>
        <v>596</v>
      </c>
      <c r="AU29" s="1">
        <f t="shared" si="63"/>
        <v>-91</v>
      </c>
      <c r="AV29" s="1">
        <f t="shared" si="66"/>
        <v>0</v>
      </c>
      <c r="AW29" s="1">
        <f t="shared" si="67"/>
        <v>0</v>
      </c>
      <c r="AX29" s="1">
        <f t="shared" si="68"/>
        <v>357</v>
      </c>
      <c r="AY29" s="1">
        <f t="shared" si="69"/>
        <v>119</v>
      </c>
      <c r="AZ29" s="1">
        <f t="shared" si="70"/>
        <v>14</v>
      </c>
      <c r="BA29" s="1">
        <f t="shared" si="71"/>
        <v>15</v>
      </c>
      <c r="BB29" s="1">
        <f t="shared" si="72"/>
        <v>0</v>
      </c>
      <c r="BC29" s="1">
        <f t="shared" si="73"/>
        <v>0</v>
      </c>
      <c r="BD29" s="1">
        <f t="shared" si="74"/>
        <v>0</v>
      </c>
      <c r="BE29" s="1">
        <f t="shared" si="75"/>
        <v>0</v>
      </c>
      <c r="BG29" s="1">
        <f t="shared" ref="BG29:BH45" si="77">+AV29*6</f>
        <v>0</v>
      </c>
      <c r="BH29" s="1">
        <f t="shared" si="77"/>
        <v>0</v>
      </c>
      <c r="BI29" s="1">
        <f t="shared" ref="BI29:BI45" si="78">+AX29*6</f>
        <v>2142</v>
      </c>
      <c r="BJ29" s="1">
        <f t="shared" ref="BJ29:BJ45" si="79">+AY29*6</f>
        <v>714</v>
      </c>
      <c r="BK29" s="1">
        <f t="shared" ref="BK29:BK45" si="80">+AZ29*6</f>
        <v>84</v>
      </c>
      <c r="BL29" s="1">
        <f t="shared" ref="BL29:BL45" si="81">+BA29*6</f>
        <v>90</v>
      </c>
      <c r="BM29" s="1">
        <f t="shared" ref="BM29:BM45" si="82">+BB29*6</f>
        <v>0</v>
      </c>
      <c r="BN29" s="1">
        <f t="shared" ref="BN29:BN45" si="83">+BC29*6</f>
        <v>0</v>
      </c>
      <c r="BO29" s="1">
        <f t="shared" ref="BO29:BO45" si="84">+BD29*6</f>
        <v>0</v>
      </c>
      <c r="BP29" s="1">
        <f t="shared" ref="BP29:BP45" si="85">+BE29*6</f>
        <v>0</v>
      </c>
      <c r="BQ29" s="1">
        <f t="shared" si="65"/>
        <v>3030</v>
      </c>
    </row>
    <row r="30" spans="1:69" ht="15" customHeight="1" x14ac:dyDescent="0.25">
      <c r="C30" t="s">
        <v>0</v>
      </c>
      <c r="L30" s="1">
        <v>1648</v>
      </c>
      <c r="M30" s="1">
        <v>244</v>
      </c>
      <c r="N30" s="1">
        <v>450</v>
      </c>
      <c r="O30" s="1">
        <v>527</v>
      </c>
      <c r="P30" s="1">
        <v>367</v>
      </c>
      <c r="R30" s="1">
        <v>904</v>
      </c>
      <c r="T30" s="1">
        <v>440</v>
      </c>
      <c r="U30" s="1">
        <v>652</v>
      </c>
      <c r="V30" s="1">
        <v>415</v>
      </c>
      <c r="W30" s="1">
        <v>455</v>
      </c>
      <c r="X30" s="1">
        <v>652</v>
      </c>
      <c r="Y30" s="1">
        <v>454</v>
      </c>
      <c r="AA30" s="1">
        <v>426</v>
      </c>
      <c r="AR30" s="3">
        <f t="shared" si="76"/>
        <v>7634</v>
      </c>
      <c r="AT30" s="1">
        <f>+[1]PassVol!$AU30</f>
        <v>3360</v>
      </c>
      <c r="AU30" s="1">
        <f t="shared" si="63"/>
        <v>4274</v>
      </c>
      <c r="AV30" s="1">
        <f t="shared" si="66"/>
        <v>0</v>
      </c>
      <c r="AW30" s="1">
        <f t="shared" si="67"/>
        <v>0</v>
      </c>
      <c r="AX30" s="1">
        <f t="shared" si="68"/>
        <v>3236</v>
      </c>
      <c r="AY30" s="1">
        <f t="shared" si="69"/>
        <v>1344</v>
      </c>
      <c r="AZ30" s="1">
        <f t="shared" si="70"/>
        <v>2174</v>
      </c>
      <c r="BA30" s="1">
        <f t="shared" si="71"/>
        <v>880</v>
      </c>
      <c r="BB30" s="1">
        <f t="shared" si="72"/>
        <v>0</v>
      </c>
      <c r="BC30" s="1">
        <f t="shared" si="73"/>
        <v>0</v>
      </c>
      <c r="BD30" s="1">
        <f t="shared" si="74"/>
        <v>0</v>
      </c>
      <c r="BE30" s="1">
        <f t="shared" si="75"/>
        <v>0</v>
      </c>
      <c r="BG30" s="1">
        <f t="shared" si="77"/>
        <v>0</v>
      </c>
      <c r="BH30" s="1">
        <f t="shared" si="77"/>
        <v>0</v>
      </c>
      <c r="BI30" s="1">
        <f t="shared" si="78"/>
        <v>19416</v>
      </c>
      <c r="BJ30" s="1">
        <f t="shared" si="79"/>
        <v>8064</v>
      </c>
      <c r="BK30" s="1">
        <f t="shared" si="80"/>
        <v>13044</v>
      </c>
      <c r="BL30" s="1">
        <f t="shared" si="81"/>
        <v>5280</v>
      </c>
      <c r="BM30" s="1">
        <f t="shared" si="82"/>
        <v>0</v>
      </c>
      <c r="BN30" s="1">
        <f t="shared" si="83"/>
        <v>0</v>
      </c>
      <c r="BO30" s="1">
        <f t="shared" si="84"/>
        <v>0</v>
      </c>
      <c r="BP30" s="1">
        <f t="shared" si="85"/>
        <v>0</v>
      </c>
      <c r="BQ30" s="1">
        <f t="shared" si="65"/>
        <v>45804</v>
      </c>
    </row>
    <row r="31" spans="1:69" ht="15" customHeight="1" x14ac:dyDescent="0.25">
      <c r="C31" t="s">
        <v>354</v>
      </c>
      <c r="L31" s="1">
        <v>60</v>
      </c>
      <c r="N31" s="1">
        <v>15</v>
      </c>
      <c r="O31" s="1">
        <v>3</v>
      </c>
      <c r="P31" s="1">
        <v>60</v>
      </c>
      <c r="S31" s="1">
        <v>18</v>
      </c>
      <c r="T31" s="1">
        <v>60</v>
      </c>
      <c r="AR31" s="3">
        <f t="shared" si="76"/>
        <v>216</v>
      </c>
      <c r="AT31" s="1">
        <f>+[1]PassVol!$AU31</f>
        <v>303</v>
      </c>
      <c r="AU31" s="1">
        <f t="shared" si="63"/>
        <v>-87</v>
      </c>
      <c r="AV31" s="1">
        <f t="shared" si="66"/>
        <v>0</v>
      </c>
      <c r="AW31" s="1">
        <f t="shared" si="67"/>
        <v>0</v>
      </c>
      <c r="AX31" s="1">
        <f t="shared" si="68"/>
        <v>138</v>
      </c>
      <c r="AY31" s="1">
        <f t="shared" si="69"/>
        <v>78</v>
      </c>
      <c r="AZ31" s="1">
        <f t="shared" si="70"/>
        <v>0</v>
      </c>
      <c r="BA31" s="1">
        <f t="shared" si="71"/>
        <v>0</v>
      </c>
      <c r="BB31" s="1">
        <f t="shared" si="72"/>
        <v>0</v>
      </c>
      <c r="BC31" s="1">
        <f t="shared" si="73"/>
        <v>0</v>
      </c>
      <c r="BD31" s="1">
        <f t="shared" si="74"/>
        <v>0</v>
      </c>
      <c r="BE31" s="1">
        <f t="shared" si="75"/>
        <v>0</v>
      </c>
      <c r="BG31" s="1">
        <f t="shared" si="77"/>
        <v>0</v>
      </c>
      <c r="BH31" s="1">
        <f t="shared" si="77"/>
        <v>0</v>
      </c>
      <c r="BI31" s="1">
        <f t="shared" si="78"/>
        <v>828</v>
      </c>
      <c r="BJ31" s="1">
        <f t="shared" si="79"/>
        <v>468</v>
      </c>
      <c r="BK31" s="1">
        <f t="shared" si="80"/>
        <v>0</v>
      </c>
      <c r="BL31" s="1">
        <f t="shared" si="81"/>
        <v>0</v>
      </c>
      <c r="BM31" s="1">
        <f t="shared" si="82"/>
        <v>0</v>
      </c>
      <c r="BN31" s="1">
        <f t="shared" si="83"/>
        <v>0</v>
      </c>
      <c r="BO31" s="1">
        <f t="shared" si="84"/>
        <v>0</v>
      </c>
      <c r="BP31" s="1">
        <f t="shared" si="85"/>
        <v>0</v>
      </c>
      <c r="BQ31" s="1">
        <f t="shared" si="65"/>
        <v>1296</v>
      </c>
    </row>
    <row r="32" spans="1:69" ht="15" customHeight="1" x14ac:dyDescent="0.25">
      <c r="A32"/>
      <c r="C32" t="s">
        <v>265</v>
      </c>
      <c r="L32" s="1">
        <v>134</v>
      </c>
      <c r="P32" s="1">
        <v>77</v>
      </c>
      <c r="AR32" s="3">
        <f t="shared" si="76"/>
        <v>211</v>
      </c>
      <c r="AT32" s="1">
        <f>+[1]PassVol!$AU32</f>
        <v>551</v>
      </c>
      <c r="AU32" s="1">
        <f t="shared" si="63"/>
        <v>-340</v>
      </c>
      <c r="AV32" s="1">
        <f t="shared" si="66"/>
        <v>0</v>
      </c>
      <c r="AW32" s="1">
        <f t="shared" si="67"/>
        <v>0</v>
      </c>
      <c r="AX32" s="1">
        <f t="shared" si="68"/>
        <v>211</v>
      </c>
      <c r="AY32" s="1">
        <f t="shared" si="69"/>
        <v>0</v>
      </c>
      <c r="AZ32" s="1">
        <f t="shared" si="70"/>
        <v>0</v>
      </c>
      <c r="BA32" s="1">
        <f t="shared" si="71"/>
        <v>0</v>
      </c>
      <c r="BB32" s="1">
        <f t="shared" si="72"/>
        <v>0</v>
      </c>
      <c r="BC32" s="1">
        <f t="shared" si="73"/>
        <v>0</v>
      </c>
      <c r="BD32" s="1">
        <f t="shared" si="74"/>
        <v>0</v>
      </c>
      <c r="BE32" s="1">
        <f t="shared" si="75"/>
        <v>0</v>
      </c>
      <c r="BG32" s="1">
        <f t="shared" si="77"/>
        <v>0</v>
      </c>
      <c r="BH32" s="1">
        <f t="shared" si="77"/>
        <v>0</v>
      </c>
      <c r="BI32" s="1">
        <f t="shared" si="78"/>
        <v>1266</v>
      </c>
      <c r="BJ32" s="1">
        <f t="shared" si="79"/>
        <v>0</v>
      </c>
      <c r="BK32" s="1">
        <f t="shared" si="80"/>
        <v>0</v>
      </c>
      <c r="BL32" s="1">
        <f t="shared" si="81"/>
        <v>0</v>
      </c>
      <c r="BM32" s="1">
        <f t="shared" si="82"/>
        <v>0</v>
      </c>
      <c r="BN32" s="1">
        <f t="shared" si="83"/>
        <v>0</v>
      </c>
      <c r="BO32" s="1">
        <f t="shared" si="84"/>
        <v>0</v>
      </c>
      <c r="BP32" s="1">
        <f t="shared" si="85"/>
        <v>0</v>
      </c>
      <c r="BQ32" s="1">
        <f t="shared" si="65"/>
        <v>1266</v>
      </c>
    </row>
    <row r="33" spans="1:70" ht="15" customHeight="1" x14ac:dyDescent="0.25">
      <c r="A33"/>
      <c r="C33" t="s">
        <v>191</v>
      </c>
      <c r="M33" s="1">
        <v>420</v>
      </c>
      <c r="N33" s="1">
        <v>15</v>
      </c>
      <c r="O33" s="1">
        <v>34</v>
      </c>
      <c r="P33" s="1">
        <v>327</v>
      </c>
      <c r="R33" s="1">
        <v>435</v>
      </c>
      <c r="W33" s="1">
        <v>15</v>
      </c>
      <c r="AR33" s="3">
        <f t="shared" si="76"/>
        <v>1246</v>
      </c>
      <c r="AT33" s="1">
        <f>+[1]PassVol!$AU33</f>
        <v>1073</v>
      </c>
      <c r="AU33" s="1">
        <f t="shared" si="63"/>
        <v>173</v>
      </c>
      <c r="AV33" s="1">
        <f t="shared" si="66"/>
        <v>0</v>
      </c>
      <c r="AW33" s="1">
        <f t="shared" si="67"/>
        <v>0</v>
      </c>
      <c r="AX33" s="1">
        <f t="shared" si="68"/>
        <v>796</v>
      </c>
      <c r="AY33" s="1">
        <f t="shared" si="69"/>
        <v>435</v>
      </c>
      <c r="AZ33" s="1">
        <f t="shared" si="70"/>
        <v>15</v>
      </c>
      <c r="BA33" s="1">
        <f t="shared" si="71"/>
        <v>0</v>
      </c>
      <c r="BB33" s="1">
        <f t="shared" si="72"/>
        <v>0</v>
      </c>
      <c r="BC33" s="1">
        <f t="shared" si="73"/>
        <v>0</v>
      </c>
      <c r="BD33" s="1">
        <f t="shared" si="74"/>
        <v>0</v>
      </c>
      <c r="BE33" s="1">
        <f t="shared" si="75"/>
        <v>0</v>
      </c>
      <c r="BG33" s="1">
        <f t="shared" si="77"/>
        <v>0</v>
      </c>
      <c r="BH33" s="1">
        <f t="shared" si="77"/>
        <v>0</v>
      </c>
      <c r="BI33" s="1">
        <f t="shared" si="78"/>
        <v>4776</v>
      </c>
      <c r="BJ33" s="1">
        <f t="shared" si="79"/>
        <v>2610</v>
      </c>
      <c r="BK33" s="1">
        <f t="shared" si="80"/>
        <v>90</v>
      </c>
      <c r="BL33" s="1">
        <f t="shared" si="81"/>
        <v>0</v>
      </c>
      <c r="BM33" s="1">
        <f t="shared" si="82"/>
        <v>0</v>
      </c>
      <c r="BN33" s="1">
        <f t="shared" si="83"/>
        <v>0</v>
      </c>
      <c r="BO33" s="1">
        <f t="shared" si="84"/>
        <v>0</v>
      </c>
      <c r="BP33" s="1">
        <f t="shared" si="85"/>
        <v>0</v>
      </c>
      <c r="BQ33" s="1">
        <f t="shared" si="65"/>
        <v>7476</v>
      </c>
    </row>
    <row r="34" spans="1:70" ht="15" customHeight="1" x14ac:dyDescent="0.25">
      <c r="C34" t="s">
        <v>549</v>
      </c>
      <c r="AR34" s="3">
        <f t="shared" si="76"/>
        <v>0</v>
      </c>
      <c r="AT34" s="1">
        <f>+[1]PassVol!$AU34</f>
        <v>0</v>
      </c>
      <c r="AU34" s="1">
        <f t="shared" si="63"/>
        <v>0</v>
      </c>
      <c r="AV34" s="1">
        <f t="shared" si="66"/>
        <v>0</v>
      </c>
      <c r="AW34" s="1">
        <f t="shared" si="67"/>
        <v>0</v>
      </c>
      <c r="AX34" s="1">
        <f t="shared" si="68"/>
        <v>0</v>
      </c>
      <c r="AY34" s="1">
        <f t="shared" si="69"/>
        <v>0</v>
      </c>
      <c r="AZ34" s="1">
        <f t="shared" si="70"/>
        <v>0</v>
      </c>
      <c r="BA34" s="1">
        <f t="shared" si="71"/>
        <v>0</v>
      </c>
      <c r="BB34" s="1">
        <f t="shared" si="72"/>
        <v>0</v>
      </c>
      <c r="BC34" s="1">
        <f t="shared" si="73"/>
        <v>0</v>
      </c>
      <c r="BD34" s="1">
        <f t="shared" si="74"/>
        <v>0</v>
      </c>
      <c r="BE34" s="1">
        <f t="shared" si="75"/>
        <v>0</v>
      </c>
      <c r="BG34" s="1">
        <f t="shared" si="77"/>
        <v>0</v>
      </c>
      <c r="BH34" s="1">
        <f t="shared" si="77"/>
        <v>0</v>
      </c>
      <c r="BI34" s="1">
        <f t="shared" si="78"/>
        <v>0</v>
      </c>
      <c r="BJ34" s="1">
        <f t="shared" si="79"/>
        <v>0</v>
      </c>
      <c r="BK34" s="1">
        <f t="shared" si="80"/>
        <v>0</v>
      </c>
      <c r="BL34" s="1">
        <f t="shared" si="81"/>
        <v>0</v>
      </c>
      <c r="BM34" s="1">
        <f t="shared" si="82"/>
        <v>0</v>
      </c>
      <c r="BN34" s="1">
        <f t="shared" si="83"/>
        <v>0</v>
      </c>
      <c r="BO34" s="1">
        <f t="shared" si="84"/>
        <v>0</v>
      </c>
      <c r="BP34" s="1">
        <f t="shared" si="85"/>
        <v>0</v>
      </c>
      <c r="BQ34" s="1">
        <f t="shared" si="65"/>
        <v>0</v>
      </c>
    </row>
    <row r="35" spans="1:70" ht="15" customHeight="1" x14ac:dyDescent="0.25">
      <c r="C35" t="s">
        <v>550</v>
      </c>
      <c r="O35" s="1">
        <v>12</v>
      </c>
      <c r="S35" s="1">
        <v>524</v>
      </c>
      <c r="U35" s="1">
        <v>16</v>
      </c>
      <c r="W35" s="1">
        <v>16</v>
      </c>
      <c r="X35" s="1">
        <v>20</v>
      </c>
      <c r="Y35" s="1">
        <v>22</v>
      </c>
      <c r="Z35" s="1">
        <v>4</v>
      </c>
      <c r="AR35" s="3">
        <f t="shared" si="76"/>
        <v>614</v>
      </c>
      <c r="AT35" s="1">
        <f>+[1]PassVol!$AU35</f>
        <v>0</v>
      </c>
      <c r="AU35" s="1">
        <f t="shared" si="63"/>
        <v>614</v>
      </c>
      <c r="AV35" s="1">
        <f t="shared" si="66"/>
        <v>0</v>
      </c>
      <c r="AW35" s="1">
        <f t="shared" si="67"/>
        <v>0</v>
      </c>
      <c r="AX35" s="1">
        <f t="shared" si="68"/>
        <v>12</v>
      </c>
      <c r="AY35" s="1">
        <f t="shared" si="69"/>
        <v>524</v>
      </c>
      <c r="AZ35" s="1">
        <f t="shared" si="70"/>
        <v>52</v>
      </c>
      <c r="BA35" s="1">
        <f t="shared" si="71"/>
        <v>26</v>
      </c>
      <c r="BB35" s="1">
        <f t="shared" si="72"/>
        <v>0</v>
      </c>
      <c r="BC35" s="1">
        <f t="shared" si="73"/>
        <v>0</v>
      </c>
      <c r="BD35" s="1">
        <f t="shared" si="74"/>
        <v>0</v>
      </c>
      <c r="BE35" s="1">
        <f t="shared" si="75"/>
        <v>0</v>
      </c>
      <c r="BG35" s="1">
        <f t="shared" si="77"/>
        <v>0</v>
      </c>
      <c r="BH35" s="1">
        <f t="shared" si="77"/>
        <v>0</v>
      </c>
      <c r="BI35" s="1">
        <f t="shared" si="78"/>
        <v>72</v>
      </c>
      <c r="BJ35" s="1">
        <f t="shared" si="79"/>
        <v>3144</v>
      </c>
      <c r="BK35" s="1">
        <f t="shared" si="80"/>
        <v>312</v>
      </c>
      <c r="BL35" s="1">
        <f t="shared" si="81"/>
        <v>156</v>
      </c>
      <c r="BM35" s="1">
        <f t="shared" si="82"/>
        <v>0</v>
      </c>
      <c r="BN35" s="1">
        <f t="shared" si="83"/>
        <v>0</v>
      </c>
      <c r="BO35" s="1">
        <f t="shared" si="84"/>
        <v>0</v>
      </c>
      <c r="BP35" s="1">
        <f t="shared" si="85"/>
        <v>0</v>
      </c>
      <c r="BQ35" s="1">
        <f t="shared" si="65"/>
        <v>3684</v>
      </c>
    </row>
    <row r="36" spans="1:70" ht="15" customHeight="1" x14ac:dyDescent="0.25">
      <c r="C36" t="s">
        <v>6</v>
      </c>
      <c r="L36" s="1">
        <v>720</v>
      </c>
      <c r="M36" s="1">
        <v>300</v>
      </c>
      <c r="N36" s="1">
        <v>500</v>
      </c>
      <c r="O36" s="1">
        <v>300</v>
      </c>
      <c r="P36" s="1">
        <v>240</v>
      </c>
      <c r="Q36" s="1">
        <v>720</v>
      </c>
      <c r="R36" s="1">
        <v>240</v>
      </c>
      <c r="S36" s="1">
        <v>270</v>
      </c>
      <c r="T36" s="1">
        <v>492</v>
      </c>
      <c r="V36" s="1">
        <v>252</v>
      </c>
      <c r="AR36" s="3">
        <f t="shared" si="76"/>
        <v>4034</v>
      </c>
      <c r="AT36" s="1">
        <f>+[1]PassVol!$AU36</f>
        <v>3597</v>
      </c>
      <c r="AU36" s="1">
        <f t="shared" si="63"/>
        <v>437</v>
      </c>
      <c r="AV36" s="1">
        <f t="shared" si="66"/>
        <v>0</v>
      </c>
      <c r="AW36" s="1">
        <f t="shared" si="67"/>
        <v>0</v>
      </c>
      <c r="AX36" s="1">
        <f t="shared" si="68"/>
        <v>2060</v>
      </c>
      <c r="AY36" s="1">
        <f t="shared" si="69"/>
        <v>1722</v>
      </c>
      <c r="AZ36" s="1">
        <f t="shared" si="70"/>
        <v>252</v>
      </c>
      <c r="BA36" s="1">
        <f t="shared" si="71"/>
        <v>0</v>
      </c>
      <c r="BB36" s="1">
        <f t="shared" si="72"/>
        <v>0</v>
      </c>
      <c r="BC36" s="1">
        <f t="shared" si="73"/>
        <v>0</v>
      </c>
      <c r="BD36" s="1">
        <f t="shared" si="74"/>
        <v>0</v>
      </c>
      <c r="BE36" s="1">
        <f t="shared" si="75"/>
        <v>0</v>
      </c>
      <c r="BG36" s="1">
        <f t="shared" si="77"/>
        <v>0</v>
      </c>
      <c r="BH36" s="1">
        <f t="shared" si="77"/>
        <v>0</v>
      </c>
      <c r="BI36" s="1">
        <f t="shared" si="78"/>
        <v>12360</v>
      </c>
      <c r="BJ36" s="1">
        <f t="shared" si="79"/>
        <v>10332</v>
      </c>
      <c r="BK36" s="1">
        <f t="shared" si="80"/>
        <v>1512</v>
      </c>
      <c r="BL36" s="1">
        <f t="shared" si="81"/>
        <v>0</v>
      </c>
      <c r="BM36" s="1">
        <f t="shared" si="82"/>
        <v>0</v>
      </c>
      <c r="BN36" s="1">
        <f t="shared" si="83"/>
        <v>0</v>
      </c>
      <c r="BO36" s="1">
        <f t="shared" si="84"/>
        <v>0</v>
      </c>
      <c r="BP36" s="1">
        <f t="shared" si="85"/>
        <v>0</v>
      </c>
      <c r="BQ36" s="1">
        <f t="shared" si="65"/>
        <v>24204</v>
      </c>
    </row>
    <row r="37" spans="1:70" ht="15" customHeight="1" x14ac:dyDescent="0.25">
      <c r="C37" t="s">
        <v>262</v>
      </c>
      <c r="L37" s="1">
        <v>3</v>
      </c>
      <c r="M37" s="1">
        <v>420</v>
      </c>
      <c r="O37" s="1">
        <v>42</v>
      </c>
      <c r="P37" s="1">
        <v>39</v>
      </c>
      <c r="R37" s="1">
        <v>12</v>
      </c>
      <c r="S37" s="1">
        <v>142</v>
      </c>
      <c r="T37" s="1">
        <v>40</v>
      </c>
      <c r="U37" s="1">
        <v>4</v>
      </c>
      <c r="V37" s="1">
        <v>78</v>
      </c>
      <c r="W37" s="1">
        <v>43</v>
      </c>
      <c r="X37" s="1">
        <v>38</v>
      </c>
      <c r="Y37" s="1">
        <v>9</v>
      </c>
      <c r="Z37" s="1">
        <v>17</v>
      </c>
      <c r="AR37" s="3">
        <f t="shared" si="76"/>
        <v>887</v>
      </c>
      <c r="AT37" s="1">
        <f>+[1]PassVol!$AU37</f>
        <v>1366</v>
      </c>
      <c r="AU37" s="1">
        <f t="shared" si="63"/>
        <v>-479</v>
      </c>
      <c r="AV37" s="1">
        <f t="shared" si="66"/>
        <v>0</v>
      </c>
      <c r="AW37" s="1">
        <f t="shared" si="67"/>
        <v>0</v>
      </c>
      <c r="AX37" s="1">
        <f t="shared" si="68"/>
        <v>504</v>
      </c>
      <c r="AY37" s="1">
        <f t="shared" si="69"/>
        <v>194</v>
      </c>
      <c r="AZ37" s="1">
        <f t="shared" si="70"/>
        <v>163</v>
      </c>
      <c r="BA37" s="1">
        <f t="shared" si="71"/>
        <v>26</v>
      </c>
      <c r="BB37" s="1">
        <f t="shared" si="72"/>
        <v>0</v>
      </c>
      <c r="BC37" s="1">
        <f t="shared" si="73"/>
        <v>0</v>
      </c>
      <c r="BD37" s="1">
        <f t="shared" si="74"/>
        <v>0</v>
      </c>
      <c r="BE37" s="1">
        <f t="shared" si="75"/>
        <v>0</v>
      </c>
      <c r="BG37" s="1">
        <f t="shared" si="77"/>
        <v>0</v>
      </c>
      <c r="BH37" s="1">
        <f t="shared" si="77"/>
        <v>0</v>
      </c>
      <c r="BI37" s="1">
        <f t="shared" si="78"/>
        <v>3024</v>
      </c>
      <c r="BJ37" s="1">
        <f t="shared" si="79"/>
        <v>1164</v>
      </c>
      <c r="BK37" s="1">
        <f t="shared" si="80"/>
        <v>978</v>
      </c>
      <c r="BL37" s="1">
        <f t="shared" si="81"/>
        <v>156</v>
      </c>
      <c r="BM37" s="1">
        <f t="shared" si="82"/>
        <v>0</v>
      </c>
      <c r="BN37" s="1">
        <f t="shared" si="83"/>
        <v>0</v>
      </c>
      <c r="BO37" s="1">
        <f t="shared" si="84"/>
        <v>0</v>
      </c>
      <c r="BP37" s="1">
        <f t="shared" si="85"/>
        <v>0</v>
      </c>
      <c r="BQ37" s="1">
        <f t="shared" si="65"/>
        <v>5322</v>
      </c>
    </row>
    <row r="38" spans="1:70" ht="15" customHeight="1" x14ac:dyDescent="0.25">
      <c r="C38" t="s">
        <v>42</v>
      </c>
      <c r="AR38" s="3">
        <f t="shared" si="76"/>
        <v>0</v>
      </c>
      <c r="AT38" s="1">
        <f>+[1]PassVol!$AU38</f>
        <v>0</v>
      </c>
      <c r="AU38" s="1">
        <f t="shared" si="63"/>
        <v>0</v>
      </c>
      <c r="AV38" s="1">
        <f t="shared" si="66"/>
        <v>0</v>
      </c>
      <c r="AW38" s="1">
        <f t="shared" si="67"/>
        <v>0</v>
      </c>
      <c r="AX38" s="1">
        <f t="shared" si="68"/>
        <v>0</v>
      </c>
      <c r="AY38" s="1">
        <f t="shared" si="69"/>
        <v>0</v>
      </c>
      <c r="AZ38" s="1">
        <f t="shared" si="70"/>
        <v>0</v>
      </c>
      <c r="BA38" s="1">
        <f t="shared" si="71"/>
        <v>0</v>
      </c>
      <c r="BB38" s="1">
        <f t="shared" si="72"/>
        <v>0</v>
      </c>
      <c r="BC38" s="1">
        <f t="shared" si="73"/>
        <v>0</v>
      </c>
      <c r="BD38" s="1">
        <f t="shared" si="74"/>
        <v>0</v>
      </c>
      <c r="BE38" s="1">
        <f t="shared" si="75"/>
        <v>0</v>
      </c>
      <c r="BG38" s="1">
        <f t="shared" si="77"/>
        <v>0</v>
      </c>
      <c r="BH38" s="1">
        <f t="shared" si="77"/>
        <v>0</v>
      </c>
      <c r="BI38" s="1">
        <f t="shared" si="78"/>
        <v>0</v>
      </c>
      <c r="BJ38" s="1">
        <f t="shared" si="79"/>
        <v>0</v>
      </c>
      <c r="BK38" s="1">
        <f t="shared" si="80"/>
        <v>0</v>
      </c>
      <c r="BL38" s="1">
        <f t="shared" si="81"/>
        <v>0</v>
      </c>
      <c r="BM38" s="1">
        <f t="shared" si="82"/>
        <v>0</v>
      </c>
      <c r="BN38" s="1">
        <f t="shared" si="83"/>
        <v>0</v>
      </c>
      <c r="BO38" s="1">
        <f t="shared" si="84"/>
        <v>0</v>
      </c>
      <c r="BP38" s="1">
        <f t="shared" si="85"/>
        <v>0</v>
      </c>
      <c r="BQ38" s="1">
        <f t="shared" si="65"/>
        <v>0</v>
      </c>
    </row>
    <row r="39" spans="1:70" ht="15" customHeight="1" x14ac:dyDescent="0.25">
      <c r="C39" t="s">
        <v>192</v>
      </c>
      <c r="N39" s="1">
        <v>16</v>
      </c>
      <c r="O39" s="1">
        <v>38</v>
      </c>
      <c r="P39" s="1">
        <v>427</v>
      </c>
      <c r="S39" s="1">
        <v>12</v>
      </c>
      <c r="T39" s="1">
        <v>132</v>
      </c>
      <c r="W39" s="1">
        <v>8</v>
      </c>
      <c r="X39" s="1">
        <v>4</v>
      </c>
      <c r="AR39" s="3">
        <f t="shared" si="76"/>
        <v>637</v>
      </c>
      <c r="AT39" s="1">
        <f>+[1]PassVol!$AU39</f>
        <v>1165</v>
      </c>
      <c r="AU39" s="1">
        <f t="shared" si="63"/>
        <v>-528</v>
      </c>
      <c r="AV39" s="1">
        <f t="shared" si="66"/>
        <v>0</v>
      </c>
      <c r="AW39" s="1">
        <f t="shared" si="67"/>
        <v>0</v>
      </c>
      <c r="AX39" s="1">
        <f t="shared" si="68"/>
        <v>481</v>
      </c>
      <c r="AY39" s="1">
        <f t="shared" si="69"/>
        <v>144</v>
      </c>
      <c r="AZ39" s="1">
        <f t="shared" si="70"/>
        <v>12</v>
      </c>
      <c r="BA39" s="1">
        <f t="shared" si="71"/>
        <v>0</v>
      </c>
      <c r="BB39" s="1">
        <f t="shared" si="72"/>
        <v>0</v>
      </c>
      <c r="BC39" s="1">
        <f t="shared" si="73"/>
        <v>0</v>
      </c>
      <c r="BD39" s="1">
        <f t="shared" si="74"/>
        <v>0</v>
      </c>
      <c r="BE39" s="1">
        <f t="shared" si="75"/>
        <v>0</v>
      </c>
      <c r="BG39" s="1">
        <f t="shared" si="77"/>
        <v>0</v>
      </c>
      <c r="BH39" s="1">
        <f t="shared" si="77"/>
        <v>0</v>
      </c>
      <c r="BI39" s="1">
        <f t="shared" si="78"/>
        <v>2886</v>
      </c>
      <c r="BJ39" s="1">
        <f t="shared" si="79"/>
        <v>864</v>
      </c>
      <c r="BK39" s="1">
        <f t="shared" si="80"/>
        <v>72</v>
      </c>
      <c r="BL39" s="1">
        <f t="shared" si="81"/>
        <v>0</v>
      </c>
      <c r="BM39" s="1">
        <f t="shared" si="82"/>
        <v>0</v>
      </c>
      <c r="BN39" s="1">
        <f t="shared" si="83"/>
        <v>0</v>
      </c>
      <c r="BO39" s="1">
        <f t="shared" si="84"/>
        <v>0</v>
      </c>
      <c r="BP39" s="1">
        <f t="shared" si="85"/>
        <v>0</v>
      </c>
      <c r="BQ39" s="1">
        <f t="shared" si="65"/>
        <v>3822</v>
      </c>
    </row>
    <row r="40" spans="1:70" ht="15" customHeight="1" x14ac:dyDescent="0.25">
      <c r="C40" t="s">
        <v>133</v>
      </c>
      <c r="L40" s="1">
        <v>60</v>
      </c>
      <c r="N40" s="1">
        <v>60</v>
      </c>
      <c r="O40" s="1">
        <v>12</v>
      </c>
      <c r="P40" s="1">
        <v>87</v>
      </c>
      <c r="S40" s="1">
        <v>30</v>
      </c>
      <c r="T40" s="1">
        <v>75</v>
      </c>
      <c r="W40" s="1">
        <v>4</v>
      </c>
      <c r="X40" s="1">
        <v>22</v>
      </c>
      <c r="Y40" s="1">
        <v>8</v>
      </c>
      <c r="Z40" s="1">
        <v>16</v>
      </c>
      <c r="AA40" s="1">
        <v>16</v>
      </c>
      <c r="AR40" s="3">
        <f t="shared" si="76"/>
        <v>390</v>
      </c>
      <c r="AT40" s="1">
        <f>+[1]PassVol!$AU40</f>
        <v>325</v>
      </c>
      <c r="AU40" s="1">
        <f t="shared" si="63"/>
        <v>65</v>
      </c>
      <c r="AV40" s="1">
        <f t="shared" si="66"/>
        <v>0</v>
      </c>
      <c r="AW40" s="1">
        <f t="shared" si="67"/>
        <v>0</v>
      </c>
      <c r="AX40" s="1">
        <f t="shared" si="68"/>
        <v>219</v>
      </c>
      <c r="AY40" s="1">
        <f t="shared" si="69"/>
        <v>105</v>
      </c>
      <c r="AZ40" s="1">
        <f t="shared" si="70"/>
        <v>26</v>
      </c>
      <c r="BA40" s="1">
        <f t="shared" si="71"/>
        <v>40</v>
      </c>
      <c r="BB40" s="1">
        <f t="shared" si="72"/>
        <v>0</v>
      </c>
      <c r="BC40" s="1">
        <f t="shared" si="73"/>
        <v>0</v>
      </c>
      <c r="BD40" s="1">
        <f t="shared" si="74"/>
        <v>0</v>
      </c>
      <c r="BE40" s="1">
        <f t="shared" si="75"/>
        <v>0</v>
      </c>
      <c r="BG40" s="1">
        <f t="shared" si="77"/>
        <v>0</v>
      </c>
      <c r="BH40" s="1">
        <f t="shared" si="77"/>
        <v>0</v>
      </c>
      <c r="BI40" s="1">
        <f t="shared" si="78"/>
        <v>1314</v>
      </c>
      <c r="BJ40" s="1">
        <f t="shared" si="79"/>
        <v>630</v>
      </c>
      <c r="BK40" s="1">
        <f t="shared" si="80"/>
        <v>156</v>
      </c>
      <c r="BL40" s="1">
        <f t="shared" si="81"/>
        <v>240</v>
      </c>
      <c r="BM40" s="1">
        <f t="shared" si="82"/>
        <v>0</v>
      </c>
      <c r="BN40" s="1">
        <f t="shared" si="83"/>
        <v>0</v>
      </c>
      <c r="BO40" s="1">
        <f t="shared" si="84"/>
        <v>0</v>
      </c>
      <c r="BP40" s="1">
        <f t="shared" si="85"/>
        <v>0</v>
      </c>
      <c r="BQ40" s="1">
        <f t="shared" si="65"/>
        <v>2340</v>
      </c>
    </row>
    <row r="41" spans="1:70" ht="15" customHeight="1" x14ac:dyDescent="0.25">
      <c r="C41" t="s">
        <v>41</v>
      </c>
      <c r="L41" s="1">
        <v>711</v>
      </c>
      <c r="M41" s="1">
        <v>60</v>
      </c>
      <c r="N41" s="1">
        <v>148</v>
      </c>
      <c r="O41" s="1">
        <v>603</v>
      </c>
      <c r="P41" s="1">
        <v>112</v>
      </c>
      <c r="S41" s="1">
        <v>126</v>
      </c>
      <c r="T41" s="1">
        <v>511</v>
      </c>
      <c r="U41" s="1">
        <v>56</v>
      </c>
      <c r="V41" s="1">
        <v>44</v>
      </c>
      <c r="W41" s="1">
        <v>83</v>
      </c>
      <c r="X41" s="1">
        <v>124</v>
      </c>
      <c r="Y41" s="1">
        <v>42</v>
      </c>
      <c r="Z41" s="1">
        <v>41</v>
      </c>
      <c r="AA41" s="1">
        <v>51</v>
      </c>
      <c r="AR41" s="3">
        <f t="shared" si="76"/>
        <v>2712</v>
      </c>
      <c r="AT41" s="1">
        <f>+[1]PassVol!$AU41</f>
        <v>2664</v>
      </c>
      <c r="AU41" s="1">
        <f t="shared" si="63"/>
        <v>48</v>
      </c>
      <c r="AV41" s="1">
        <f t="shared" si="66"/>
        <v>0</v>
      </c>
      <c r="AW41" s="1">
        <f t="shared" si="67"/>
        <v>0</v>
      </c>
      <c r="AX41" s="1">
        <f t="shared" si="68"/>
        <v>1634</v>
      </c>
      <c r="AY41" s="1">
        <f t="shared" si="69"/>
        <v>637</v>
      </c>
      <c r="AZ41" s="1">
        <f t="shared" si="70"/>
        <v>307</v>
      </c>
      <c r="BA41" s="1">
        <f t="shared" si="71"/>
        <v>134</v>
      </c>
      <c r="BB41" s="1">
        <f t="shared" si="72"/>
        <v>0</v>
      </c>
      <c r="BC41" s="1">
        <f t="shared" si="73"/>
        <v>0</v>
      </c>
      <c r="BD41" s="1">
        <f t="shared" si="74"/>
        <v>0</v>
      </c>
      <c r="BE41" s="1">
        <f t="shared" si="75"/>
        <v>0</v>
      </c>
      <c r="BG41" s="1">
        <f t="shared" si="77"/>
        <v>0</v>
      </c>
      <c r="BH41" s="1">
        <f t="shared" si="77"/>
        <v>0</v>
      </c>
      <c r="BI41" s="1">
        <f t="shared" si="78"/>
        <v>9804</v>
      </c>
      <c r="BJ41" s="1">
        <f t="shared" si="79"/>
        <v>3822</v>
      </c>
      <c r="BK41" s="1">
        <f t="shared" si="80"/>
        <v>1842</v>
      </c>
      <c r="BL41" s="1">
        <f t="shared" si="81"/>
        <v>804</v>
      </c>
      <c r="BM41" s="1">
        <f t="shared" si="82"/>
        <v>0</v>
      </c>
      <c r="BN41" s="1">
        <f t="shared" si="83"/>
        <v>0</v>
      </c>
      <c r="BO41" s="1">
        <f t="shared" si="84"/>
        <v>0</v>
      </c>
      <c r="BP41" s="1">
        <f t="shared" si="85"/>
        <v>0</v>
      </c>
      <c r="BQ41" s="1">
        <f t="shared" si="65"/>
        <v>16272</v>
      </c>
    </row>
    <row r="42" spans="1:70" ht="15" customHeight="1" x14ac:dyDescent="0.25">
      <c r="C42" t="s">
        <v>193</v>
      </c>
      <c r="AR42" s="3">
        <f t="shared" si="76"/>
        <v>0</v>
      </c>
      <c r="AT42" s="1">
        <f>+[1]PassVol!$AU42</f>
        <v>0</v>
      </c>
      <c r="AU42" s="1">
        <f t="shared" si="63"/>
        <v>0</v>
      </c>
      <c r="AV42" s="1">
        <f t="shared" si="66"/>
        <v>0</v>
      </c>
      <c r="AW42" s="1">
        <f t="shared" si="67"/>
        <v>0</v>
      </c>
      <c r="AX42" s="1">
        <f t="shared" si="68"/>
        <v>0</v>
      </c>
      <c r="AY42" s="1">
        <f t="shared" si="69"/>
        <v>0</v>
      </c>
      <c r="AZ42" s="1">
        <f t="shared" si="70"/>
        <v>0</v>
      </c>
      <c r="BA42" s="1">
        <f t="shared" si="71"/>
        <v>0</v>
      </c>
      <c r="BB42" s="1">
        <f t="shared" si="72"/>
        <v>0</v>
      </c>
      <c r="BC42" s="1">
        <f t="shared" si="73"/>
        <v>0</v>
      </c>
      <c r="BD42" s="1">
        <f t="shared" si="74"/>
        <v>0</v>
      </c>
      <c r="BE42" s="1">
        <f t="shared" si="75"/>
        <v>0</v>
      </c>
      <c r="BG42" s="1">
        <f t="shared" si="77"/>
        <v>0</v>
      </c>
      <c r="BH42" s="1">
        <f t="shared" si="77"/>
        <v>0</v>
      </c>
      <c r="BI42" s="1">
        <f t="shared" si="78"/>
        <v>0</v>
      </c>
      <c r="BJ42" s="1">
        <f t="shared" si="79"/>
        <v>0</v>
      </c>
      <c r="BK42" s="1">
        <f t="shared" si="80"/>
        <v>0</v>
      </c>
      <c r="BL42" s="1">
        <f t="shared" si="81"/>
        <v>0</v>
      </c>
      <c r="BM42" s="1">
        <f t="shared" si="82"/>
        <v>0</v>
      </c>
      <c r="BN42" s="1">
        <f t="shared" si="83"/>
        <v>0</v>
      </c>
      <c r="BO42" s="1">
        <f t="shared" si="84"/>
        <v>0</v>
      </c>
      <c r="BP42" s="1">
        <f t="shared" si="85"/>
        <v>0</v>
      </c>
      <c r="BQ42" s="1">
        <f t="shared" si="65"/>
        <v>0</v>
      </c>
    </row>
    <row r="43" spans="1:70" ht="15" customHeight="1" x14ac:dyDescent="0.25">
      <c r="C43" t="s">
        <v>297</v>
      </c>
      <c r="AR43" s="3">
        <f t="shared" si="76"/>
        <v>0</v>
      </c>
      <c r="AT43" s="1">
        <f>+[1]PassVol!$AU43</f>
        <v>0</v>
      </c>
      <c r="AU43" s="1">
        <f t="shared" si="63"/>
        <v>0</v>
      </c>
      <c r="AV43" s="1">
        <f t="shared" si="66"/>
        <v>0</v>
      </c>
      <c r="AW43" s="1">
        <f t="shared" si="67"/>
        <v>0</v>
      </c>
      <c r="AX43" s="1">
        <f t="shared" si="68"/>
        <v>0</v>
      </c>
      <c r="AY43" s="1">
        <f t="shared" si="69"/>
        <v>0</v>
      </c>
      <c r="AZ43" s="1">
        <f t="shared" si="70"/>
        <v>0</v>
      </c>
      <c r="BA43" s="1">
        <f t="shared" si="71"/>
        <v>0</v>
      </c>
      <c r="BB43" s="1">
        <f t="shared" si="72"/>
        <v>0</v>
      </c>
      <c r="BC43" s="1">
        <f t="shared" si="73"/>
        <v>0</v>
      </c>
      <c r="BD43" s="1">
        <f t="shared" si="74"/>
        <v>0</v>
      </c>
      <c r="BE43" s="1">
        <f t="shared" si="75"/>
        <v>0</v>
      </c>
      <c r="BG43" s="1">
        <f t="shared" si="77"/>
        <v>0</v>
      </c>
      <c r="BH43" s="1">
        <f t="shared" si="77"/>
        <v>0</v>
      </c>
      <c r="BI43" s="1">
        <f t="shared" si="78"/>
        <v>0</v>
      </c>
      <c r="BJ43" s="1">
        <f t="shared" si="79"/>
        <v>0</v>
      </c>
      <c r="BK43" s="1">
        <f t="shared" si="80"/>
        <v>0</v>
      </c>
      <c r="BL43" s="1">
        <f t="shared" si="81"/>
        <v>0</v>
      </c>
      <c r="BM43" s="1">
        <f t="shared" si="82"/>
        <v>0</v>
      </c>
      <c r="BN43" s="1">
        <f t="shared" si="83"/>
        <v>0</v>
      </c>
      <c r="BO43" s="1">
        <f t="shared" si="84"/>
        <v>0</v>
      </c>
      <c r="BP43" s="1">
        <f t="shared" si="85"/>
        <v>0</v>
      </c>
      <c r="BQ43" s="1">
        <f t="shared" si="65"/>
        <v>0</v>
      </c>
    </row>
    <row r="44" spans="1:70" ht="15" customHeight="1" x14ac:dyDescent="0.25">
      <c r="C44" t="s">
        <v>296</v>
      </c>
      <c r="L44" s="1">
        <v>30</v>
      </c>
      <c r="M44" s="1">
        <v>18</v>
      </c>
      <c r="N44" s="1">
        <v>30</v>
      </c>
      <c r="O44" s="1">
        <v>75</v>
      </c>
      <c r="P44" s="1">
        <v>45</v>
      </c>
      <c r="S44" s="1">
        <v>26</v>
      </c>
      <c r="T44" s="1">
        <v>30</v>
      </c>
      <c r="V44" s="1">
        <v>20</v>
      </c>
      <c r="W44" s="1">
        <v>33</v>
      </c>
      <c r="X44" s="1">
        <v>11</v>
      </c>
      <c r="Y44" s="1">
        <v>10</v>
      </c>
      <c r="Z44" s="1">
        <v>6</v>
      </c>
      <c r="AA44" s="1">
        <v>10</v>
      </c>
      <c r="AR44" s="3">
        <f t="shared" si="76"/>
        <v>344</v>
      </c>
      <c r="AT44" s="1">
        <f>+[1]PassVol!$AU44</f>
        <v>576</v>
      </c>
      <c r="AU44" s="1">
        <f t="shared" si="63"/>
        <v>-232</v>
      </c>
      <c r="AV44" s="1">
        <f t="shared" si="66"/>
        <v>0</v>
      </c>
      <c r="AW44" s="1">
        <f t="shared" si="67"/>
        <v>0</v>
      </c>
      <c r="AX44" s="1">
        <f t="shared" si="68"/>
        <v>198</v>
      </c>
      <c r="AY44" s="1">
        <f t="shared" si="69"/>
        <v>56</v>
      </c>
      <c r="AZ44" s="1">
        <f t="shared" si="70"/>
        <v>64</v>
      </c>
      <c r="BA44" s="1">
        <f t="shared" si="71"/>
        <v>26</v>
      </c>
      <c r="BB44" s="1">
        <f t="shared" si="72"/>
        <v>0</v>
      </c>
      <c r="BC44" s="1">
        <f t="shared" si="73"/>
        <v>0</v>
      </c>
      <c r="BD44" s="1">
        <f t="shared" si="74"/>
        <v>0</v>
      </c>
      <c r="BE44" s="1">
        <f t="shared" si="75"/>
        <v>0</v>
      </c>
      <c r="BG44" s="1">
        <f t="shared" si="77"/>
        <v>0</v>
      </c>
      <c r="BH44" s="1">
        <f t="shared" si="77"/>
        <v>0</v>
      </c>
      <c r="BI44" s="1">
        <f t="shared" si="78"/>
        <v>1188</v>
      </c>
      <c r="BJ44" s="1">
        <f t="shared" si="79"/>
        <v>336</v>
      </c>
      <c r="BK44" s="1">
        <f t="shared" si="80"/>
        <v>384</v>
      </c>
      <c r="BL44" s="1">
        <f t="shared" si="81"/>
        <v>156</v>
      </c>
      <c r="BM44" s="1">
        <f t="shared" si="82"/>
        <v>0</v>
      </c>
      <c r="BN44" s="1">
        <f t="shared" si="83"/>
        <v>0</v>
      </c>
      <c r="BO44" s="1">
        <f t="shared" si="84"/>
        <v>0</v>
      </c>
      <c r="BP44" s="1">
        <f t="shared" si="85"/>
        <v>0</v>
      </c>
      <c r="BQ44" s="1">
        <f t="shared" si="65"/>
        <v>2064</v>
      </c>
    </row>
    <row r="45" spans="1:70" ht="15" customHeight="1" x14ac:dyDescent="0.25">
      <c r="A45"/>
      <c r="C45" t="s">
        <v>44</v>
      </c>
      <c r="L45" s="1">
        <f>5351-4446</f>
        <v>905</v>
      </c>
      <c r="M45" s="1">
        <f>1824-1552-3</f>
        <v>269</v>
      </c>
      <c r="N45" s="1">
        <f>1887-1378</f>
        <v>509</v>
      </c>
      <c r="O45" s="1">
        <f>2618-1860</f>
        <v>758</v>
      </c>
      <c r="P45" s="1">
        <f>3163-2179</f>
        <v>984</v>
      </c>
      <c r="Q45" s="1">
        <f>741-720-9</f>
        <v>12</v>
      </c>
      <c r="S45" s="1">
        <f>1959-1240-4</f>
        <v>715</v>
      </c>
      <c r="T45" s="1">
        <f>2552-2031</f>
        <v>521</v>
      </c>
      <c r="U45" s="1">
        <f>1592-1464</f>
        <v>128</v>
      </c>
      <c r="V45" s="1">
        <f>1224-896</f>
        <v>328</v>
      </c>
      <c r="W45" s="1">
        <f>1311-837</f>
        <v>474</v>
      </c>
      <c r="X45" s="1">
        <f>1366-1008</f>
        <v>358</v>
      </c>
      <c r="Y45" s="1">
        <f>771-592</f>
        <v>179</v>
      </c>
      <c r="Z45" s="1">
        <f>279-119</f>
        <v>160</v>
      </c>
      <c r="AA45" s="1">
        <f>662-531</f>
        <v>131</v>
      </c>
      <c r="AR45" s="3">
        <f t="shared" si="76"/>
        <v>6431</v>
      </c>
      <c r="AT45" s="1">
        <f>+[1]PassVol!$AU45</f>
        <v>9009</v>
      </c>
      <c r="AU45" s="1">
        <f t="shared" si="63"/>
        <v>-2578</v>
      </c>
      <c r="AV45" s="1">
        <f t="shared" si="66"/>
        <v>0</v>
      </c>
      <c r="AW45" s="1">
        <f t="shared" si="67"/>
        <v>0</v>
      </c>
      <c r="AX45" s="1">
        <f t="shared" si="68"/>
        <v>3425</v>
      </c>
      <c r="AY45" s="1">
        <f t="shared" si="69"/>
        <v>1248</v>
      </c>
      <c r="AZ45" s="1">
        <f t="shared" si="70"/>
        <v>1288</v>
      </c>
      <c r="BA45" s="1">
        <f t="shared" si="71"/>
        <v>470</v>
      </c>
      <c r="BB45" s="1">
        <f t="shared" si="72"/>
        <v>0</v>
      </c>
      <c r="BC45" s="1">
        <f t="shared" si="73"/>
        <v>0</v>
      </c>
      <c r="BD45" s="1">
        <f t="shared" si="74"/>
        <v>0</v>
      </c>
      <c r="BE45" s="1">
        <f t="shared" si="75"/>
        <v>0</v>
      </c>
      <c r="BG45" s="1">
        <f t="shared" si="77"/>
        <v>0</v>
      </c>
      <c r="BH45" s="1">
        <f t="shared" si="77"/>
        <v>0</v>
      </c>
      <c r="BI45" s="1">
        <f t="shared" si="78"/>
        <v>20550</v>
      </c>
      <c r="BJ45" s="1">
        <f t="shared" si="79"/>
        <v>7488</v>
      </c>
      <c r="BK45" s="1">
        <f t="shared" si="80"/>
        <v>7728</v>
      </c>
      <c r="BL45" s="1">
        <f t="shared" si="81"/>
        <v>2820</v>
      </c>
      <c r="BM45" s="1">
        <f t="shared" si="82"/>
        <v>0</v>
      </c>
      <c r="BN45" s="1">
        <f t="shared" si="83"/>
        <v>0</v>
      </c>
      <c r="BO45" s="1">
        <f t="shared" si="84"/>
        <v>0</v>
      </c>
      <c r="BP45" s="1">
        <f t="shared" si="85"/>
        <v>0</v>
      </c>
      <c r="BQ45" s="1">
        <f t="shared" si="65"/>
        <v>38586</v>
      </c>
    </row>
    <row r="46" spans="1:70" ht="15" customHeight="1" x14ac:dyDescent="0.25">
      <c r="A46"/>
      <c r="B46" s="2" t="s">
        <v>72</v>
      </c>
      <c r="D46" s="3">
        <f t="shared" ref="D46:AQ46" si="86">SUM(D27:D45)</f>
        <v>0</v>
      </c>
      <c r="E46" s="3">
        <f t="shared" si="86"/>
        <v>0</v>
      </c>
      <c r="F46" s="3">
        <f t="shared" si="86"/>
        <v>0</v>
      </c>
      <c r="G46" s="3">
        <f t="shared" si="86"/>
        <v>0</v>
      </c>
      <c r="H46" s="3">
        <f t="shared" si="86"/>
        <v>0</v>
      </c>
      <c r="I46" s="3">
        <f t="shared" si="86"/>
        <v>0</v>
      </c>
      <c r="J46" s="3">
        <f t="shared" si="86"/>
        <v>0</v>
      </c>
      <c r="K46" s="3">
        <f t="shared" si="86"/>
        <v>0</v>
      </c>
      <c r="L46" s="3">
        <f t="shared" si="86"/>
        <v>5351</v>
      </c>
      <c r="M46" s="3">
        <f t="shared" si="86"/>
        <v>1821</v>
      </c>
      <c r="N46" s="3">
        <f t="shared" si="86"/>
        <v>1887</v>
      </c>
      <c r="O46" s="3">
        <f t="shared" si="86"/>
        <v>2618</v>
      </c>
      <c r="P46" s="3">
        <f t="shared" si="86"/>
        <v>3163</v>
      </c>
      <c r="Q46" s="3">
        <f t="shared" si="86"/>
        <v>741</v>
      </c>
      <c r="R46" s="3">
        <f t="shared" si="86"/>
        <v>2351</v>
      </c>
      <c r="S46" s="3">
        <f t="shared" si="86"/>
        <v>1959</v>
      </c>
      <c r="T46" s="3">
        <f t="shared" si="86"/>
        <v>2552</v>
      </c>
      <c r="U46" s="3">
        <f t="shared" si="86"/>
        <v>1592</v>
      </c>
      <c r="V46" s="3">
        <f t="shared" si="86"/>
        <v>1224</v>
      </c>
      <c r="W46" s="3">
        <f t="shared" si="86"/>
        <v>1311</v>
      </c>
      <c r="X46" s="3">
        <f t="shared" si="86"/>
        <v>1366</v>
      </c>
      <c r="Y46" s="3">
        <f t="shared" si="86"/>
        <v>771</v>
      </c>
      <c r="Z46" s="3">
        <f t="shared" si="86"/>
        <v>279</v>
      </c>
      <c r="AA46" s="3">
        <f t="shared" si="86"/>
        <v>662</v>
      </c>
      <c r="AB46" s="3">
        <f t="shared" si="86"/>
        <v>0</v>
      </c>
      <c r="AC46" s="3">
        <f t="shared" si="86"/>
        <v>0</v>
      </c>
      <c r="AD46" s="3">
        <f t="shared" si="86"/>
        <v>0</v>
      </c>
      <c r="AE46" s="3">
        <f t="shared" si="86"/>
        <v>0</v>
      </c>
      <c r="AF46" s="3">
        <f t="shared" si="86"/>
        <v>0</v>
      </c>
      <c r="AG46" s="3">
        <f t="shared" si="86"/>
        <v>0</v>
      </c>
      <c r="AH46" s="150">
        <f t="shared" si="86"/>
        <v>0</v>
      </c>
      <c r="AI46" s="3">
        <f t="shared" si="86"/>
        <v>0</v>
      </c>
      <c r="AJ46" s="3">
        <f t="shared" si="86"/>
        <v>0</v>
      </c>
      <c r="AK46" s="3">
        <f t="shared" si="86"/>
        <v>0</v>
      </c>
      <c r="AL46" s="150">
        <f t="shared" si="86"/>
        <v>0</v>
      </c>
      <c r="AM46" s="3">
        <f t="shared" si="86"/>
        <v>0</v>
      </c>
      <c r="AN46" s="3">
        <f t="shared" si="86"/>
        <v>0</v>
      </c>
      <c r="AO46" s="3">
        <f t="shared" si="86"/>
        <v>0</v>
      </c>
      <c r="AP46" s="3">
        <f t="shared" si="86"/>
        <v>0</v>
      </c>
      <c r="AQ46" s="3">
        <f t="shared" si="86"/>
        <v>0</v>
      </c>
      <c r="AR46" s="3">
        <f t="shared" ref="AR46" si="87">SUM(AR27:AR45)</f>
        <v>29648</v>
      </c>
      <c r="AT46" s="1">
        <f>SUM(AT27:AT45)</f>
        <v>28051</v>
      </c>
      <c r="AU46" s="1">
        <f>SUM(AU27:AU45)</f>
        <v>1597</v>
      </c>
      <c r="AV46" s="3">
        <f>SUM(AV27:AV45)</f>
        <v>0</v>
      </c>
      <c r="AW46" s="3">
        <f>SUM(AW27:AW45)</f>
        <v>0</v>
      </c>
      <c r="AX46" s="3">
        <f t="shared" ref="AX46:BE46" si="88">SUM(AX27:AX45)</f>
        <v>14840</v>
      </c>
      <c r="AY46" s="3">
        <f t="shared" si="88"/>
        <v>7603</v>
      </c>
      <c r="AZ46" s="3">
        <f t="shared" si="88"/>
        <v>5493</v>
      </c>
      <c r="BA46" s="3">
        <f t="shared" si="88"/>
        <v>1712</v>
      </c>
      <c r="BB46" s="3">
        <f t="shared" si="88"/>
        <v>0</v>
      </c>
      <c r="BC46" s="3">
        <f t="shared" si="88"/>
        <v>0</v>
      </c>
      <c r="BD46" s="3">
        <f t="shared" si="88"/>
        <v>0</v>
      </c>
      <c r="BE46" s="3">
        <f t="shared" si="88"/>
        <v>0</v>
      </c>
      <c r="BF46" s="2"/>
      <c r="BG46" s="3">
        <f>SUM(BG27:BG45)</f>
        <v>0</v>
      </c>
      <c r="BH46" s="3">
        <f>SUM(BH27:BH45)</f>
        <v>0</v>
      </c>
      <c r="BI46" s="3">
        <f t="shared" ref="BI46:BQ46" si="89">SUM(BI27:BI45)</f>
        <v>89040</v>
      </c>
      <c r="BJ46" s="3">
        <f t="shared" si="89"/>
        <v>45618</v>
      </c>
      <c r="BK46" s="3">
        <f t="shared" si="89"/>
        <v>32958</v>
      </c>
      <c r="BL46" s="3">
        <f t="shared" si="89"/>
        <v>10272</v>
      </c>
      <c r="BM46" s="3">
        <f t="shared" si="89"/>
        <v>0</v>
      </c>
      <c r="BN46" s="3">
        <f t="shared" si="89"/>
        <v>0</v>
      </c>
      <c r="BO46" s="3">
        <f t="shared" si="89"/>
        <v>0</v>
      </c>
      <c r="BP46" s="3">
        <f t="shared" si="89"/>
        <v>0</v>
      </c>
      <c r="BQ46" s="3">
        <f t="shared" si="89"/>
        <v>177888</v>
      </c>
      <c r="BR46" s="2"/>
    </row>
    <row r="47" spans="1:70" s="10" customFormat="1" ht="15" customHeight="1" x14ac:dyDescent="0.25">
      <c r="A47" s="39"/>
      <c r="B47" s="39"/>
      <c r="C47" s="38" t="s">
        <v>102</v>
      </c>
      <c r="D47" s="11">
        <f>+D46</f>
        <v>0</v>
      </c>
      <c r="E47" s="11">
        <f>+D47+E46</f>
        <v>0</v>
      </c>
      <c r="F47" s="11">
        <f t="shared" ref="F47:J47" si="90">+E47+F46</f>
        <v>0</v>
      </c>
      <c r="G47" s="11">
        <f t="shared" si="90"/>
        <v>0</v>
      </c>
      <c r="H47" s="11">
        <f t="shared" si="90"/>
        <v>0</v>
      </c>
      <c r="I47" s="11">
        <f t="shared" si="90"/>
        <v>0</v>
      </c>
      <c r="J47" s="11">
        <f t="shared" si="90"/>
        <v>0</v>
      </c>
      <c r="K47" s="11">
        <f t="shared" ref="K47" si="91">+J47+K46</f>
        <v>0</v>
      </c>
      <c r="L47" s="11">
        <f t="shared" ref="L47" si="92">+K47+L46</f>
        <v>5351</v>
      </c>
      <c r="M47" s="11">
        <f t="shared" ref="M47" si="93">+L47+M46</f>
        <v>7172</v>
      </c>
      <c r="N47" s="11">
        <f t="shared" ref="N47" si="94">+M47+N46</f>
        <v>9059</v>
      </c>
      <c r="O47" s="11">
        <f t="shared" ref="O47" si="95">+N47+O46</f>
        <v>11677</v>
      </c>
      <c r="P47" s="11">
        <f t="shared" ref="P47" si="96">+O47+P46</f>
        <v>14840</v>
      </c>
      <c r="Q47" s="11">
        <f t="shared" ref="Q47" si="97">+P47+Q46</f>
        <v>15581</v>
      </c>
      <c r="R47" s="11">
        <f t="shared" ref="R47" si="98">+Q47+R46</f>
        <v>17932</v>
      </c>
      <c r="S47" s="11">
        <f t="shared" ref="S47" si="99">+R47+S46</f>
        <v>19891</v>
      </c>
      <c r="T47" s="11">
        <f t="shared" ref="T47" si="100">+S47+T46</f>
        <v>22443</v>
      </c>
      <c r="U47" s="11">
        <f t="shared" ref="U47" si="101">+T47+U46</f>
        <v>24035</v>
      </c>
      <c r="V47" s="11">
        <f t="shared" ref="V47" si="102">+U47+V46</f>
        <v>25259</v>
      </c>
      <c r="W47" s="11">
        <f t="shared" ref="W47" si="103">+V47+W46</f>
        <v>26570</v>
      </c>
      <c r="X47" s="11">
        <f t="shared" ref="X47" si="104">+W47+X46</f>
        <v>27936</v>
      </c>
      <c r="Y47" s="11">
        <f t="shared" ref="Y47" si="105">+X47+Y46</f>
        <v>28707</v>
      </c>
      <c r="Z47" s="11">
        <f t="shared" ref="Z47" si="106">+Y47+Z46</f>
        <v>28986</v>
      </c>
      <c r="AA47" s="11">
        <f t="shared" ref="AA47" si="107">+Z47+AA46</f>
        <v>29648</v>
      </c>
      <c r="AB47" s="11">
        <f t="shared" ref="AB47" si="108">+AA47+AB46</f>
        <v>29648</v>
      </c>
      <c r="AC47" s="11">
        <f t="shared" ref="AC47" si="109">+AB47+AC46</f>
        <v>29648</v>
      </c>
      <c r="AD47" s="11">
        <f t="shared" ref="AD47" si="110">+AC47+AD46</f>
        <v>29648</v>
      </c>
      <c r="AE47" s="11">
        <f t="shared" ref="AE47" si="111">+AD47+AE46</f>
        <v>29648</v>
      </c>
      <c r="AF47" s="11">
        <f t="shared" ref="AF47" si="112">+AE47+AF46</f>
        <v>29648</v>
      </c>
      <c r="AG47" s="11">
        <f t="shared" ref="AG47" si="113">+AF47+AG46</f>
        <v>29648</v>
      </c>
      <c r="AH47" s="147">
        <f t="shared" ref="AH47" si="114">+AG47+AH46</f>
        <v>29648</v>
      </c>
      <c r="AI47" s="11">
        <f t="shared" ref="AI47" si="115">+AH47+AI46</f>
        <v>29648</v>
      </c>
      <c r="AJ47" s="11">
        <f t="shared" ref="AJ47" si="116">+AI47+AJ46</f>
        <v>29648</v>
      </c>
      <c r="AK47" s="11">
        <f t="shared" ref="AK47" si="117">+AJ47+AK46</f>
        <v>29648</v>
      </c>
      <c r="AL47" s="147">
        <f t="shared" ref="AL47" si="118">+AK47+AL46</f>
        <v>29648</v>
      </c>
      <c r="AM47" s="11">
        <f t="shared" ref="AM47" si="119">+AL47+AM46</f>
        <v>29648</v>
      </c>
      <c r="AN47" s="11">
        <f t="shared" ref="AN47" si="120">+AM47+AN46</f>
        <v>29648</v>
      </c>
      <c r="AO47" s="11">
        <f t="shared" ref="AO47" si="121">+AN47+AO46</f>
        <v>29648</v>
      </c>
      <c r="AP47" s="11">
        <f t="shared" ref="AP47" si="122">+AO47+AP46</f>
        <v>29648</v>
      </c>
      <c r="AQ47" s="11">
        <f t="shared" ref="AQ47" si="123">+AP47+AQ46</f>
        <v>29648</v>
      </c>
      <c r="AR47" s="40"/>
      <c r="AS47" s="11"/>
      <c r="AT47" s="11"/>
      <c r="AU47" s="11"/>
      <c r="AV47" s="11">
        <f>+AV46</f>
        <v>0</v>
      </c>
      <c r="AW47" s="1">
        <f>+AV47+AW46</f>
        <v>0</v>
      </c>
      <c r="AX47" s="1">
        <f t="shared" ref="AX47" si="124">+AW47+AX46</f>
        <v>14840</v>
      </c>
      <c r="AY47" s="1">
        <f t="shared" ref="AY47" si="125">+AX47+AY46</f>
        <v>22443</v>
      </c>
      <c r="AZ47" s="1">
        <f t="shared" ref="AZ47" si="126">+AY47+AZ46</f>
        <v>27936</v>
      </c>
      <c r="BA47" s="1">
        <f t="shared" ref="BA47" si="127">+AZ47+BA46</f>
        <v>29648</v>
      </c>
      <c r="BB47" s="1">
        <f t="shared" ref="BB47" si="128">+BA47+BB46</f>
        <v>29648</v>
      </c>
      <c r="BC47" s="1">
        <f t="shared" ref="BC47" si="129">+BB47+BC46</f>
        <v>29648</v>
      </c>
      <c r="BD47" s="1">
        <f t="shared" ref="BD47" si="130">+BC47+BD46</f>
        <v>29648</v>
      </c>
      <c r="BE47" s="1">
        <f t="shared" ref="BE47" si="131">+BD47+BE46</f>
        <v>29648</v>
      </c>
    </row>
    <row r="48" spans="1:70" s="10" customFormat="1" ht="15" customHeight="1" x14ac:dyDescent="0.2">
      <c r="A48" s="39"/>
      <c r="B48" s="39"/>
      <c r="C48" s="38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47"/>
      <c r="AI48" s="11"/>
      <c r="AJ48" s="11"/>
      <c r="AK48" s="11"/>
      <c r="AL48" s="147"/>
      <c r="AM48" s="11"/>
      <c r="AN48" s="11"/>
      <c r="AO48" s="11"/>
      <c r="AP48" s="11"/>
      <c r="AQ48" s="11"/>
      <c r="AR48" s="40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</row>
    <row r="49" spans="1:69" ht="15" customHeight="1" x14ac:dyDescent="0.25">
      <c r="A49"/>
      <c r="B49" s="2" t="s">
        <v>73</v>
      </c>
      <c r="AT49" s="25"/>
    </row>
    <row r="50" spans="1:69" ht="15" customHeight="1" x14ac:dyDescent="0.25">
      <c r="A50"/>
      <c r="C50" t="s">
        <v>190</v>
      </c>
      <c r="L50" s="1">
        <v>9</v>
      </c>
      <c r="Q50" s="1">
        <v>18</v>
      </c>
      <c r="S50" s="1">
        <v>4</v>
      </c>
      <c r="T50" s="1">
        <v>7</v>
      </c>
      <c r="V50" s="1">
        <v>2</v>
      </c>
      <c r="W50" s="1">
        <v>5</v>
      </c>
      <c r="AR50" s="3">
        <f>SUM(D50:AQ50)</f>
        <v>45</v>
      </c>
      <c r="AT50" s="1">
        <f>+[1]PassVol!$AU50</f>
        <v>1358</v>
      </c>
      <c r="AU50" s="1">
        <f t="shared" ref="AU50:AU68" si="132">+AR50-AT50</f>
        <v>-1313</v>
      </c>
      <c r="AV50" s="1">
        <f>SUM(D50:G50)</f>
        <v>0</v>
      </c>
      <c r="AW50" s="1">
        <f>SUM(H50:K50)</f>
        <v>0</v>
      </c>
      <c r="AX50" s="1">
        <f>SUM(L50:P50)</f>
        <v>9</v>
      </c>
      <c r="AY50" s="1">
        <f>SUM(Q50:T50)</f>
        <v>29</v>
      </c>
      <c r="AZ50" s="1">
        <f>SUM(U50:X50)</f>
        <v>7</v>
      </c>
      <c r="BA50" s="1">
        <f>SUM(Y50:AC50)</f>
        <v>0</v>
      </c>
      <c r="BB50" s="1">
        <f>SUM(AD50:AG50)</f>
        <v>0</v>
      </c>
      <c r="BC50" s="1">
        <f>SUM(AH50:AK50)</f>
        <v>0</v>
      </c>
      <c r="BD50" s="1">
        <f>SUM(AL50:AP50)</f>
        <v>0</v>
      </c>
      <c r="BE50" s="1">
        <f>+AQ50</f>
        <v>0</v>
      </c>
      <c r="BG50" s="1">
        <f t="shared" ref="BG50:BH68" si="133">+AV50*6</f>
        <v>0</v>
      </c>
      <c r="BH50" s="1">
        <f t="shared" si="133"/>
        <v>0</v>
      </c>
      <c r="BI50" s="1">
        <f t="shared" ref="BI50:BI68" si="134">+AX50*6</f>
        <v>54</v>
      </c>
      <c r="BJ50" s="1">
        <f t="shared" ref="BJ50:BJ68" si="135">+AY50*6</f>
        <v>174</v>
      </c>
      <c r="BK50" s="1">
        <f t="shared" ref="BK50:BK68" si="136">+AZ50*6</f>
        <v>42</v>
      </c>
      <c r="BL50" s="1">
        <f t="shared" ref="BL50:BL68" si="137">+BA50*6</f>
        <v>0</v>
      </c>
      <c r="BM50" s="1">
        <f t="shared" ref="BM50:BM68" si="138">+BB50*6</f>
        <v>0</v>
      </c>
      <c r="BN50" s="1">
        <f t="shared" ref="BN50:BN68" si="139">+BC50*6</f>
        <v>0</v>
      </c>
      <c r="BO50" s="1">
        <f t="shared" ref="BO50:BO68" si="140">+BD50*6</f>
        <v>0</v>
      </c>
      <c r="BP50" s="1">
        <f t="shared" ref="BP50:BP68" si="141">+BE50*6</f>
        <v>0</v>
      </c>
      <c r="BQ50" s="1">
        <f t="shared" ref="BQ50:BQ68" si="142">SUM(BG50:BP50)</f>
        <v>270</v>
      </c>
    </row>
    <row r="51" spans="1:69" ht="15" customHeight="1" x14ac:dyDescent="0.25">
      <c r="A51"/>
      <c r="C51" t="s">
        <v>424</v>
      </c>
      <c r="L51" s="1">
        <v>103</v>
      </c>
      <c r="M51" s="1">
        <v>39</v>
      </c>
      <c r="N51" s="1">
        <v>60</v>
      </c>
      <c r="P51" s="1">
        <v>148</v>
      </c>
      <c r="Q51" s="1">
        <v>97</v>
      </c>
      <c r="R51" s="1">
        <v>68</v>
      </c>
      <c r="S51" s="1">
        <v>6</v>
      </c>
      <c r="T51" s="1">
        <v>48</v>
      </c>
      <c r="U51" s="1">
        <v>1</v>
      </c>
      <c r="V51" s="1">
        <v>26</v>
      </c>
      <c r="W51" s="1">
        <v>22</v>
      </c>
      <c r="X51" s="1">
        <v>6</v>
      </c>
      <c r="AR51" s="3">
        <f>SUM(D51:AQ51)</f>
        <v>624</v>
      </c>
      <c r="AT51" s="1">
        <f>+[1]PassVol!$AU51</f>
        <v>634</v>
      </c>
      <c r="AU51" s="1">
        <f t="shared" si="132"/>
        <v>-10</v>
      </c>
      <c r="AV51" s="1">
        <f t="shared" ref="AV51:AV68" si="143">SUM(D51:G51)</f>
        <v>0</v>
      </c>
      <c r="AW51" s="1">
        <f t="shared" ref="AW51:AW68" si="144">SUM(H51:K51)</f>
        <v>0</v>
      </c>
      <c r="AX51" s="1">
        <f t="shared" ref="AX51:AX68" si="145">SUM(L51:P51)</f>
        <v>350</v>
      </c>
      <c r="AY51" s="1">
        <f t="shared" ref="AY51:AY68" si="146">SUM(Q51:T51)</f>
        <v>219</v>
      </c>
      <c r="AZ51" s="1">
        <f t="shared" ref="AZ51:AZ68" si="147">SUM(U51:X51)</f>
        <v>55</v>
      </c>
      <c r="BA51" s="1">
        <f t="shared" ref="BA51:BA68" si="148">SUM(Y51:AC51)</f>
        <v>0</v>
      </c>
      <c r="BB51" s="1">
        <f t="shared" ref="BB51:BB68" si="149">SUM(AD51:AG51)</f>
        <v>0</v>
      </c>
      <c r="BC51" s="1">
        <f t="shared" ref="BC51:BC68" si="150">SUM(AH51:AK51)</f>
        <v>0</v>
      </c>
      <c r="BD51" s="1">
        <f t="shared" ref="BD51:BD68" si="151">SUM(AL51:AP51)</f>
        <v>0</v>
      </c>
      <c r="BE51" s="1">
        <f t="shared" ref="BE51:BE68" si="152">+AQ51</f>
        <v>0</v>
      </c>
      <c r="BG51" s="1">
        <f t="shared" ref="BG51:BP51" si="153">+AV51*6</f>
        <v>0</v>
      </c>
      <c r="BH51" s="1">
        <f t="shared" si="153"/>
        <v>0</v>
      </c>
      <c r="BI51" s="1">
        <f t="shared" si="153"/>
        <v>2100</v>
      </c>
      <c r="BJ51" s="1">
        <f t="shared" si="153"/>
        <v>1314</v>
      </c>
      <c r="BK51" s="1">
        <f t="shared" si="153"/>
        <v>330</v>
      </c>
      <c r="BL51" s="1">
        <f t="shared" si="153"/>
        <v>0</v>
      </c>
      <c r="BM51" s="1">
        <f t="shared" si="153"/>
        <v>0</v>
      </c>
      <c r="BN51" s="1">
        <f t="shared" si="153"/>
        <v>0</v>
      </c>
      <c r="BO51" s="1">
        <f t="shared" si="153"/>
        <v>0</v>
      </c>
      <c r="BP51" s="1">
        <f t="shared" si="153"/>
        <v>0</v>
      </c>
      <c r="BQ51" s="1">
        <f t="shared" si="142"/>
        <v>3744</v>
      </c>
    </row>
    <row r="52" spans="1:69" ht="15" customHeight="1" x14ac:dyDescent="0.25">
      <c r="A52"/>
      <c r="C52" t="s">
        <v>347</v>
      </c>
      <c r="L52" s="1">
        <v>72</v>
      </c>
      <c r="M52" s="1">
        <v>30</v>
      </c>
      <c r="N52" s="1">
        <v>21</v>
      </c>
      <c r="O52" s="1">
        <v>3</v>
      </c>
      <c r="P52" s="1">
        <v>69</v>
      </c>
      <c r="Q52" s="1">
        <v>15</v>
      </c>
      <c r="R52" s="1">
        <v>39</v>
      </c>
      <c r="S52" s="1">
        <v>15</v>
      </c>
      <c r="T52" s="1">
        <v>48</v>
      </c>
      <c r="W52" s="1">
        <v>12</v>
      </c>
      <c r="AR52" s="3">
        <f t="shared" ref="AR52:AR68" si="154">SUM(D52:AQ52)</f>
        <v>324</v>
      </c>
      <c r="AT52" s="1">
        <f>+[1]PassVol!$AU52</f>
        <v>384</v>
      </c>
      <c r="AU52" s="1">
        <f t="shared" si="132"/>
        <v>-60</v>
      </c>
      <c r="AV52" s="1">
        <f t="shared" si="143"/>
        <v>0</v>
      </c>
      <c r="AW52" s="1">
        <f t="shared" si="144"/>
        <v>0</v>
      </c>
      <c r="AX52" s="1">
        <f t="shared" si="145"/>
        <v>195</v>
      </c>
      <c r="AY52" s="1">
        <f t="shared" si="146"/>
        <v>117</v>
      </c>
      <c r="AZ52" s="1">
        <f t="shared" si="147"/>
        <v>12</v>
      </c>
      <c r="BA52" s="1">
        <f t="shared" si="148"/>
        <v>0</v>
      </c>
      <c r="BB52" s="1">
        <f t="shared" si="149"/>
        <v>0</v>
      </c>
      <c r="BC52" s="1">
        <f t="shared" si="150"/>
        <v>0</v>
      </c>
      <c r="BD52" s="1">
        <f t="shared" si="151"/>
        <v>0</v>
      </c>
      <c r="BE52" s="1">
        <f t="shared" si="152"/>
        <v>0</v>
      </c>
      <c r="BG52" s="1">
        <f t="shared" si="133"/>
        <v>0</v>
      </c>
      <c r="BH52" s="1">
        <f t="shared" si="133"/>
        <v>0</v>
      </c>
      <c r="BI52" s="1">
        <f t="shared" si="134"/>
        <v>1170</v>
      </c>
      <c r="BJ52" s="1">
        <f t="shared" si="135"/>
        <v>702</v>
      </c>
      <c r="BK52" s="1">
        <f t="shared" si="136"/>
        <v>72</v>
      </c>
      <c r="BL52" s="1">
        <f t="shared" si="137"/>
        <v>0</v>
      </c>
      <c r="BM52" s="1">
        <f t="shared" si="138"/>
        <v>0</v>
      </c>
      <c r="BN52" s="1">
        <f t="shared" si="139"/>
        <v>0</v>
      </c>
      <c r="BO52" s="1">
        <f t="shared" si="140"/>
        <v>0</v>
      </c>
      <c r="BP52" s="1">
        <f t="shared" si="141"/>
        <v>0</v>
      </c>
      <c r="BQ52" s="1">
        <f t="shared" si="142"/>
        <v>1944</v>
      </c>
    </row>
    <row r="53" spans="1:69" ht="15" customHeight="1" x14ac:dyDescent="0.25">
      <c r="A53"/>
      <c r="C53" t="s">
        <v>0</v>
      </c>
      <c r="AR53" s="3">
        <f t="shared" si="154"/>
        <v>0</v>
      </c>
      <c r="AT53" s="1">
        <f>+[1]PassVol!$AU53</f>
        <v>0</v>
      </c>
      <c r="AU53" s="1">
        <f t="shared" si="132"/>
        <v>0</v>
      </c>
      <c r="AV53" s="1">
        <f t="shared" si="143"/>
        <v>0</v>
      </c>
      <c r="AW53" s="1">
        <f t="shared" si="144"/>
        <v>0</v>
      </c>
      <c r="AX53" s="1">
        <f t="shared" si="145"/>
        <v>0</v>
      </c>
      <c r="AY53" s="1">
        <f t="shared" si="146"/>
        <v>0</v>
      </c>
      <c r="AZ53" s="1">
        <f t="shared" si="147"/>
        <v>0</v>
      </c>
      <c r="BA53" s="1">
        <f t="shared" si="148"/>
        <v>0</v>
      </c>
      <c r="BB53" s="1">
        <f t="shared" si="149"/>
        <v>0</v>
      </c>
      <c r="BC53" s="1">
        <f t="shared" si="150"/>
        <v>0</v>
      </c>
      <c r="BD53" s="1">
        <f t="shared" si="151"/>
        <v>0</v>
      </c>
      <c r="BE53" s="1">
        <f t="shared" si="152"/>
        <v>0</v>
      </c>
      <c r="BG53" s="1">
        <f t="shared" si="133"/>
        <v>0</v>
      </c>
      <c r="BH53" s="1">
        <f t="shared" si="133"/>
        <v>0</v>
      </c>
      <c r="BI53" s="1">
        <f t="shared" si="134"/>
        <v>0</v>
      </c>
      <c r="BJ53" s="1">
        <f t="shared" si="135"/>
        <v>0</v>
      </c>
      <c r="BK53" s="1">
        <f t="shared" si="136"/>
        <v>0</v>
      </c>
      <c r="BL53" s="1">
        <f t="shared" si="137"/>
        <v>0</v>
      </c>
      <c r="BM53" s="1">
        <f t="shared" si="138"/>
        <v>0</v>
      </c>
      <c r="BN53" s="1">
        <f t="shared" si="139"/>
        <v>0</v>
      </c>
      <c r="BO53" s="1">
        <f t="shared" si="140"/>
        <v>0</v>
      </c>
      <c r="BP53" s="1">
        <f t="shared" si="141"/>
        <v>0</v>
      </c>
      <c r="BQ53" s="1">
        <f t="shared" si="142"/>
        <v>0</v>
      </c>
    </row>
    <row r="54" spans="1:69" ht="15" customHeight="1" x14ac:dyDescent="0.25">
      <c r="A54"/>
      <c r="C54" t="s">
        <v>354</v>
      </c>
      <c r="L54" s="1">
        <v>60</v>
      </c>
      <c r="O54" s="1">
        <v>6</v>
      </c>
      <c r="P54" s="1">
        <v>60</v>
      </c>
      <c r="T54" s="1">
        <v>45</v>
      </c>
      <c r="AR54" s="3">
        <f t="shared" si="154"/>
        <v>171</v>
      </c>
      <c r="AT54" s="1">
        <f>+[1]PassVol!$AU54</f>
        <v>144</v>
      </c>
      <c r="AU54" s="1">
        <f t="shared" si="132"/>
        <v>27</v>
      </c>
      <c r="AV54" s="1">
        <f t="shared" si="143"/>
        <v>0</v>
      </c>
      <c r="AW54" s="1">
        <f t="shared" si="144"/>
        <v>0</v>
      </c>
      <c r="AX54" s="1">
        <f t="shared" si="145"/>
        <v>126</v>
      </c>
      <c r="AY54" s="1">
        <f t="shared" si="146"/>
        <v>45</v>
      </c>
      <c r="AZ54" s="1">
        <f t="shared" si="147"/>
        <v>0</v>
      </c>
      <c r="BA54" s="1">
        <f t="shared" si="148"/>
        <v>0</v>
      </c>
      <c r="BB54" s="1">
        <f t="shared" si="149"/>
        <v>0</v>
      </c>
      <c r="BC54" s="1">
        <f t="shared" si="150"/>
        <v>0</v>
      </c>
      <c r="BD54" s="1">
        <f t="shared" si="151"/>
        <v>0</v>
      </c>
      <c r="BE54" s="1">
        <f t="shared" si="152"/>
        <v>0</v>
      </c>
      <c r="BG54" s="1">
        <f t="shared" si="133"/>
        <v>0</v>
      </c>
      <c r="BH54" s="1">
        <f t="shared" si="133"/>
        <v>0</v>
      </c>
      <c r="BI54" s="1">
        <f t="shared" si="134"/>
        <v>756</v>
      </c>
      <c r="BJ54" s="1">
        <f t="shared" si="135"/>
        <v>270</v>
      </c>
      <c r="BK54" s="1">
        <f t="shared" si="136"/>
        <v>0</v>
      </c>
      <c r="BL54" s="1">
        <f t="shared" si="137"/>
        <v>0</v>
      </c>
      <c r="BM54" s="1">
        <f t="shared" si="138"/>
        <v>0</v>
      </c>
      <c r="BN54" s="1">
        <f t="shared" si="139"/>
        <v>0</v>
      </c>
      <c r="BO54" s="1">
        <f t="shared" si="140"/>
        <v>0</v>
      </c>
      <c r="BP54" s="1">
        <f t="shared" si="141"/>
        <v>0</v>
      </c>
      <c r="BQ54" s="1">
        <f t="shared" si="142"/>
        <v>1026</v>
      </c>
    </row>
    <row r="55" spans="1:69" ht="15" customHeight="1" x14ac:dyDescent="0.25">
      <c r="A55"/>
      <c r="C55" t="s">
        <v>265</v>
      </c>
      <c r="L55" s="1">
        <v>75</v>
      </c>
      <c r="P55" s="1">
        <v>77</v>
      </c>
      <c r="AR55" s="3">
        <f t="shared" si="154"/>
        <v>152</v>
      </c>
      <c r="AT55" s="1">
        <f>+[1]PassVol!$AU55</f>
        <v>341</v>
      </c>
      <c r="AU55" s="1">
        <f t="shared" si="132"/>
        <v>-189</v>
      </c>
      <c r="AV55" s="1">
        <f t="shared" si="143"/>
        <v>0</v>
      </c>
      <c r="AW55" s="1">
        <f t="shared" si="144"/>
        <v>0</v>
      </c>
      <c r="AX55" s="1">
        <f t="shared" si="145"/>
        <v>152</v>
      </c>
      <c r="AY55" s="1">
        <f t="shared" si="146"/>
        <v>0</v>
      </c>
      <c r="AZ55" s="1">
        <f t="shared" si="147"/>
        <v>0</v>
      </c>
      <c r="BA55" s="1">
        <f t="shared" si="148"/>
        <v>0</v>
      </c>
      <c r="BB55" s="1">
        <f t="shared" si="149"/>
        <v>0</v>
      </c>
      <c r="BC55" s="1">
        <f t="shared" si="150"/>
        <v>0</v>
      </c>
      <c r="BD55" s="1">
        <f t="shared" si="151"/>
        <v>0</v>
      </c>
      <c r="BE55" s="1">
        <f t="shared" si="152"/>
        <v>0</v>
      </c>
      <c r="BG55" s="1">
        <f t="shared" si="133"/>
        <v>0</v>
      </c>
      <c r="BH55" s="1">
        <f t="shared" si="133"/>
        <v>0</v>
      </c>
      <c r="BI55" s="1">
        <f t="shared" si="134"/>
        <v>912</v>
      </c>
      <c r="BJ55" s="1">
        <f t="shared" si="135"/>
        <v>0</v>
      </c>
      <c r="BK55" s="1">
        <f t="shared" si="136"/>
        <v>0</v>
      </c>
      <c r="BL55" s="1">
        <f t="shared" si="137"/>
        <v>0</v>
      </c>
      <c r="BM55" s="1">
        <f t="shared" si="138"/>
        <v>0</v>
      </c>
      <c r="BN55" s="1">
        <f t="shared" si="139"/>
        <v>0</v>
      </c>
      <c r="BO55" s="1">
        <f t="shared" si="140"/>
        <v>0</v>
      </c>
      <c r="BP55" s="1">
        <f t="shared" si="141"/>
        <v>0</v>
      </c>
      <c r="BQ55" s="1">
        <f t="shared" si="142"/>
        <v>912</v>
      </c>
    </row>
    <row r="56" spans="1:69" ht="15" customHeight="1" x14ac:dyDescent="0.25">
      <c r="A56"/>
      <c r="C56" t="s">
        <v>191</v>
      </c>
      <c r="M56" s="1">
        <v>435</v>
      </c>
      <c r="N56" s="1">
        <v>15</v>
      </c>
      <c r="O56" s="1">
        <v>18</v>
      </c>
      <c r="P56" s="1">
        <v>330</v>
      </c>
      <c r="Q56" s="1">
        <v>14</v>
      </c>
      <c r="R56" s="1">
        <v>360</v>
      </c>
      <c r="AR56" s="3">
        <f t="shared" si="154"/>
        <v>1172</v>
      </c>
      <c r="AT56" s="1">
        <f>+[1]PassVol!$AU56</f>
        <v>832</v>
      </c>
      <c r="AU56" s="1">
        <f t="shared" si="132"/>
        <v>340</v>
      </c>
      <c r="AV56" s="1">
        <f t="shared" si="143"/>
        <v>0</v>
      </c>
      <c r="AW56" s="1">
        <f t="shared" si="144"/>
        <v>0</v>
      </c>
      <c r="AX56" s="1">
        <f t="shared" si="145"/>
        <v>798</v>
      </c>
      <c r="AY56" s="1">
        <f t="shared" si="146"/>
        <v>374</v>
      </c>
      <c r="AZ56" s="1">
        <f t="shared" si="147"/>
        <v>0</v>
      </c>
      <c r="BA56" s="1">
        <f t="shared" si="148"/>
        <v>0</v>
      </c>
      <c r="BB56" s="1">
        <f t="shared" si="149"/>
        <v>0</v>
      </c>
      <c r="BC56" s="1">
        <f t="shared" si="150"/>
        <v>0</v>
      </c>
      <c r="BD56" s="1">
        <f t="shared" si="151"/>
        <v>0</v>
      </c>
      <c r="BE56" s="1">
        <f t="shared" si="152"/>
        <v>0</v>
      </c>
      <c r="BG56" s="1">
        <f t="shared" si="133"/>
        <v>0</v>
      </c>
      <c r="BH56" s="1">
        <f t="shared" si="133"/>
        <v>0</v>
      </c>
      <c r="BI56" s="1">
        <f t="shared" si="134"/>
        <v>4788</v>
      </c>
      <c r="BJ56" s="1">
        <f t="shared" si="135"/>
        <v>2244</v>
      </c>
      <c r="BK56" s="1">
        <f t="shared" si="136"/>
        <v>0</v>
      </c>
      <c r="BL56" s="1">
        <f t="shared" si="137"/>
        <v>0</v>
      </c>
      <c r="BM56" s="1">
        <f t="shared" si="138"/>
        <v>0</v>
      </c>
      <c r="BN56" s="1">
        <f t="shared" si="139"/>
        <v>0</v>
      </c>
      <c r="BO56" s="1">
        <f t="shared" si="140"/>
        <v>0</v>
      </c>
      <c r="BP56" s="1">
        <f t="shared" si="141"/>
        <v>0</v>
      </c>
      <c r="BQ56" s="1">
        <f t="shared" si="142"/>
        <v>7032</v>
      </c>
    </row>
    <row r="57" spans="1:69" ht="15" customHeight="1" x14ac:dyDescent="0.25">
      <c r="C57" t="s">
        <v>549</v>
      </c>
      <c r="AR57" s="3">
        <f t="shared" si="154"/>
        <v>0</v>
      </c>
      <c r="AT57" s="1">
        <f>+[1]PassVol!$AU57</f>
        <v>0</v>
      </c>
      <c r="AU57" s="1">
        <f t="shared" si="132"/>
        <v>0</v>
      </c>
      <c r="AV57" s="1">
        <f t="shared" si="143"/>
        <v>0</v>
      </c>
      <c r="AW57" s="1">
        <f t="shared" si="144"/>
        <v>0</v>
      </c>
      <c r="AX57" s="1">
        <f t="shared" si="145"/>
        <v>0</v>
      </c>
      <c r="AY57" s="1">
        <f t="shared" si="146"/>
        <v>0</v>
      </c>
      <c r="AZ57" s="1">
        <f t="shared" si="147"/>
        <v>0</v>
      </c>
      <c r="BA57" s="1">
        <f t="shared" si="148"/>
        <v>0</v>
      </c>
      <c r="BB57" s="1">
        <f t="shared" si="149"/>
        <v>0</v>
      </c>
      <c r="BC57" s="1">
        <f t="shared" si="150"/>
        <v>0</v>
      </c>
      <c r="BD57" s="1">
        <f t="shared" si="151"/>
        <v>0</v>
      </c>
      <c r="BE57" s="1">
        <f t="shared" si="152"/>
        <v>0</v>
      </c>
      <c r="BG57" s="1">
        <f t="shared" si="133"/>
        <v>0</v>
      </c>
      <c r="BH57" s="1">
        <f t="shared" si="133"/>
        <v>0</v>
      </c>
      <c r="BI57" s="1">
        <f t="shared" si="134"/>
        <v>0</v>
      </c>
      <c r="BJ57" s="1">
        <f t="shared" si="135"/>
        <v>0</v>
      </c>
      <c r="BK57" s="1">
        <f t="shared" si="136"/>
        <v>0</v>
      </c>
      <c r="BL57" s="1">
        <f t="shared" si="137"/>
        <v>0</v>
      </c>
      <c r="BM57" s="1">
        <f t="shared" si="138"/>
        <v>0</v>
      </c>
      <c r="BN57" s="1">
        <f t="shared" si="139"/>
        <v>0</v>
      </c>
      <c r="BO57" s="1">
        <f t="shared" si="140"/>
        <v>0</v>
      </c>
      <c r="BP57" s="1">
        <f t="shared" si="141"/>
        <v>0</v>
      </c>
      <c r="BQ57" s="1">
        <f t="shared" si="142"/>
        <v>0</v>
      </c>
    </row>
    <row r="58" spans="1:69" ht="15" customHeight="1" x14ac:dyDescent="0.25">
      <c r="C58" t="s">
        <v>550</v>
      </c>
      <c r="R58" s="1">
        <v>505</v>
      </c>
      <c r="S58" s="1">
        <v>125</v>
      </c>
      <c r="U58" s="1">
        <v>16</v>
      </c>
      <c r="V58" s="1">
        <v>55</v>
      </c>
      <c r="W58" s="1">
        <v>6</v>
      </c>
      <c r="X58" s="1">
        <v>26</v>
      </c>
      <c r="AR58" s="3">
        <f t="shared" si="154"/>
        <v>733</v>
      </c>
      <c r="AT58" s="1">
        <f>+[1]PassVol!$AU58</f>
        <v>0</v>
      </c>
      <c r="AU58" s="1">
        <f t="shared" si="132"/>
        <v>733</v>
      </c>
      <c r="AV58" s="1">
        <f t="shared" si="143"/>
        <v>0</v>
      </c>
      <c r="AW58" s="1">
        <f t="shared" si="144"/>
        <v>0</v>
      </c>
      <c r="AX58" s="1">
        <f t="shared" si="145"/>
        <v>0</v>
      </c>
      <c r="AY58" s="1">
        <f t="shared" si="146"/>
        <v>630</v>
      </c>
      <c r="AZ58" s="1">
        <f t="shared" si="147"/>
        <v>103</v>
      </c>
      <c r="BA58" s="1">
        <f t="shared" si="148"/>
        <v>0</v>
      </c>
      <c r="BB58" s="1">
        <f t="shared" si="149"/>
        <v>0</v>
      </c>
      <c r="BC58" s="1">
        <f t="shared" si="150"/>
        <v>0</v>
      </c>
      <c r="BD58" s="1">
        <f t="shared" si="151"/>
        <v>0</v>
      </c>
      <c r="BE58" s="1">
        <f t="shared" si="152"/>
        <v>0</v>
      </c>
      <c r="BG58" s="1">
        <f t="shared" si="133"/>
        <v>0</v>
      </c>
      <c r="BH58" s="1">
        <f t="shared" si="133"/>
        <v>0</v>
      </c>
      <c r="BI58" s="1">
        <f t="shared" si="134"/>
        <v>0</v>
      </c>
      <c r="BJ58" s="1">
        <f t="shared" si="135"/>
        <v>3780</v>
      </c>
      <c r="BK58" s="1">
        <f t="shared" si="136"/>
        <v>618</v>
      </c>
      <c r="BL58" s="1">
        <f t="shared" si="137"/>
        <v>0</v>
      </c>
      <c r="BM58" s="1">
        <f t="shared" si="138"/>
        <v>0</v>
      </c>
      <c r="BN58" s="1">
        <f t="shared" si="139"/>
        <v>0</v>
      </c>
      <c r="BO58" s="1">
        <f t="shared" si="140"/>
        <v>0</v>
      </c>
      <c r="BP58" s="1">
        <f t="shared" si="141"/>
        <v>0</v>
      </c>
      <c r="BQ58" s="1">
        <f t="shared" si="142"/>
        <v>4398</v>
      </c>
    </row>
    <row r="59" spans="1:69" ht="15" customHeight="1" x14ac:dyDescent="0.25">
      <c r="C59" t="s">
        <v>6</v>
      </c>
      <c r="AR59" s="3">
        <f t="shared" si="154"/>
        <v>0</v>
      </c>
      <c r="AT59" s="1">
        <f>+[1]PassVol!$AU59</f>
        <v>0</v>
      </c>
      <c r="AU59" s="1">
        <f t="shared" si="132"/>
        <v>0</v>
      </c>
      <c r="AV59" s="1">
        <f t="shared" si="143"/>
        <v>0</v>
      </c>
      <c r="AW59" s="1">
        <f t="shared" si="144"/>
        <v>0</v>
      </c>
      <c r="AX59" s="1">
        <f t="shared" si="145"/>
        <v>0</v>
      </c>
      <c r="AY59" s="1">
        <f t="shared" si="146"/>
        <v>0</v>
      </c>
      <c r="AZ59" s="1">
        <f t="shared" si="147"/>
        <v>0</v>
      </c>
      <c r="BA59" s="1">
        <f t="shared" si="148"/>
        <v>0</v>
      </c>
      <c r="BB59" s="1">
        <f t="shared" si="149"/>
        <v>0</v>
      </c>
      <c r="BC59" s="1">
        <f t="shared" si="150"/>
        <v>0</v>
      </c>
      <c r="BD59" s="1">
        <f t="shared" si="151"/>
        <v>0</v>
      </c>
      <c r="BE59" s="1">
        <f t="shared" si="152"/>
        <v>0</v>
      </c>
      <c r="BG59" s="1">
        <f t="shared" si="133"/>
        <v>0</v>
      </c>
      <c r="BH59" s="1">
        <f t="shared" si="133"/>
        <v>0</v>
      </c>
      <c r="BI59" s="1">
        <f t="shared" si="134"/>
        <v>0</v>
      </c>
      <c r="BJ59" s="1">
        <f t="shared" si="135"/>
        <v>0</v>
      </c>
      <c r="BK59" s="1">
        <f t="shared" si="136"/>
        <v>0</v>
      </c>
      <c r="BL59" s="1">
        <f t="shared" si="137"/>
        <v>0</v>
      </c>
      <c r="BM59" s="1">
        <f t="shared" si="138"/>
        <v>0</v>
      </c>
      <c r="BN59" s="1">
        <f t="shared" si="139"/>
        <v>0</v>
      </c>
      <c r="BO59" s="1">
        <f t="shared" si="140"/>
        <v>0</v>
      </c>
      <c r="BP59" s="1">
        <f t="shared" si="141"/>
        <v>0</v>
      </c>
      <c r="BQ59" s="1">
        <f t="shared" si="142"/>
        <v>0</v>
      </c>
    </row>
    <row r="60" spans="1:69" ht="15" customHeight="1" x14ac:dyDescent="0.25">
      <c r="C60" t="s">
        <v>262</v>
      </c>
      <c r="AR60" s="3">
        <f t="shared" si="154"/>
        <v>0</v>
      </c>
      <c r="AT60" s="1">
        <f>+[1]PassVol!$AU60</f>
        <v>0</v>
      </c>
      <c r="AU60" s="1">
        <f t="shared" si="132"/>
        <v>0</v>
      </c>
      <c r="AV60" s="1">
        <f t="shared" si="143"/>
        <v>0</v>
      </c>
      <c r="AW60" s="1">
        <f t="shared" si="144"/>
        <v>0</v>
      </c>
      <c r="AX60" s="1">
        <f t="shared" si="145"/>
        <v>0</v>
      </c>
      <c r="AY60" s="1">
        <f t="shared" si="146"/>
        <v>0</v>
      </c>
      <c r="AZ60" s="1">
        <f t="shared" si="147"/>
        <v>0</v>
      </c>
      <c r="BA60" s="1">
        <f t="shared" si="148"/>
        <v>0</v>
      </c>
      <c r="BB60" s="1">
        <f t="shared" si="149"/>
        <v>0</v>
      </c>
      <c r="BC60" s="1">
        <f t="shared" si="150"/>
        <v>0</v>
      </c>
      <c r="BD60" s="1">
        <f t="shared" si="151"/>
        <v>0</v>
      </c>
      <c r="BE60" s="1">
        <f t="shared" si="152"/>
        <v>0</v>
      </c>
      <c r="BG60" s="1">
        <f t="shared" si="133"/>
        <v>0</v>
      </c>
      <c r="BH60" s="1">
        <f t="shared" si="133"/>
        <v>0</v>
      </c>
      <c r="BI60" s="1">
        <f t="shared" si="134"/>
        <v>0</v>
      </c>
      <c r="BJ60" s="1">
        <f t="shared" si="135"/>
        <v>0</v>
      </c>
      <c r="BK60" s="1">
        <f t="shared" si="136"/>
        <v>0</v>
      </c>
      <c r="BL60" s="1">
        <f t="shared" si="137"/>
        <v>0</v>
      </c>
      <c r="BM60" s="1">
        <f t="shared" si="138"/>
        <v>0</v>
      </c>
      <c r="BN60" s="1">
        <f t="shared" si="139"/>
        <v>0</v>
      </c>
      <c r="BO60" s="1">
        <f t="shared" si="140"/>
        <v>0</v>
      </c>
      <c r="BP60" s="1">
        <f t="shared" si="141"/>
        <v>0</v>
      </c>
      <c r="BQ60" s="1">
        <f t="shared" si="142"/>
        <v>0</v>
      </c>
    </row>
    <row r="61" spans="1:69" ht="15" customHeight="1" x14ac:dyDescent="0.25">
      <c r="C61" t="s">
        <v>42</v>
      </c>
      <c r="L61" s="1">
        <v>570</v>
      </c>
      <c r="Q61" s="1">
        <v>6</v>
      </c>
      <c r="W61" s="1">
        <v>15</v>
      </c>
      <c r="AR61" s="3">
        <f t="shared" si="154"/>
        <v>591</v>
      </c>
      <c r="AT61" s="1">
        <f>+[1]PassVol!$AU61</f>
        <v>561</v>
      </c>
      <c r="AU61" s="1">
        <f t="shared" si="132"/>
        <v>30</v>
      </c>
      <c r="AV61" s="1">
        <f t="shared" si="143"/>
        <v>0</v>
      </c>
      <c r="AW61" s="1">
        <f t="shared" si="144"/>
        <v>0</v>
      </c>
      <c r="AX61" s="1">
        <f t="shared" si="145"/>
        <v>570</v>
      </c>
      <c r="AY61" s="1">
        <f t="shared" si="146"/>
        <v>6</v>
      </c>
      <c r="AZ61" s="1">
        <f t="shared" si="147"/>
        <v>15</v>
      </c>
      <c r="BA61" s="1">
        <f t="shared" si="148"/>
        <v>0</v>
      </c>
      <c r="BB61" s="1">
        <f t="shared" si="149"/>
        <v>0</v>
      </c>
      <c r="BC61" s="1">
        <f t="shared" si="150"/>
        <v>0</v>
      </c>
      <c r="BD61" s="1">
        <f t="shared" si="151"/>
        <v>0</v>
      </c>
      <c r="BE61" s="1">
        <f t="shared" si="152"/>
        <v>0</v>
      </c>
      <c r="BG61" s="1">
        <f t="shared" si="133"/>
        <v>0</v>
      </c>
      <c r="BH61" s="1">
        <f t="shared" si="133"/>
        <v>0</v>
      </c>
      <c r="BI61" s="1">
        <f t="shared" si="134"/>
        <v>3420</v>
      </c>
      <c r="BJ61" s="1">
        <f t="shared" si="135"/>
        <v>36</v>
      </c>
      <c r="BK61" s="1">
        <f t="shared" si="136"/>
        <v>90</v>
      </c>
      <c r="BL61" s="1">
        <f t="shared" si="137"/>
        <v>0</v>
      </c>
      <c r="BM61" s="1">
        <f t="shared" si="138"/>
        <v>0</v>
      </c>
      <c r="BN61" s="1">
        <f t="shared" si="139"/>
        <v>0</v>
      </c>
      <c r="BO61" s="1">
        <f t="shared" si="140"/>
        <v>0</v>
      </c>
      <c r="BP61" s="1">
        <f t="shared" si="141"/>
        <v>0</v>
      </c>
      <c r="BQ61" s="1">
        <f t="shared" si="142"/>
        <v>3546</v>
      </c>
    </row>
    <row r="62" spans="1:69" ht="15" customHeight="1" x14ac:dyDescent="0.25">
      <c r="C62" t="s">
        <v>192</v>
      </c>
      <c r="M62" s="1">
        <v>270</v>
      </c>
      <c r="O62" s="1">
        <v>2</v>
      </c>
      <c r="P62" s="1">
        <v>283</v>
      </c>
      <c r="V62" s="1">
        <v>2</v>
      </c>
      <c r="W62" s="1">
        <v>4</v>
      </c>
      <c r="AR62" s="3">
        <f t="shared" si="154"/>
        <v>561</v>
      </c>
      <c r="AT62" s="1">
        <f>+[1]PassVol!$AU62</f>
        <v>737</v>
      </c>
      <c r="AU62" s="1">
        <f t="shared" si="132"/>
        <v>-176</v>
      </c>
      <c r="AV62" s="1">
        <f t="shared" si="143"/>
        <v>0</v>
      </c>
      <c r="AW62" s="1">
        <f t="shared" si="144"/>
        <v>0</v>
      </c>
      <c r="AX62" s="1">
        <f t="shared" si="145"/>
        <v>555</v>
      </c>
      <c r="AY62" s="1">
        <f t="shared" si="146"/>
        <v>0</v>
      </c>
      <c r="AZ62" s="1">
        <f t="shared" si="147"/>
        <v>6</v>
      </c>
      <c r="BA62" s="1">
        <f t="shared" si="148"/>
        <v>0</v>
      </c>
      <c r="BB62" s="1">
        <f t="shared" si="149"/>
        <v>0</v>
      </c>
      <c r="BC62" s="1">
        <f t="shared" si="150"/>
        <v>0</v>
      </c>
      <c r="BD62" s="1">
        <f t="shared" si="151"/>
        <v>0</v>
      </c>
      <c r="BE62" s="1">
        <f t="shared" si="152"/>
        <v>0</v>
      </c>
      <c r="BG62" s="1">
        <f t="shared" si="133"/>
        <v>0</v>
      </c>
      <c r="BH62" s="1">
        <f t="shared" si="133"/>
        <v>0</v>
      </c>
      <c r="BI62" s="1">
        <f t="shared" si="134"/>
        <v>3330</v>
      </c>
      <c r="BJ62" s="1">
        <f t="shared" si="135"/>
        <v>0</v>
      </c>
      <c r="BK62" s="1">
        <f t="shared" si="136"/>
        <v>36</v>
      </c>
      <c r="BL62" s="1">
        <f t="shared" si="137"/>
        <v>0</v>
      </c>
      <c r="BM62" s="1">
        <f t="shared" si="138"/>
        <v>0</v>
      </c>
      <c r="BN62" s="1">
        <f t="shared" si="139"/>
        <v>0</v>
      </c>
      <c r="BO62" s="1">
        <f t="shared" si="140"/>
        <v>0</v>
      </c>
      <c r="BP62" s="1">
        <f t="shared" si="141"/>
        <v>0</v>
      </c>
      <c r="BQ62" s="1">
        <f t="shared" si="142"/>
        <v>3366</v>
      </c>
    </row>
    <row r="63" spans="1:69" ht="15" customHeight="1" x14ac:dyDescent="0.25">
      <c r="C63" t="s">
        <v>133</v>
      </c>
      <c r="L63" s="1">
        <v>60</v>
      </c>
      <c r="N63" s="1">
        <v>45</v>
      </c>
      <c r="O63" s="1">
        <v>6</v>
      </c>
      <c r="P63" s="1">
        <v>45</v>
      </c>
      <c r="Q63" s="1">
        <v>30</v>
      </c>
      <c r="R63" s="1">
        <v>30</v>
      </c>
      <c r="S63" s="1">
        <v>30</v>
      </c>
      <c r="T63" s="1">
        <v>60</v>
      </c>
      <c r="AR63" s="3">
        <f t="shared" si="154"/>
        <v>306</v>
      </c>
      <c r="AT63" s="1">
        <f>+[1]PassVol!$AU63</f>
        <v>258</v>
      </c>
      <c r="AU63" s="1">
        <f t="shared" si="132"/>
        <v>48</v>
      </c>
      <c r="AV63" s="1">
        <f t="shared" si="143"/>
        <v>0</v>
      </c>
      <c r="AW63" s="1">
        <f t="shared" si="144"/>
        <v>0</v>
      </c>
      <c r="AX63" s="1">
        <f t="shared" si="145"/>
        <v>156</v>
      </c>
      <c r="AY63" s="1">
        <f t="shared" si="146"/>
        <v>150</v>
      </c>
      <c r="AZ63" s="1">
        <f t="shared" si="147"/>
        <v>0</v>
      </c>
      <c r="BA63" s="1">
        <f t="shared" si="148"/>
        <v>0</v>
      </c>
      <c r="BB63" s="1">
        <f t="shared" si="149"/>
        <v>0</v>
      </c>
      <c r="BC63" s="1">
        <f t="shared" si="150"/>
        <v>0</v>
      </c>
      <c r="BD63" s="1">
        <f t="shared" si="151"/>
        <v>0</v>
      </c>
      <c r="BE63" s="1">
        <f t="shared" si="152"/>
        <v>0</v>
      </c>
      <c r="BG63" s="1">
        <f t="shared" si="133"/>
        <v>0</v>
      </c>
      <c r="BH63" s="1">
        <f t="shared" si="133"/>
        <v>0</v>
      </c>
      <c r="BI63" s="1">
        <f t="shared" si="134"/>
        <v>936</v>
      </c>
      <c r="BJ63" s="1">
        <f t="shared" si="135"/>
        <v>900</v>
      </c>
      <c r="BK63" s="1">
        <f t="shared" si="136"/>
        <v>0</v>
      </c>
      <c r="BL63" s="1">
        <f t="shared" si="137"/>
        <v>0</v>
      </c>
      <c r="BM63" s="1">
        <f t="shared" si="138"/>
        <v>0</v>
      </c>
      <c r="BN63" s="1">
        <f t="shared" si="139"/>
        <v>0</v>
      </c>
      <c r="BO63" s="1">
        <f t="shared" si="140"/>
        <v>0</v>
      </c>
      <c r="BP63" s="1">
        <f t="shared" si="141"/>
        <v>0</v>
      </c>
      <c r="BQ63" s="1">
        <f t="shared" si="142"/>
        <v>1836</v>
      </c>
    </row>
    <row r="64" spans="1:69" ht="15" customHeight="1" x14ac:dyDescent="0.25">
      <c r="C64" t="s">
        <v>41</v>
      </c>
      <c r="L64" s="1">
        <v>453</v>
      </c>
      <c r="M64" s="1">
        <v>75</v>
      </c>
      <c r="N64" s="1">
        <v>45</v>
      </c>
      <c r="O64" s="1">
        <v>377</v>
      </c>
      <c r="P64" s="1">
        <v>160</v>
      </c>
      <c r="Q64" s="1">
        <v>330</v>
      </c>
      <c r="R64" s="1">
        <v>45</v>
      </c>
      <c r="S64" s="1">
        <v>46</v>
      </c>
      <c r="T64" s="1">
        <v>255</v>
      </c>
      <c r="V64" s="1">
        <v>20</v>
      </c>
      <c r="W64" s="1">
        <v>1</v>
      </c>
      <c r="X64" s="1">
        <v>99</v>
      </c>
      <c r="AR64" s="3">
        <f t="shared" si="154"/>
        <v>1906</v>
      </c>
      <c r="AT64" s="1">
        <f>+[1]PassVol!$AU64</f>
        <v>1745</v>
      </c>
      <c r="AU64" s="1">
        <f t="shared" si="132"/>
        <v>161</v>
      </c>
      <c r="AV64" s="1">
        <f t="shared" si="143"/>
        <v>0</v>
      </c>
      <c r="AW64" s="1">
        <f t="shared" si="144"/>
        <v>0</v>
      </c>
      <c r="AX64" s="1">
        <f t="shared" si="145"/>
        <v>1110</v>
      </c>
      <c r="AY64" s="1">
        <f t="shared" si="146"/>
        <v>676</v>
      </c>
      <c r="AZ64" s="1">
        <f t="shared" si="147"/>
        <v>120</v>
      </c>
      <c r="BA64" s="1">
        <f t="shared" si="148"/>
        <v>0</v>
      </c>
      <c r="BB64" s="1">
        <f t="shared" si="149"/>
        <v>0</v>
      </c>
      <c r="BC64" s="1">
        <f t="shared" si="150"/>
        <v>0</v>
      </c>
      <c r="BD64" s="1">
        <f t="shared" si="151"/>
        <v>0</v>
      </c>
      <c r="BE64" s="1">
        <f t="shared" si="152"/>
        <v>0</v>
      </c>
      <c r="BG64" s="1">
        <f t="shared" si="133"/>
        <v>0</v>
      </c>
      <c r="BH64" s="1">
        <f t="shared" si="133"/>
        <v>0</v>
      </c>
      <c r="BI64" s="1">
        <f t="shared" si="134"/>
        <v>6660</v>
      </c>
      <c r="BJ64" s="1">
        <f t="shared" si="135"/>
        <v>4056</v>
      </c>
      <c r="BK64" s="1">
        <f t="shared" si="136"/>
        <v>720</v>
      </c>
      <c r="BL64" s="1">
        <f t="shared" si="137"/>
        <v>0</v>
      </c>
      <c r="BM64" s="1">
        <f t="shared" si="138"/>
        <v>0</v>
      </c>
      <c r="BN64" s="1">
        <f t="shared" si="139"/>
        <v>0</v>
      </c>
      <c r="BO64" s="1">
        <f t="shared" si="140"/>
        <v>0</v>
      </c>
      <c r="BP64" s="1">
        <f t="shared" si="141"/>
        <v>0</v>
      </c>
      <c r="BQ64" s="1">
        <f t="shared" si="142"/>
        <v>11436</v>
      </c>
    </row>
    <row r="65" spans="1:69" ht="15" customHeight="1" x14ac:dyDescent="0.25">
      <c r="C65" t="s">
        <v>193</v>
      </c>
      <c r="AR65" s="3">
        <f t="shared" si="154"/>
        <v>0</v>
      </c>
      <c r="AT65" s="1">
        <f>+[1]PassVol!$AU65</f>
        <v>0</v>
      </c>
      <c r="AU65" s="1">
        <f t="shared" si="132"/>
        <v>0</v>
      </c>
      <c r="AV65" s="1">
        <f t="shared" si="143"/>
        <v>0</v>
      </c>
      <c r="AW65" s="1">
        <f t="shared" si="144"/>
        <v>0</v>
      </c>
      <c r="AX65" s="1">
        <f t="shared" si="145"/>
        <v>0</v>
      </c>
      <c r="AY65" s="1">
        <f t="shared" si="146"/>
        <v>0</v>
      </c>
      <c r="AZ65" s="1">
        <f t="shared" si="147"/>
        <v>0</v>
      </c>
      <c r="BA65" s="1">
        <f t="shared" si="148"/>
        <v>0</v>
      </c>
      <c r="BB65" s="1">
        <f t="shared" si="149"/>
        <v>0</v>
      </c>
      <c r="BC65" s="1">
        <f t="shared" si="150"/>
        <v>0</v>
      </c>
      <c r="BD65" s="1">
        <f t="shared" si="151"/>
        <v>0</v>
      </c>
      <c r="BE65" s="1">
        <f t="shared" si="152"/>
        <v>0</v>
      </c>
      <c r="BG65" s="1">
        <f t="shared" si="133"/>
        <v>0</v>
      </c>
      <c r="BH65" s="1">
        <f t="shared" si="133"/>
        <v>0</v>
      </c>
      <c r="BI65" s="1">
        <f t="shared" si="134"/>
        <v>0</v>
      </c>
      <c r="BJ65" s="1">
        <f t="shared" si="135"/>
        <v>0</v>
      </c>
      <c r="BK65" s="1">
        <f t="shared" si="136"/>
        <v>0</v>
      </c>
      <c r="BL65" s="1">
        <f t="shared" si="137"/>
        <v>0</v>
      </c>
      <c r="BM65" s="1">
        <f t="shared" si="138"/>
        <v>0</v>
      </c>
      <c r="BN65" s="1">
        <f t="shared" si="139"/>
        <v>0</v>
      </c>
      <c r="BO65" s="1">
        <f t="shared" si="140"/>
        <v>0</v>
      </c>
      <c r="BP65" s="1">
        <f t="shared" si="141"/>
        <v>0</v>
      </c>
      <c r="BQ65" s="1">
        <f t="shared" si="142"/>
        <v>0</v>
      </c>
    </row>
    <row r="66" spans="1:69" ht="15" customHeight="1" x14ac:dyDescent="0.25">
      <c r="C66" t="s">
        <v>297</v>
      </c>
      <c r="AR66" s="3">
        <f t="shared" si="154"/>
        <v>0</v>
      </c>
      <c r="AT66" s="1">
        <f>+[1]PassVol!$AU66</f>
        <v>0</v>
      </c>
      <c r="AU66" s="1">
        <f t="shared" si="132"/>
        <v>0</v>
      </c>
      <c r="AV66" s="1">
        <f t="shared" si="143"/>
        <v>0</v>
      </c>
      <c r="AW66" s="1">
        <f t="shared" si="144"/>
        <v>0</v>
      </c>
      <c r="AX66" s="1">
        <f t="shared" si="145"/>
        <v>0</v>
      </c>
      <c r="AY66" s="1">
        <f t="shared" si="146"/>
        <v>0</v>
      </c>
      <c r="AZ66" s="1">
        <f t="shared" si="147"/>
        <v>0</v>
      </c>
      <c r="BA66" s="1">
        <f t="shared" si="148"/>
        <v>0</v>
      </c>
      <c r="BB66" s="1">
        <f t="shared" si="149"/>
        <v>0</v>
      </c>
      <c r="BC66" s="1">
        <f t="shared" si="150"/>
        <v>0</v>
      </c>
      <c r="BD66" s="1">
        <f t="shared" si="151"/>
        <v>0</v>
      </c>
      <c r="BE66" s="1">
        <f t="shared" si="152"/>
        <v>0</v>
      </c>
      <c r="BG66" s="1">
        <f t="shared" si="133"/>
        <v>0</v>
      </c>
      <c r="BH66" s="1">
        <f t="shared" si="133"/>
        <v>0</v>
      </c>
      <c r="BI66" s="1">
        <f t="shared" si="134"/>
        <v>0</v>
      </c>
      <c r="BJ66" s="1">
        <f t="shared" si="135"/>
        <v>0</v>
      </c>
      <c r="BK66" s="1">
        <f t="shared" si="136"/>
        <v>0</v>
      </c>
      <c r="BL66" s="1">
        <f t="shared" si="137"/>
        <v>0</v>
      </c>
      <c r="BM66" s="1">
        <f t="shared" si="138"/>
        <v>0</v>
      </c>
      <c r="BN66" s="1">
        <f t="shared" si="139"/>
        <v>0</v>
      </c>
      <c r="BO66" s="1">
        <f t="shared" si="140"/>
        <v>0</v>
      </c>
      <c r="BP66" s="1">
        <f t="shared" si="141"/>
        <v>0</v>
      </c>
      <c r="BQ66" s="1">
        <f t="shared" si="142"/>
        <v>0</v>
      </c>
    </row>
    <row r="67" spans="1:69" ht="15" customHeight="1" x14ac:dyDescent="0.25">
      <c r="C67" t="s">
        <v>296</v>
      </c>
      <c r="L67" s="1">
        <v>18</v>
      </c>
      <c r="M67" s="1">
        <v>15</v>
      </c>
      <c r="O67" s="1">
        <v>18</v>
      </c>
      <c r="P67" s="1">
        <v>3</v>
      </c>
      <c r="Q67" s="1">
        <v>15</v>
      </c>
      <c r="R67" s="1">
        <v>3</v>
      </c>
      <c r="T67" s="1">
        <v>18</v>
      </c>
      <c r="V67" s="1">
        <v>3</v>
      </c>
      <c r="W67" s="1">
        <v>6</v>
      </c>
      <c r="X67" s="1">
        <v>6</v>
      </c>
      <c r="AR67" s="3">
        <f t="shared" si="154"/>
        <v>105</v>
      </c>
      <c r="AT67" s="1">
        <f>+[1]PassVol!$AU67</f>
        <v>167</v>
      </c>
      <c r="AU67" s="1">
        <f t="shared" si="132"/>
        <v>-62</v>
      </c>
      <c r="AV67" s="1">
        <f t="shared" si="143"/>
        <v>0</v>
      </c>
      <c r="AW67" s="1">
        <f t="shared" si="144"/>
        <v>0</v>
      </c>
      <c r="AX67" s="1">
        <f t="shared" si="145"/>
        <v>54</v>
      </c>
      <c r="AY67" s="1">
        <f t="shared" si="146"/>
        <v>36</v>
      </c>
      <c r="AZ67" s="1">
        <f t="shared" si="147"/>
        <v>15</v>
      </c>
      <c r="BA67" s="1">
        <f t="shared" si="148"/>
        <v>0</v>
      </c>
      <c r="BB67" s="1">
        <f t="shared" si="149"/>
        <v>0</v>
      </c>
      <c r="BC67" s="1">
        <f t="shared" si="150"/>
        <v>0</v>
      </c>
      <c r="BD67" s="1">
        <f t="shared" si="151"/>
        <v>0</v>
      </c>
      <c r="BE67" s="1">
        <f t="shared" si="152"/>
        <v>0</v>
      </c>
      <c r="BG67" s="1">
        <f t="shared" si="133"/>
        <v>0</v>
      </c>
      <c r="BH67" s="1">
        <f t="shared" si="133"/>
        <v>0</v>
      </c>
      <c r="BI67" s="1">
        <f t="shared" si="134"/>
        <v>324</v>
      </c>
      <c r="BJ67" s="1">
        <f t="shared" si="135"/>
        <v>216</v>
      </c>
      <c r="BK67" s="1">
        <f t="shared" si="136"/>
        <v>90</v>
      </c>
      <c r="BL67" s="1">
        <f t="shared" si="137"/>
        <v>0</v>
      </c>
      <c r="BM67" s="1">
        <f t="shared" si="138"/>
        <v>0</v>
      </c>
      <c r="BN67" s="1">
        <f t="shared" si="139"/>
        <v>0</v>
      </c>
      <c r="BO67" s="1">
        <f t="shared" si="140"/>
        <v>0</v>
      </c>
      <c r="BP67" s="1">
        <f t="shared" si="141"/>
        <v>0</v>
      </c>
      <c r="BQ67" s="1">
        <f t="shared" si="142"/>
        <v>630</v>
      </c>
    </row>
    <row r="68" spans="1:69" ht="15" customHeight="1" x14ac:dyDescent="0.25">
      <c r="A68"/>
      <c r="C68" t="s">
        <v>44</v>
      </c>
      <c r="L68" s="1">
        <f>2097-1420</f>
        <v>677</v>
      </c>
      <c r="M68" s="1">
        <f>1067-864</f>
        <v>203</v>
      </c>
      <c r="N68" s="1">
        <f>504-186</f>
        <v>318</v>
      </c>
      <c r="O68" s="1">
        <f>935-430</f>
        <v>505</v>
      </c>
      <c r="P68" s="1">
        <f>2049-1175</f>
        <v>874</v>
      </c>
      <c r="Q68" s="1">
        <f>986-525</f>
        <v>461</v>
      </c>
      <c r="R68" s="1">
        <f>1424-1050</f>
        <v>374</v>
      </c>
      <c r="S68" s="1">
        <f>537-226</f>
        <v>311</v>
      </c>
      <c r="T68" s="1">
        <f>1022-481</f>
        <v>541</v>
      </c>
      <c r="U68" s="1">
        <f>105-17</f>
        <v>88</v>
      </c>
      <c r="V68" s="1">
        <f>387-108</f>
        <v>279</v>
      </c>
      <c r="W68" s="1">
        <f>452-71</f>
        <v>381</v>
      </c>
      <c r="X68" s="1">
        <f>243-137</f>
        <v>106</v>
      </c>
      <c r="AR68" s="3">
        <f t="shared" si="154"/>
        <v>5118</v>
      </c>
      <c r="AT68" s="1">
        <f>+[1]PassVol!$AU68</f>
        <v>5097</v>
      </c>
      <c r="AU68" s="1">
        <f t="shared" si="132"/>
        <v>21</v>
      </c>
      <c r="AV68" s="1">
        <f t="shared" si="143"/>
        <v>0</v>
      </c>
      <c r="AW68" s="1">
        <f t="shared" si="144"/>
        <v>0</v>
      </c>
      <c r="AX68" s="1">
        <f t="shared" si="145"/>
        <v>2577</v>
      </c>
      <c r="AY68" s="1">
        <f t="shared" si="146"/>
        <v>1687</v>
      </c>
      <c r="AZ68" s="1">
        <f t="shared" si="147"/>
        <v>854</v>
      </c>
      <c r="BA68" s="1">
        <f t="shared" si="148"/>
        <v>0</v>
      </c>
      <c r="BB68" s="1">
        <f t="shared" si="149"/>
        <v>0</v>
      </c>
      <c r="BC68" s="1">
        <f t="shared" si="150"/>
        <v>0</v>
      </c>
      <c r="BD68" s="1">
        <f t="shared" si="151"/>
        <v>0</v>
      </c>
      <c r="BE68" s="1">
        <f t="shared" si="152"/>
        <v>0</v>
      </c>
      <c r="BG68" s="1">
        <f t="shared" si="133"/>
        <v>0</v>
      </c>
      <c r="BH68" s="1">
        <f t="shared" si="133"/>
        <v>0</v>
      </c>
      <c r="BI68" s="1">
        <f t="shared" si="134"/>
        <v>15462</v>
      </c>
      <c r="BJ68" s="1">
        <f t="shared" si="135"/>
        <v>10122</v>
      </c>
      <c r="BK68" s="1">
        <f t="shared" si="136"/>
        <v>5124</v>
      </c>
      <c r="BL68" s="1">
        <f t="shared" si="137"/>
        <v>0</v>
      </c>
      <c r="BM68" s="1">
        <f t="shared" si="138"/>
        <v>0</v>
      </c>
      <c r="BN68" s="1">
        <f t="shared" si="139"/>
        <v>0</v>
      </c>
      <c r="BO68" s="1">
        <f t="shared" si="140"/>
        <v>0</v>
      </c>
      <c r="BP68" s="1">
        <f t="shared" si="141"/>
        <v>0</v>
      </c>
      <c r="BQ68" s="1">
        <f t="shared" si="142"/>
        <v>30708</v>
      </c>
    </row>
    <row r="69" spans="1:69" s="2" customFormat="1" ht="15" customHeight="1" x14ac:dyDescent="0.25">
      <c r="B69" s="2" t="s">
        <v>75</v>
      </c>
      <c r="D69" s="3">
        <f t="shared" ref="D69:AQ69" si="155">SUM(D50:D68)</f>
        <v>0</v>
      </c>
      <c r="E69" s="3">
        <f t="shared" si="155"/>
        <v>0</v>
      </c>
      <c r="F69" s="3">
        <f t="shared" si="155"/>
        <v>0</v>
      </c>
      <c r="G69" s="3">
        <f t="shared" si="155"/>
        <v>0</v>
      </c>
      <c r="H69" s="3">
        <f t="shared" si="155"/>
        <v>0</v>
      </c>
      <c r="I69" s="3">
        <f t="shared" si="155"/>
        <v>0</v>
      </c>
      <c r="J69" s="3">
        <f t="shared" si="155"/>
        <v>0</v>
      </c>
      <c r="K69" s="3">
        <f t="shared" si="155"/>
        <v>0</v>
      </c>
      <c r="L69" s="3">
        <f t="shared" si="155"/>
        <v>2097</v>
      </c>
      <c r="M69" s="3">
        <f t="shared" si="155"/>
        <v>1067</v>
      </c>
      <c r="N69" s="3">
        <f t="shared" si="155"/>
        <v>504</v>
      </c>
      <c r="O69" s="3">
        <f t="shared" si="155"/>
        <v>935</v>
      </c>
      <c r="P69" s="3">
        <f t="shared" si="155"/>
        <v>2049</v>
      </c>
      <c r="Q69" s="3">
        <f t="shared" si="155"/>
        <v>986</v>
      </c>
      <c r="R69" s="3">
        <f>SUM(R50:R68)</f>
        <v>1424</v>
      </c>
      <c r="S69" s="3">
        <f t="shared" si="155"/>
        <v>537</v>
      </c>
      <c r="T69" s="3">
        <f t="shared" si="155"/>
        <v>1022</v>
      </c>
      <c r="U69" s="3">
        <f t="shared" si="155"/>
        <v>105</v>
      </c>
      <c r="V69" s="3">
        <f t="shared" si="155"/>
        <v>387</v>
      </c>
      <c r="W69" s="3">
        <f t="shared" si="155"/>
        <v>452</v>
      </c>
      <c r="X69" s="3">
        <f t="shared" si="155"/>
        <v>243</v>
      </c>
      <c r="Y69" s="3">
        <f t="shared" si="155"/>
        <v>0</v>
      </c>
      <c r="Z69" s="3">
        <f t="shared" si="155"/>
        <v>0</v>
      </c>
      <c r="AA69" s="3">
        <f t="shared" si="155"/>
        <v>0</v>
      </c>
      <c r="AB69" s="3">
        <f t="shared" si="155"/>
        <v>0</v>
      </c>
      <c r="AC69" s="3">
        <f t="shared" si="155"/>
        <v>0</v>
      </c>
      <c r="AD69" s="3">
        <f t="shared" si="155"/>
        <v>0</v>
      </c>
      <c r="AE69" s="3">
        <f t="shared" si="155"/>
        <v>0</v>
      </c>
      <c r="AF69" s="3">
        <f t="shared" si="155"/>
        <v>0</v>
      </c>
      <c r="AG69" s="3">
        <f t="shared" si="155"/>
        <v>0</v>
      </c>
      <c r="AH69" s="150">
        <f t="shared" si="155"/>
        <v>0</v>
      </c>
      <c r="AI69" s="3">
        <f t="shared" si="155"/>
        <v>0</v>
      </c>
      <c r="AJ69" s="3">
        <f t="shared" si="155"/>
        <v>0</v>
      </c>
      <c r="AK69" s="3">
        <f t="shared" si="155"/>
        <v>0</v>
      </c>
      <c r="AL69" s="150">
        <f t="shared" si="155"/>
        <v>0</v>
      </c>
      <c r="AM69" s="3">
        <f t="shared" si="155"/>
        <v>0</v>
      </c>
      <c r="AN69" s="3">
        <f t="shared" si="155"/>
        <v>0</v>
      </c>
      <c r="AO69" s="3">
        <f t="shared" si="155"/>
        <v>0</v>
      </c>
      <c r="AP69" s="3">
        <f t="shared" si="155"/>
        <v>0</v>
      </c>
      <c r="AQ69" s="3">
        <f t="shared" si="155"/>
        <v>0</v>
      </c>
      <c r="AR69" s="3">
        <f t="shared" ref="AR69" si="156">SUM(AR50:AR68)</f>
        <v>11808</v>
      </c>
      <c r="AS69" s="3"/>
      <c r="AT69" s="1">
        <f>SUM(AT50:AT68)</f>
        <v>12258</v>
      </c>
      <c r="AU69" s="1">
        <f>SUM(AU50:AU68)</f>
        <v>-450</v>
      </c>
      <c r="AV69" s="3">
        <f>SUM(AV50:AV68)</f>
        <v>0</v>
      </c>
      <c r="AW69" s="3">
        <f>SUM(AW50:AW68)</f>
        <v>0</v>
      </c>
      <c r="AX69" s="3">
        <f t="shared" ref="AX69:BE69" si="157">SUM(AX50:AX68)</f>
        <v>6652</v>
      </c>
      <c r="AY69" s="3">
        <f t="shared" si="157"/>
        <v>3969</v>
      </c>
      <c r="AZ69" s="3">
        <f t="shared" si="157"/>
        <v>1187</v>
      </c>
      <c r="BA69" s="3">
        <f t="shared" si="157"/>
        <v>0</v>
      </c>
      <c r="BB69" s="3">
        <f t="shared" si="157"/>
        <v>0</v>
      </c>
      <c r="BC69" s="3">
        <f t="shared" si="157"/>
        <v>0</v>
      </c>
      <c r="BD69" s="3">
        <f t="shared" si="157"/>
        <v>0</v>
      </c>
      <c r="BE69" s="3">
        <f t="shared" si="157"/>
        <v>0</v>
      </c>
      <c r="BG69" s="3">
        <f>SUM(BG50:BG68)</f>
        <v>0</v>
      </c>
      <c r="BH69" s="3">
        <f>SUM(BH50:BH68)</f>
        <v>0</v>
      </c>
      <c r="BI69" s="3">
        <f t="shared" ref="BI69:BQ69" si="158">SUM(BI50:BI68)</f>
        <v>39912</v>
      </c>
      <c r="BJ69" s="3">
        <f t="shared" si="158"/>
        <v>23814</v>
      </c>
      <c r="BK69" s="3">
        <f t="shared" si="158"/>
        <v>7122</v>
      </c>
      <c r="BL69" s="3">
        <f t="shared" si="158"/>
        <v>0</v>
      </c>
      <c r="BM69" s="3">
        <f t="shared" si="158"/>
        <v>0</v>
      </c>
      <c r="BN69" s="3">
        <f t="shared" si="158"/>
        <v>0</v>
      </c>
      <c r="BO69" s="3">
        <f t="shared" si="158"/>
        <v>0</v>
      </c>
      <c r="BP69" s="3">
        <f t="shared" si="158"/>
        <v>0</v>
      </c>
      <c r="BQ69" s="3">
        <f t="shared" si="158"/>
        <v>70848</v>
      </c>
    </row>
    <row r="70" spans="1:69" s="39" customFormat="1" ht="15" customHeight="1" x14ac:dyDescent="0.25">
      <c r="C70" s="38" t="s">
        <v>97</v>
      </c>
      <c r="D70" s="11">
        <f>+D69</f>
        <v>0</v>
      </c>
      <c r="E70" s="11">
        <f>+D70+E69</f>
        <v>0</v>
      </c>
      <c r="F70" s="11">
        <f t="shared" ref="F70" si="159">+E70+F69</f>
        <v>0</v>
      </c>
      <c r="G70" s="11">
        <f t="shared" ref="G70" si="160">+F70+G69</f>
        <v>0</v>
      </c>
      <c r="H70" s="11">
        <f t="shared" ref="H70" si="161">+G70+H69</f>
        <v>0</v>
      </c>
      <c r="I70" s="11">
        <f t="shared" ref="I70" si="162">+H70+I69</f>
        <v>0</v>
      </c>
      <c r="J70" s="11">
        <f t="shared" ref="J70" si="163">+I70+J69</f>
        <v>0</v>
      </c>
      <c r="K70" s="11">
        <f t="shared" ref="K70" si="164">+J70+K69</f>
        <v>0</v>
      </c>
      <c r="L70" s="11">
        <f t="shared" ref="L70" si="165">+K70+L69</f>
        <v>2097</v>
      </c>
      <c r="M70" s="11">
        <f t="shared" ref="M70" si="166">+L70+M69</f>
        <v>3164</v>
      </c>
      <c r="N70" s="11">
        <f t="shared" ref="N70" si="167">+M70+N69</f>
        <v>3668</v>
      </c>
      <c r="O70" s="11">
        <f t="shared" ref="O70" si="168">+N70+O69</f>
        <v>4603</v>
      </c>
      <c r="P70" s="11">
        <f t="shared" ref="P70" si="169">+O70+P69</f>
        <v>6652</v>
      </c>
      <c r="Q70" s="11">
        <f t="shared" ref="Q70" si="170">+P70+Q69</f>
        <v>7638</v>
      </c>
      <c r="R70" s="11">
        <f t="shared" ref="R70" si="171">+Q70+R69</f>
        <v>9062</v>
      </c>
      <c r="S70" s="11">
        <f t="shared" ref="S70" si="172">+R70+S69</f>
        <v>9599</v>
      </c>
      <c r="T70" s="11">
        <f t="shared" ref="T70" si="173">+S70+T69</f>
        <v>10621</v>
      </c>
      <c r="U70" s="11">
        <f t="shared" ref="U70" si="174">+T70+U69</f>
        <v>10726</v>
      </c>
      <c r="V70" s="11">
        <f t="shared" ref="V70" si="175">+U70+V69</f>
        <v>11113</v>
      </c>
      <c r="W70" s="11">
        <f t="shared" ref="W70" si="176">+V70+W69</f>
        <v>11565</v>
      </c>
      <c r="X70" s="11">
        <f t="shared" ref="X70" si="177">+W70+X69</f>
        <v>11808</v>
      </c>
      <c r="Y70" s="11">
        <f t="shared" ref="Y70" si="178">+X70+Y69</f>
        <v>11808</v>
      </c>
      <c r="Z70" s="11">
        <f t="shared" ref="Z70" si="179">+Y70+Z69</f>
        <v>11808</v>
      </c>
      <c r="AA70" s="11">
        <f t="shared" ref="AA70" si="180">+Z70+AA69</f>
        <v>11808</v>
      </c>
      <c r="AB70" s="11">
        <f t="shared" ref="AB70" si="181">+AA70+AB69</f>
        <v>11808</v>
      </c>
      <c r="AC70" s="11">
        <f t="shared" ref="AC70" si="182">+AB70+AC69</f>
        <v>11808</v>
      </c>
      <c r="AD70" s="11">
        <f t="shared" ref="AD70" si="183">+AC70+AD69</f>
        <v>11808</v>
      </c>
      <c r="AE70" s="11">
        <f t="shared" ref="AE70" si="184">+AD70+AE69</f>
        <v>11808</v>
      </c>
      <c r="AF70" s="11">
        <f t="shared" ref="AF70" si="185">+AE70+AF69</f>
        <v>11808</v>
      </c>
      <c r="AG70" s="11">
        <f t="shared" ref="AG70" si="186">+AF70+AG69</f>
        <v>11808</v>
      </c>
      <c r="AH70" s="147">
        <f t="shared" ref="AH70" si="187">+AG70+AH69</f>
        <v>11808</v>
      </c>
      <c r="AI70" s="11">
        <f t="shared" ref="AI70" si="188">+AH70+AI69</f>
        <v>11808</v>
      </c>
      <c r="AJ70" s="11">
        <f t="shared" ref="AJ70" si="189">+AI70+AJ69</f>
        <v>11808</v>
      </c>
      <c r="AK70" s="11">
        <f t="shared" ref="AK70" si="190">+AJ70+AK69</f>
        <v>11808</v>
      </c>
      <c r="AL70" s="147">
        <f t="shared" ref="AL70" si="191">+AK70+AL69</f>
        <v>11808</v>
      </c>
      <c r="AM70" s="11">
        <f t="shared" ref="AM70" si="192">+AL70+AM69</f>
        <v>11808</v>
      </c>
      <c r="AN70" s="11">
        <f t="shared" ref="AN70" si="193">+AM70+AN69</f>
        <v>11808</v>
      </c>
      <c r="AO70" s="11">
        <f t="shared" ref="AO70" si="194">+AN70+AO69</f>
        <v>11808</v>
      </c>
      <c r="AP70" s="11">
        <f t="shared" ref="AP70" si="195">+AO70+AP69</f>
        <v>11808</v>
      </c>
      <c r="AQ70" s="11">
        <f t="shared" ref="AQ70" si="196">+AP70+AQ69</f>
        <v>11808</v>
      </c>
      <c r="AR70" s="40"/>
      <c r="AS70" s="11"/>
      <c r="AT70" s="11"/>
      <c r="AU70" s="11"/>
      <c r="AV70" s="11">
        <f>+AV69</f>
        <v>0</v>
      </c>
      <c r="AW70" s="1">
        <f>+AV70+AW69</f>
        <v>0</v>
      </c>
      <c r="AX70" s="1">
        <f t="shared" ref="AX70" si="197">+AW70+AX69</f>
        <v>6652</v>
      </c>
      <c r="AY70" s="1">
        <f t="shared" ref="AY70" si="198">+AX70+AY69</f>
        <v>10621</v>
      </c>
      <c r="AZ70" s="1">
        <f t="shared" ref="AZ70" si="199">+AY70+AZ69</f>
        <v>11808</v>
      </c>
      <c r="BA70" s="1">
        <f t="shared" ref="BA70" si="200">+AZ70+BA69</f>
        <v>11808</v>
      </c>
      <c r="BB70" s="1">
        <f t="shared" ref="BB70" si="201">+BA70+BB69</f>
        <v>11808</v>
      </c>
      <c r="BC70" s="1">
        <f t="shared" ref="BC70" si="202">+BB70+BC69</f>
        <v>11808</v>
      </c>
      <c r="BD70" s="1">
        <f t="shared" ref="BD70" si="203">+BC70+BD69</f>
        <v>11808</v>
      </c>
      <c r="BE70" s="1">
        <f t="shared" ref="BE70" si="204">+BD70+BE69</f>
        <v>11808</v>
      </c>
    </row>
    <row r="71" spans="1:69" s="39" customFormat="1" ht="15" customHeight="1" x14ac:dyDescent="0.2">
      <c r="C71" s="38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47"/>
      <c r="AI71" s="11"/>
      <c r="AJ71" s="11"/>
      <c r="AK71" s="11"/>
      <c r="AL71" s="147"/>
      <c r="AM71" s="11"/>
      <c r="AN71" s="11"/>
      <c r="AO71" s="11"/>
      <c r="AP71" s="11"/>
      <c r="AQ71" s="11"/>
      <c r="AR71" s="40"/>
      <c r="AS71" s="11"/>
      <c r="AT71" s="11"/>
      <c r="AU71" s="11"/>
      <c r="AV71" s="11"/>
      <c r="AW71" s="11"/>
      <c r="AX71" s="11"/>
      <c r="AY71" s="11"/>
      <c r="AZ71" s="40"/>
      <c r="BA71" s="40"/>
      <c r="BB71" s="40"/>
      <c r="BC71" s="40"/>
      <c r="BD71" s="40"/>
      <c r="BE71" s="40"/>
    </row>
    <row r="72" spans="1:69" s="2" customFormat="1" ht="15" customHeight="1" thickBot="1" x14ac:dyDescent="0.3">
      <c r="A72"/>
      <c r="B72" s="2" t="s">
        <v>78</v>
      </c>
      <c r="C7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150"/>
      <c r="AI72" s="3"/>
      <c r="AJ72" s="3"/>
      <c r="AK72" s="3"/>
      <c r="AL72" s="150"/>
      <c r="AM72" s="3"/>
      <c r="AN72" s="3"/>
      <c r="AO72" s="3"/>
      <c r="AP72" s="3"/>
      <c r="AQ72" s="3"/>
      <c r="AR72" s="3"/>
      <c r="AS72" s="3"/>
      <c r="AT72" s="25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</row>
    <row r="73" spans="1:69" s="2" customFormat="1" ht="15" customHeight="1" x14ac:dyDescent="0.25">
      <c r="A73"/>
      <c r="C73" t="s">
        <v>190</v>
      </c>
      <c r="D73" s="1">
        <f>+D50+D27+D4</f>
        <v>0</v>
      </c>
      <c r="E73" s="1">
        <f t="shared" ref="E73:J73" si="205">+E50+E27+E4</f>
        <v>0</v>
      </c>
      <c r="F73" s="1">
        <f t="shared" si="205"/>
        <v>0</v>
      </c>
      <c r="G73" s="1">
        <f t="shared" si="205"/>
        <v>0</v>
      </c>
      <c r="H73" s="1">
        <f t="shared" si="205"/>
        <v>0</v>
      </c>
      <c r="I73" s="1">
        <f t="shared" si="205"/>
        <v>0</v>
      </c>
      <c r="J73" s="1">
        <f t="shared" si="205"/>
        <v>0</v>
      </c>
      <c r="K73" s="1">
        <f t="shared" ref="K73:AQ73" si="206">+K50+K27+K4</f>
        <v>0</v>
      </c>
      <c r="L73" s="1">
        <f t="shared" si="206"/>
        <v>3404</v>
      </c>
      <c r="M73" s="1">
        <f t="shared" si="206"/>
        <v>33</v>
      </c>
      <c r="N73" s="1">
        <f t="shared" si="206"/>
        <v>381</v>
      </c>
      <c r="O73" s="1">
        <f t="shared" si="206"/>
        <v>2133</v>
      </c>
      <c r="P73" s="1">
        <f t="shared" si="206"/>
        <v>1068</v>
      </c>
      <c r="Q73" s="1">
        <f t="shared" si="206"/>
        <v>2877</v>
      </c>
      <c r="R73" s="1">
        <f t="shared" si="206"/>
        <v>3600</v>
      </c>
      <c r="S73" s="1">
        <f t="shared" si="206"/>
        <v>2387</v>
      </c>
      <c r="T73" s="1">
        <f t="shared" si="206"/>
        <v>2166</v>
      </c>
      <c r="U73" s="1">
        <f t="shared" si="206"/>
        <v>3078</v>
      </c>
      <c r="V73" s="1">
        <f t="shared" si="206"/>
        <v>1973</v>
      </c>
      <c r="W73" s="1">
        <f t="shared" si="206"/>
        <v>2418</v>
      </c>
      <c r="X73" s="1">
        <f t="shared" si="206"/>
        <v>2104</v>
      </c>
      <c r="Y73" s="1">
        <f t="shared" si="206"/>
        <v>597</v>
      </c>
      <c r="Z73" s="1">
        <f t="shared" si="206"/>
        <v>765</v>
      </c>
      <c r="AA73" s="1">
        <f t="shared" si="206"/>
        <v>306</v>
      </c>
      <c r="AB73" s="1">
        <f t="shared" si="206"/>
        <v>537</v>
      </c>
      <c r="AC73" s="1">
        <f t="shared" si="206"/>
        <v>198</v>
      </c>
      <c r="AD73" s="1">
        <f t="shared" si="206"/>
        <v>48</v>
      </c>
      <c r="AE73" s="1">
        <f t="shared" si="206"/>
        <v>189</v>
      </c>
      <c r="AF73" s="1">
        <f t="shared" si="206"/>
        <v>75</v>
      </c>
      <c r="AG73" s="1">
        <f t="shared" si="206"/>
        <v>30</v>
      </c>
      <c r="AH73" s="117">
        <f t="shared" si="206"/>
        <v>1143</v>
      </c>
      <c r="AI73" s="1">
        <f t="shared" si="206"/>
        <v>486</v>
      </c>
      <c r="AJ73" s="1">
        <f t="shared" si="206"/>
        <v>435</v>
      </c>
      <c r="AK73" s="1">
        <f t="shared" si="206"/>
        <v>171</v>
      </c>
      <c r="AL73" s="117">
        <f t="shared" si="206"/>
        <v>246</v>
      </c>
      <c r="AM73" s="1">
        <f t="shared" si="206"/>
        <v>48</v>
      </c>
      <c r="AN73" s="1">
        <f t="shared" si="206"/>
        <v>0</v>
      </c>
      <c r="AO73" s="1">
        <f t="shared" si="206"/>
        <v>0</v>
      </c>
      <c r="AP73" s="1">
        <f t="shared" si="206"/>
        <v>0</v>
      </c>
      <c r="AQ73" s="1">
        <f t="shared" si="206"/>
        <v>0</v>
      </c>
      <c r="AR73" s="3">
        <f>SUM(D73:AQ73)</f>
        <v>32896</v>
      </c>
      <c r="AS73" s="3"/>
      <c r="AT73" s="1">
        <f t="shared" ref="AT73:AT91" si="207">+AT50+AT27+AT4</f>
        <v>29595</v>
      </c>
      <c r="AU73" s="1">
        <f t="shared" ref="AU73:AU92" si="208">+AR73-AT73</f>
        <v>3301</v>
      </c>
      <c r="AV73" s="97">
        <f>+AV50+AV27+AV4</f>
        <v>0</v>
      </c>
      <c r="AW73" s="89">
        <f>+AW50+AW27+AW4</f>
        <v>0</v>
      </c>
      <c r="AX73" s="89">
        <f t="shared" ref="AX73:BE74" si="209">+AX50+AX27+AX4</f>
        <v>7019</v>
      </c>
      <c r="AY73" s="89">
        <f t="shared" si="209"/>
        <v>11030</v>
      </c>
      <c r="AZ73" s="89">
        <f t="shared" si="209"/>
        <v>9573</v>
      </c>
      <c r="BA73" s="89">
        <f t="shared" si="209"/>
        <v>2403</v>
      </c>
      <c r="BB73" s="89">
        <f t="shared" si="209"/>
        <v>342</v>
      </c>
      <c r="BC73" s="89">
        <f t="shared" si="209"/>
        <v>2235</v>
      </c>
      <c r="BD73" s="89">
        <f t="shared" si="209"/>
        <v>294</v>
      </c>
      <c r="BE73" s="90">
        <f t="shared" si="209"/>
        <v>0</v>
      </c>
    </row>
    <row r="74" spans="1:69" s="2" customFormat="1" ht="15" customHeight="1" x14ac:dyDescent="0.25">
      <c r="A74"/>
      <c r="C74" t="s">
        <v>424</v>
      </c>
      <c r="D74" s="1">
        <f t="shared" ref="D74:AQ74" si="210">+D51+D28+D5</f>
        <v>0</v>
      </c>
      <c r="E74" s="1">
        <f t="shared" ref="E74:J74" si="211">+E51+E28+E5</f>
        <v>0</v>
      </c>
      <c r="F74" s="1">
        <f t="shared" si="211"/>
        <v>0</v>
      </c>
      <c r="G74" s="1">
        <f t="shared" si="211"/>
        <v>0</v>
      </c>
      <c r="H74" s="1">
        <f t="shared" si="211"/>
        <v>0</v>
      </c>
      <c r="I74" s="1">
        <f t="shared" si="211"/>
        <v>0</v>
      </c>
      <c r="J74" s="1">
        <f t="shared" si="211"/>
        <v>0</v>
      </c>
      <c r="K74" s="1">
        <f t="shared" si="210"/>
        <v>0</v>
      </c>
      <c r="L74" s="1">
        <f t="shared" si="210"/>
        <v>297</v>
      </c>
      <c r="M74" s="1">
        <f t="shared" si="210"/>
        <v>477</v>
      </c>
      <c r="N74" s="1">
        <f t="shared" si="210"/>
        <v>495</v>
      </c>
      <c r="O74" s="1">
        <f t="shared" si="210"/>
        <v>609</v>
      </c>
      <c r="P74" s="1">
        <f t="shared" si="210"/>
        <v>1017</v>
      </c>
      <c r="Q74" s="1">
        <f t="shared" si="210"/>
        <v>645</v>
      </c>
      <c r="R74" s="1">
        <f t="shared" si="210"/>
        <v>756</v>
      </c>
      <c r="S74" s="1">
        <f t="shared" si="210"/>
        <v>687</v>
      </c>
      <c r="T74" s="1">
        <f t="shared" si="210"/>
        <v>1011</v>
      </c>
      <c r="U74" s="1">
        <f t="shared" si="210"/>
        <v>1230</v>
      </c>
      <c r="V74" s="1">
        <f t="shared" si="210"/>
        <v>1001</v>
      </c>
      <c r="W74" s="1">
        <f t="shared" si="210"/>
        <v>1440</v>
      </c>
      <c r="X74" s="1">
        <f t="shared" si="210"/>
        <v>855</v>
      </c>
      <c r="Y74" s="1">
        <f t="shared" si="210"/>
        <v>388</v>
      </c>
      <c r="Z74" s="1">
        <f t="shared" si="210"/>
        <v>309</v>
      </c>
      <c r="AA74" s="1">
        <f t="shared" si="210"/>
        <v>147</v>
      </c>
      <c r="AB74" s="1">
        <f t="shared" si="210"/>
        <v>201</v>
      </c>
      <c r="AC74" s="1">
        <f t="shared" si="210"/>
        <v>48</v>
      </c>
      <c r="AD74" s="1">
        <f t="shared" si="210"/>
        <v>0</v>
      </c>
      <c r="AE74" s="1">
        <f t="shared" si="210"/>
        <v>24</v>
      </c>
      <c r="AF74" s="1">
        <f t="shared" si="210"/>
        <v>51</v>
      </c>
      <c r="AG74" s="1">
        <f t="shared" si="210"/>
        <v>0</v>
      </c>
      <c r="AH74" s="117">
        <f t="shared" si="210"/>
        <v>60</v>
      </c>
      <c r="AI74" s="1">
        <f t="shared" si="210"/>
        <v>102</v>
      </c>
      <c r="AJ74" s="1">
        <f t="shared" si="210"/>
        <v>66</v>
      </c>
      <c r="AK74" s="1">
        <f t="shared" si="210"/>
        <v>0</v>
      </c>
      <c r="AL74" s="117">
        <f t="shared" si="210"/>
        <v>147</v>
      </c>
      <c r="AM74" s="1">
        <f t="shared" si="210"/>
        <v>0</v>
      </c>
      <c r="AN74" s="1">
        <f t="shared" si="210"/>
        <v>0</v>
      </c>
      <c r="AO74" s="1">
        <f t="shared" si="210"/>
        <v>0</v>
      </c>
      <c r="AP74" s="1">
        <f t="shared" si="210"/>
        <v>0</v>
      </c>
      <c r="AQ74" s="1">
        <f t="shared" si="210"/>
        <v>0</v>
      </c>
      <c r="AR74" s="3">
        <f>SUM(D74:AQ74)</f>
        <v>12063</v>
      </c>
      <c r="AS74" s="3"/>
      <c r="AT74" s="1">
        <f t="shared" si="207"/>
        <v>6678</v>
      </c>
      <c r="AU74" s="1">
        <f t="shared" si="208"/>
        <v>5385</v>
      </c>
      <c r="AV74" s="93">
        <f>+AV51+AV28+AV5</f>
        <v>0</v>
      </c>
      <c r="AW74" s="1">
        <f>+AW51+AW28+AW5</f>
        <v>0</v>
      </c>
      <c r="AX74" s="1">
        <f t="shared" si="209"/>
        <v>2895</v>
      </c>
      <c r="AY74" s="1">
        <f t="shared" si="209"/>
        <v>3099</v>
      </c>
      <c r="AZ74" s="1">
        <f t="shared" si="209"/>
        <v>4526</v>
      </c>
      <c r="BA74" s="1">
        <f t="shared" si="209"/>
        <v>1093</v>
      </c>
      <c r="BB74" s="1">
        <f t="shared" si="209"/>
        <v>75</v>
      </c>
      <c r="BC74" s="1">
        <f t="shared" si="209"/>
        <v>228</v>
      </c>
      <c r="BD74" s="1">
        <f t="shared" si="209"/>
        <v>147</v>
      </c>
      <c r="BE74" s="92">
        <f t="shared" si="209"/>
        <v>0</v>
      </c>
    </row>
    <row r="75" spans="1:69" s="2" customFormat="1" ht="15" customHeight="1" x14ac:dyDescent="0.25">
      <c r="A75"/>
      <c r="C75" t="s">
        <v>347</v>
      </c>
      <c r="D75" s="1">
        <f t="shared" ref="D75:AQ75" si="212">+D52+D29+D6</f>
        <v>0</v>
      </c>
      <c r="E75" s="1">
        <f t="shared" ref="E75:J75" si="213">+E52+E29+E6</f>
        <v>0</v>
      </c>
      <c r="F75" s="1">
        <f t="shared" si="213"/>
        <v>0</v>
      </c>
      <c r="G75" s="1">
        <f t="shared" si="213"/>
        <v>0</v>
      </c>
      <c r="H75" s="1">
        <f t="shared" si="213"/>
        <v>0</v>
      </c>
      <c r="I75" s="1">
        <f t="shared" si="213"/>
        <v>0</v>
      </c>
      <c r="J75" s="1">
        <f t="shared" si="213"/>
        <v>0</v>
      </c>
      <c r="K75" s="1">
        <f t="shared" si="212"/>
        <v>0</v>
      </c>
      <c r="L75" s="1">
        <f t="shared" si="212"/>
        <v>327</v>
      </c>
      <c r="M75" s="1">
        <f t="shared" si="212"/>
        <v>357</v>
      </c>
      <c r="N75" s="1">
        <f t="shared" si="212"/>
        <v>252</v>
      </c>
      <c r="O75" s="1">
        <f t="shared" si="212"/>
        <v>360</v>
      </c>
      <c r="P75" s="1">
        <f t="shared" si="212"/>
        <v>810</v>
      </c>
      <c r="Q75" s="1">
        <f t="shared" si="212"/>
        <v>363</v>
      </c>
      <c r="R75" s="1">
        <f t="shared" si="212"/>
        <v>543</v>
      </c>
      <c r="S75" s="1">
        <f t="shared" si="212"/>
        <v>552</v>
      </c>
      <c r="T75" s="1">
        <f t="shared" si="212"/>
        <v>618</v>
      </c>
      <c r="U75" s="1">
        <f t="shared" si="212"/>
        <v>678</v>
      </c>
      <c r="V75" s="1">
        <f t="shared" si="212"/>
        <v>660</v>
      </c>
      <c r="W75" s="1">
        <f t="shared" si="212"/>
        <v>816</v>
      </c>
      <c r="X75" s="1">
        <f t="shared" si="212"/>
        <v>684</v>
      </c>
      <c r="Y75" s="1">
        <f t="shared" si="212"/>
        <v>210</v>
      </c>
      <c r="Z75" s="1">
        <f t="shared" si="212"/>
        <v>180</v>
      </c>
      <c r="AA75" s="1">
        <f t="shared" si="212"/>
        <v>54</v>
      </c>
      <c r="AB75" s="1">
        <f t="shared" si="212"/>
        <v>48</v>
      </c>
      <c r="AC75" s="1">
        <f t="shared" si="212"/>
        <v>15</v>
      </c>
      <c r="AD75" s="1">
        <f t="shared" si="212"/>
        <v>9</v>
      </c>
      <c r="AE75" s="1">
        <f t="shared" si="212"/>
        <v>0</v>
      </c>
      <c r="AF75" s="1">
        <f t="shared" si="212"/>
        <v>57</v>
      </c>
      <c r="AG75" s="1">
        <f t="shared" si="212"/>
        <v>39</v>
      </c>
      <c r="AH75" s="117">
        <f t="shared" si="212"/>
        <v>30</v>
      </c>
      <c r="AI75" s="1">
        <f t="shared" si="212"/>
        <v>21</v>
      </c>
      <c r="AJ75" s="1">
        <f t="shared" si="212"/>
        <v>48</v>
      </c>
      <c r="AK75" s="1">
        <f t="shared" si="212"/>
        <v>9</v>
      </c>
      <c r="AL75" s="117">
        <f t="shared" si="212"/>
        <v>30</v>
      </c>
      <c r="AM75" s="1">
        <f t="shared" si="212"/>
        <v>0</v>
      </c>
      <c r="AN75" s="1">
        <f t="shared" si="212"/>
        <v>30</v>
      </c>
      <c r="AO75" s="1">
        <f t="shared" si="212"/>
        <v>0</v>
      </c>
      <c r="AP75" s="1">
        <f t="shared" si="212"/>
        <v>0</v>
      </c>
      <c r="AQ75" s="1">
        <f t="shared" si="212"/>
        <v>0</v>
      </c>
      <c r="AR75" s="3">
        <f>SUM(D75:AQ75)</f>
        <v>7800</v>
      </c>
      <c r="AS75" s="3"/>
      <c r="AT75" s="1">
        <f t="shared" si="207"/>
        <v>3705</v>
      </c>
      <c r="AU75" s="1">
        <f t="shared" si="208"/>
        <v>4095</v>
      </c>
      <c r="AV75" s="93">
        <f t="shared" ref="AV75" si="214">+AV52+AV29+AV6</f>
        <v>0</v>
      </c>
      <c r="AW75" s="1">
        <f t="shared" ref="AW75:BE75" si="215">+AW52+AW29+AW6</f>
        <v>0</v>
      </c>
      <c r="AX75" s="1">
        <f t="shared" si="215"/>
        <v>2106</v>
      </c>
      <c r="AY75" s="1">
        <f t="shared" si="215"/>
        <v>2076</v>
      </c>
      <c r="AZ75" s="1">
        <f t="shared" si="215"/>
        <v>2838</v>
      </c>
      <c r="BA75" s="1">
        <f t="shared" si="215"/>
        <v>507</v>
      </c>
      <c r="BB75" s="1">
        <f t="shared" si="215"/>
        <v>105</v>
      </c>
      <c r="BC75" s="1">
        <f t="shared" si="215"/>
        <v>108</v>
      </c>
      <c r="BD75" s="1">
        <f t="shared" si="215"/>
        <v>60</v>
      </c>
      <c r="BE75" s="92">
        <f t="shared" si="215"/>
        <v>0</v>
      </c>
    </row>
    <row r="76" spans="1:69" s="2" customFormat="1" ht="15" customHeight="1" x14ac:dyDescent="0.25">
      <c r="A76"/>
      <c r="C76" t="s">
        <v>0</v>
      </c>
      <c r="D76" s="1">
        <f t="shared" ref="D76:AQ76" si="216">+D53+D30+D7</f>
        <v>0</v>
      </c>
      <c r="E76" s="1">
        <f t="shared" ref="E76:J76" si="217">+E53+E30+E7</f>
        <v>0</v>
      </c>
      <c r="F76" s="1">
        <f t="shared" si="217"/>
        <v>0</v>
      </c>
      <c r="G76" s="1">
        <f t="shared" si="217"/>
        <v>0</v>
      </c>
      <c r="H76" s="1">
        <f t="shared" si="217"/>
        <v>0</v>
      </c>
      <c r="I76" s="1">
        <f t="shared" si="217"/>
        <v>0</v>
      </c>
      <c r="J76" s="1">
        <f t="shared" si="217"/>
        <v>0</v>
      </c>
      <c r="K76" s="1">
        <f t="shared" si="216"/>
        <v>0</v>
      </c>
      <c r="L76" s="1">
        <f t="shared" si="216"/>
        <v>5122</v>
      </c>
      <c r="M76" s="1">
        <f t="shared" si="216"/>
        <v>1047</v>
      </c>
      <c r="N76" s="1">
        <f t="shared" si="216"/>
        <v>2062</v>
      </c>
      <c r="O76" s="1">
        <f t="shared" si="216"/>
        <v>3534</v>
      </c>
      <c r="P76" s="1">
        <f t="shared" si="216"/>
        <v>2868</v>
      </c>
      <c r="Q76" s="1">
        <f t="shared" si="216"/>
        <v>3301</v>
      </c>
      <c r="R76" s="1">
        <f t="shared" si="216"/>
        <v>3272</v>
      </c>
      <c r="S76" s="1">
        <f t="shared" si="216"/>
        <v>2772</v>
      </c>
      <c r="T76" s="1">
        <f t="shared" si="216"/>
        <v>3438</v>
      </c>
      <c r="U76" s="1">
        <f t="shared" si="216"/>
        <v>3983</v>
      </c>
      <c r="V76" s="1">
        <f t="shared" si="216"/>
        <v>3030</v>
      </c>
      <c r="W76" s="1">
        <f t="shared" si="216"/>
        <v>3520</v>
      </c>
      <c r="X76" s="1">
        <f t="shared" si="216"/>
        <v>5012</v>
      </c>
      <c r="Y76" s="1">
        <f t="shared" si="216"/>
        <v>3786</v>
      </c>
      <c r="Z76" s="1">
        <f t="shared" si="216"/>
        <v>2746</v>
      </c>
      <c r="AA76" s="1">
        <f t="shared" si="216"/>
        <v>2503</v>
      </c>
      <c r="AB76" s="1">
        <f t="shared" si="216"/>
        <v>2779</v>
      </c>
      <c r="AC76" s="1">
        <f t="shared" si="216"/>
        <v>1296</v>
      </c>
      <c r="AD76" s="1">
        <f t="shared" si="216"/>
        <v>3118</v>
      </c>
      <c r="AE76" s="1">
        <f t="shared" si="216"/>
        <v>603</v>
      </c>
      <c r="AF76" s="1">
        <f t="shared" si="216"/>
        <v>306</v>
      </c>
      <c r="AG76" s="1">
        <f t="shared" si="216"/>
        <v>878</v>
      </c>
      <c r="AH76" s="117">
        <f t="shared" si="216"/>
        <v>2321</v>
      </c>
      <c r="AI76" s="1">
        <f t="shared" si="216"/>
        <v>126</v>
      </c>
      <c r="AJ76" s="1">
        <f t="shared" si="216"/>
        <v>0</v>
      </c>
      <c r="AK76" s="1">
        <f t="shared" si="216"/>
        <v>1174</v>
      </c>
      <c r="AL76" s="117">
        <f t="shared" si="216"/>
        <v>396</v>
      </c>
      <c r="AM76" s="1">
        <f t="shared" si="216"/>
        <v>415</v>
      </c>
      <c r="AN76" s="1">
        <f t="shared" si="216"/>
        <v>0</v>
      </c>
      <c r="AO76" s="1">
        <f t="shared" si="216"/>
        <v>0</v>
      </c>
      <c r="AP76" s="1">
        <f t="shared" si="216"/>
        <v>0</v>
      </c>
      <c r="AQ76" s="1">
        <f t="shared" si="216"/>
        <v>0</v>
      </c>
      <c r="AR76" s="3">
        <f t="shared" ref="AR76:AR91" si="218">SUM(D76:AQ76)</f>
        <v>65408</v>
      </c>
      <c r="AS76" s="3"/>
      <c r="AT76" s="1">
        <f t="shared" si="207"/>
        <v>38093</v>
      </c>
      <c r="AU76" s="1">
        <f t="shared" si="208"/>
        <v>27315</v>
      </c>
      <c r="AV76" s="93">
        <f t="shared" ref="AV76" si="219">+AV53+AV30+AV7</f>
        <v>0</v>
      </c>
      <c r="AW76" s="1">
        <f t="shared" ref="AW76:BE76" si="220">+AW53+AW30+AW7</f>
        <v>0</v>
      </c>
      <c r="AX76" s="1">
        <f t="shared" si="220"/>
        <v>14633</v>
      </c>
      <c r="AY76" s="1">
        <f t="shared" si="220"/>
        <v>12783</v>
      </c>
      <c r="AZ76" s="1">
        <f t="shared" si="220"/>
        <v>15545</v>
      </c>
      <c r="BA76" s="1">
        <f t="shared" si="220"/>
        <v>13110</v>
      </c>
      <c r="BB76" s="1">
        <f t="shared" si="220"/>
        <v>4905</v>
      </c>
      <c r="BC76" s="1">
        <f t="shared" si="220"/>
        <v>3621</v>
      </c>
      <c r="BD76" s="1">
        <f t="shared" si="220"/>
        <v>811</v>
      </c>
      <c r="BE76" s="92">
        <f t="shared" si="220"/>
        <v>0</v>
      </c>
    </row>
    <row r="77" spans="1:69" s="2" customFormat="1" ht="15" customHeight="1" x14ac:dyDescent="0.25">
      <c r="A77"/>
      <c r="C77" t="s">
        <v>354</v>
      </c>
      <c r="D77" s="1">
        <f t="shared" ref="D77:AQ77" si="221">+D54+D31+D8</f>
        <v>0</v>
      </c>
      <c r="E77" s="1">
        <f t="shared" ref="E77:J77" si="222">+E54+E31+E8</f>
        <v>0</v>
      </c>
      <c r="F77" s="1">
        <f t="shared" si="222"/>
        <v>0</v>
      </c>
      <c r="G77" s="1">
        <f t="shared" si="222"/>
        <v>0</v>
      </c>
      <c r="H77" s="1">
        <f t="shared" si="222"/>
        <v>0</v>
      </c>
      <c r="I77" s="1">
        <f t="shared" si="222"/>
        <v>0</v>
      </c>
      <c r="J77" s="1">
        <f t="shared" si="222"/>
        <v>0</v>
      </c>
      <c r="K77" s="1">
        <f t="shared" si="221"/>
        <v>0</v>
      </c>
      <c r="L77" s="1">
        <f t="shared" si="221"/>
        <v>240</v>
      </c>
      <c r="M77" s="1">
        <f t="shared" si="221"/>
        <v>27</v>
      </c>
      <c r="N77" s="1">
        <f t="shared" si="221"/>
        <v>69</v>
      </c>
      <c r="O77" s="1">
        <f t="shared" si="221"/>
        <v>129</v>
      </c>
      <c r="P77" s="1">
        <f t="shared" si="221"/>
        <v>270</v>
      </c>
      <c r="Q77" s="1">
        <f t="shared" si="221"/>
        <v>195</v>
      </c>
      <c r="R77" s="1">
        <f t="shared" si="221"/>
        <v>180</v>
      </c>
      <c r="S77" s="1">
        <f t="shared" si="221"/>
        <v>201</v>
      </c>
      <c r="T77" s="1">
        <f t="shared" si="221"/>
        <v>300</v>
      </c>
      <c r="U77" s="1">
        <f t="shared" si="221"/>
        <v>144</v>
      </c>
      <c r="V77" s="1">
        <f t="shared" si="221"/>
        <v>78</v>
      </c>
      <c r="W77" s="1">
        <f t="shared" si="221"/>
        <v>177</v>
      </c>
      <c r="X77" s="1">
        <f t="shared" si="221"/>
        <v>231</v>
      </c>
      <c r="Y77" s="1">
        <f t="shared" si="221"/>
        <v>87</v>
      </c>
      <c r="Z77" s="1">
        <f t="shared" si="221"/>
        <v>87</v>
      </c>
      <c r="AA77" s="1">
        <f t="shared" si="221"/>
        <v>81</v>
      </c>
      <c r="AB77" s="1">
        <f t="shared" si="221"/>
        <v>54</v>
      </c>
      <c r="AC77" s="1">
        <f t="shared" si="221"/>
        <v>30</v>
      </c>
      <c r="AD77" s="1">
        <f t="shared" si="221"/>
        <v>0</v>
      </c>
      <c r="AE77" s="1">
        <f t="shared" si="221"/>
        <v>0</v>
      </c>
      <c r="AF77" s="1">
        <f t="shared" si="221"/>
        <v>0</v>
      </c>
      <c r="AG77" s="1">
        <f t="shared" si="221"/>
        <v>0</v>
      </c>
      <c r="AH77" s="117">
        <f t="shared" si="221"/>
        <v>120</v>
      </c>
      <c r="AI77" s="1">
        <f t="shared" si="221"/>
        <v>0</v>
      </c>
      <c r="AJ77" s="1">
        <f t="shared" si="221"/>
        <v>0</v>
      </c>
      <c r="AK77" s="1">
        <f t="shared" si="221"/>
        <v>0</v>
      </c>
      <c r="AL77" s="117">
        <f t="shared" si="221"/>
        <v>0</v>
      </c>
      <c r="AM77" s="1">
        <f t="shared" si="221"/>
        <v>0</v>
      </c>
      <c r="AN77" s="1">
        <f t="shared" si="221"/>
        <v>0</v>
      </c>
      <c r="AO77" s="1">
        <f t="shared" si="221"/>
        <v>0</v>
      </c>
      <c r="AP77" s="1">
        <f t="shared" si="221"/>
        <v>0</v>
      </c>
      <c r="AQ77" s="1">
        <f t="shared" si="221"/>
        <v>0</v>
      </c>
      <c r="AR77" s="3">
        <f t="shared" si="218"/>
        <v>2700</v>
      </c>
      <c r="AS77" s="3"/>
      <c r="AT77" s="1">
        <f t="shared" si="207"/>
        <v>2544</v>
      </c>
      <c r="AU77" s="1">
        <f t="shared" si="208"/>
        <v>156</v>
      </c>
      <c r="AV77" s="93">
        <f t="shared" ref="AV77" si="223">+AV54+AV31+AV8</f>
        <v>0</v>
      </c>
      <c r="AW77" s="1">
        <f t="shared" ref="AW77:BE77" si="224">+AW54+AW31+AW8</f>
        <v>0</v>
      </c>
      <c r="AX77" s="1">
        <f t="shared" si="224"/>
        <v>735</v>
      </c>
      <c r="AY77" s="1">
        <f t="shared" si="224"/>
        <v>876</v>
      </c>
      <c r="AZ77" s="1">
        <f t="shared" si="224"/>
        <v>630</v>
      </c>
      <c r="BA77" s="1">
        <f t="shared" si="224"/>
        <v>339</v>
      </c>
      <c r="BB77" s="1">
        <f t="shared" si="224"/>
        <v>0</v>
      </c>
      <c r="BC77" s="1">
        <f t="shared" si="224"/>
        <v>120</v>
      </c>
      <c r="BD77" s="1">
        <f t="shared" si="224"/>
        <v>0</v>
      </c>
      <c r="BE77" s="92">
        <f t="shared" si="224"/>
        <v>0</v>
      </c>
    </row>
    <row r="78" spans="1:69" s="2" customFormat="1" ht="15" customHeight="1" x14ac:dyDescent="0.25">
      <c r="A78"/>
      <c r="C78" t="s">
        <v>265</v>
      </c>
      <c r="D78" s="1">
        <f t="shared" ref="D78:AQ78" si="225">+D55+D32+D9</f>
        <v>0</v>
      </c>
      <c r="E78" s="1">
        <f t="shared" ref="E78:J78" si="226">+E55+E32+E9</f>
        <v>0</v>
      </c>
      <c r="F78" s="1">
        <f t="shared" si="226"/>
        <v>0</v>
      </c>
      <c r="G78" s="1">
        <f t="shared" si="226"/>
        <v>0</v>
      </c>
      <c r="H78" s="1">
        <f t="shared" si="226"/>
        <v>0</v>
      </c>
      <c r="I78" s="1">
        <f t="shared" si="226"/>
        <v>0</v>
      </c>
      <c r="J78" s="1">
        <f t="shared" si="226"/>
        <v>0</v>
      </c>
      <c r="K78" s="1">
        <f t="shared" si="225"/>
        <v>0</v>
      </c>
      <c r="L78" s="1">
        <f t="shared" si="225"/>
        <v>508</v>
      </c>
      <c r="M78" s="1">
        <f t="shared" si="225"/>
        <v>150</v>
      </c>
      <c r="N78" s="1">
        <f t="shared" si="225"/>
        <v>139</v>
      </c>
      <c r="O78" s="1">
        <f t="shared" si="225"/>
        <v>247</v>
      </c>
      <c r="P78" s="1">
        <f t="shared" si="225"/>
        <v>610</v>
      </c>
      <c r="Q78" s="1">
        <f t="shared" si="225"/>
        <v>350</v>
      </c>
      <c r="R78" s="1">
        <f t="shared" si="225"/>
        <v>255</v>
      </c>
      <c r="S78" s="1">
        <f t="shared" si="225"/>
        <v>593</v>
      </c>
      <c r="T78" s="1">
        <f t="shared" si="225"/>
        <v>408</v>
      </c>
      <c r="U78" s="1">
        <f t="shared" si="225"/>
        <v>950</v>
      </c>
      <c r="V78" s="1">
        <f t="shared" si="225"/>
        <v>677</v>
      </c>
      <c r="W78" s="1">
        <f t="shared" si="225"/>
        <v>383</v>
      </c>
      <c r="X78" s="1">
        <f t="shared" si="225"/>
        <v>768</v>
      </c>
      <c r="Y78" s="1">
        <f t="shared" si="225"/>
        <v>238</v>
      </c>
      <c r="Z78" s="1">
        <f t="shared" si="225"/>
        <v>0</v>
      </c>
      <c r="AA78" s="1">
        <f t="shared" si="225"/>
        <v>71</v>
      </c>
      <c r="AB78" s="1">
        <f t="shared" si="225"/>
        <v>0</v>
      </c>
      <c r="AC78" s="1">
        <f t="shared" si="225"/>
        <v>0</v>
      </c>
      <c r="AD78" s="1">
        <f t="shared" si="225"/>
        <v>0</v>
      </c>
      <c r="AE78" s="1">
        <f t="shared" si="225"/>
        <v>0</v>
      </c>
      <c r="AF78" s="1">
        <f t="shared" si="225"/>
        <v>0</v>
      </c>
      <c r="AG78" s="1">
        <f t="shared" si="225"/>
        <v>0</v>
      </c>
      <c r="AH78" s="117">
        <f t="shared" si="225"/>
        <v>313</v>
      </c>
      <c r="AI78" s="1">
        <f t="shared" si="225"/>
        <v>0</v>
      </c>
      <c r="AJ78" s="1">
        <f t="shared" si="225"/>
        <v>0</v>
      </c>
      <c r="AK78" s="1">
        <f t="shared" si="225"/>
        <v>84</v>
      </c>
      <c r="AL78" s="117">
        <f t="shared" si="225"/>
        <v>0</v>
      </c>
      <c r="AM78" s="1">
        <f t="shared" si="225"/>
        <v>0</v>
      </c>
      <c r="AN78" s="1">
        <f t="shared" si="225"/>
        <v>0</v>
      </c>
      <c r="AO78" s="1">
        <f t="shared" si="225"/>
        <v>0</v>
      </c>
      <c r="AP78" s="1">
        <f t="shared" si="225"/>
        <v>0</v>
      </c>
      <c r="AQ78" s="1">
        <f t="shared" si="225"/>
        <v>0</v>
      </c>
      <c r="AR78" s="3">
        <f t="shared" si="218"/>
        <v>6744</v>
      </c>
      <c r="AS78" s="3"/>
      <c r="AT78" s="1">
        <f t="shared" si="207"/>
        <v>6462</v>
      </c>
      <c r="AU78" s="1">
        <f t="shared" si="208"/>
        <v>282</v>
      </c>
      <c r="AV78" s="93">
        <f t="shared" ref="AV78" si="227">+AV55+AV32+AV9</f>
        <v>0</v>
      </c>
      <c r="AW78" s="1">
        <f t="shared" ref="AW78:BE78" si="228">+AW55+AW32+AW9</f>
        <v>0</v>
      </c>
      <c r="AX78" s="1">
        <f t="shared" si="228"/>
        <v>1654</v>
      </c>
      <c r="AY78" s="1">
        <f t="shared" si="228"/>
        <v>1606</v>
      </c>
      <c r="AZ78" s="1">
        <f t="shared" si="228"/>
        <v>2778</v>
      </c>
      <c r="BA78" s="1">
        <f t="shared" si="228"/>
        <v>309</v>
      </c>
      <c r="BB78" s="1">
        <f t="shared" si="228"/>
        <v>0</v>
      </c>
      <c r="BC78" s="1">
        <f t="shared" si="228"/>
        <v>397</v>
      </c>
      <c r="BD78" s="1">
        <f t="shared" si="228"/>
        <v>0</v>
      </c>
      <c r="BE78" s="92">
        <f t="shared" si="228"/>
        <v>0</v>
      </c>
    </row>
    <row r="79" spans="1:69" s="2" customFormat="1" ht="15" customHeight="1" x14ac:dyDescent="0.25">
      <c r="A79"/>
      <c r="C79" t="s">
        <v>191</v>
      </c>
      <c r="D79" s="1">
        <f t="shared" ref="D79:AQ79" si="229">+D56+D33+D10</f>
        <v>0</v>
      </c>
      <c r="E79" s="1">
        <f t="shared" ref="E79:J79" si="230">+E56+E33+E10</f>
        <v>0</v>
      </c>
      <c r="F79" s="1">
        <f t="shared" si="230"/>
        <v>0</v>
      </c>
      <c r="G79" s="1">
        <f t="shared" si="230"/>
        <v>0</v>
      </c>
      <c r="H79" s="1">
        <f t="shared" si="230"/>
        <v>0</v>
      </c>
      <c r="I79" s="1">
        <f t="shared" si="230"/>
        <v>0</v>
      </c>
      <c r="J79" s="1">
        <f t="shared" si="230"/>
        <v>0</v>
      </c>
      <c r="K79" s="1">
        <f t="shared" si="229"/>
        <v>0</v>
      </c>
      <c r="L79" s="1">
        <f t="shared" si="229"/>
        <v>0</v>
      </c>
      <c r="M79" s="1">
        <f t="shared" si="229"/>
        <v>2291</v>
      </c>
      <c r="N79" s="1">
        <f t="shared" si="229"/>
        <v>150</v>
      </c>
      <c r="O79" s="1">
        <f t="shared" si="229"/>
        <v>573</v>
      </c>
      <c r="P79" s="1">
        <f t="shared" si="229"/>
        <v>2229</v>
      </c>
      <c r="Q79" s="1">
        <f t="shared" si="229"/>
        <v>645</v>
      </c>
      <c r="R79" s="1">
        <f t="shared" si="229"/>
        <v>2193</v>
      </c>
      <c r="S79" s="1">
        <f t="shared" si="229"/>
        <v>2612</v>
      </c>
      <c r="T79" s="1">
        <f t="shared" si="229"/>
        <v>2204</v>
      </c>
      <c r="U79" s="1">
        <f t="shared" si="229"/>
        <v>998</v>
      </c>
      <c r="V79" s="1">
        <f t="shared" si="229"/>
        <v>9</v>
      </c>
      <c r="W79" s="1">
        <f t="shared" si="229"/>
        <v>1284</v>
      </c>
      <c r="X79" s="1">
        <f t="shared" si="229"/>
        <v>933</v>
      </c>
      <c r="Y79" s="1">
        <f t="shared" si="229"/>
        <v>987</v>
      </c>
      <c r="Z79" s="1">
        <f t="shared" si="229"/>
        <v>894</v>
      </c>
      <c r="AA79" s="1">
        <f t="shared" si="229"/>
        <v>625</v>
      </c>
      <c r="AB79" s="1">
        <f t="shared" si="229"/>
        <v>518</v>
      </c>
      <c r="AC79" s="1">
        <f t="shared" si="229"/>
        <v>45</v>
      </c>
      <c r="AD79" s="1">
        <f t="shared" si="229"/>
        <v>0</v>
      </c>
      <c r="AE79" s="1">
        <f t="shared" si="229"/>
        <v>0</v>
      </c>
      <c r="AF79" s="1">
        <f t="shared" si="229"/>
        <v>0</v>
      </c>
      <c r="AG79" s="1">
        <f t="shared" si="229"/>
        <v>0</v>
      </c>
      <c r="AH79" s="117">
        <f t="shared" si="229"/>
        <v>0</v>
      </c>
      <c r="AI79" s="1">
        <f t="shared" si="229"/>
        <v>0</v>
      </c>
      <c r="AJ79" s="1">
        <f t="shared" si="229"/>
        <v>0</v>
      </c>
      <c r="AK79" s="1">
        <f t="shared" si="229"/>
        <v>0</v>
      </c>
      <c r="AL79" s="117">
        <f t="shared" si="229"/>
        <v>24</v>
      </c>
      <c r="AM79" s="1">
        <f t="shared" si="229"/>
        <v>51</v>
      </c>
      <c r="AN79" s="1">
        <f t="shared" si="229"/>
        <v>75</v>
      </c>
      <c r="AO79" s="1">
        <f t="shared" si="229"/>
        <v>0</v>
      </c>
      <c r="AP79" s="1">
        <f t="shared" si="229"/>
        <v>0</v>
      </c>
      <c r="AQ79" s="1">
        <f t="shared" si="229"/>
        <v>0</v>
      </c>
      <c r="AR79" s="3">
        <f t="shared" si="218"/>
        <v>19340</v>
      </c>
      <c r="AS79" s="3"/>
      <c r="AT79" s="1">
        <f t="shared" si="207"/>
        <v>10021</v>
      </c>
      <c r="AU79" s="1">
        <f t="shared" si="208"/>
        <v>9319</v>
      </c>
      <c r="AV79" s="93">
        <f t="shared" ref="AV79" si="231">+AV56+AV33+AV10</f>
        <v>0</v>
      </c>
      <c r="AW79" s="1">
        <f t="shared" ref="AW79:BE79" si="232">+AW56+AW33+AW10</f>
        <v>0</v>
      </c>
      <c r="AX79" s="1">
        <f t="shared" si="232"/>
        <v>5243</v>
      </c>
      <c r="AY79" s="1">
        <f t="shared" si="232"/>
        <v>7654</v>
      </c>
      <c r="AZ79" s="1">
        <f t="shared" si="232"/>
        <v>3224</v>
      </c>
      <c r="BA79" s="1">
        <f t="shared" si="232"/>
        <v>3069</v>
      </c>
      <c r="BB79" s="1">
        <f t="shared" si="232"/>
        <v>0</v>
      </c>
      <c r="BC79" s="1">
        <f t="shared" si="232"/>
        <v>0</v>
      </c>
      <c r="BD79" s="1">
        <f t="shared" si="232"/>
        <v>150</v>
      </c>
      <c r="BE79" s="92">
        <f t="shared" si="232"/>
        <v>0</v>
      </c>
    </row>
    <row r="80" spans="1:69" ht="15" customHeight="1" x14ac:dyDescent="0.25">
      <c r="C80" t="s">
        <v>549</v>
      </c>
      <c r="D80" s="1">
        <f t="shared" ref="D80:AQ80" si="233">+D57+D34+D11</f>
        <v>0</v>
      </c>
      <c r="E80" s="1">
        <f t="shared" ref="E80:J80" si="234">+E57+E34+E11</f>
        <v>0</v>
      </c>
      <c r="F80" s="1">
        <f t="shared" si="234"/>
        <v>0</v>
      </c>
      <c r="G80" s="1">
        <f t="shared" si="234"/>
        <v>0</v>
      </c>
      <c r="H80" s="1">
        <f t="shared" si="234"/>
        <v>0</v>
      </c>
      <c r="I80" s="1">
        <f t="shared" si="234"/>
        <v>0</v>
      </c>
      <c r="J80" s="1">
        <f t="shared" si="234"/>
        <v>0</v>
      </c>
      <c r="K80" s="1">
        <f t="shared" si="233"/>
        <v>0</v>
      </c>
      <c r="L80" s="1">
        <f t="shared" si="233"/>
        <v>0</v>
      </c>
      <c r="M80" s="1">
        <f t="shared" si="233"/>
        <v>0</v>
      </c>
      <c r="N80" s="1">
        <f t="shared" si="233"/>
        <v>0</v>
      </c>
      <c r="O80" s="1">
        <f t="shared" si="233"/>
        <v>0</v>
      </c>
      <c r="P80" s="1">
        <f t="shared" si="233"/>
        <v>0</v>
      </c>
      <c r="Q80" s="1">
        <f t="shared" si="233"/>
        <v>0</v>
      </c>
      <c r="R80" s="1">
        <f t="shared" si="233"/>
        <v>0</v>
      </c>
      <c r="S80" s="1">
        <f t="shared" si="233"/>
        <v>0</v>
      </c>
      <c r="T80" s="1">
        <f t="shared" si="233"/>
        <v>0</v>
      </c>
      <c r="U80" s="1">
        <f t="shared" si="233"/>
        <v>0</v>
      </c>
      <c r="V80" s="1">
        <f t="shared" si="233"/>
        <v>0</v>
      </c>
      <c r="W80" s="1">
        <f t="shared" si="233"/>
        <v>0</v>
      </c>
      <c r="X80" s="1">
        <f t="shared" si="233"/>
        <v>0</v>
      </c>
      <c r="Y80" s="1">
        <f t="shared" si="233"/>
        <v>0</v>
      </c>
      <c r="Z80" s="1">
        <f t="shared" si="233"/>
        <v>0</v>
      </c>
      <c r="AA80" s="1">
        <f t="shared" si="233"/>
        <v>0</v>
      </c>
      <c r="AB80" s="1">
        <f>+AB57+AB34+AB11</f>
        <v>0</v>
      </c>
      <c r="AC80" s="1">
        <f t="shared" si="233"/>
        <v>0</v>
      </c>
      <c r="AD80" s="1">
        <f t="shared" si="233"/>
        <v>0</v>
      </c>
      <c r="AE80" s="1">
        <f t="shared" si="233"/>
        <v>0</v>
      </c>
      <c r="AF80" s="1">
        <f t="shared" si="233"/>
        <v>0</v>
      </c>
      <c r="AG80" s="1">
        <f t="shared" si="233"/>
        <v>0</v>
      </c>
      <c r="AH80" s="117">
        <f t="shared" si="233"/>
        <v>0</v>
      </c>
      <c r="AI80" s="1">
        <f t="shared" si="233"/>
        <v>0</v>
      </c>
      <c r="AJ80" s="1">
        <f t="shared" si="233"/>
        <v>0</v>
      </c>
      <c r="AK80" s="1">
        <f t="shared" si="233"/>
        <v>0</v>
      </c>
      <c r="AL80" s="117">
        <f t="shared" si="233"/>
        <v>0</v>
      </c>
      <c r="AM80" s="1">
        <f t="shared" si="233"/>
        <v>0</v>
      </c>
      <c r="AN80" s="1">
        <f t="shared" si="233"/>
        <v>0</v>
      </c>
      <c r="AO80" s="1">
        <f t="shared" si="233"/>
        <v>0</v>
      </c>
      <c r="AP80" s="1">
        <f t="shared" si="233"/>
        <v>0</v>
      </c>
      <c r="AQ80" s="1">
        <f t="shared" si="233"/>
        <v>0</v>
      </c>
      <c r="AR80" s="3">
        <f t="shared" si="218"/>
        <v>0</v>
      </c>
      <c r="AT80" s="1">
        <f t="shared" si="207"/>
        <v>0</v>
      </c>
      <c r="AU80" s="1">
        <f t="shared" si="208"/>
        <v>0</v>
      </c>
      <c r="AV80" s="93">
        <f t="shared" ref="AV80" si="235">+AV57+AV34+AV11</f>
        <v>0</v>
      </c>
      <c r="AW80" s="1">
        <f t="shared" ref="AW80:BE80" si="236">+AW57+AW34+AW11</f>
        <v>0</v>
      </c>
      <c r="AX80" s="1">
        <f t="shared" si="236"/>
        <v>0</v>
      </c>
      <c r="AY80" s="1">
        <f t="shared" si="236"/>
        <v>0</v>
      </c>
      <c r="AZ80" s="1">
        <f t="shared" si="236"/>
        <v>0</v>
      </c>
      <c r="BA80" s="1">
        <f t="shared" si="236"/>
        <v>0</v>
      </c>
      <c r="BB80" s="1">
        <f t="shared" si="236"/>
        <v>0</v>
      </c>
      <c r="BC80" s="1">
        <f t="shared" si="236"/>
        <v>0</v>
      </c>
      <c r="BD80" s="1">
        <f t="shared" si="236"/>
        <v>0</v>
      </c>
      <c r="BE80" s="92">
        <f t="shared" si="236"/>
        <v>0</v>
      </c>
    </row>
    <row r="81" spans="1:57" ht="15" customHeight="1" x14ac:dyDescent="0.25">
      <c r="C81" t="s">
        <v>550</v>
      </c>
      <c r="D81" s="1">
        <f t="shared" ref="D81:AQ81" si="237">+D58+D35+D12</f>
        <v>0</v>
      </c>
      <c r="E81" s="1">
        <f t="shared" ref="E81:J81" si="238">+E58+E35+E12</f>
        <v>0</v>
      </c>
      <c r="F81" s="1">
        <f t="shared" si="238"/>
        <v>0</v>
      </c>
      <c r="G81" s="1">
        <f t="shared" si="238"/>
        <v>0</v>
      </c>
      <c r="H81" s="1">
        <f t="shared" si="238"/>
        <v>0</v>
      </c>
      <c r="I81" s="1">
        <f t="shared" si="238"/>
        <v>0</v>
      </c>
      <c r="J81" s="1">
        <f t="shared" si="238"/>
        <v>0</v>
      </c>
      <c r="K81" s="1">
        <f t="shared" si="237"/>
        <v>0</v>
      </c>
      <c r="L81" s="1">
        <f t="shared" si="237"/>
        <v>0</v>
      </c>
      <c r="M81" s="1">
        <f t="shared" si="237"/>
        <v>192</v>
      </c>
      <c r="N81" s="1">
        <f t="shared" si="237"/>
        <v>0</v>
      </c>
      <c r="O81" s="1">
        <f t="shared" si="237"/>
        <v>54</v>
      </c>
      <c r="P81" s="1">
        <f t="shared" si="237"/>
        <v>0</v>
      </c>
      <c r="Q81" s="1">
        <f t="shared" si="237"/>
        <v>93</v>
      </c>
      <c r="R81" s="1">
        <f t="shared" si="237"/>
        <v>673</v>
      </c>
      <c r="S81" s="1">
        <f t="shared" si="237"/>
        <v>921</v>
      </c>
      <c r="T81" s="1">
        <f t="shared" si="237"/>
        <v>0</v>
      </c>
      <c r="U81" s="1">
        <f t="shared" si="237"/>
        <v>406</v>
      </c>
      <c r="V81" s="1">
        <f t="shared" si="237"/>
        <v>396</v>
      </c>
      <c r="W81" s="1">
        <f t="shared" si="237"/>
        <v>187</v>
      </c>
      <c r="X81" s="1">
        <f t="shared" si="237"/>
        <v>543</v>
      </c>
      <c r="Y81" s="1">
        <f t="shared" si="237"/>
        <v>235</v>
      </c>
      <c r="Z81" s="1">
        <f t="shared" si="237"/>
        <v>118</v>
      </c>
      <c r="AA81" s="1">
        <f t="shared" si="237"/>
        <v>116</v>
      </c>
      <c r="AB81" s="1">
        <f>+AB58+AB35+AB12</f>
        <v>203</v>
      </c>
      <c r="AC81" s="1">
        <f t="shared" si="237"/>
        <v>172</v>
      </c>
      <c r="AD81" s="1">
        <f t="shared" si="237"/>
        <v>324</v>
      </c>
      <c r="AE81" s="1">
        <f t="shared" si="237"/>
        <v>201</v>
      </c>
      <c r="AF81" s="1">
        <f t="shared" si="237"/>
        <v>16</v>
      </c>
      <c r="AG81" s="1">
        <f t="shared" si="237"/>
        <v>55</v>
      </c>
      <c r="AH81" s="117">
        <f t="shared" si="237"/>
        <v>151</v>
      </c>
      <c r="AI81" s="1">
        <f t="shared" si="237"/>
        <v>168</v>
      </c>
      <c r="AJ81" s="1">
        <f t="shared" si="237"/>
        <v>191</v>
      </c>
      <c r="AK81" s="1">
        <f t="shared" si="237"/>
        <v>122</v>
      </c>
      <c r="AL81" s="117">
        <f t="shared" si="237"/>
        <v>51</v>
      </c>
      <c r="AM81" s="1">
        <f t="shared" si="237"/>
        <v>78</v>
      </c>
      <c r="AN81" s="1">
        <f t="shared" si="237"/>
        <v>63</v>
      </c>
      <c r="AO81" s="1">
        <f t="shared" si="237"/>
        <v>0</v>
      </c>
      <c r="AP81" s="1">
        <f t="shared" si="237"/>
        <v>0</v>
      </c>
      <c r="AQ81" s="1">
        <f t="shared" si="237"/>
        <v>0</v>
      </c>
      <c r="AR81" s="3">
        <f t="shared" si="218"/>
        <v>5729</v>
      </c>
      <c r="AT81" s="1">
        <f t="shared" si="207"/>
        <v>0</v>
      </c>
      <c r="AU81" s="1">
        <f t="shared" si="208"/>
        <v>5729</v>
      </c>
      <c r="AV81" s="93">
        <f t="shared" ref="AV81" si="239">+AV58+AV35+AV12</f>
        <v>0</v>
      </c>
      <c r="AW81" s="1">
        <f t="shared" ref="AW81:BE81" si="240">+AW58+AW35+AW12</f>
        <v>0</v>
      </c>
      <c r="AX81" s="1">
        <f t="shared" si="240"/>
        <v>246</v>
      </c>
      <c r="AY81" s="1">
        <f t="shared" si="240"/>
        <v>1687</v>
      </c>
      <c r="AZ81" s="1">
        <f t="shared" si="240"/>
        <v>1532</v>
      </c>
      <c r="BA81" s="1">
        <f t="shared" si="240"/>
        <v>844</v>
      </c>
      <c r="BB81" s="1">
        <f t="shared" si="240"/>
        <v>596</v>
      </c>
      <c r="BC81" s="1">
        <f t="shared" si="240"/>
        <v>632</v>
      </c>
      <c r="BD81" s="1">
        <f t="shared" si="240"/>
        <v>192</v>
      </c>
      <c r="BE81" s="92">
        <f t="shared" si="240"/>
        <v>0</v>
      </c>
    </row>
    <row r="82" spans="1:57" ht="15" customHeight="1" x14ac:dyDescent="0.25">
      <c r="C82" t="s">
        <v>6</v>
      </c>
      <c r="D82" s="1">
        <f t="shared" ref="D82:AQ82" si="241">+D59+D36+D13</f>
        <v>0</v>
      </c>
      <c r="E82" s="1">
        <f t="shared" ref="E82:J82" si="242">+E59+E36+E13</f>
        <v>0</v>
      </c>
      <c r="F82" s="1">
        <f t="shared" si="242"/>
        <v>0</v>
      </c>
      <c r="G82" s="1">
        <f t="shared" si="242"/>
        <v>0</v>
      </c>
      <c r="H82" s="1">
        <f t="shared" si="242"/>
        <v>0</v>
      </c>
      <c r="I82" s="1">
        <f t="shared" si="242"/>
        <v>0</v>
      </c>
      <c r="J82" s="1">
        <f t="shared" si="242"/>
        <v>0</v>
      </c>
      <c r="K82" s="1">
        <f t="shared" si="241"/>
        <v>0</v>
      </c>
      <c r="L82" s="1">
        <f t="shared" si="241"/>
        <v>6480</v>
      </c>
      <c r="M82" s="1">
        <f t="shared" si="241"/>
        <v>2700</v>
      </c>
      <c r="N82" s="1">
        <f t="shared" si="241"/>
        <v>2693</v>
      </c>
      <c r="O82" s="1">
        <f t="shared" si="241"/>
        <v>2700</v>
      </c>
      <c r="P82" s="1">
        <f t="shared" si="241"/>
        <v>2160</v>
      </c>
      <c r="Q82" s="1">
        <f t="shared" si="241"/>
        <v>6480</v>
      </c>
      <c r="R82" s="1">
        <f t="shared" si="241"/>
        <v>2160</v>
      </c>
      <c r="S82" s="1">
        <f t="shared" si="241"/>
        <v>2430</v>
      </c>
      <c r="T82" s="1">
        <f t="shared" si="241"/>
        <v>2652</v>
      </c>
      <c r="U82" s="1">
        <f t="shared" si="241"/>
        <v>1920</v>
      </c>
      <c r="V82" s="1">
        <f t="shared" si="241"/>
        <v>1656</v>
      </c>
      <c r="W82" s="1">
        <f t="shared" si="241"/>
        <v>1404</v>
      </c>
      <c r="X82" s="1">
        <f t="shared" si="241"/>
        <v>0</v>
      </c>
      <c r="Y82" s="1">
        <f t="shared" si="241"/>
        <v>1545</v>
      </c>
      <c r="Z82" s="1">
        <f t="shared" si="241"/>
        <v>0</v>
      </c>
      <c r="AA82" s="1">
        <f t="shared" si="241"/>
        <v>1300</v>
      </c>
      <c r="AB82" s="1">
        <f t="shared" si="241"/>
        <v>0</v>
      </c>
      <c r="AC82" s="1">
        <f t="shared" si="241"/>
        <v>1350</v>
      </c>
      <c r="AD82" s="1">
        <f t="shared" si="241"/>
        <v>0</v>
      </c>
      <c r="AE82" s="1">
        <f t="shared" si="241"/>
        <v>1080</v>
      </c>
      <c r="AF82" s="1">
        <f t="shared" si="241"/>
        <v>0</v>
      </c>
      <c r="AG82" s="1">
        <f t="shared" si="241"/>
        <v>0</v>
      </c>
      <c r="AH82" s="117">
        <f t="shared" si="241"/>
        <v>5400</v>
      </c>
      <c r="AI82" s="1">
        <f t="shared" si="241"/>
        <v>0</v>
      </c>
      <c r="AJ82" s="1">
        <f t="shared" si="241"/>
        <v>0</v>
      </c>
      <c r="AK82" s="1">
        <f t="shared" si="241"/>
        <v>0</v>
      </c>
      <c r="AL82" s="117">
        <f t="shared" si="241"/>
        <v>0</v>
      </c>
      <c r="AM82" s="1">
        <f t="shared" si="241"/>
        <v>0</v>
      </c>
      <c r="AN82" s="1">
        <f t="shared" si="241"/>
        <v>0</v>
      </c>
      <c r="AO82" s="1">
        <f t="shared" si="241"/>
        <v>0</v>
      </c>
      <c r="AP82" s="1">
        <f t="shared" si="241"/>
        <v>0</v>
      </c>
      <c r="AQ82" s="1">
        <f t="shared" si="241"/>
        <v>0</v>
      </c>
      <c r="AR82" s="3">
        <f t="shared" si="218"/>
        <v>46110</v>
      </c>
      <c r="AT82" s="1">
        <f t="shared" si="207"/>
        <v>30153</v>
      </c>
      <c r="AU82" s="1">
        <f t="shared" si="208"/>
        <v>15957</v>
      </c>
      <c r="AV82" s="93">
        <f t="shared" ref="AV82" si="243">+AV59+AV36+AV13</f>
        <v>0</v>
      </c>
      <c r="AW82" s="1">
        <f t="shared" ref="AW82:BE82" si="244">+AW59+AW36+AW13</f>
        <v>0</v>
      </c>
      <c r="AX82" s="1">
        <f t="shared" si="244"/>
        <v>16733</v>
      </c>
      <c r="AY82" s="1">
        <f t="shared" si="244"/>
        <v>13722</v>
      </c>
      <c r="AZ82" s="1">
        <f t="shared" si="244"/>
        <v>4980</v>
      </c>
      <c r="BA82" s="1">
        <f t="shared" si="244"/>
        <v>4195</v>
      </c>
      <c r="BB82" s="1">
        <f t="shared" si="244"/>
        <v>1080</v>
      </c>
      <c r="BC82" s="1">
        <f t="shared" si="244"/>
        <v>5400</v>
      </c>
      <c r="BD82" s="1">
        <f t="shared" si="244"/>
        <v>0</v>
      </c>
      <c r="BE82" s="92">
        <f t="shared" si="244"/>
        <v>0</v>
      </c>
    </row>
    <row r="83" spans="1:57" ht="15" customHeight="1" x14ac:dyDescent="0.25">
      <c r="C83" t="s">
        <v>262</v>
      </c>
      <c r="D83" s="1">
        <f t="shared" ref="D83:AQ83" si="245">+D60+D37+D14</f>
        <v>0</v>
      </c>
      <c r="E83" s="1">
        <f t="shared" ref="E83:J83" si="246">+E60+E37+E14</f>
        <v>0</v>
      </c>
      <c r="F83" s="1">
        <f t="shared" si="246"/>
        <v>0</v>
      </c>
      <c r="G83" s="1">
        <f t="shared" si="246"/>
        <v>0</v>
      </c>
      <c r="H83" s="1">
        <f t="shared" si="246"/>
        <v>0</v>
      </c>
      <c r="I83" s="1">
        <f t="shared" si="246"/>
        <v>0</v>
      </c>
      <c r="J83" s="1">
        <f t="shared" si="246"/>
        <v>0</v>
      </c>
      <c r="K83" s="1">
        <f t="shared" si="245"/>
        <v>0</v>
      </c>
      <c r="L83" s="1">
        <f t="shared" si="245"/>
        <v>24</v>
      </c>
      <c r="M83" s="1">
        <f t="shared" si="245"/>
        <v>420</v>
      </c>
      <c r="N83" s="1">
        <f t="shared" si="245"/>
        <v>339</v>
      </c>
      <c r="O83" s="1">
        <f t="shared" si="245"/>
        <v>633</v>
      </c>
      <c r="P83" s="1">
        <f t="shared" si="245"/>
        <v>540</v>
      </c>
      <c r="Q83" s="1">
        <f t="shared" si="245"/>
        <v>540</v>
      </c>
      <c r="R83" s="1">
        <f t="shared" si="245"/>
        <v>351</v>
      </c>
      <c r="S83" s="1">
        <f t="shared" si="245"/>
        <v>558</v>
      </c>
      <c r="T83" s="1">
        <f t="shared" si="245"/>
        <v>297</v>
      </c>
      <c r="U83" s="1">
        <f t="shared" si="245"/>
        <v>288</v>
      </c>
      <c r="V83" s="1">
        <f t="shared" si="245"/>
        <v>309</v>
      </c>
      <c r="W83" s="1">
        <f t="shared" si="245"/>
        <v>396</v>
      </c>
      <c r="X83" s="1">
        <f t="shared" si="245"/>
        <v>264</v>
      </c>
      <c r="Y83" s="1">
        <f t="shared" si="245"/>
        <v>128</v>
      </c>
      <c r="Z83" s="1">
        <f t="shared" si="245"/>
        <v>90</v>
      </c>
      <c r="AA83" s="1">
        <f t="shared" si="245"/>
        <v>0</v>
      </c>
      <c r="AB83" s="1">
        <f t="shared" si="245"/>
        <v>102</v>
      </c>
      <c r="AC83" s="1">
        <f t="shared" si="245"/>
        <v>24</v>
      </c>
      <c r="AD83" s="1">
        <f t="shared" si="245"/>
        <v>0</v>
      </c>
      <c r="AE83" s="1">
        <f t="shared" si="245"/>
        <v>33</v>
      </c>
      <c r="AF83" s="1">
        <f t="shared" si="245"/>
        <v>96</v>
      </c>
      <c r="AG83" s="1">
        <f t="shared" si="245"/>
        <v>0</v>
      </c>
      <c r="AH83" s="117">
        <f t="shared" si="245"/>
        <v>0</v>
      </c>
      <c r="AI83" s="1">
        <f t="shared" si="245"/>
        <v>0</v>
      </c>
      <c r="AJ83" s="1">
        <f t="shared" si="245"/>
        <v>0</v>
      </c>
      <c r="AK83" s="1">
        <f t="shared" si="245"/>
        <v>117</v>
      </c>
      <c r="AL83" s="117">
        <f t="shared" si="245"/>
        <v>159</v>
      </c>
      <c r="AM83" s="1">
        <f t="shared" si="245"/>
        <v>30</v>
      </c>
      <c r="AN83" s="1">
        <f t="shared" si="245"/>
        <v>0</v>
      </c>
      <c r="AO83" s="1">
        <f t="shared" si="245"/>
        <v>0</v>
      </c>
      <c r="AP83" s="1">
        <f t="shared" si="245"/>
        <v>0</v>
      </c>
      <c r="AQ83" s="1">
        <f t="shared" si="245"/>
        <v>0</v>
      </c>
      <c r="AR83" s="3">
        <f t="shared" si="218"/>
        <v>5738</v>
      </c>
      <c r="AT83" s="1">
        <f t="shared" si="207"/>
        <v>6848</v>
      </c>
      <c r="AU83" s="1">
        <f t="shared" si="208"/>
        <v>-1110</v>
      </c>
      <c r="AV83" s="93">
        <f t="shared" ref="AV83" si="247">+AV60+AV37+AV14</f>
        <v>0</v>
      </c>
      <c r="AW83" s="1">
        <f t="shared" ref="AW83:BE83" si="248">+AW60+AW37+AW14</f>
        <v>0</v>
      </c>
      <c r="AX83" s="1">
        <f t="shared" si="248"/>
        <v>1956</v>
      </c>
      <c r="AY83" s="1">
        <f t="shared" si="248"/>
        <v>1746</v>
      </c>
      <c r="AZ83" s="1">
        <f t="shared" si="248"/>
        <v>1257</v>
      </c>
      <c r="BA83" s="1">
        <f t="shared" si="248"/>
        <v>344</v>
      </c>
      <c r="BB83" s="1">
        <f t="shared" si="248"/>
        <v>129</v>
      </c>
      <c r="BC83" s="1">
        <f t="shared" si="248"/>
        <v>117</v>
      </c>
      <c r="BD83" s="1">
        <f t="shared" si="248"/>
        <v>189</v>
      </c>
      <c r="BE83" s="92">
        <f t="shared" si="248"/>
        <v>0</v>
      </c>
    </row>
    <row r="84" spans="1:57" ht="15" customHeight="1" x14ac:dyDescent="0.25">
      <c r="C84" t="s">
        <v>42</v>
      </c>
      <c r="D84" s="1">
        <f t="shared" ref="D84:AQ84" si="249">+D61+D38+D15</f>
        <v>0</v>
      </c>
      <c r="E84" s="1">
        <f t="shared" ref="E84:J84" si="250">+E61+E38+E15</f>
        <v>0</v>
      </c>
      <c r="F84" s="1">
        <f t="shared" si="250"/>
        <v>0</v>
      </c>
      <c r="G84" s="1">
        <f t="shared" si="250"/>
        <v>0</v>
      </c>
      <c r="H84" s="1">
        <f t="shared" si="250"/>
        <v>0</v>
      </c>
      <c r="I84" s="1">
        <f t="shared" si="250"/>
        <v>0</v>
      </c>
      <c r="J84" s="1">
        <f t="shared" si="250"/>
        <v>0</v>
      </c>
      <c r="K84" s="1">
        <f t="shared" si="249"/>
        <v>0</v>
      </c>
      <c r="L84" s="1">
        <f t="shared" si="249"/>
        <v>1266</v>
      </c>
      <c r="M84" s="1">
        <f t="shared" si="249"/>
        <v>0</v>
      </c>
      <c r="N84" s="1">
        <f t="shared" si="249"/>
        <v>375</v>
      </c>
      <c r="O84" s="1">
        <f t="shared" si="249"/>
        <v>198</v>
      </c>
      <c r="P84" s="1">
        <f t="shared" si="249"/>
        <v>717</v>
      </c>
      <c r="Q84" s="1">
        <f t="shared" si="249"/>
        <v>396</v>
      </c>
      <c r="R84" s="1">
        <f t="shared" si="249"/>
        <v>411</v>
      </c>
      <c r="S84" s="1">
        <f t="shared" si="249"/>
        <v>339</v>
      </c>
      <c r="T84" s="1">
        <f t="shared" si="249"/>
        <v>183</v>
      </c>
      <c r="U84" s="1">
        <f t="shared" si="249"/>
        <v>726</v>
      </c>
      <c r="V84" s="1">
        <f t="shared" si="249"/>
        <v>330</v>
      </c>
      <c r="W84" s="1">
        <f t="shared" si="249"/>
        <v>393</v>
      </c>
      <c r="X84" s="1">
        <f t="shared" si="249"/>
        <v>615</v>
      </c>
      <c r="Y84" s="1">
        <f t="shared" si="249"/>
        <v>174</v>
      </c>
      <c r="Z84" s="1">
        <f t="shared" si="249"/>
        <v>78</v>
      </c>
      <c r="AA84" s="1">
        <f t="shared" si="249"/>
        <v>54</v>
      </c>
      <c r="AB84" s="1">
        <f t="shared" si="249"/>
        <v>0</v>
      </c>
      <c r="AC84" s="1">
        <f t="shared" si="249"/>
        <v>54</v>
      </c>
      <c r="AD84" s="1">
        <f t="shared" si="249"/>
        <v>0</v>
      </c>
      <c r="AE84" s="1">
        <f t="shared" si="249"/>
        <v>60</v>
      </c>
      <c r="AF84" s="1">
        <f t="shared" si="249"/>
        <v>69</v>
      </c>
      <c r="AG84" s="1">
        <f t="shared" si="249"/>
        <v>36</v>
      </c>
      <c r="AH84" s="117">
        <f t="shared" si="249"/>
        <v>27</v>
      </c>
      <c r="AI84" s="1">
        <f t="shared" si="249"/>
        <v>18</v>
      </c>
      <c r="AJ84" s="1">
        <f t="shared" si="249"/>
        <v>45</v>
      </c>
      <c r="AK84" s="1">
        <f t="shared" si="249"/>
        <v>0</v>
      </c>
      <c r="AL84" s="117">
        <f t="shared" si="249"/>
        <v>0</v>
      </c>
      <c r="AM84" s="1">
        <f t="shared" si="249"/>
        <v>0</v>
      </c>
      <c r="AN84" s="1">
        <f t="shared" si="249"/>
        <v>21</v>
      </c>
      <c r="AO84" s="1">
        <f t="shared" si="249"/>
        <v>0</v>
      </c>
      <c r="AP84" s="1">
        <f t="shared" si="249"/>
        <v>0</v>
      </c>
      <c r="AQ84" s="1">
        <f t="shared" si="249"/>
        <v>0</v>
      </c>
      <c r="AR84" s="3">
        <f t="shared" si="218"/>
        <v>6585</v>
      </c>
      <c r="AT84" s="1">
        <f t="shared" si="207"/>
        <v>6735</v>
      </c>
      <c r="AU84" s="1">
        <f t="shared" si="208"/>
        <v>-150</v>
      </c>
      <c r="AV84" s="93">
        <f t="shared" ref="AV84" si="251">+AV61+AV38+AV15</f>
        <v>0</v>
      </c>
      <c r="AW84" s="1">
        <f t="shared" ref="AW84:BE84" si="252">+AW61+AW38+AW15</f>
        <v>0</v>
      </c>
      <c r="AX84" s="1">
        <f t="shared" si="252"/>
        <v>2556</v>
      </c>
      <c r="AY84" s="1">
        <f t="shared" si="252"/>
        <v>1329</v>
      </c>
      <c r="AZ84" s="1">
        <f t="shared" si="252"/>
        <v>2064</v>
      </c>
      <c r="BA84" s="1">
        <f t="shared" si="252"/>
        <v>360</v>
      </c>
      <c r="BB84" s="1">
        <f t="shared" si="252"/>
        <v>165</v>
      </c>
      <c r="BC84" s="1">
        <f t="shared" si="252"/>
        <v>90</v>
      </c>
      <c r="BD84" s="1">
        <f t="shared" si="252"/>
        <v>21</v>
      </c>
      <c r="BE84" s="92">
        <f t="shared" si="252"/>
        <v>0</v>
      </c>
    </row>
    <row r="85" spans="1:57" ht="15" customHeight="1" x14ac:dyDescent="0.25">
      <c r="C85" t="s">
        <v>192</v>
      </c>
      <c r="D85" s="1">
        <f t="shared" ref="D85:AQ85" si="253">+D62+D39+D16</f>
        <v>0</v>
      </c>
      <c r="E85" s="1">
        <f t="shared" ref="E85:J85" si="254">+E62+E39+E16</f>
        <v>0</v>
      </c>
      <c r="F85" s="1">
        <f t="shared" si="254"/>
        <v>0</v>
      </c>
      <c r="G85" s="1">
        <f t="shared" si="254"/>
        <v>0</v>
      </c>
      <c r="H85" s="1">
        <f t="shared" si="254"/>
        <v>0</v>
      </c>
      <c r="I85" s="1">
        <f t="shared" si="254"/>
        <v>0</v>
      </c>
      <c r="J85" s="1">
        <f t="shared" si="254"/>
        <v>0</v>
      </c>
      <c r="K85" s="1">
        <f t="shared" si="253"/>
        <v>0</v>
      </c>
      <c r="L85" s="1">
        <f t="shared" si="253"/>
        <v>0</v>
      </c>
      <c r="M85" s="1">
        <f t="shared" si="253"/>
        <v>1626</v>
      </c>
      <c r="N85" s="1">
        <f t="shared" si="253"/>
        <v>213</v>
      </c>
      <c r="O85" s="1">
        <f t="shared" si="253"/>
        <v>480</v>
      </c>
      <c r="P85" s="1">
        <f t="shared" si="253"/>
        <v>1216</v>
      </c>
      <c r="Q85" s="1">
        <f t="shared" si="253"/>
        <v>471</v>
      </c>
      <c r="R85" s="1">
        <f t="shared" si="253"/>
        <v>1446</v>
      </c>
      <c r="S85" s="1">
        <f t="shared" si="253"/>
        <v>288</v>
      </c>
      <c r="T85" s="1">
        <f t="shared" si="253"/>
        <v>593</v>
      </c>
      <c r="U85" s="1">
        <f t="shared" si="253"/>
        <v>774</v>
      </c>
      <c r="V85" s="1">
        <f t="shared" si="253"/>
        <v>540</v>
      </c>
      <c r="W85" s="1">
        <f t="shared" si="253"/>
        <v>1026</v>
      </c>
      <c r="X85" s="1">
        <f t="shared" si="253"/>
        <v>849</v>
      </c>
      <c r="Y85" s="1">
        <f t="shared" si="253"/>
        <v>186</v>
      </c>
      <c r="Z85" s="1">
        <f t="shared" si="253"/>
        <v>174</v>
      </c>
      <c r="AA85" s="1">
        <f t="shared" si="253"/>
        <v>114</v>
      </c>
      <c r="AB85" s="1">
        <f t="shared" si="253"/>
        <v>102</v>
      </c>
      <c r="AC85" s="1">
        <f t="shared" si="253"/>
        <v>123</v>
      </c>
      <c r="AD85" s="1">
        <f t="shared" si="253"/>
        <v>30</v>
      </c>
      <c r="AE85" s="1">
        <f t="shared" si="253"/>
        <v>0</v>
      </c>
      <c r="AF85" s="1">
        <f t="shared" si="253"/>
        <v>0</v>
      </c>
      <c r="AG85" s="1">
        <f t="shared" si="253"/>
        <v>0</v>
      </c>
      <c r="AH85" s="117">
        <f t="shared" si="253"/>
        <v>660</v>
      </c>
      <c r="AI85" s="1">
        <f t="shared" si="253"/>
        <v>99</v>
      </c>
      <c r="AJ85" s="1">
        <f t="shared" si="253"/>
        <v>183</v>
      </c>
      <c r="AK85" s="1">
        <f t="shared" si="253"/>
        <v>0</v>
      </c>
      <c r="AL85" s="117">
        <f t="shared" si="253"/>
        <v>0</v>
      </c>
      <c r="AM85" s="1">
        <f t="shared" si="253"/>
        <v>0</v>
      </c>
      <c r="AN85" s="1">
        <f t="shared" si="253"/>
        <v>0</v>
      </c>
      <c r="AO85" s="1">
        <f t="shared" si="253"/>
        <v>0</v>
      </c>
      <c r="AP85" s="1">
        <f t="shared" si="253"/>
        <v>0</v>
      </c>
      <c r="AQ85" s="1">
        <f t="shared" si="253"/>
        <v>0</v>
      </c>
      <c r="AR85" s="3">
        <f t="shared" si="218"/>
        <v>11193</v>
      </c>
      <c r="AT85" s="1">
        <f t="shared" si="207"/>
        <v>6300</v>
      </c>
      <c r="AU85" s="1">
        <f t="shared" si="208"/>
        <v>4893</v>
      </c>
      <c r="AV85" s="93">
        <f t="shared" ref="AV85" si="255">+AV62+AV39+AV16</f>
        <v>0</v>
      </c>
      <c r="AW85" s="1">
        <f t="shared" ref="AW85:BE85" si="256">+AW62+AW39+AW16</f>
        <v>0</v>
      </c>
      <c r="AX85" s="1">
        <f t="shared" si="256"/>
        <v>3535</v>
      </c>
      <c r="AY85" s="1">
        <f t="shared" si="256"/>
        <v>2798</v>
      </c>
      <c r="AZ85" s="1">
        <f t="shared" si="256"/>
        <v>3189</v>
      </c>
      <c r="BA85" s="1">
        <f t="shared" si="256"/>
        <v>699</v>
      </c>
      <c r="BB85" s="1">
        <f t="shared" si="256"/>
        <v>30</v>
      </c>
      <c r="BC85" s="1">
        <f t="shared" si="256"/>
        <v>942</v>
      </c>
      <c r="BD85" s="1">
        <f t="shared" si="256"/>
        <v>0</v>
      </c>
      <c r="BE85" s="92">
        <f t="shared" si="256"/>
        <v>0</v>
      </c>
    </row>
    <row r="86" spans="1:57" ht="15" customHeight="1" x14ac:dyDescent="0.25">
      <c r="C86" t="s">
        <v>133</v>
      </c>
      <c r="D86" s="1">
        <f t="shared" ref="D86:AQ86" si="257">+D63+D40+D17</f>
        <v>0</v>
      </c>
      <c r="E86" s="1">
        <f t="shared" ref="E86:J86" si="258">+E63+E40+E17</f>
        <v>0</v>
      </c>
      <c r="F86" s="1">
        <f t="shared" si="258"/>
        <v>0</v>
      </c>
      <c r="G86" s="1">
        <f t="shared" si="258"/>
        <v>0</v>
      </c>
      <c r="H86" s="1">
        <f t="shared" si="258"/>
        <v>0</v>
      </c>
      <c r="I86" s="1">
        <f t="shared" si="258"/>
        <v>0</v>
      </c>
      <c r="J86" s="1">
        <f t="shared" si="258"/>
        <v>0</v>
      </c>
      <c r="K86" s="1">
        <f t="shared" si="257"/>
        <v>0</v>
      </c>
      <c r="L86" s="1">
        <f t="shared" si="257"/>
        <v>219</v>
      </c>
      <c r="M86" s="1">
        <f t="shared" si="257"/>
        <v>105</v>
      </c>
      <c r="N86" s="1">
        <f t="shared" si="257"/>
        <v>240</v>
      </c>
      <c r="O86" s="1">
        <f t="shared" si="257"/>
        <v>297</v>
      </c>
      <c r="P86" s="1">
        <f t="shared" si="257"/>
        <v>471</v>
      </c>
      <c r="Q86" s="1">
        <f t="shared" si="257"/>
        <v>354</v>
      </c>
      <c r="R86" s="1">
        <f t="shared" si="257"/>
        <v>264</v>
      </c>
      <c r="S86" s="1">
        <f t="shared" si="257"/>
        <v>396</v>
      </c>
      <c r="T86" s="1">
        <f t="shared" si="257"/>
        <v>633</v>
      </c>
      <c r="U86" s="1">
        <f t="shared" si="257"/>
        <v>483</v>
      </c>
      <c r="V86" s="1">
        <f t="shared" si="257"/>
        <v>269</v>
      </c>
      <c r="W86" s="1">
        <f t="shared" si="257"/>
        <v>312</v>
      </c>
      <c r="X86" s="1">
        <f t="shared" si="257"/>
        <v>435</v>
      </c>
      <c r="Y86" s="1">
        <f t="shared" si="257"/>
        <v>186</v>
      </c>
      <c r="Z86" s="1">
        <f t="shared" si="257"/>
        <v>177</v>
      </c>
      <c r="AA86" s="1">
        <f t="shared" si="257"/>
        <v>102</v>
      </c>
      <c r="AB86" s="1">
        <f t="shared" si="257"/>
        <v>99</v>
      </c>
      <c r="AC86" s="1">
        <f t="shared" si="257"/>
        <v>84</v>
      </c>
      <c r="AD86" s="1">
        <f t="shared" si="257"/>
        <v>72</v>
      </c>
      <c r="AE86" s="1">
        <f t="shared" si="257"/>
        <v>61</v>
      </c>
      <c r="AF86" s="1">
        <f t="shared" si="257"/>
        <v>66</v>
      </c>
      <c r="AG86" s="1">
        <f t="shared" si="257"/>
        <v>69</v>
      </c>
      <c r="AH86" s="117">
        <f t="shared" si="257"/>
        <v>60</v>
      </c>
      <c r="AI86" s="1">
        <f t="shared" si="257"/>
        <v>87</v>
      </c>
      <c r="AJ86" s="1">
        <f t="shared" si="257"/>
        <v>33</v>
      </c>
      <c r="AK86" s="1">
        <f t="shared" si="257"/>
        <v>0</v>
      </c>
      <c r="AL86" s="117">
        <f t="shared" si="257"/>
        <v>33</v>
      </c>
      <c r="AM86" s="1">
        <f t="shared" si="257"/>
        <v>30</v>
      </c>
      <c r="AN86" s="1">
        <f t="shared" si="257"/>
        <v>30</v>
      </c>
      <c r="AO86" s="1">
        <f t="shared" si="257"/>
        <v>0</v>
      </c>
      <c r="AP86" s="1">
        <f t="shared" si="257"/>
        <v>0</v>
      </c>
      <c r="AQ86" s="1">
        <f t="shared" si="257"/>
        <v>0</v>
      </c>
      <c r="AR86" s="3">
        <f t="shared" si="218"/>
        <v>5667</v>
      </c>
      <c r="AT86" s="1">
        <f t="shared" si="207"/>
        <v>3363</v>
      </c>
      <c r="AU86" s="1">
        <f t="shared" si="208"/>
        <v>2304</v>
      </c>
      <c r="AV86" s="93">
        <f t="shared" ref="AV86" si="259">+AV63+AV40+AV17</f>
        <v>0</v>
      </c>
      <c r="AW86" s="1">
        <f t="shared" ref="AW86:BE86" si="260">+AW63+AW40+AW17</f>
        <v>0</v>
      </c>
      <c r="AX86" s="1">
        <f t="shared" si="260"/>
        <v>1332</v>
      </c>
      <c r="AY86" s="1">
        <f t="shared" si="260"/>
        <v>1647</v>
      </c>
      <c r="AZ86" s="1">
        <f t="shared" si="260"/>
        <v>1499</v>
      </c>
      <c r="BA86" s="1">
        <f t="shared" si="260"/>
        <v>648</v>
      </c>
      <c r="BB86" s="1">
        <f t="shared" si="260"/>
        <v>268</v>
      </c>
      <c r="BC86" s="1">
        <f t="shared" si="260"/>
        <v>180</v>
      </c>
      <c r="BD86" s="1">
        <f t="shared" si="260"/>
        <v>93</v>
      </c>
      <c r="BE86" s="92">
        <f t="shared" si="260"/>
        <v>0</v>
      </c>
    </row>
    <row r="87" spans="1:57" ht="15" customHeight="1" x14ac:dyDescent="0.25">
      <c r="C87" t="s">
        <v>41</v>
      </c>
      <c r="D87" s="1">
        <f t="shared" ref="D87:AQ87" si="261">+D64+D41+D18</f>
        <v>0</v>
      </c>
      <c r="E87" s="1">
        <f t="shared" ref="E87:J87" si="262">+E64+E41+E18</f>
        <v>0</v>
      </c>
      <c r="F87" s="1">
        <f t="shared" si="262"/>
        <v>0</v>
      </c>
      <c r="G87" s="1">
        <f t="shared" si="262"/>
        <v>0</v>
      </c>
      <c r="H87" s="1">
        <f t="shared" si="262"/>
        <v>0</v>
      </c>
      <c r="I87" s="1">
        <f t="shared" si="262"/>
        <v>0</v>
      </c>
      <c r="J87" s="1">
        <f t="shared" si="262"/>
        <v>0</v>
      </c>
      <c r="K87" s="1">
        <f t="shared" si="261"/>
        <v>0</v>
      </c>
      <c r="L87" s="1">
        <f t="shared" si="261"/>
        <v>2011</v>
      </c>
      <c r="M87" s="1">
        <f t="shared" si="261"/>
        <v>590</v>
      </c>
      <c r="N87" s="1">
        <f t="shared" si="261"/>
        <v>645</v>
      </c>
      <c r="O87" s="1">
        <f t="shared" si="261"/>
        <v>2345</v>
      </c>
      <c r="P87" s="1">
        <f t="shared" si="261"/>
        <v>1374</v>
      </c>
      <c r="Q87" s="1">
        <f t="shared" si="261"/>
        <v>1821</v>
      </c>
      <c r="R87" s="1">
        <f t="shared" si="261"/>
        <v>1551</v>
      </c>
      <c r="S87" s="1">
        <f t="shared" si="261"/>
        <v>1131</v>
      </c>
      <c r="T87" s="1">
        <f t="shared" si="261"/>
        <v>2309</v>
      </c>
      <c r="U87" s="1">
        <f t="shared" si="261"/>
        <v>1851</v>
      </c>
      <c r="V87" s="1">
        <f t="shared" si="261"/>
        <v>1719</v>
      </c>
      <c r="W87" s="1">
        <f t="shared" si="261"/>
        <v>1782</v>
      </c>
      <c r="X87" s="1">
        <f t="shared" si="261"/>
        <v>2832</v>
      </c>
      <c r="Y87" s="1">
        <f t="shared" si="261"/>
        <v>1741</v>
      </c>
      <c r="Z87" s="1">
        <f t="shared" si="261"/>
        <v>825</v>
      </c>
      <c r="AA87" s="1">
        <f t="shared" si="261"/>
        <v>699</v>
      </c>
      <c r="AB87" s="1">
        <f t="shared" si="261"/>
        <v>333</v>
      </c>
      <c r="AC87" s="1">
        <f t="shared" si="261"/>
        <v>543</v>
      </c>
      <c r="AD87" s="1">
        <f t="shared" si="261"/>
        <v>246</v>
      </c>
      <c r="AE87" s="1">
        <f t="shared" si="261"/>
        <v>618</v>
      </c>
      <c r="AF87" s="1">
        <f t="shared" si="261"/>
        <v>390</v>
      </c>
      <c r="AG87" s="1">
        <f t="shared" si="261"/>
        <v>297</v>
      </c>
      <c r="AH87" s="117">
        <f t="shared" si="261"/>
        <v>815</v>
      </c>
      <c r="AI87" s="1">
        <f t="shared" si="261"/>
        <v>414</v>
      </c>
      <c r="AJ87" s="1">
        <f t="shared" si="261"/>
        <v>330</v>
      </c>
      <c r="AK87" s="1">
        <f t="shared" si="261"/>
        <v>231</v>
      </c>
      <c r="AL87" s="117">
        <f t="shared" si="261"/>
        <v>168</v>
      </c>
      <c r="AM87" s="1">
        <f t="shared" si="261"/>
        <v>210</v>
      </c>
      <c r="AN87" s="1">
        <f t="shared" si="261"/>
        <v>108</v>
      </c>
      <c r="AO87" s="1">
        <f t="shared" si="261"/>
        <v>0</v>
      </c>
      <c r="AP87" s="1">
        <f t="shared" si="261"/>
        <v>0</v>
      </c>
      <c r="AQ87" s="1">
        <f t="shared" si="261"/>
        <v>0</v>
      </c>
      <c r="AR87" s="3">
        <f t="shared" si="218"/>
        <v>29929</v>
      </c>
      <c r="AT87" s="1">
        <f t="shared" si="207"/>
        <v>22786</v>
      </c>
      <c r="AU87" s="1">
        <f t="shared" si="208"/>
        <v>7143</v>
      </c>
      <c r="AV87" s="93">
        <f t="shared" ref="AV87" si="263">+AV64+AV41+AV18</f>
        <v>0</v>
      </c>
      <c r="AW87" s="1">
        <f t="shared" ref="AW87:BE87" si="264">+AW64+AW41+AW18</f>
        <v>0</v>
      </c>
      <c r="AX87" s="1">
        <f t="shared" si="264"/>
        <v>6965</v>
      </c>
      <c r="AY87" s="1">
        <f t="shared" si="264"/>
        <v>6812</v>
      </c>
      <c r="AZ87" s="1">
        <f t="shared" si="264"/>
        <v>8184</v>
      </c>
      <c r="BA87" s="1">
        <f t="shared" si="264"/>
        <v>4141</v>
      </c>
      <c r="BB87" s="1">
        <f t="shared" si="264"/>
        <v>1551</v>
      </c>
      <c r="BC87" s="1">
        <f t="shared" si="264"/>
        <v>1790</v>
      </c>
      <c r="BD87" s="1">
        <f t="shared" si="264"/>
        <v>486</v>
      </c>
      <c r="BE87" s="92">
        <f t="shared" si="264"/>
        <v>0</v>
      </c>
    </row>
    <row r="88" spans="1:57" ht="15" customHeight="1" x14ac:dyDescent="0.25">
      <c r="C88" t="s">
        <v>193</v>
      </c>
      <c r="D88" s="1">
        <f t="shared" ref="D88:AQ88" si="265">+D65+D42+D19</f>
        <v>0</v>
      </c>
      <c r="E88" s="1">
        <f t="shared" ref="E88:J88" si="266">+E65+E42+E19</f>
        <v>0</v>
      </c>
      <c r="F88" s="1">
        <f t="shared" si="266"/>
        <v>0</v>
      </c>
      <c r="G88" s="1">
        <f t="shared" si="266"/>
        <v>0</v>
      </c>
      <c r="H88" s="1">
        <f t="shared" si="266"/>
        <v>0</v>
      </c>
      <c r="I88" s="1">
        <f t="shared" si="266"/>
        <v>0</v>
      </c>
      <c r="J88" s="1">
        <f t="shared" si="266"/>
        <v>0</v>
      </c>
      <c r="K88" s="1">
        <f t="shared" si="265"/>
        <v>0</v>
      </c>
      <c r="L88" s="1">
        <f t="shared" si="265"/>
        <v>0</v>
      </c>
      <c r="M88" s="1">
        <f t="shared" si="265"/>
        <v>0</v>
      </c>
      <c r="N88" s="1">
        <f t="shared" si="265"/>
        <v>0</v>
      </c>
      <c r="O88" s="1">
        <f t="shared" si="265"/>
        <v>0</v>
      </c>
      <c r="P88" s="1">
        <f t="shared" si="265"/>
        <v>0</v>
      </c>
      <c r="Q88" s="1">
        <f t="shared" si="265"/>
        <v>0</v>
      </c>
      <c r="R88" s="1">
        <f t="shared" si="265"/>
        <v>0</v>
      </c>
      <c r="S88" s="1">
        <f t="shared" si="265"/>
        <v>0</v>
      </c>
      <c r="T88" s="1">
        <f t="shared" si="265"/>
        <v>0</v>
      </c>
      <c r="U88" s="1">
        <f t="shared" si="265"/>
        <v>0</v>
      </c>
      <c r="V88" s="1">
        <f t="shared" si="265"/>
        <v>0</v>
      </c>
      <c r="W88" s="1">
        <f t="shared" si="265"/>
        <v>0</v>
      </c>
      <c r="X88" s="1">
        <f t="shared" si="265"/>
        <v>0</v>
      </c>
      <c r="Y88" s="1">
        <f t="shared" si="265"/>
        <v>0</v>
      </c>
      <c r="Z88" s="1">
        <f t="shared" si="265"/>
        <v>0</v>
      </c>
      <c r="AA88" s="1">
        <f t="shared" si="265"/>
        <v>0</v>
      </c>
      <c r="AB88" s="1">
        <f t="shared" si="265"/>
        <v>0</v>
      </c>
      <c r="AC88" s="1">
        <f t="shared" si="265"/>
        <v>0</v>
      </c>
      <c r="AD88" s="1">
        <f t="shared" si="265"/>
        <v>0</v>
      </c>
      <c r="AE88" s="1">
        <f t="shared" si="265"/>
        <v>0</v>
      </c>
      <c r="AF88" s="1">
        <f t="shared" si="265"/>
        <v>0</v>
      </c>
      <c r="AG88" s="1">
        <f t="shared" si="265"/>
        <v>0</v>
      </c>
      <c r="AH88" s="117">
        <f t="shared" si="265"/>
        <v>0</v>
      </c>
      <c r="AI88" s="1">
        <f t="shared" si="265"/>
        <v>0</v>
      </c>
      <c r="AJ88" s="1">
        <f t="shared" si="265"/>
        <v>0</v>
      </c>
      <c r="AK88" s="1">
        <f t="shared" si="265"/>
        <v>0</v>
      </c>
      <c r="AL88" s="117">
        <f t="shared" si="265"/>
        <v>0</v>
      </c>
      <c r="AM88" s="1">
        <f t="shared" si="265"/>
        <v>0</v>
      </c>
      <c r="AN88" s="1">
        <f t="shared" si="265"/>
        <v>0</v>
      </c>
      <c r="AO88" s="1">
        <f t="shared" si="265"/>
        <v>0</v>
      </c>
      <c r="AP88" s="1">
        <f t="shared" si="265"/>
        <v>0</v>
      </c>
      <c r="AQ88" s="1">
        <f t="shared" si="265"/>
        <v>0</v>
      </c>
      <c r="AR88" s="3">
        <f t="shared" si="218"/>
        <v>0</v>
      </c>
      <c r="AT88" s="1">
        <f t="shared" si="207"/>
        <v>0</v>
      </c>
      <c r="AU88" s="1">
        <f t="shared" si="208"/>
        <v>0</v>
      </c>
      <c r="AV88" s="93">
        <f t="shared" ref="AV88" si="267">+AV65+AV42+AV19</f>
        <v>0</v>
      </c>
      <c r="AW88" s="1">
        <f t="shared" ref="AW88:BE88" si="268">+AW65+AW42+AW19</f>
        <v>0</v>
      </c>
      <c r="AX88" s="1">
        <f t="shared" si="268"/>
        <v>0</v>
      </c>
      <c r="AY88" s="1">
        <f t="shared" si="268"/>
        <v>0</v>
      </c>
      <c r="AZ88" s="1">
        <f t="shared" si="268"/>
        <v>0</v>
      </c>
      <c r="BA88" s="1">
        <f t="shared" si="268"/>
        <v>0</v>
      </c>
      <c r="BB88" s="1">
        <f t="shared" si="268"/>
        <v>0</v>
      </c>
      <c r="BC88" s="1">
        <f t="shared" si="268"/>
        <v>0</v>
      </c>
      <c r="BD88" s="1">
        <f t="shared" si="268"/>
        <v>0</v>
      </c>
      <c r="BE88" s="92">
        <f t="shared" si="268"/>
        <v>0</v>
      </c>
    </row>
    <row r="89" spans="1:57" ht="15" customHeight="1" x14ac:dyDescent="0.25">
      <c r="C89" t="s">
        <v>297</v>
      </c>
      <c r="D89" s="1">
        <f t="shared" ref="D89:AQ89" si="269">+D66+D43+D20</f>
        <v>0</v>
      </c>
      <c r="E89" s="1">
        <f t="shared" ref="E89:J89" si="270">+E66+E43+E20</f>
        <v>0</v>
      </c>
      <c r="F89" s="1">
        <f t="shared" si="270"/>
        <v>0</v>
      </c>
      <c r="G89" s="1">
        <f t="shared" si="270"/>
        <v>0</v>
      </c>
      <c r="H89" s="1">
        <f t="shared" si="270"/>
        <v>0</v>
      </c>
      <c r="I89" s="1">
        <f t="shared" si="270"/>
        <v>0</v>
      </c>
      <c r="J89" s="1">
        <f t="shared" si="270"/>
        <v>0</v>
      </c>
      <c r="K89" s="1">
        <f t="shared" si="269"/>
        <v>0</v>
      </c>
      <c r="L89" s="1">
        <f t="shared" si="269"/>
        <v>0</v>
      </c>
      <c r="M89" s="1">
        <f t="shared" si="269"/>
        <v>0</v>
      </c>
      <c r="N89" s="1">
        <f t="shared" si="269"/>
        <v>0</v>
      </c>
      <c r="O89" s="1">
        <f t="shared" si="269"/>
        <v>0</v>
      </c>
      <c r="P89" s="1">
        <f t="shared" si="269"/>
        <v>0</v>
      </c>
      <c r="Q89" s="1">
        <f t="shared" si="269"/>
        <v>0</v>
      </c>
      <c r="R89" s="1">
        <f t="shared" si="269"/>
        <v>0</v>
      </c>
      <c r="S89" s="1">
        <f t="shared" si="269"/>
        <v>0</v>
      </c>
      <c r="T89" s="1">
        <f t="shared" si="269"/>
        <v>0</v>
      </c>
      <c r="U89" s="1">
        <f t="shared" si="269"/>
        <v>0</v>
      </c>
      <c r="V89" s="1">
        <f t="shared" si="269"/>
        <v>0</v>
      </c>
      <c r="W89" s="1">
        <f t="shared" si="269"/>
        <v>0</v>
      </c>
      <c r="X89" s="1">
        <f t="shared" si="269"/>
        <v>0</v>
      </c>
      <c r="Y89" s="1">
        <f t="shared" si="269"/>
        <v>0</v>
      </c>
      <c r="Z89" s="1">
        <f t="shared" si="269"/>
        <v>0</v>
      </c>
      <c r="AA89" s="1">
        <f t="shared" si="269"/>
        <v>0</v>
      </c>
      <c r="AB89" s="1">
        <f t="shared" si="269"/>
        <v>0</v>
      </c>
      <c r="AC89" s="1">
        <f t="shared" si="269"/>
        <v>0</v>
      </c>
      <c r="AD89" s="1">
        <f t="shared" si="269"/>
        <v>0</v>
      </c>
      <c r="AE89" s="1">
        <f t="shared" si="269"/>
        <v>0</v>
      </c>
      <c r="AF89" s="1">
        <f t="shared" si="269"/>
        <v>0</v>
      </c>
      <c r="AG89" s="1">
        <f t="shared" si="269"/>
        <v>0</v>
      </c>
      <c r="AH89" s="117">
        <f t="shared" si="269"/>
        <v>0</v>
      </c>
      <c r="AI89" s="1">
        <f t="shared" si="269"/>
        <v>0</v>
      </c>
      <c r="AJ89" s="1">
        <f t="shared" si="269"/>
        <v>0</v>
      </c>
      <c r="AK89" s="1">
        <f t="shared" si="269"/>
        <v>0</v>
      </c>
      <c r="AL89" s="117">
        <f t="shared" si="269"/>
        <v>0</v>
      </c>
      <c r="AM89" s="1">
        <f t="shared" si="269"/>
        <v>0</v>
      </c>
      <c r="AN89" s="1">
        <f t="shared" si="269"/>
        <v>0</v>
      </c>
      <c r="AO89" s="1">
        <f t="shared" si="269"/>
        <v>0</v>
      </c>
      <c r="AP89" s="1">
        <f t="shared" si="269"/>
        <v>0</v>
      </c>
      <c r="AQ89" s="1">
        <f t="shared" si="269"/>
        <v>0</v>
      </c>
      <c r="AR89" s="3">
        <f t="shared" si="218"/>
        <v>0</v>
      </c>
      <c r="AT89" s="1">
        <f t="shared" si="207"/>
        <v>0</v>
      </c>
      <c r="AU89" s="1">
        <f t="shared" si="208"/>
        <v>0</v>
      </c>
      <c r="AV89" s="93">
        <f t="shared" ref="AV89" si="271">+AV66+AV43+AV20</f>
        <v>0</v>
      </c>
      <c r="AW89" s="1">
        <f t="shared" ref="AW89:BE89" si="272">+AW66+AW43+AW20</f>
        <v>0</v>
      </c>
      <c r="AX89" s="1">
        <f t="shared" si="272"/>
        <v>0</v>
      </c>
      <c r="AY89" s="1">
        <f t="shared" si="272"/>
        <v>0</v>
      </c>
      <c r="AZ89" s="1">
        <f t="shared" si="272"/>
        <v>0</v>
      </c>
      <c r="BA89" s="1">
        <f t="shared" si="272"/>
        <v>0</v>
      </c>
      <c r="BB89" s="1">
        <f t="shared" si="272"/>
        <v>0</v>
      </c>
      <c r="BC89" s="1">
        <f t="shared" si="272"/>
        <v>0</v>
      </c>
      <c r="BD89" s="1">
        <f t="shared" si="272"/>
        <v>0</v>
      </c>
      <c r="BE89" s="92">
        <f t="shared" si="272"/>
        <v>0</v>
      </c>
    </row>
    <row r="90" spans="1:57" ht="15" customHeight="1" x14ac:dyDescent="0.25">
      <c r="C90" t="s">
        <v>296</v>
      </c>
      <c r="D90" s="1">
        <f t="shared" ref="D90:AQ90" si="273">+D67+D44+D21</f>
        <v>0</v>
      </c>
      <c r="E90" s="1">
        <f t="shared" ref="E90:J90" si="274">+E67+E44+E21</f>
        <v>0</v>
      </c>
      <c r="F90" s="1">
        <f t="shared" si="274"/>
        <v>0</v>
      </c>
      <c r="G90" s="1">
        <f t="shared" si="274"/>
        <v>0</v>
      </c>
      <c r="H90" s="1">
        <f t="shared" si="274"/>
        <v>0</v>
      </c>
      <c r="I90" s="1">
        <f t="shared" si="274"/>
        <v>0</v>
      </c>
      <c r="J90" s="1">
        <f t="shared" si="274"/>
        <v>0</v>
      </c>
      <c r="K90" s="1">
        <f t="shared" si="273"/>
        <v>0</v>
      </c>
      <c r="L90" s="1">
        <f t="shared" si="273"/>
        <v>78</v>
      </c>
      <c r="M90" s="1">
        <f t="shared" si="273"/>
        <v>126</v>
      </c>
      <c r="N90" s="1">
        <f t="shared" si="273"/>
        <v>144</v>
      </c>
      <c r="O90" s="1">
        <f t="shared" si="273"/>
        <v>219</v>
      </c>
      <c r="P90" s="1">
        <f t="shared" si="273"/>
        <v>309</v>
      </c>
      <c r="Q90" s="1">
        <f t="shared" si="273"/>
        <v>180</v>
      </c>
      <c r="R90" s="1">
        <f t="shared" si="273"/>
        <v>126</v>
      </c>
      <c r="S90" s="1">
        <f t="shared" si="273"/>
        <v>177</v>
      </c>
      <c r="T90" s="1">
        <f t="shared" si="273"/>
        <v>297</v>
      </c>
      <c r="U90" s="1">
        <f t="shared" si="273"/>
        <v>357</v>
      </c>
      <c r="V90" s="1">
        <f t="shared" si="273"/>
        <v>291</v>
      </c>
      <c r="W90" s="1">
        <f t="shared" si="273"/>
        <v>417</v>
      </c>
      <c r="X90" s="1">
        <f t="shared" si="273"/>
        <v>333</v>
      </c>
      <c r="Y90" s="1">
        <f t="shared" si="273"/>
        <v>168</v>
      </c>
      <c r="Z90" s="1">
        <f t="shared" si="273"/>
        <v>159</v>
      </c>
      <c r="AA90" s="1">
        <f t="shared" si="273"/>
        <v>135</v>
      </c>
      <c r="AB90" s="1">
        <f t="shared" si="273"/>
        <v>117</v>
      </c>
      <c r="AC90" s="1">
        <f t="shared" si="273"/>
        <v>132</v>
      </c>
      <c r="AD90" s="1">
        <f t="shared" si="273"/>
        <v>33</v>
      </c>
      <c r="AE90" s="1">
        <f t="shared" si="273"/>
        <v>130</v>
      </c>
      <c r="AF90" s="1">
        <f t="shared" si="273"/>
        <v>75</v>
      </c>
      <c r="AG90" s="1">
        <f t="shared" si="273"/>
        <v>30</v>
      </c>
      <c r="AH90" s="117">
        <f t="shared" si="273"/>
        <v>51</v>
      </c>
      <c r="AI90" s="1">
        <f t="shared" si="273"/>
        <v>42</v>
      </c>
      <c r="AJ90" s="1">
        <f t="shared" si="273"/>
        <v>87</v>
      </c>
      <c r="AK90" s="1">
        <f t="shared" si="273"/>
        <v>45</v>
      </c>
      <c r="AL90" s="117">
        <f t="shared" si="273"/>
        <v>30</v>
      </c>
      <c r="AM90" s="1">
        <f t="shared" si="273"/>
        <v>15</v>
      </c>
      <c r="AN90" s="1">
        <f t="shared" si="273"/>
        <v>0</v>
      </c>
      <c r="AO90" s="1">
        <f t="shared" si="273"/>
        <v>0</v>
      </c>
      <c r="AP90" s="1">
        <f t="shared" si="273"/>
        <v>0</v>
      </c>
      <c r="AQ90" s="1">
        <f t="shared" si="273"/>
        <v>0</v>
      </c>
      <c r="AR90" s="3">
        <f t="shared" si="218"/>
        <v>4303</v>
      </c>
      <c r="AT90" s="1">
        <f t="shared" si="207"/>
        <v>2793</v>
      </c>
      <c r="AU90" s="1">
        <f t="shared" si="208"/>
        <v>1510</v>
      </c>
      <c r="AV90" s="93">
        <f t="shared" ref="AV90" si="275">+AV67+AV44+AV21</f>
        <v>0</v>
      </c>
      <c r="AW90" s="1">
        <f t="shared" ref="AW90:BE90" si="276">+AW67+AW44+AW21</f>
        <v>0</v>
      </c>
      <c r="AX90" s="1">
        <f t="shared" si="276"/>
        <v>876</v>
      </c>
      <c r="AY90" s="1">
        <f t="shared" si="276"/>
        <v>780</v>
      </c>
      <c r="AZ90" s="1">
        <f t="shared" si="276"/>
        <v>1398</v>
      </c>
      <c r="BA90" s="1">
        <f t="shared" si="276"/>
        <v>711</v>
      </c>
      <c r="BB90" s="1">
        <f t="shared" si="276"/>
        <v>268</v>
      </c>
      <c r="BC90" s="1">
        <f t="shared" si="276"/>
        <v>225</v>
      </c>
      <c r="BD90" s="1">
        <f t="shared" si="276"/>
        <v>45</v>
      </c>
      <c r="BE90" s="92">
        <f t="shared" si="276"/>
        <v>0</v>
      </c>
    </row>
    <row r="91" spans="1:57" s="2" customFormat="1" ht="15" customHeight="1" x14ac:dyDescent="0.25">
      <c r="A91"/>
      <c r="C91" t="s">
        <v>44</v>
      </c>
      <c r="D91" s="1">
        <f t="shared" ref="D91:AQ91" si="277">+D68+D45+D22</f>
        <v>0</v>
      </c>
      <c r="E91" s="1">
        <f t="shared" ref="E91:J91" si="278">+E68+E45+E22</f>
        <v>0</v>
      </c>
      <c r="F91" s="1">
        <f t="shared" si="278"/>
        <v>0</v>
      </c>
      <c r="G91" s="1">
        <f t="shared" si="278"/>
        <v>0</v>
      </c>
      <c r="H91" s="1">
        <f t="shared" si="278"/>
        <v>0</v>
      </c>
      <c r="I91" s="1">
        <f t="shared" si="278"/>
        <v>0</v>
      </c>
      <c r="J91" s="1">
        <f t="shared" si="278"/>
        <v>0</v>
      </c>
      <c r="K91" s="1">
        <f t="shared" si="277"/>
        <v>0</v>
      </c>
      <c r="L91" s="1">
        <f t="shared" si="277"/>
        <v>3207</v>
      </c>
      <c r="M91" s="1">
        <f t="shared" si="277"/>
        <v>2749</v>
      </c>
      <c r="N91" s="1">
        <f t="shared" si="277"/>
        <v>5461</v>
      </c>
      <c r="O91" s="1">
        <f t="shared" si="277"/>
        <v>7455</v>
      </c>
      <c r="P91" s="1">
        <f t="shared" si="277"/>
        <v>10870</v>
      </c>
      <c r="Q91" s="1">
        <f t="shared" si="277"/>
        <v>8193</v>
      </c>
      <c r="R91" s="1">
        <f t="shared" si="277"/>
        <v>9958</v>
      </c>
      <c r="S91" s="1">
        <f t="shared" si="277"/>
        <v>9859</v>
      </c>
      <c r="T91" s="1">
        <f t="shared" si="277"/>
        <v>9650</v>
      </c>
      <c r="U91" s="1">
        <f t="shared" si="277"/>
        <v>13572</v>
      </c>
      <c r="V91" s="1">
        <f t="shared" si="277"/>
        <v>11577</v>
      </c>
      <c r="W91" s="1">
        <f t="shared" si="277"/>
        <v>14250</v>
      </c>
      <c r="X91" s="1">
        <f t="shared" si="277"/>
        <v>11098</v>
      </c>
      <c r="Y91" s="1">
        <f t="shared" si="277"/>
        <v>4123</v>
      </c>
      <c r="Z91" s="1">
        <f t="shared" si="277"/>
        <v>3421</v>
      </c>
      <c r="AA91" s="1">
        <f t="shared" si="277"/>
        <v>2058</v>
      </c>
      <c r="AB91" s="1">
        <f t="shared" si="277"/>
        <v>1365</v>
      </c>
      <c r="AC91" s="1">
        <f t="shared" si="277"/>
        <v>1257</v>
      </c>
      <c r="AD91" s="1">
        <f t="shared" si="277"/>
        <v>219</v>
      </c>
      <c r="AE91" s="1">
        <f t="shared" si="277"/>
        <v>965</v>
      </c>
      <c r="AF91" s="1">
        <f t="shared" si="277"/>
        <v>555</v>
      </c>
      <c r="AG91" s="1">
        <f t="shared" si="277"/>
        <v>345</v>
      </c>
      <c r="AH91" s="117">
        <f t="shared" si="277"/>
        <v>996</v>
      </c>
      <c r="AI91" s="1">
        <f t="shared" si="277"/>
        <v>690</v>
      </c>
      <c r="AJ91" s="1">
        <f t="shared" si="277"/>
        <v>906</v>
      </c>
      <c r="AK91" s="1">
        <f t="shared" si="277"/>
        <v>396</v>
      </c>
      <c r="AL91" s="117">
        <f t="shared" si="277"/>
        <v>477</v>
      </c>
      <c r="AM91" s="1">
        <f t="shared" si="277"/>
        <v>81</v>
      </c>
      <c r="AN91" s="1">
        <f t="shared" si="277"/>
        <v>150</v>
      </c>
      <c r="AO91" s="1">
        <f t="shared" si="277"/>
        <v>0</v>
      </c>
      <c r="AP91" s="1">
        <f t="shared" si="277"/>
        <v>0</v>
      </c>
      <c r="AQ91" s="1">
        <f t="shared" si="277"/>
        <v>0</v>
      </c>
      <c r="AR91" s="3">
        <f t="shared" si="218"/>
        <v>135903</v>
      </c>
      <c r="AS91" s="3"/>
      <c r="AT91" s="1">
        <f t="shared" si="207"/>
        <v>109828</v>
      </c>
      <c r="AU91" s="1">
        <f t="shared" si="208"/>
        <v>26075</v>
      </c>
      <c r="AV91" s="93">
        <f t="shared" ref="AV91" si="279">+AV68+AV45+AV22</f>
        <v>0</v>
      </c>
      <c r="AW91" s="1">
        <f t="shared" ref="AW91:BE91" si="280">+AW68+AW45+AW22</f>
        <v>0</v>
      </c>
      <c r="AX91" s="1">
        <f t="shared" si="280"/>
        <v>29742</v>
      </c>
      <c r="AY91" s="1">
        <f t="shared" si="280"/>
        <v>37660</v>
      </c>
      <c r="AZ91" s="1">
        <f t="shared" si="280"/>
        <v>50497</v>
      </c>
      <c r="BA91" s="1">
        <f t="shared" si="280"/>
        <v>12224</v>
      </c>
      <c r="BB91" s="1">
        <f t="shared" si="280"/>
        <v>2084</v>
      </c>
      <c r="BC91" s="1">
        <f t="shared" si="280"/>
        <v>2988</v>
      </c>
      <c r="BD91" s="1">
        <f t="shared" si="280"/>
        <v>708</v>
      </c>
      <c r="BE91" s="92">
        <f t="shared" si="280"/>
        <v>0</v>
      </c>
    </row>
    <row r="92" spans="1:57" s="2" customFormat="1" ht="15" customHeight="1" x14ac:dyDescent="0.25">
      <c r="B92" s="2" t="s">
        <v>78</v>
      </c>
      <c r="D92" s="3">
        <f>SUM(D73:D91)</f>
        <v>0</v>
      </c>
      <c r="E92" s="3">
        <f t="shared" ref="E92:J92" si="281">SUM(E73:E91)</f>
        <v>0</v>
      </c>
      <c r="F92" s="3">
        <f t="shared" si="281"/>
        <v>0</v>
      </c>
      <c r="G92" s="3">
        <f t="shared" si="281"/>
        <v>0</v>
      </c>
      <c r="H92" s="3">
        <f t="shared" si="281"/>
        <v>0</v>
      </c>
      <c r="I92" s="3">
        <f t="shared" si="281"/>
        <v>0</v>
      </c>
      <c r="J92" s="3">
        <f t="shared" si="281"/>
        <v>0</v>
      </c>
      <c r="K92" s="3">
        <f>SUM(K73:K91)</f>
        <v>0</v>
      </c>
      <c r="L92" s="3">
        <f>SUM(L73:L91)</f>
        <v>23183</v>
      </c>
      <c r="M92" s="3">
        <f t="shared" ref="M92:AR92" si="282">SUM(M73:M91)</f>
        <v>12890</v>
      </c>
      <c r="N92" s="3">
        <f t="shared" si="282"/>
        <v>13658</v>
      </c>
      <c r="O92" s="3">
        <f t="shared" si="282"/>
        <v>21966</v>
      </c>
      <c r="P92" s="3">
        <f t="shared" si="282"/>
        <v>26529</v>
      </c>
      <c r="Q92" s="3">
        <f t="shared" si="282"/>
        <v>26904</v>
      </c>
      <c r="R92" s="3">
        <f t="shared" si="282"/>
        <v>27739</v>
      </c>
      <c r="S92" s="3">
        <f t="shared" si="282"/>
        <v>25903</v>
      </c>
      <c r="T92" s="3">
        <f t="shared" si="282"/>
        <v>26759</v>
      </c>
      <c r="U92" s="3">
        <f t="shared" si="282"/>
        <v>31438</v>
      </c>
      <c r="V92" s="3">
        <f t="shared" si="282"/>
        <v>24515</v>
      </c>
      <c r="W92" s="3">
        <f t="shared" si="282"/>
        <v>30205</v>
      </c>
      <c r="X92" s="3">
        <f t="shared" si="282"/>
        <v>27556</v>
      </c>
      <c r="Y92" s="3">
        <f t="shared" si="282"/>
        <v>14779</v>
      </c>
      <c r="Z92" s="3">
        <f t="shared" si="282"/>
        <v>10023</v>
      </c>
      <c r="AA92" s="3">
        <f t="shared" si="282"/>
        <v>8365</v>
      </c>
      <c r="AB92" s="3">
        <f t="shared" si="282"/>
        <v>6458</v>
      </c>
      <c r="AC92" s="3">
        <f t="shared" si="282"/>
        <v>5371</v>
      </c>
      <c r="AD92" s="3">
        <f t="shared" si="282"/>
        <v>4099</v>
      </c>
      <c r="AE92" s="3">
        <f t="shared" si="282"/>
        <v>3964</v>
      </c>
      <c r="AF92" s="3">
        <f t="shared" si="282"/>
        <v>1756</v>
      </c>
      <c r="AG92" s="3">
        <f t="shared" si="282"/>
        <v>1779</v>
      </c>
      <c r="AH92" s="150">
        <f t="shared" si="282"/>
        <v>12147</v>
      </c>
      <c r="AI92" s="3">
        <f t="shared" si="282"/>
        <v>2253</v>
      </c>
      <c r="AJ92" s="3">
        <f t="shared" si="282"/>
        <v>2324</v>
      </c>
      <c r="AK92" s="3">
        <f t="shared" si="282"/>
        <v>2349</v>
      </c>
      <c r="AL92" s="150">
        <f t="shared" si="282"/>
        <v>1761</v>
      </c>
      <c r="AM92" s="3">
        <f t="shared" si="282"/>
        <v>958</v>
      </c>
      <c r="AN92" s="3">
        <f t="shared" si="282"/>
        <v>477</v>
      </c>
      <c r="AO92" s="3">
        <f t="shared" si="282"/>
        <v>0</v>
      </c>
      <c r="AP92" s="3">
        <f t="shared" si="282"/>
        <v>0</v>
      </c>
      <c r="AQ92" s="3">
        <f t="shared" si="282"/>
        <v>0</v>
      </c>
      <c r="AR92" s="3">
        <f t="shared" si="282"/>
        <v>398108</v>
      </c>
      <c r="AS92" s="3"/>
      <c r="AT92" s="1">
        <f>SUM(AT73:AT91)</f>
        <v>285904</v>
      </c>
      <c r="AU92" s="1">
        <f t="shared" si="208"/>
        <v>112204</v>
      </c>
      <c r="AV92" s="91">
        <f t="shared" ref="AV92" si="283">SUM(AV73:AV91)</f>
        <v>0</v>
      </c>
      <c r="AW92" s="3">
        <f t="shared" ref="AW92:BE92" si="284">SUM(AW73:AW91)</f>
        <v>0</v>
      </c>
      <c r="AX92" s="3">
        <f t="shared" si="284"/>
        <v>98226</v>
      </c>
      <c r="AY92" s="3">
        <f t="shared" si="284"/>
        <v>107305</v>
      </c>
      <c r="AZ92" s="3">
        <f t="shared" si="284"/>
        <v>113714</v>
      </c>
      <c r="BA92" s="3">
        <f t="shared" si="284"/>
        <v>44996</v>
      </c>
      <c r="BB92" s="3">
        <f t="shared" si="284"/>
        <v>11598</v>
      </c>
      <c r="BC92" s="3">
        <f t="shared" si="284"/>
        <v>19073</v>
      </c>
      <c r="BD92" s="3">
        <f t="shared" si="284"/>
        <v>3196</v>
      </c>
      <c r="BE92" s="98">
        <f t="shared" si="284"/>
        <v>0</v>
      </c>
    </row>
    <row r="93" spans="1:57" s="10" customFormat="1" ht="15" customHeight="1" x14ac:dyDescent="0.25">
      <c r="A93" s="39"/>
      <c r="B93" s="39"/>
      <c r="C93" s="38" t="s">
        <v>97</v>
      </c>
      <c r="D93" s="11">
        <f>+D92</f>
        <v>0</v>
      </c>
      <c r="E93" s="11">
        <f>+D93+E92</f>
        <v>0</v>
      </c>
      <c r="F93" s="11">
        <f t="shared" ref="F93" si="285">+E93+F92</f>
        <v>0</v>
      </c>
      <c r="G93" s="11">
        <f t="shared" ref="G93" si="286">+F93+G92</f>
        <v>0</v>
      </c>
      <c r="H93" s="11">
        <f t="shared" ref="H93" si="287">+G93+H92</f>
        <v>0</v>
      </c>
      <c r="I93" s="11">
        <f t="shared" ref="I93" si="288">+H93+I92</f>
        <v>0</v>
      </c>
      <c r="J93" s="11">
        <f t="shared" ref="J93" si="289">+I93+J92</f>
        <v>0</v>
      </c>
      <c r="K93" s="11">
        <f t="shared" ref="K93" si="290">+J93+K92</f>
        <v>0</v>
      </c>
      <c r="L93" s="11">
        <f t="shared" ref="L93" si="291">+K93+L92</f>
        <v>23183</v>
      </c>
      <c r="M93" s="11">
        <f t="shared" ref="M93" si="292">+L93+M92</f>
        <v>36073</v>
      </c>
      <c r="N93" s="11">
        <f t="shared" ref="N93" si="293">+M93+N92</f>
        <v>49731</v>
      </c>
      <c r="O93" s="11">
        <f t="shared" ref="O93" si="294">+N93+O92</f>
        <v>71697</v>
      </c>
      <c r="P93" s="11">
        <f t="shared" ref="P93" si="295">+O93+P92</f>
        <v>98226</v>
      </c>
      <c r="Q93" s="11">
        <f t="shared" ref="Q93" si="296">+P93+Q92</f>
        <v>125130</v>
      </c>
      <c r="R93" s="11">
        <f t="shared" ref="R93" si="297">+Q93+R92</f>
        <v>152869</v>
      </c>
      <c r="S93" s="11">
        <f t="shared" ref="S93" si="298">+R93+S92</f>
        <v>178772</v>
      </c>
      <c r="T93" s="11">
        <f t="shared" ref="T93" si="299">+S93+T92</f>
        <v>205531</v>
      </c>
      <c r="U93" s="11">
        <f t="shared" ref="U93" si="300">+T93+U92</f>
        <v>236969</v>
      </c>
      <c r="V93" s="11">
        <f t="shared" ref="V93" si="301">+U93+V92</f>
        <v>261484</v>
      </c>
      <c r="W93" s="11">
        <f t="shared" ref="W93" si="302">+V93+W92</f>
        <v>291689</v>
      </c>
      <c r="X93" s="11">
        <f t="shared" ref="X93" si="303">+W93+X92</f>
        <v>319245</v>
      </c>
      <c r="Y93" s="11">
        <f t="shared" ref="Y93" si="304">+X93+Y92</f>
        <v>334024</v>
      </c>
      <c r="Z93" s="11">
        <f t="shared" ref="Z93" si="305">+Y93+Z92</f>
        <v>344047</v>
      </c>
      <c r="AA93" s="11">
        <f t="shared" ref="AA93" si="306">+Z93+AA92</f>
        <v>352412</v>
      </c>
      <c r="AB93" s="11">
        <f t="shared" ref="AB93" si="307">+AA93+AB92</f>
        <v>358870</v>
      </c>
      <c r="AC93" s="11">
        <f t="shared" ref="AC93" si="308">+AB93+AC92</f>
        <v>364241</v>
      </c>
      <c r="AD93" s="11">
        <f t="shared" ref="AD93" si="309">+AC93+AD92</f>
        <v>368340</v>
      </c>
      <c r="AE93" s="11">
        <f t="shared" ref="AE93" si="310">+AD93+AE92</f>
        <v>372304</v>
      </c>
      <c r="AF93" s="11">
        <f t="shared" ref="AF93" si="311">+AE93+AF92</f>
        <v>374060</v>
      </c>
      <c r="AG93" s="11">
        <f t="shared" ref="AG93" si="312">+AF93+AG92</f>
        <v>375839</v>
      </c>
      <c r="AH93" s="147">
        <f t="shared" ref="AH93" si="313">+AG93+AH92</f>
        <v>387986</v>
      </c>
      <c r="AI93" s="11">
        <f t="shared" ref="AI93" si="314">+AH93+AI92</f>
        <v>390239</v>
      </c>
      <c r="AJ93" s="11">
        <f t="shared" ref="AJ93" si="315">+AI93+AJ92</f>
        <v>392563</v>
      </c>
      <c r="AK93" s="11">
        <f t="shared" ref="AK93" si="316">+AJ93+AK92</f>
        <v>394912</v>
      </c>
      <c r="AL93" s="147">
        <f t="shared" ref="AL93" si="317">+AK93+AL92</f>
        <v>396673</v>
      </c>
      <c r="AM93" s="11">
        <f t="shared" ref="AM93" si="318">+AL93+AM92</f>
        <v>397631</v>
      </c>
      <c r="AN93" s="11">
        <f t="shared" ref="AN93" si="319">+AM93+AN92</f>
        <v>398108</v>
      </c>
      <c r="AO93" s="11">
        <f t="shared" ref="AO93" si="320">+AN93+AO92</f>
        <v>398108</v>
      </c>
      <c r="AP93" s="11">
        <f t="shared" ref="AP93" si="321">+AO93+AP92</f>
        <v>398108</v>
      </c>
      <c r="AQ93" s="11">
        <f t="shared" ref="AQ93" si="322">+AP93+AQ92</f>
        <v>398108</v>
      </c>
      <c r="AR93" s="40"/>
      <c r="AS93" s="11"/>
      <c r="AT93" s="11"/>
      <c r="AU93" s="11"/>
      <c r="AV93" s="93">
        <f>+AV92</f>
        <v>0</v>
      </c>
      <c r="AW93" s="1">
        <f>+AV93+AW92</f>
        <v>0</v>
      </c>
      <c r="AX93" s="1">
        <f t="shared" ref="AX93:BE93" si="323">+AW93+AX92</f>
        <v>98226</v>
      </c>
      <c r="AY93" s="1">
        <f t="shared" si="323"/>
        <v>205531</v>
      </c>
      <c r="AZ93" s="1">
        <f t="shared" si="323"/>
        <v>319245</v>
      </c>
      <c r="BA93" s="1">
        <f t="shared" si="323"/>
        <v>364241</v>
      </c>
      <c r="BB93" s="1">
        <f t="shared" si="323"/>
        <v>375839</v>
      </c>
      <c r="BC93" s="1">
        <f t="shared" si="323"/>
        <v>394912</v>
      </c>
      <c r="BD93" s="1">
        <f t="shared" si="323"/>
        <v>398108</v>
      </c>
      <c r="BE93" s="92">
        <f t="shared" si="323"/>
        <v>398108</v>
      </c>
    </row>
    <row r="94" spans="1:57" s="24" customFormat="1" ht="15" customHeight="1" x14ac:dyDescent="0.25">
      <c r="A94" s="23"/>
      <c r="B94" s="23"/>
      <c r="C94" s="27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115"/>
      <c r="AI94" s="25"/>
      <c r="AJ94" s="25"/>
      <c r="AK94" s="25"/>
      <c r="AL94" s="115"/>
      <c r="AM94" s="25"/>
      <c r="AN94" s="25"/>
      <c r="AO94" s="25"/>
      <c r="AP94" s="25"/>
      <c r="AQ94" s="25"/>
      <c r="AR94" s="48"/>
      <c r="AS94" s="25"/>
      <c r="AT94" s="25"/>
      <c r="AU94" s="25"/>
      <c r="AV94" s="99"/>
      <c r="AW94" s="25"/>
      <c r="AX94" s="25"/>
      <c r="AY94" s="25"/>
      <c r="AZ94" s="1"/>
      <c r="BA94" s="1"/>
      <c r="BB94" s="25"/>
      <c r="BC94" s="25"/>
      <c r="BD94" s="25"/>
      <c r="BE94" s="100"/>
    </row>
    <row r="95" spans="1:57" s="24" customFormat="1" ht="15" customHeight="1" x14ac:dyDescent="0.25">
      <c r="A95" s="23"/>
      <c r="B95" s="23" t="s">
        <v>141</v>
      </c>
      <c r="C95" s="27"/>
      <c r="D95" s="25">
        <f>+(D92-D82)/3</f>
        <v>0</v>
      </c>
      <c r="E95" s="25">
        <f t="shared" ref="E95:K95" si="324">+(E92-E82)/3</f>
        <v>0</v>
      </c>
      <c r="F95" s="25">
        <f t="shared" si="324"/>
        <v>0</v>
      </c>
      <c r="G95" s="25">
        <f t="shared" si="324"/>
        <v>0</v>
      </c>
      <c r="H95" s="25">
        <f t="shared" si="324"/>
        <v>0</v>
      </c>
      <c r="I95" s="25">
        <f t="shared" si="324"/>
        <v>0</v>
      </c>
      <c r="J95" s="25">
        <f t="shared" si="324"/>
        <v>0</v>
      </c>
      <c r="K95" s="25">
        <f t="shared" si="324"/>
        <v>0</v>
      </c>
      <c r="L95" s="25">
        <f t="shared" ref="L95:AQ95" si="325">+(L92-L82)/3</f>
        <v>5567.666666666667</v>
      </c>
      <c r="M95" s="25">
        <f t="shared" si="325"/>
        <v>3396.6666666666665</v>
      </c>
      <c r="N95" s="25">
        <f t="shared" si="325"/>
        <v>3655</v>
      </c>
      <c r="O95" s="25">
        <f t="shared" si="325"/>
        <v>6422</v>
      </c>
      <c r="P95" s="25">
        <f>+(P92-P82)/3</f>
        <v>8123</v>
      </c>
      <c r="Q95" s="25">
        <f t="shared" si="325"/>
        <v>6808</v>
      </c>
      <c r="R95" s="25">
        <f t="shared" si="325"/>
        <v>8526.3333333333339</v>
      </c>
      <c r="S95" s="25">
        <f t="shared" si="325"/>
        <v>7824.333333333333</v>
      </c>
      <c r="T95" s="25">
        <f t="shared" si="325"/>
        <v>8035.666666666667</v>
      </c>
      <c r="U95" s="25">
        <f t="shared" si="325"/>
        <v>9839.3333333333339</v>
      </c>
      <c r="V95" s="25">
        <f t="shared" si="325"/>
        <v>7619.666666666667</v>
      </c>
      <c r="W95" s="25">
        <f t="shared" si="325"/>
        <v>9600.3333333333339</v>
      </c>
      <c r="X95" s="25">
        <f t="shared" si="325"/>
        <v>9185.3333333333339</v>
      </c>
      <c r="Y95" s="25">
        <f t="shared" si="325"/>
        <v>4411.333333333333</v>
      </c>
      <c r="Z95" s="25">
        <f t="shared" si="325"/>
        <v>3341</v>
      </c>
      <c r="AA95" s="25">
        <f t="shared" si="325"/>
        <v>2355</v>
      </c>
      <c r="AB95" s="25">
        <f t="shared" si="325"/>
        <v>2152.6666666666665</v>
      </c>
      <c r="AC95" s="25">
        <f t="shared" si="325"/>
        <v>1340.3333333333333</v>
      </c>
      <c r="AD95" s="25">
        <f t="shared" si="325"/>
        <v>1366.3333333333333</v>
      </c>
      <c r="AE95" s="25">
        <f t="shared" si="325"/>
        <v>961.33333333333337</v>
      </c>
      <c r="AF95" s="25">
        <f t="shared" si="325"/>
        <v>585.33333333333337</v>
      </c>
      <c r="AG95" s="25">
        <f t="shared" si="325"/>
        <v>593</v>
      </c>
      <c r="AH95" s="115">
        <f t="shared" si="325"/>
        <v>2249</v>
      </c>
      <c r="AI95" s="25">
        <f t="shared" si="325"/>
        <v>751</v>
      </c>
      <c r="AJ95" s="25">
        <f t="shared" si="325"/>
        <v>774.66666666666663</v>
      </c>
      <c r="AK95" s="25">
        <f t="shared" si="325"/>
        <v>783</v>
      </c>
      <c r="AL95" s="115">
        <f t="shared" si="325"/>
        <v>587</v>
      </c>
      <c r="AM95" s="25">
        <f t="shared" si="325"/>
        <v>319.33333333333331</v>
      </c>
      <c r="AN95" s="25">
        <f t="shared" si="325"/>
        <v>159</v>
      </c>
      <c r="AO95" s="25">
        <f t="shared" si="325"/>
        <v>0</v>
      </c>
      <c r="AP95" s="25">
        <f t="shared" si="325"/>
        <v>0</v>
      </c>
      <c r="AQ95" s="25">
        <f t="shared" si="325"/>
        <v>0</v>
      </c>
      <c r="AR95" s="48">
        <f>SUM(D95:AQ95)</f>
        <v>117332.66666666664</v>
      </c>
      <c r="AS95" s="25"/>
      <c r="AT95" s="25"/>
      <c r="AU95" s="25"/>
      <c r="AV95" s="99">
        <f>+(AV92-AV82)/3</f>
        <v>0</v>
      </c>
      <c r="AW95" s="25">
        <f>+(AW92-AW82)/3</f>
        <v>0</v>
      </c>
      <c r="AX95" s="25">
        <f>+(AX92-AX82)/3</f>
        <v>27164.333333333332</v>
      </c>
      <c r="AY95" s="25">
        <f t="shared" ref="AY95:BE95" si="326">+(AY92-AY82)/3</f>
        <v>31194.333333333332</v>
      </c>
      <c r="AZ95" s="25">
        <f t="shared" si="326"/>
        <v>36244.666666666664</v>
      </c>
      <c r="BA95" s="25">
        <f t="shared" si="326"/>
        <v>13600.333333333334</v>
      </c>
      <c r="BB95" s="25">
        <f t="shared" si="326"/>
        <v>3506</v>
      </c>
      <c r="BC95" s="25">
        <f t="shared" si="326"/>
        <v>4557.666666666667</v>
      </c>
      <c r="BD95" s="25">
        <f t="shared" si="326"/>
        <v>1065.3333333333333</v>
      </c>
      <c r="BE95" s="100">
        <f t="shared" si="326"/>
        <v>0</v>
      </c>
    </row>
    <row r="96" spans="1:57" s="24" customFormat="1" ht="15" customHeight="1" x14ac:dyDescent="0.25">
      <c r="A96" s="23"/>
      <c r="B96" s="23"/>
      <c r="C96" s="27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115"/>
      <c r="AI96" s="25"/>
      <c r="AJ96" s="25"/>
      <c r="AK96" s="25"/>
      <c r="AL96" s="115"/>
      <c r="AM96" s="25"/>
      <c r="AN96" s="25"/>
      <c r="AO96" s="25"/>
      <c r="AP96" s="25"/>
      <c r="AQ96" s="25"/>
      <c r="AR96" s="48"/>
      <c r="AS96" s="25"/>
      <c r="AT96" s="25"/>
      <c r="AU96" s="25"/>
      <c r="AV96" s="99"/>
      <c r="AW96" s="25"/>
      <c r="AX96" s="25"/>
      <c r="AY96" s="25"/>
      <c r="AZ96" s="1"/>
      <c r="BA96" s="1"/>
      <c r="BB96" s="25"/>
      <c r="BC96" s="25"/>
      <c r="BD96" s="25"/>
      <c r="BE96" s="100"/>
    </row>
    <row r="97" spans="1:69" s="10" customFormat="1" ht="15" customHeight="1" thickBot="1" x14ac:dyDescent="0.3">
      <c r="A97" s="39"/>
      <c r="B97" s="10" t="s">
        <v>167</v>
      </c>
      <c r="C97" s="38"/>
      <c r="D97" s="11">
        <f>+Daily!D12</f>
        <v>0</v>
      </c>
      <c r="E97" s="11">
        <f>+Daily!E12</f>
        <v>0</v>
      </c>
      <c r="F97" s="11">
        <f>+Daily!F12</f>
        <v>0</v>
      </c>
      <c r="G97" s="11">
        <f>+Daily!G12</f>
        <v>0</v>
      </c>
      <c r="H97" s="11">
        <f>+Daily!H12</f>
        <v>0</v>
      </c>
      <c r="I97" s="11">
        <f>+Daily!I12</f>
        <v>0</v>
      </c>
      <c r="J97" s="11">
        <f>+Daily!J12</f>
        <v>0</v>
      </c>
      <c r="K97" s="11">
        <f>+Daily!K12</f>
        <v>0</v>
      </c>
      <c r="L97" s="11">
        <f>+Daily!L12</f>
        <v>23183</v>
      </c>
      <c r="M97" s="11">
        <f>+Daily!M12</f>
        <v>12905</v>
      </c>
      <c r="N97" s="11">
        <f>+Daily!N12</f>
        <v>13658</v>
      </c>
      <c r="O97" s="11">
        <f>+Daily!O12</f>
        <v>21966</v>
      </c>
      <c r="P97" s="11">
        <f>+Daily!P12</f>
        <v>26528</v>
      </c>
      <c r="Q97" s="11">
        <f>+Daily!Q12</f>
        <v>26904</v>
      </c>
      <c r="R97" s="11">
        <f>+Daily!R12</f>
        <v>27739</v>
      </c>
      <c r="S97" s="11">
        <f>+Daily!S12</f>
        <v>25903</v>
      </c>
      <c r="T97" s="11">
        <f>+Daily!T12</f>
        <v>26759</v>
      </c>
      <c r="U97" s="11">
        <f>+Daily!U12</f>
        <v>31480</v>
      </c>
      <c r="V97" s="11">
        <f>+Daily!V12</f>
        <v>24515</v>
      </c>
      <c r="W97" s="11">
        <f>+Daily!W12</f>
        <v>30205</v>
      </c>
      <c r="X97" s="11">
        <f>+Daily!X12</f>
        <v>27556</v>
      </c>
      <c r="Y97" s="11">
        <f>+Daily!Y12</f>
        <v>14779</v>
      </c>
      <c r="Z97" s="11">
        <f>+Daily!Z12</f>
        <v>10023</v>
      </c>
      <c r="AA97" s="11">
        <f>+Daily!AA12</f>
        <v>8365</v>
      </c>
      <c r="AB97" s="11">
        <f>+Daily!AB12</f>
        <v>6458</v>
      </c>
      <c r="AC97" s="11">
        <f>+Daily!AC12</f>
        <v>5370</v>
      </c>
      <c r="AD97" s="11">
        <f>+Daily!AD12</f>
        <v>4099</v>
      </c>
      <c r="AE97" s="11">
        <f>+Daily!AE12</f>
        <v>3964</v>
      </c>
      <c r="AF97" s="11">
        <f>+Daily!AF12</f>
        <v>1762</v>
      </c>
      <c r="AG97" s="11">
        <f>+Daily!AG12</f>
        <v>1779</v>
      </c>
      <c r="AH97" s="147">
        <f>+Daily!AH12</f>
        <v>12147</v>
      </c>
      <c r="AI97" s="11">
        <f>+Daily!AI12</f>
        <v>2253</v>
      </c>
      <c r="AJ97" s="11">
        <f>+Daily!AJ12</f>
        <v>2324</v>
      </c>
      <c r="AK97" s="11">
        <f>+Daily!AK12</f>
        <v>2349</v>
      </c>
      <c r="AL97" s="147">
        <f>+Daily!AL12</f>
        <v>1761</v>
      </c>
      <c r="AM97" s="11">
        <f>+Daily!AM12</f>
        <v>958</v>
      </c>
      <c r="AN97" s="11">
        <f>+Daily!AN12</f>
        <v>477</v>
      </c>
      <c r="AO97" s="11">
        <f>+Daily!AO12</f>
        <v>0</v>
      </c>
      <c r="AP97" s="11">
        <f>+Daily!AP12</f>
        <v>0</v>
      </c>
      <c r="AQ97" s="11">
        <f>+Daily!AQ12</f>
        <v>0</v>
      </c>
      <c r="AR97" s="40">
        <f>SUM(D97:AQ97)</f>
        <v>398169</v>
      </c>
      <c r="AS97" s="11"/>
      <c r="AT97" s="11"/>
      <c r="AU97" s="11"/>
      <c r="AV97" s="101"/>
      <c r="AW97" s="102"/>
      <c r="AX97" s="102"/>
      <c r="AY97" s="102"/>
      <c r="AZ97" s="95"/>
      <c r="BA97" s="95"/>
      <c r="BB97" s="102"/>
      <c r="BC97" s="102"/>
      <c r="BD97" s="102"/>
      <c r="BE97" s="103"/>
    </row>
    <row r="98" spans="1:69" s="10" customFormat="1" ht="15" customHeight="1" x14ac:dyDescent="0.25">
      <c r="A98" s="39"/>
      <c r="B98" s="10" t="s">
        <v>168</v>
      </c>
      <c r="C98" s="38"/>
      <c r="D98" s="11">
        <f>+D97</f>
        <v>0</v>
      </c>
      <c r="E98" s="11">
        <f>+D98+E97</f>
        <v>0</v>
      </c>
      <c r="F98" s="11">
        <f t="shared" ref="F98:AQ98" si="327">+E98+F97</f>
        <v>0</v>
      </c>
      <c r="G98" s="11">
        <f t="shared" si="327"/>
        <v>0</v>
      </c>
      <c r="H98" s="11">
        <f t="shared" si="327"/>
        <v>0</v>
      </c>
      <c r="I98" s="11">
        <f t="shared" si="327"/>
        <v>0</v>
      </c>
      <c r="J98" s="11">
        <f t="shared" si="327"/>
        <v>0</v>
      </c>
      <c r="K98" s="11">
        <f t="shared" si="327"/>
        <v>0</v>
      </c>
      <c r="L98" s="11">
        <f t="shared" si="327"/>
        <v>23183</v>
      </c>
      <c r="M98" s="11">
        <f t="shared" si="327"/>
        <v>36088</v>
      </c>
      <c r="N98" s="11">
        <f t="shared" si="327"/>
        <v>49746</v>
      </c>
      <c r="O98" s="11">
        <f t="shared" si="327"/>
        <v>71712</v>
      </c>
      <c r="P98" s="11">
        <f t="shared" si="327"/>
        <v>98240</v>
      </c>
      <c r="Q98" s="11">
        <f t="shared" si="327"/>
        <v>125144</v>
      </c>
      <c r="R98" s="11">
        <f t="shared" si="327"/>
        <v>152883</v>
      </c>
      <c r="S98" s="11">
        <f t="shared" si="327"/>
        <v>178786</v>
      </c>
      <c r="T98" s="11">
        <f t="shared" si="327"/>
        <v>205545</v>
      </c>
      <c r="U98" s="11">
        <f t="shared" si="327"/>
        <v>237025</v>
      </c>
      <c r="V98" s="11">
        <f t="shared" si="327"/>
        <v>261540</v>
      </c>
      <c r="W98" s="11">
        <f t="shared" si="327"/>
        <v>291745</v>
      </c>
      <c r="X98" s="11">
        <f t="shared" si="327"/>
        <v>319301</v>
      </c>
      <c r="Y98" s="11">
        <f t="shared" si="327"/>
        <v>334080</v>
      </c>
      <c r="Z98" s="11">
        <f t="shared" si="327"/>
        <v>344103</v>
      </c>
      <c r="AA98" s="11">
        <f t="shared" si="327"/>
        <v>352468</v>
      </c>
      <c r="AB98" s="11">
        <f t="shared" si="327"/>
        <v>358926</v>
      </c>
      <c r="AC98" s="11">
        <f t="shared" si="327"/>
        <v>364296</v>
      </c>
      <c r="AD98" s="11">
        <f t="shared" si="327"/>
        <v>368395</v>
      </c>
      <c r="AE98" s="11">
        <f t="shared" si="327"/>
        <v>372359</v>
      </c>
      <c r="AF98" s="11">
        <f t="shared" si="327"/>
        <v>374121</v>
      </c>
      <c r="AG98" s="11">
        <f t="shared" si="327"/>
        <v>375900</v>
      </c>
      <c r="AH98" s="147">
        <f t="shared" si="327"/>
        <v>388047</v>
      </c>
      <c r="AI98" s="11">
        <f t="shared" si="327"/>
        <v>390300</v>
      </c>
      <c r="AJ98" s="11">
        <f t="shared" si="327"/>
        <v>392624</v>
      </c>
      <c r="AK98" s="11">
        <f t="shared" si="327"/>
        <v>394973</v>
      </c>
      <c r="AL98" s="147">
        <f t="shared" si="327"/>
        <v>396734</v>
      </c>
      <c r="AM98" s="11">
        <f t="shared" si="327"/>
        <v>397692</v>
      </c>
      <c r="AN98" s="11">
        <f t="shared" si="327"/>
        <v>398169</v>
      </c>
      <c r="AO98" s="11">
        <f t="shared" si="327"/>
        <v>398169</v>
      </c>
      <c r="AP98" s="11">
        <f t="shared" si="327"/>
        <v>398169</v>
      </c>
      <c r="AQ98" s="11">
        <f t="shared" si="327"/>
        <v>398169</v>
      </c>
      <c r="AR98" s="40"/>
      <c r="AS98" s="11"/>
      <c r="AT98" s="11"/>
      <c r="AU98" s="11"/>
      <c r="AV98" s="11"/>
      <c r="AW98" s="11"/>
      <c r="AX98" s="11"/>
      <c r="AY98" s="11"/>
      <c r="AZ98" s="1"/>
      <c r="BA98" s="1"/>
      <c r="BB98" s="11"/>
      <c r="BC98" s="11"/>
      <c r="BD98" s="11"/>
      <c r="BE98" s="11"/>
    </row>
    <row r="99" spans="1:69" s="24" customFormat="1" ht="15" customHeight="1" x14ac:dyDescent="0.25">
      <c r="A99" s="23"/>
      <c r="B99" s="23"/>
      <c r="C99" s="27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115"/>
      <c r="AI99" s="25"/>
      <c r="AJ99" s="25"/>
      <c r="AK99" s="25"/>
      <c r="AL99" s="115"/>
      <c r="AM99" s="25"/>
      <c r="AN99" s="25"/>
      <c r="AO99" s="25"/>
      <c r="AP99" s="25"/>
      <c r="AQ99" s="25"/>
      <c r="AR99" s="48"/>
      <c r="AS99" s="25"/>
      <c r="AT99" s="25"/>
      <c r="AU99" s="25"/>
      <c r="AV99" s="25"/>
      <c r="AW99" s="25"/>
      <c r="AX99" s="25"/>
      <c r="AY99" s="25"/>
      <c r="AZ99" s="1"/>
      <c r="BA99" s="1"/>
      <c r="BB99" s="25"/>
      <c r="BC99" s="25"/>
      <c r="BD99" s="25"/>
      <c r="BE99" s="25"/>
    </row>
    <row r="100" spans="1:69" ht="15" customHeight="1" x14ac:dyDescent="0.25">
      <c r="B100" s="2" t="s">
        <v>140</v>
      </c>
      <c r="AT100" s="25"/>
    </row>
    <row r="101" spans="1:69" ht="15" customHeight="1" x14ac:dyDescent="0.25">
      <c r="C101" t="s">
        <v>190</v>
      </c>
      <c r="N101" s="1">
        <v>42</v>
      </c>
      <c r="O101" s="1">
        <v>23</v>
      </c>
      <c r="P101" s="1">
        <v>139</v>
      </c>
      <c r="Q101" s="1">
        <v>160</v>
      </c>
      <c r="R101" s="1">
        <v>159</v>
      </c>
      <c r="S101" s="1">
        <v>189</v>
      </c>
      <c r="T101" s="1">
        <v>166</v>
      </c>
      <c r="U101" s="1">
        <v>87</v>
      </c>
      <c r="V101" s="1">
        <v>273</v>
      </c>
      <c r="W101" s="1">
        <v>219</v>
      </c>
      <c r="X101" s="1">
        <v>321</v>
      </c>
      <c r="Y101" s="1">
        <v>98</v>
      </c>
      <c r="Z101" s="1">
        <v>1</v>
      </c>
      <c r="AA101" s="1">
        <v>13</v>
      </c>
      <c r="AB101" s="1">
        <v>1</v>
      </c>
      <c r="AD101" s="1">
        <v>1</v>
      </c>
      <c r="AR101" s="3">
        <f>SUM(D101:AQ101)</f>
        <v>1892</v>
      </c>
      <c r="AT101" s="1">
        <f>+[1]PassVol!$AU101</f>
        <v>10831</v>
      </c>
      <c r="AU101" s="1">
        <f t="shared" ref="AU101:AU119" si="328">+AR101-AT101</f>
        <v>-8939</v>
      </c>
      <c r="AV101" s="1">
        <f>SUM(D101:G101)</f>
        <v>0</v>
      </c>
      <c r="AW101" s="1">
        <f>SUM(H101:K101)</f>
        <v>0</v>
      </c>
      <c r="AX101" s="1">
        <f>SUM(L101:P101)</f>
        <v>204</v>
      </c>
      <c r="AY101" s="1">
        <f>SUM(Q101:T101)</f>
        <v>674</v>
      </c>
      <c r="AZ101" s="1">
        <f>SUM(U101:X101)</f>
        <v>900</v>
      </c>
      <c r="BA101" s="1">
        <f>SUM(Y101:AC101)</f>
        <v>113</v>
      </c>
      <c r="BB101" s="1">
        <f>SUM(AD101:AG101)</f>
        <v>1</v>
      </c>
      <c r="BC101" s="1">
        <f>SUM(AH101:AK101)</f>
        <v>0</v>
      </c>
      <c r="BD101" s="1">
        <f>SUM(AL101:AP101)</f>
        <v>0</v>
      </c>
      <c r="BE101" s="1">
        <f>+AQ101</f>
        <v>0</v>
      </c>
      <c r="BG101" s="1">
        <f t="shared" ref="BG101:BP102" si="329">+AV101*18</f>
        <v>0</v>
      </c>
      <c r="BH101" s="1">
        <f t="shared" si="329"/>
        <v>0</v>
      </c>
      <c r="BI101" s="1">
        <f t="shared" si="329"/>
        <v>3672</v>
      </c>
      <c r="BJ101" s="1">
        <f t="shared" si="329"/>
        <v>12132</v>
      </c>
      <c r="BK101" s="1">
        <f t="shared" si="329"/>
        <v>16200</v>
      </c>
      <c r="BL101" s="1">
        <f t="shared" si="329"/>
        <v>2034</v>
      </c>
      <c r="BM101" s="1">
        <f t="shared" si="329"/>
        <v>18</v>
      </c>
      <c r="BN101" s="1">
        <f t="shared" si="329"/>
        <v>0</v>
      </c>
      <c r="BO101" s="1">
        <f t="shared" si="329"/>
        <v>0</v>
      </c>
      <c r="BP101" s="1">
        <f t="shared" si="329"/>
        <v>0</v>
      </c>
      <c r="BQ101" s="1">
        <f t="shared" ref="BQ101:BQ119" si="330">SUM(BH101:BP101)</f>
        <v>34056</v>
      </c>
    </row>
    <row r="102" spans="1:69" ht="15" customHeight="1" x14ac:dyDescent="0.25">
      <c r="C102" t="s">
        <v>424</v>
      </c>
      <c r="M102" s="1">
        <v>75</v>
      </c>
      <c r="N102" s="1">
        <v>55</v>
      </c>
      <c r="O102" s="1">
        <v>116</v>
      </c>
      <c r="P102" s="1">
        <v>85</v>
      </c>
      <c r="Q102" s="1">
        <v>193</v>
      </c>
      <c r="R102" s="1">
        <v>223</v>
      </c>
      <c r="S102" s="1">
        <v>247</v>
      </c>
      <c r="T102" s="1">
        <v>256</v>
      </c>
      <c r="U102" s="1">
        <v>314</v>
      </c>
      <c r="V102" s="1">
        <v>270</v>
      </c>
      <c r="W102" s="1">
        <v>254</v>
      </c>
      <c r="X102" s="1">
        <v>202</v>
      </c>
      <c r="Y102" s="1">
        <v>94</v>
      </c>
      <c r="Z102" s="1">
        <v>31</v>
      </c>
      <c r="AA102" s="1">
        <v>28</v>
      </c>
      <c r="AB102" s="1">
        <v>30</v>
      </c>
      <c r="AR102" s="3">
        <f>SUM(D102:AQ102)</f>
        <v>2473</v>
      </c>
      <c r="AT102" s="1">
        <f>+[1]PassVol!$AU102</f>
        <v>1255</v>
      </c>
      <c r="AU102" s="1">
        <f t="shared" si="328"/>
        <v>1218</v>
      </c>
      <c r="AV102" s="1">
        <f t="shared" ref="AV102:AV119" si="331">SUM(D102:G102)</f>
        <v>0</v>
      </c>
      <c r="AW102" s="1">
        <f t="shared" ref="AW102:AW119" si="332">SUM(H102:K102)</f>
        <v>0</v>
      </c>
      <c r="AX102" s="1">
        <f t="shared" ref="AX102:AX119" si="333">SUM(L102:P102)</f>
        <v>331</v>
      </c>
      <c r="AY102" s="1">
        <f t="shared" ref="AY102:AY119" si="334">SUM(Q102:T102)</f>
        <v>919</v>
      </c>
      <c r="AZ102" s="1">
        <f t="shared" ref="AZ102:AZ119" si="335">SUM(U102:X102)</f>
        <v>1040</v>
      </c>
      <c r="BA102" s="1">
        <f t="shared" ref="BA102:BA119" si="336">SUM(Y102:AC102)</f>
        <v>183</v>
      </c>
      <c r="BB102" s="1">
        <f t="shared" ref="BB102:BB119" si="337">SUM(AD102:AG102)</f>
        <v>0</v>
      </c>
      <c r="BC102" s="1">
        <f t="shared" ref="BC102:BC119" si="338">SUM(AH102:AK102)</f>
        <v>0</v>
      </c>
      <c r="BD102" s="1">
        <f t="shared" ref="BD102:BD119" si="339">SUM(AL102:AP102)</f>
        <v>0</v>
      </c>
      <c r="BE102" s="1">
        <f t="shared" ref="BE102:BE119" si="340">+AQ102</f>
        <v>0</v>
      </c>
      <c r="BG102" s="1">
        <f t="shared" si="329"/>
        <v>0</v>
      </c>
      <c r="BH102" s="1">
        <f t="shared" si="329"/>
        <v>0</v>
      </c>
      <c r="BI102" s="1">
        <f t="shared" si="329"/>
        <v>5958</v>
      </c>
      <c r="BJ102" s="1">
        <f t="shared" si="329"/>
        <v>16542</v>
      </c>
      <c r="BK102" s="1">
        <f t="shared" si="329"/>
        <v>18720</v>
      </c>
      <c r="BL102" s="1">
        <f t="shared" si="329"/>
        <v>3294</v>
      </c>
      <c r="BM102" s="1">
        <f t="shared" si="329"/>
        <v>0</v>
      </c>
      <c r="BN102" s="1">
        <f t="shared" si="329"/>
        <v>0</v>
      </c>
      <c r="BO102" s="1">
        <f t="shared" si="329"/>
        <v>0</v>
      </c>
      <c r="BP102" s="1">
        <f t="shared" si="329"/>
        <v>0</v>
      </c>
      <c r="BQ102" s="1">
        <f>SUM(BH102:BP102)</f>
        <v>44514</v>
      </c>
    </row>
    <row r="103" spans="1:69" ht="15" customHeight="1" x14ac:dyDescent="0.25">
      <c r="C103" t="s">
        <v>347</v>
      </c>
      <c r="M103" s="1">
        <v>86</v>
      </c>
      <c r="N103" s="1">
        <v>70</v>
      </c>
      <c r="O103" s="1">
        <v>76</v>
      </c>
      <c r="P103" s="1">
        <v>227</v>
      </c>
      <c r="Q103" s="1">
        <v>208</v>
      </c>
      <c r="R103" s="1">
        <v>362</v>
      </c>
      <c r="S103" s="1">
        <v>398</v>
      </c>
      <c r="T103" s="1">
        <v>256</v>
      </c>
      <c r="U103" s="1">
        <v>355</v>
      </c>
      <c r="V103" s="1">
        <v>268</v>
      </c>
      <c r="W103" s="1">
        <v>275</v>
      </c>
      <c r="X103" s="1">
        <v>269</v>
      </c>
      <c r="Y103" s="1">
        <v>118</v>
      </c>
      <c r="Z103" s="1">
        <v>16</v>
      </c>
      <c r="AA103" s="1">
        <v>2</v>
      </c>
      <c r="AB103" s="1">
        <v>1</v>
      </c>
      <c r="AD103" s="1">
        <v>2</v>
      </c>
      <c r="AR103" s="3">
        <f t="shared" ref="AR103:AR119" si="341">SUM(D103:AQ103)</f>
        <v>2989</v>
      </c>
      <c r="AT103" s="1">
        <f>+[1]PassVol!$AU103</f>
        <v>851</v>
      </c>
      <c r="AU103" s="1">
        <f t="shared" si="328"/>
        <v>2138</v>
      </c>
      <c r="AV103" s="1">
        <f t="shared" si="331"/>
        <v>0</v>
      </c>
      <c r="AW103" s="1">
        <f t="shared" si="332"/>
        <v>0</v>
      </c>
      <c r="AX103" s="1">
        <f t="shared" si="333"/>
        <v>459</v>
      </c>
      <c r="AY103" s="1">
        <f t="shared" si="334"/>
        <v>1224</v>
      </c>
      <c r="AZ103" s="1">
        <f t="shared" si="335"/>
        <v>1167</v>
      </c>
      <c r="BA103" s="1">
        <f t="shared" si="336"/>
        <v>137</v>
      </c>
      <c r="BB103" s="1">
        <f t="shared" si="337"/>
        <v>2</v>
      </c>
      <c r="BC103" s="1">
        <f t="shared" si="338"/>
        <v>0</v>
      </c>
      <c r="BD103" s="1">
        <f t="shared" si="339"/>
        <v>0</v>
      </c>
      <c r="BE103" s="1">
        <f t="shared" si="340"/>
        <v>0</v>
      </c>
      <c r="BG103" s="1">
        <f t="shared" ref="BG103:BH119" si="342">+AV103*18</f>
        <v>0</v>
      </c>
      <c r="BH103" s="1">
        <f t="shared" si="342"/>
        <v>0</v>
      </c>
      <c r="BI103" s="1">
        <f t="shared" ref="BI103:BI119" si="343">+AX103*18</f>
        <v>8262</v>
      </c>
      <c r="BJ103" s="1">
        <f t="shared" ref="BJ103:BJ119" si="344">+AY103*18</f>
        <v>22032</v>
      </c>
      <c r="BK103" s="1">
        <f t="shared" ref="BK103:BK119" si="345">+AZ103*18</f>
        <v>21006</v>
      </c>
      <c r="BL103" s="1">
        <f t="shared" ref="BL103:BL119" si="346">+BA103*18</f>
        <v>2466</v>
      </c>
      <c r="BM103" s="1">
        <f t="shared" ref="BM103:BM119" si="347">+BB103*18</f>
        <v>36</v>
      </c>
      <c r="BN103" s="1">
        <f t="shared" ref="BN103:BN119" si="348">+BC103*18</f>
        <v>0</v>
      </c>
      <c r="BO103" s="1">
        <f t="shared" ref="BO103:BO119" si="349">+BD103*18</f>
        <v>0</v>
      </c>
      <c r="BP103" s="1">
        <f t="shared" ref="BP103:BP119" si="350">+BE103*18</f>
        <v>0</v>
      </c>
      <c r="BQ103" s="1">
        <f t="shared" si="330"/>
        <v>53802</v>
      </c>
    </row>
    <row r="104" spans="1:69" ht="15" customHeight="1" x14ac:dyDescent="0.25">
      <c r="C104" t="s">
        <v>0</v>
      </c>
      <c r="M104" s="1">
        <v>1761</v>
      </c>
      <c r="N104" s="1">
        <v>1306</v>
      </c>
      <c r="O104" s="1">
        <v>1425</v>
      </c>
      <c r="P104" s="1">
        <v>1411</v>
      </c>
      <c r="Q104" s="1">
        <v>2028</v>
      </c>
      <c r="R104" s="1">
        <v>1458</v>
      </c>
      <c r="S104" s="1">
        <v>2014</v>
      </c>
      <c r="T104" s="1">
        <v>1794</v>
      </c>
      <c r="U104" s="1">
        <v>1884</v>
      </c>
      <c r="V104" s="1">
        <v>1403</v>
      </c>
      <c r="W104" s="1">
        <v>1542</v>
      </c>
      <c r="X104" s="1">
        <v>2194</v>
      </c>
      <c r="Y104" s="1">
        <v>1683</v>
      </c>
      <c r="Z104" s="1">
        <v>1182</v>
      </c>
      <c r="AA104" s="1">
        <v>302</v>
      </c>
      <c r="AB104" s="1">
        <v>118</v>
      </c>
      <c r="AR104" s="3">
        <f t="shared" si="341"/>
        <v>23505</v>
      </c>
      <c r="AT104" s="1">
        <f>+[1]PassVol!$AU104</f>
        <v>14417</v>
      </c>
      <c r="AU104" s="1">
        <f t="shared" si="328"/>
        <v>9088</v>
      </c>
      <c r="AV104" s="1">
        <f t="shared" si="331"/>
        <v>0</v>
      </c>
      <c r="AW104" s="1">
        <f t="shared" si="332"/>
        <v>0</v>
      </c>
      <c r="AX104" s="1">
        <f t="shared" si="333"/>
        <v>5903</v>
      </c>
      <c r="AY104" s="1">
        <f t="shared" si="334"/>
        <v>7294</v>
      </c>
      <c r="AZ104" s="1">
        <f t="shared" si="335"/>
        <v>7023</v>
      </c>
      <c r="BA104" s="1">
        <f t="shared" si="336"/>
        <v>3285</v>
      </c>
      <c r="BB104" s="1">
        <f t="shared" si="337"/>
        <v>0</v>
      </c>
      <c r="BC104" s="1">
        <f t="shared" si="338"/>
        <v>0</v>
      </c>
      <c r="BD104" s="1">
        <f t="shared" si="339"/>
        <v>0</v>
      </c>
      <c r="BE104" s="1">
        <f t="shared" si="340"/>
        <v>0</v>
      </c>
      <c r="BG104" s="1">
        <f t="shared" si="342"/>
        <v>0</v>
      </c>
      <c r="BH104" s="1">
        <f t="shared" si="342"/>
        <v>0</v>
      </c>
      <c r="BI104" s="1">
        <f t="shared" si="343"/>
        <v>106254</v>
      </c>
      <c r="BJ104" s="1">
        <f t="shared" si="344"/>
        <v>131292</v>
      </c>
      <c r="BK104" s="1">
        <f t="shared" si="345"/>
        <v>126414</v>
      </c>
      <c r="BL104" s="1">
        <f t="shared" si="346"/>
        <v>59130</v>
      </c>
      <c r="BM104" s="1">
        <f t="shared" si="347"/>
        <v>0</v>
      </c>
      <c r="BN104" s="1">
        <f t="shared" si="348"/>
        <v>0</v>
      </c>
      <c r="BO104" s="1">
        <f t="shared" si="349"/>
        <v>0</v>
      </c>
      <c r="BP104" s="1">
        <f t="shared" si="350"/>
        <v>0</v>
      </c>
      <c r="BQ104" s="1">
        <f t="shared" si="330"/>
        <v>423090</v>
      </c>
    </row>
    <row r="105" spans="1:69" ht="15" customHeight="1" x14ac:dyDescent="0.25">
      <c r="A105"/>
      <c r="C105" t="s">
        <v>354</v>
      </c>
      <c r="M105" s="1">
        <v>4</v>
      </c>
      <c r="N105" s="1">
        <v>31</v>
      </c>
      <c r="O105" s="1">
        <v>23</v>
      </c>
      <c r="P105" s="1">
        <v>54</v>
      </c>
      <c r="Q105" s="1">
        <v>61</v>
      </c>
      <c r="R105" s="1">
        <v>89</v>
      </c>
      <c r="S105" s="1">
        <v>124</v>
      </c>
      <c r="T105" s="1">
        <v>92</v>
      </c>
      <c r="U105" s="1">
        <v>52</v>
      </c>
      <c r="V105" s="1">
        <v>38</v>
      </c>
      <c r="W105" s="1">
        <v>59</v>
      </c>
      <c r="X105" s="1">
        <v>85</v>
      </c>
      <c r="Y105" s="1">
        <v>47</v>
      </c>
      <c r="Z105" s="1">
        <v>17</v>
      </c>
      <c r="AA105" s="1">
        <v>17</v>
      </c>
      <c r="AB105" s="1">
        <v>7</v>
      </c>
      <c r="AR105" s="3">
        <f t="shared" si="341"/>
        <v>800</v>
      </c>
      <c r="AT105" s="1">
        <f>+[1]PassVol!$AU105</f>
        <v>551</v>
      </c>
      <c r="AU105" s="1">
        <f t="shared" si="328"/>
        <v>249</v>
      </c>
      <c r="AV105" s="1">
        <f t="shared" si="331"/>
        <v>0</v>
      </c>
      <c r="AW105" s="1">
        <f t="shared" si="332"/>
        <v>0</v>
      </c>
      <c r="AX105" s="1">
        <f t="shared" si="333"/>
        <v>112</v>
      </c>
      <c r="AY105" s="1">
        <f t="shared" si="334"/>
        <v>366</v>
      </c>
      <c r="AZ105" s="1">
        <f t="shared" si="335"/>
        <v>234</v>
      </c>
      <c r="BA105" s="1">
        <f t="shared" si="336"/>
        <v>88</v>
      </c>
      <c r="BB105" s="1">
        <f t="shared" si="337"/>
        <v>0</v>
      </c>
      <c r="BC105" s="1">
        <f t="shared" si="338"/>
        <v>0</v>
      </c>
      <c r="BD105" s="1">
        <f t="shared" si="339"/>
        <v>0</v>
      </c>
      <c r="BE105" s="1">
        <f t="shared" si="340"/>
        <v>0</v>
      </c>
      <c r="BG105" s="1">
        <f t="shared" si="342"/>
        <v>0</v>
      </c>
      <c r="BH105" s="1">
        <f t="shared" si="342"/>
        <v>0</v>
      </c>
      <c r="BI105" s="1">
        <f t="shared" si="343"/>
        <v>2016</v>
      </c>
      <c r="BJ105" s="1">
        <f t="shared" si="344"/>
        <v>6588</v>
      </c>
      <c r="BK105" s="1">
        <f t="shared" si="345"/>
        <v>4212</v>
      </c>
      <c r="BL105" s="1">
        <f t="shared" si="346"/>
        <v>1584</v>
      </c>
      <c r="BM105" s="1">
        <f t="shared" si="347"/>
        <v>0</v>
      </c>
      <c r="BN105" s="1">
        <f t="shared" si="348"/>
        <v>0</v>
      </c>
      <c r="BO105" s="1">
        <f t="shared" si="349"/>
        <v>0</v>
      </c>
      <c r="BP105" s="1">
        <f t="shared" si="350"/>
        <v>0</v>
      </c>
      <c r="BQ105" s="1">
        <f t="shared" si="330"/>
        <v>14400</v>
      </c>
    </row>
    <row r="106" spans="1:69" ht="15" customHeight="1" x14ac:dyDescent="0.25">
      <c r="A106"/>
      <c r="C106" t="s">
        <v>265</v>
      </c>
      <c r="M106" s="1">
        <v>145</v>
      </c>
      <c r="N106" s="1">
        <v>27</v>
      </c>
      <c r="O106" s="1">
        <v>95</v>
      </c>
      <c r="P106" s="1">
        <v>236</v>
      </c>
      <c r="Q106" s="1">
        <v>111</v>
      </c>
      <c r="R106" s="1">
        <v>99</v>
      </c>
      <c r="S106" s="1">
        <v>190</v>
      </c>
      <c r="T106" s="1">
        <v>189</v>
      </c>
      <c r="U106" s="1">
        <v>256</v>
      </c>
      <c r="V106" s="1">
        <v>175</v>
      </c>
      <c r="W106" s="1">
        <v>106</v>
      </c>
      <c r="X106" s="1">
        <v>236</v>
      </c>
      <c r="Y106" s="1">
        <v>51</v>
      </c>
      <c r="AR106" s="3">
        <f t="shared" si="341"/>
        <v>1916</v>
      </c>
      <c r="AT106" s="1">
        <f>+[1]PassVol!$AU106</f>
        <v>2377</v>
      </c>
      <c r="AU106" s="1">
        <f t="shared" si="328"/>
        <v>-461</v>
      </c>
      <c r="AV106" s="1">
        <f t="shared" si="331"/>
        <v>0</v>
      </c>
      <c r="AW106" s="1">
        <f t="shared" si="332"/>
        <v>0</v>
      </c>
      <c r="AX106" s="1">
        <f t="shared" si="333"/>
        <v>503</v>
      </c>
      <c r="AY106" s="1">
        <f t="shared" si="334"/>
        <v>589</v>
      </c>
      <c r="AZ106" s="1">
        <f t="shared" si="335"/>
        <v>773</v>
      </c>
      <c r="BA106" s="1">
        <f t="shared" si="336"/>
        <v>51</v>
      </c>
      <c r="BB106" s="1">
        <f t="shared" si="337"/>
        <v>0</v>
      </c>
      <c r="BC106" s="1">
        <f t="shared" si="338"/>
        <v>0</v>
      </c>
      <c r="BD106" s="1">
        <f t="shared" si="339"/>
        <v>0</v>
      </c>
      <c r="BE106" s="1">
        <f t="shared" si="340"/>
        <v>0</v>
      </c>
      <c r="BG106" s="1">
        <f t="shared" si="342"/>
        <v>0</v>
      </c>
      <c r="BH106" s="1">
        <f t="shared" si="342"/>
        <v>0</v>
      </c>
      <c r="BI106" s="1">
        <f t="shared" si="343"/>
        <v>9054</v>
      </c>
      <c r="BJ106" s="1">
        <f t="shared" si="344"/>
        <v>10602</v>
      </c>
      <c r="BK106" s="1">
        <f t="shared" si="345"/>
        <v>13914</v>
      </c>
      <c r="BL106" s="1">
        <f t="shared" si="346"/>
        <v>918</v>
      </c>
      <c r="BM106" s="1">
        <f t="shared" si="347"/>
        <v>0</v>
      </c>
      <c r="BN106" s="1">
        <f t="shared" si="348"/>
        <v>0</v>
      </c>
      <c r="BO106" s="1">
        <f t="shared" si="349"/>
        <v>0</v>
      </c>
      <c r="BP106" s="1">
        <f t="shared" si="350"/>
        <v>0</v>
      </c>
      <c r="BQ106" s="1">
        <f t="shared" si="330"/>
        <v>34488</v>
      </c>
    </row>
    <row r="107" spans="1:69" ht="15" customHeight="1" x14ac:dyDescent="0.25">
      <c r="A107"/>
      <c r="C107" t="s">
        <v>191</v>
      </c>
      <c r="M107" s="1">
        <v>115</v>
      </c>
      <c r="N107" s="1">
        <v>49</v>
      </c>
      <c r="O107" s="1">
        <v>83</v>
      </c>
      <c r="P107" s="1">
        <v>572</v>
      </c>
      <c r="Q107" s="1">
        <v>332</v>
      </c>
      <c r="R107" s="1">
        <v>551</v>
      </c>
      <c r="S107" s="1">
        <v>496</v>
      </c>
      <c r="T107" s="1">
        <v>352</v>
      </c>
      <c r="U107" s="1">
        <v>349</v>
      </c>
      <c r="V107" s="1">
        <v>19</v>
      </c>
      <c r="W107" s="1">
        <v>363</v>
      </c>
      <c r="X107" s="1">
        <v>501</v>
      </c>
      <c r="Y107" s="1">
        <v>243</v>
      </c>
      <c r="Z107" s="1">
        <v>236</v>
      </c>
      <c r="AA107" s="1">
        <v>181</v>
      </c>
      <c r="AB107" s="1">
        <v>3</v>
      </c>
      <c r="AR107" s="3">
        <f t="shared" si="341"/>
        <v>4445</v>
      </c>
      <c r="AT107" s="1">
        <f>+[1]PassVol!$AU107</f>
        <v>3373</v>
      </c>
      <c r="AU107" s="1">
        <f t="shared" si="328"/>
        <v>1072</v>
      </c>
      <c r="AV107" s="1">
        <f t="shared" si="331"/>
        <v>0</v>
      </c>
      <c r="AW107" s="1">
        <f t="shared" si="332"/>
        <v>0</v>
      </c>
      <c r="AX107" s="1">
        <f t="shared" si="333"/>
        <v>819</v>
      </c>
      <c r="AY107" s="1">
        <f t="shared" si="334"/>
        <v>1731</v>
      </c>
      <c r="AZ107" s="1">
        <f t="shared" si="335"/>
        <v>1232</v>
      </c>
      <c r="BA107" s="1">
        <f t="shared" si="336"/>
        <v>663</v>
      </c>
      <c r="BB107" s="1">
        <f t="shared" si="337"/>
        <v>0</v>
      </c>
      <c r="BC107" s="1">
        <f t="shared" si="338"/>
        <v>0</v>
      </c>
      <c r="BD107" s="1">
        <f t="shared" si="339"/>
        <v>0</v>
      </c>
      <c r="BE107" s="1">
        <f t="shared" si="340"/>
        <v>0</v>
      </c>
      <c r="BG107" s="1">
        <f t="shared" si="342"/>
        <v>0</v>
      </c>
      <c r="BH107" s="1">
        <f t="shared" si="342"/>
        <v>0</v>
      </c>
      <c r="BI107" s="1">
        <f t="shared" si="343"/>
        <v>14742</v>
      </c>
      <c r="BJ107" s="1">
        <f t="shared" si="344"/>
        <v>31158</v>
      </c>
      <c r="BK107" s="1">
        <f t="shared" si="345"/>
        <v>22176</v>
      </c>
      <c r="BL107" s="1">
        <f t="shared" si="346"/>
        <v>11934</v>
      </c>
      <c r="BM107" s="1">
        <f t="shared" si="347"/>
        <v>0</v>
      </c>
      <c r="BN107" s="1">
        <f t="shared" si="348"/>
        <v>0</v>
      </c>
      <c r="BO107" s="1">
        <f t="shared" si="349"/>
        <v>0</v>
      </c>
      <c r="BP107" s="1">
        <f t="shared" si="350"/>
        <v>0</v>
      </c>
      <c r="BQ107" s="1">
        <f t="shared" si="330"/>
        <v>80010</v>
      </c>
    </row>
    <row r="108" spans="1:69" ht="15" customHeight="1" x14ac:dyDescent="0.25">
      <c r="C108" t="s">
        <v>549</v>
      </c>
      <c r="AR108" s="3">
        <f t="shared" si="341"/>
        <v>0</v>
      </c>
      <c r="AT108" s="1">
        <f>+[1]PassVol!$AU108</f>
        <v>0</v>
      </c>
      <c r="AU108" s="1">
        <f t="shared" si="328"/>
        <v>0</v>
      </c>
      <c r="AV108" s="1">
        <f t="shared" si="331"/>
        <v>0</v>
      </c>
      <c r="AW108" s="1">
        <f t="shared" si="332"/>
        <v>0</v>
      </c>
      <c r="AX108" s="1">
        <f t="shared" si="333"/>
        <v>0</v>
      </c>
      <c r="AY108" s="1">
        <f t="shared" si="334"/>
        <v>0</v>
      </c>
      <c r="AZ108" s="1">
        <f t="shared" si="335"/>
        <v>0</v>
      </c>
      <c r="BA108" s="1">
        <f t="shared" si="336"/>
        <v>0</v>
      </c>
      <c r="BB108" s="1">
        <f t="shared" si="337"/>
        <v>0</v>
      </c>
      <c r="BC108" s="1">
        <f t="shared" si="338"/>
        <v>0</v>
      </c>
      <c r="BD108" s="1">
        <f t="shared" si="339"/>
        <v>0</v>
      </c>
      <c r="BE108" s="1">
        <f t="shared" si="340"/>
        <v>0</v>
      </c>
      <c r="BG108" s="1">
        <f t="shared" si="342"/>
        <v>0</v>
      </c>
      <c r="BH108" s="1">
        <f t="shared" si="342"/>
        <v>0</v>
      </c>
      <c r="BI108" s="1">
        <f t="shared" si="343"/>
        <v>0</v>
      </c>
      <c r="BJ108" s="1">
        <f t="shared" si="344"/>
        <v>0</v>
      </c>
      <c r="BK108" s="1">
        <f t="shared" si="345"/>
        <v>0</v>
      </c>
      <c r="BL108" s="1">
        <f t="shared" si="346"/>
        <v>0</v>
      </c>
      <c r="BM108" s="1">
        <f t="shared" si="347"/>
        <v>0</v>
      </c>
      <c r="BN108" s="1">
        <f t="shared" si="348"/>
        <v>0</v>
      </c>
      <c r="BO108" s="1">
        <f t="shared" si="349"/>
        <v>0</v>
      </c>
      <c r="BP108" s="1">
        <f t="shared" si="350"/>
        <v>0</v>
      </c>
      <c r="BQ108" s="1">
        <f t="shared" si="330"/>
        <v>0</v>
      </c>
    </row>
    <row r="109" spans="1:69" ht="15" customHeight="1" x14ac:dyDescent="0.25">
      <c r="C109" t="s">
        <v>550</v>
      </c>
      <c r="M109" s="1">
        <v>528</v>
      </c>
      <c r="O109" s="1">
        <v>18</v>
      </c>
      <c r="Q109" s="1">
        <v>35</v>
      </c>
      <c r="R109" s="1">
        <v>168</v>
      </c>
      <c r="S109" s="1">
        <v>270</v>
      </c>
      <c r="U109" s="1">
        <v>223</v>
      </c>
      <c r="V109" s="1">
        <v>257</v>
      </c>
      <c r="W109" s="1">
        <v>130</v>
      </c>
      <c r="X109" s="1">
        <v>123</v>
      </c>
      <c r="Y109" s="1">
        <v>72</v>
      </c>
      <c r="Z109" s="1">
        <v>30</v>
      </c>
      <c r="AA109" s="1">
        <v>25</v>
      </c>
      <c r="AB109" s="1">
        <v>30</v>
      </c>
      <c r="AC109" s="1">
        <v>3</v>
      </c>
      <c r="AD109" s="1">
        <v>2</v>
      </c>
      <c r="AR109" s="3">
        <f t="shared" si="341"/>
        <v>1914</v>
      </c>
      <c r="AT109" s="1">
        <f>+[1]PassVol!$AU109</f>
        <v>0</v>
      </c>
      <c r="AU109" s="1">
        <f t="shared" si="328"/>
        <v>1914</v>
      </c>
      <c r="AV109" s="1">
        <f t="shared" si="331"/>
        <v>0</v>
      </c>
      <c r="AW109" s="1">
        <f t="shared" si="332"/>
        <v>0</v>
      </c>
      <c r="AX109" s="1">
        <f t="shared" si="333"/>
        <v>546</v>
      </c>
      <c r="AY109" s="1">
        <f t="shared" si="334"/>
        <v>473</v>
      </c>
      <c r="AZ109" s="1">
        <f t="shared" si="335"/>
        <v>733</v>
      </c>
      <c r="BA109" s="1">
        <f t="shared" si="336"/>
        <v>160</v>
      </c>
      <c r="BB109" s="1">
        <f t="shared" si="337"/>
        <v>2</v>
      </c>
      <c r="BC109" s="1">
        <f t="shared" si="338"/>
        <v>0</v>
      </c>
      <c r="BD109" s="1">
        <f t="shared" si="339"/>
        <v>0</v>
      </c>
      <c r="BE109" s="1">
        <f t="shared" si="340"/>
        <v>0</v>
      </c>
      <c r="BG109" s="1">
        <f t="shared" si="342"/>
        <v>0</v>
      </c>
      <c r="BH109" s="1">
        <f t="shared" si="342"/>
        <v>0</v>
      </c>
      <c r="BI109" s="1">
        <f t="shared" si="343"/>
        <v>9828</v>
      </c>
      <c r="BJ109" s="1">
        <f t="shared" si="344"/>
        <v>8514</v>
      </c>
      <c r="BK109" s="1">
        <f t="shared" si="345"/>
        <v>13194</v>
      </c>
      <c r="BL109" s="1">
        <f t="shared" si="346"/>
        <v>2880</v>
      </c>
      <c r="BM109" s="1">
        <f t="shared" si="347"/>
        <v>36</v>
      </c>
      <c r="BN109" s="1">
        <f t="shared" si="348"/>
        <v>0</v>
      </c>
      <c r="BO109" s="1">
        <f t="shared" si="349"/>
        <v>0</v>
      </c>
      <c r="BP109" s="1">
        <f t="shared" si="350"/>
        <v>0</v>
      </c>
      <c r="BQ109" s="1">
        <f t="shared" si="330"/>
        <v>34452</v>
      </c>
    </row>
    <row r="110" spans="1:69" ht="15" customHeight="1" x14ac:dyDescent="0.25">
      <c r="C110" t="s">
        <v>6</v>
      </c>
      <c r="AR110" s="3">
        <f t="shared" si="341"/>
        <v>0</v>
      </c>
      <c r="AT110" s="1">
        <f>+[1]PassVol!$AU110</f>
        <v>0</v>
      </c>
      <c r="AU110" s="1">
        <f t="shared" si="328"/>
        <v>0</v>
      </c>
      <c r="AV110" s="1">
        <f t="shared" si="331"/>
        <v>0</v>
      </c>
      <c r="AW110" s="1">
        <f t="shared" si="332"/>
        <v>0</v>
      </c>
      <c r="AX110" s="1">
        <f t="shared" si="333"/>
        <v>0</v>
      </c>
      <c r="AY110" s="1">
        <f t="shared" si="334"/>
        <v>0</v>
      </c>
      <c r="AZ110" s="1">
        <f t="shared" si="335"/>
        <v>0</v>
      </c>
      <c r="BA110" s="1">
        <f t="shared" si="336"/>
        <v>0</v>
      </c>
      <c r="BB110" s="1">
        <f t="shared" si="337"/>
        <v>0</v>
      </c>
      <c r="BC110" s="1">
        <f t="shared" si="338"/>
        <v>0</v>
      </c>
      <c r="BD110" s="1">
        <f t="shared" si="339"/>
        <v>0</v>
      </c>
      <c r="BE110" s="1">
        <f t="shared" si="340"/>
        <v>0</v>
      </c>
      <c r="BG110" s="1">
        <f t="shared" si="342"/>
        <v>0</v>
      </c>
      <c r="BH110" s="1">
        <f t="shared" si="342"/>
        <v>0</v>
      </c>
      <c r="BI110" s="1">
        <f t="shared" si="343"/>
        <v>0</v>
      </c>
      <c r="BJ110" s="1">
        <f t="shared" si="344"/>
        <v>0</v>
      </c>
      <c r="BK110" s="1">
        <f t="shared" si="345"/>
        <v>0</v>
      </c>
      <c r="BL110" s="1">
        <f t="shared" si="346"/>
        <v>0</v>
      </c>
      <c r="BM110" s="1">
        <f t="shared" si="347"/>
        <v>0</v>
      </c>
      <c r="BN110" s="1">
        <f t="shared" si="348"/>
        <v>0</v>
      </c>
      <c r="BO110" s="1">
        <f t="shared" si="349"/>
        <v>0</v>
      </c>
      <c r="BP110" s="1">
        <f t="shared" si="350"/>
        <v>0</v>
      </c>
      <c r="BQ110" s="1">
        <f t="shared" si="330"/>
        <v>0</v>
      </c>
    </row>
    <row r="111" spans="1:69" ht="15" customHeight="1" x14ac:dyDescent="0.25">
      <c r="C111" t="s">
        <v>262</v>
      </c>
      <c r="M111" s="1">
        <v>84</v>
      </c>
      <c r="N111" s="1">
        <v>176</v>
      </c>
      <c r="O111" s="1">
        <v>163</v>
      </c>
      <c r="P111" s="1">
        <v>186</v>
      </c>
      <c r="Q111" s="1">
        <v>296</v>
      </c>
      <c r="R111" s="1">
        <v>256</v>
      </c>
      <c r="S111" s="1">
        <v>200</v>
      </c>
      <c r="T111" s="1">
        <v>319</v>
      </c>
      <c r="U111" s="1">
        <v>199</v>
      </c>
      <c r="V111" s="1">
        <v>169</v>
      </c>
      <c r="W111" s="1">
        <v>197</v>
      </c>
      <c r="X111" s="1">
        <v>93</v>
      </c>
      <c r="Y111" s="1">
        <v>19</v>
      </c>
      <c r="Z111" s="1">
        <v>4</v>
      </c>
      <c r="AB111" s="1">
        <v>35</v>
      </c>
      <c r="AC111" s="1">
        <v>6</v>
      </c>
      <c r="AR111" s="3">
        <f t="shared" si="341"/>
        <v>2402</v>
      </c>
      <c r="AT111" s="1">
        <f>+[1]PassVol!$AU111</f>
        <v>2894</v>
      </c>
      <c r="AU111" s="1">
        <f t="shared" si="328"/>
        <v>-492</v>
      </c>
      <c r="AV111" s="1">
        <f t="shared" si="331"/>
        <v>0</v>
      </c>
      <c r="AW111" s="1">
        <f t="shared" si="332"/>
        <v>0</v>
      </c>
      <c r="AX111" s="1">
        <f t="shared" si="333"/>
        <v>609</v>
      </c>
      <c r="AY111" s="1">
        <f t="shared" si="334"/>
        <v>1071</v>
      </c>
      <c r="AZ111" s="1">
        <f t="shared" si="335"/>
        <v>658</v>
      </c>
      <c r="BA111" s="1">
        <f t="shared" si="336"/>
        <v>64</v>
      </c>
      <c r="BB111" s="1">
        <f t="shared" si="337"/>
        <v>0</v>
      </c>
      <c r="BC111" s="1">
        <f t="shared" si="338"/>
        <v>0</v>
      </c>
      <c r="BD111" s="1">
        <f t="shared" si="339"/>
        <v>0</v>
      </c>
      <c r="BE111" s="1">
        <f t="shared" si="340"/>
        <v>0</v>
      </c>
      <c r="BG111" s="1">
        <f t="shared" si="342"/>
        <v>0</v>
      </c>
      <c r="BH111" s="1">
        <f t="shared" si="342"/>
        <v>0</v>
      </c>
      <c r="BI111" s="1">
        <f t="shared" si="343"/>
        <v>10962</v>
      </c>
      <c r="BJ111" s="1">
        <f t="shared" si="344"/>
        <v>19278</v>
      </c>
      <c r="BK111" s="1">
        <f t="shared" si="345"/>
        <v>11844</v>
      </c>
      <c r="BL111" s="1">
        <f t="shared" si="346"/>
        <v>1152</v>
      </c>
      <c r="BM111" s="1">
        <f t="shared" si="347"/>
        <v>0</v>
      </c>
      <c r="BN111" s="1">
        <f t="shared" si="348"/>
        <v>0</v>
      </c>
      <c r="BO111" s="1">
        <f t="shared" si="349"/>
        <v>0</v>
      </c>
      <c r="BP111" s="1">
        <f t="shared" si="350"/>
        <v>0</v>
      </c>
      <c r="BQ111" s="1">
        <f t="shared" si="330"/>
        <v>43236</v>
      </c>
    </row>
    <row r="112" spans="1:69" ht="15" customHeight="1" x14ac:dyDescent="0.25">
      <c r="C112" t="s">
        <v>42</v>
      </c>
      <c r="M112" s="1">
        <v>543</v>
      </c>
      <c r="N112" s="1">
        <v>101</v>
      </c>
      <c r="O112" s="1">
        <v>95</v>
      </c>
      <c r="P112" s="1">
        <v>596</v>
      </c>
      <c r="Q112" s="1">
        <v>239</v>
      </c>
      <c r="R112" s="1">
        <v>289</v>
      </c>
      <c r="S112" s="1">
        <v>387</v>
      </c>
      <c r="T112" s="1">
        <v>219</v>
      </c>
      <c r="U112" s="1">
        <v>601</v>
      </c>
      <c r="V112" s="1">
        <v>158</v>
      </c>
      <c r="W112" s="1">
        <v>112</v>
      </c>
      <c r="X112" s="1">
        <v>188</v>
      </c>
      <c r="Y112" s="1">
        <v>22</v>
      </c>
      <c r="Z112" s="1">
        <v>1</v>
      </c>
      <c r="AA112" s="1">
        <v>7</v>
      </c>
      <c r="AR112" s="3">
        <f t="shared" si="341"/>
        <v>3558</v>
      </c>
      <c r="AT112" s="1">
        <f>+[1]PassVol!$AU112</f>
        <v>3034</v>
      </c>
      <c r="AU112" s="1">
        <f t="shared" si="328"/>
        <v>524</v>
      </c>
      <c r="AV112" s="1">
        <f t="shared" si="331"/>
        <v>0</v>
      </c>
      <c r="AW112" s="1">
        <f t="shared" si="332"/>
        <v>0</v>
      </c>
      <c r="AX112" s="1">
        <f t="shared" si="333"/>
        <v>1335</v>
      </c>
      <c r="AY112" s="1">
        <f t="shared" si="334"/>
        <v>1134</v>
      </c>
      <c r="AZ112" s="1">
        <f t="shared" si="335"/>
        <v>1059</v>
      </c>
      <c r="BA112" s="1">
        <f t="shared" si="336"/>
        <v>30</v>
      </c>
      <c r="BB112" s="1">
        <f t="shared" si="337"/>
        <v>0</v>
      </c>
      <c r="BC112" s="1">
        <f t="shared" si="338"/>
        <v>0</v>
      </c>
      <c r="BD112" s="1">
        <f t="shared" si="339"/>
        <v>0</v>
      </c>
      <c r="BE112" s="1">
        <f t="shared" si="340"/>
        <v>0</v>
      </c>
      <c r="BG112" s="1">
        <f t="shared" si="342"/>
        <v>0</v>
      </c>
      <c r="BH112" s="1">
        <f t="shared" si="342"/>
        <v>0</v>
      </c>
      <c r="BI112" s="1">
        <f t="shared" si="343"/>
        <v>24030</v>
      </c>
      <c r="BJ112" s="1">
        <f t="shared" si="344"/>
        <v>20412</v>
      </c>
      <c r="BK112" s="1">
        <f t="shared" si="345"/>
        <v>19062</v>
      </c>
      <c r="BL112" s="1">
        <f t="shared" si="346"/>
        <v>540</v>
      </c>
      <c r="BM112" s="1">
        <f t="shared" si="347"/>
        <v>0</v>
      </c>
      <c r="BN112" s="1">
        <f t="shared" si="348"/>
        <v>0</v>
      </c>
      <c r="BO112" s="1">
        <f t="shared" si="349"/>
        <v>0</v>
      </c>
      <c r="BP112" s="1">
        <f t="shared" si="350"/>
        <v>0</v>
      </c>
      <c r="BQ112" s="1">
        <f t="shared" si="330"/>
        <v>64044</v>
      </c>
    </row>
    <row r="113" spans="1:69" ht="15" customHeight="1" x14ac:dyDescent="0.25">
      <c r="C113" t="s">
        <v>192</v>
      </c>
      <c r="M113" s="1">
        <v>511</v>
      </c>
      <c r="N113" s="1">
        <v>104</v>
      </c>
      <c r="O113" s="1">
        <v>178</v>
      </c>
      <c r="P113" s="1">
        <v>570</v>
      </c>
      <c r="Q113" s="1">
        <v>227</v>
      </c>
      <c r="R113" s="1">
        <v>173</v>
      </c>
      <c r="S113" s="1">
        <v>290</v>
      </c>
      <c r="T113" s="1">
        <v>300</v>
      </c>
      <c r="U113" s="1">
        <v>381</v>
      </c>
      <c r="V113" s="1">
        <v>123</v>
      </c>
      <c r="W113" s="1">
        <v>155</v>
      </c>
      <c r="X113" s="1">
        <v>273</v>
      </c>
      <c r="Y113" s="1">
        <v>83</v>
      </c>
      <c r="Z113" s="1">
        <v>22</v>
      </c>
      <c r="AA113" s="1">
        <v>12</v>
      </c>
      <c r="AB113" s="1">
        <v>3</v>
      </c>
      <c r="AC113" s="1">
        <v>6</v>
      </c>
      <c r="AR113" s="3">
        <f t="shared" si="341"/>
        <v>3411</v>
      </c>
      <c r="AT113" s="1">
        <f>+[1]PassVol!$AU113</f>
        <v>2023</v>
      </c>
      <c r="AU113" s="1">
        <f t="shared" si="328"/>
        <v>1388</v>
      </c>
      <c r="AV113" s="1">
        <f t="shared" si="331"/>
        <v>0</v>
      </c>
      <c r="AW113" s="1">
        <f t="shared" si="332"/>
        <v>0</v>
      </c>
      <c r="AX113" s="1">
        <f t="shared" si="333"/>
        <v>1363</v>
      </c>
      <c r="AY113" s="1">
        <f t="shared" si="334"/>
        <v>990</v>
      </c>
      <c r="AZ113" s="1">
        <f t="shared" si="335"/>
        <v>932</v>
      </c>
      <c r="BA113" s="1">
        <f t="shared" si="336"/>
        <v>126</v>
      </c>
      <c r="BB113" s="1">
        <f t="shared" si="337"/>
        <v>0</v>
      </c>
      <c r="BC113" s="1">
        <f t="shared" si="338"/>
        <v>0</v>
      </c>
      <c r="BD113" s="1">
        <f t="shared" si="339"/>
        <v>0</v>
      </c>
      <c r="BE113" s="1">
        <f t="shared" si="340"/>
        <v>0</v>
      </c>
      <c r="BG113" s="1">
        <f t="shared" si="342"/>
        <v>0</v>
      </c>
      <c r="BH113" s="1">
        <f t="shared" si="342"/>
        <v>0</v>
      </c>
      <c r="BI113" s="1">
        <f t="shared" si="343"/>
        <v>24534</v>
      </c>
      <c r="BJ113" s="1">
        <f t="shared" si="344"/>
        <v>17820</v>
      </c>
      <c r="BK113" s="1">
        <f t="shared" si="345"/>
        <v>16776</v>
      </c>
      <c r="BL113" s="1">
        <f t="shared" si="346"/>
        <v>2268</v>
      </c>
      <c r="BM113" s="1">
        <f t="shared" si="347"/>
        <v>0</v>
      </c>
      <c r="BN113" s="1">
        <f t="shared" si="348"/>
        <v>0</v>
      </c>
      <c r="BO113" s="1">
        <f t="shared" si="349"/>
        <v>0</v>
      </c>
      <c r="BP113" s="1">
        <f t="shared" si="350"/>
        <v>0</v>
      </c>
      <c r="BQ113" s="1">
        <f t="shared" si="330"/>
        <v>61398</v>
      </c>
    </row>
    <row r="114" spans="1:69" ht="15" customHeight="1" x14ac:dyDescent="0.25">
      <c r="C114" t="s">
        <v>133</v>
      </c>
      <c r="M114" s="1">
        <v>58</v>
      </c>
      <c r="N114" s="1">
        <v>96</v>
      </c>
      <c r="O114" s="1">
        <v>106</v>
      </c>
      <c r="P114" s="1">
        <v>156</v>
      </c>
      <c r="Q114" s="1">
        <v>186</v>
      </c>
      <c r="R114" s="1">
        <v>116</v>
      </c>
      <c r="S114" s="1">
        <v>170</v>
      </c>
      <c r="T114" s="1">
        <v>240</v>
      </c>
      <c r="U114" s="1">
        <v>215</v>
      </c>
      <c r="V114" s="1">
        <v>92</v>
      </c>
      <c r="W114" s="1">
        <v>88</v>
      </c>
      <c r="X114" s="1">
        <v>173</v>
      </c>
      <c r="Y114" s="1">
        <v>141</v>
      </c>
      <c r="Z114" s="1">
        <v>30</v>
      </c>
      <c r="AA114" s="1">
        <v>42</v>
      </c>
      <c r="AB114" s="1">
        <v>20</v>
      </c>
      <c r="AC114" s="1">
        <v>8</v>
      </c>
      <c r="AR114" s="3">
        <f t="shared" si="341"/>
        <v>1937</v>
      </c>
      <c r="AT114" s="1">
        <f>+[1]PassVol!$AU114</f>
        <v>1120</v>
      </c>
      <c r="AU114" s="1">
        <f t="shared" si="328"/>
        <v>817</v>
      </c>
      <c r="AV114" s="1">
        <f t="shared" si="331"/>
        <v>0</v>
      </c>
      <c r="AW114" s="1">
        <f t="shared" si="332"/>
        <v>0</v>
      </c>
      <c r="AX114" s="1">
        <f t="shared" si="333"/>
        <v>416</v>
      </c>
      <c r="AY114" s="1">
        <f t="shared" si="334"/>
        <v>712</v>
      </c>
      <c r="AZ114" s="1">
        <f t="shared" si="335"/>
        <v>568</v>
      </c>
      <c r="BA114" s="1">
        <f t="shared" si="336"/>
        <v>241</v>
      </c>
      <c r="BB114" s="1">
        <f t="shared" si="337"/>
        <v>0</v>
      </c>
      <c r="BC114" s="1">
        <f t="shared" si="338"/>
        <v>0</v>
      </c>
      <c r="BD114" s="1">
        <f t="shared" si="339"/>
        <v>0</v>
      </c>
      <c r="BE114" s="1">
        <f t="shared" si="340"/>
        <v>0</v>
      </c>
      <c r="BG114" s="1">
        <f t="shared" si="342"/>
        <v>0</v>
      </c>
      <c r="BH114" s="1">
        <f t="shared" si="342"/>
        <v>0</v>
      </c>
      <c r="BI114" s="1">
        <f t="shared" si="343"/>
        <v>7488</v>
      </c>
      <c r="BJ114" s="1">
        <f t="shared" si="344"/>
        <v>12816</v>
      </c>
      <c r="BK114" s="1">
        <f t="shared" si="345"/>
        <v>10224</v>
      </c>
      <c r="BL114" s="1">
        <f t="shared" si="346"/>
        <v>4338</v>
      </c>
      <c r="BM114" s="1">
        <f t="shared" si="347"/>
        <v>0</v>
      </c>
      <c r="BN114" s="1">
        <f t="shared" si="348"/>
        <v>0</v>
      </c>
      <c r="BO114" s="1">
        <f t="shared" si="349"/>
        <v>0</v>
      </c>
      <c r="BP114" s="1">
        <f t="shared" si="350"/>
        <v>0</v>
      </c>
      <c r="BQ114" s="1">
        <f t="shared" si="330"/>
        <v>34866</v>
      </c>
    </row>
    <row r="115" spans="1:69" ht="15" customHeight="1" x14ac:dyDescent="0.25">
      <c r="C115" t="s">
        <v>41</v>
      </c>
      <c r="M115" s="1">
        <v>590</v>
      </c>
      <c r="N115" s="1">
        <v>173</v>
      </c>
      <c r="O115" s="1">
        <v>560</v>
      </c>
      <c r="P115" s="1">
        <v>481</v>
      </c>
      <c r="Q115" s="1">
        <v>710</v>
      </c>
      <c r="R115" s="1">
        <v>658</v>
      </c>
      <c r="S115" s="1">
        <v>459</v>
      </c>
      <c r="T115" s="1">
        <v>789</v>
      </c>
      <c r="U115" s="1">
        <v>863</v>
      </c>
      <c r="V115" s="1">
        <v>644</v>
      </c>
      <c r="W115" s="1">
        <v>528</v>
      </c>
      <c r="X115" s="1">
        <v>1253</v>
      </c>
      <c r="Y115" s="1">
        <v>865</v>
      </c>
      <c r="Z115" s="1">
        <v>173</v>
      </c>
      <c r="AA115" s="1">
        <v>37</v>
      </c>
      <c r="AB115" s="1">
        <v>35</v>
      </c>
      <c r="AC115" s="1">
        <v>9</v>
      </c>
      <c r="AR115" s="3">
        <f t="shared" si="341"/>
        <v>8827</v>
      </c>
      <c r="AT115" s="1">
        <f>+[1]PassVol!$AU115</f>
        <v>7371</v>
      </c>
      <c r="AU115" s="1">
        <f t="shared" si="328"/>
        <v>1456</v>
      </c>
      <c r="AV115" s="1">
        <f t="shared" si="331"/>
        <v>0</v>
      </c>
      <c r="AW115" s="1">
        <f t="shared" si="332"/>
        <v>0</v>
      </c>
      <c r="AX115" s="1">
        <f t="shared" si="333"/>
        <v>1804</v>
      </c>
      <c r="AY115" s="1">
        <f t="shared" si="334"/>
        <v>2616</v>
      </c>
      <c r="AZ115" s="1">
        <f t="shared" si="335"/>
        <v>3288</v>
      </c>
      <c r="BA115" s="1">
        <f t="shared" si="336"/>
        <v>1119</v>
      </c>
      <c r="BB115" s="1">
        <f t="shared" si="337"/>
        <v>0</v>
      </c>
      <c r="BC115" s="1">
        <f t="shared" si="338"/>
        <v>0</v>
      </c>
      <c r="BD115" s="1">
        <f t="shared" si="339"/>
        <v>0</v>
      </c>
      <c r="BE115" s="1">
        <f t="shared" si="340"/>
        <v>0</v>
      </c>
      <c r="BG115" s="1">
        <f t="shared" si="342"/>
        <v>0</v>
      </c>
      <c r="BH115" s="1">
        <f t="shared" si="342"/>
        <v>0</v>
      </c>
      <c r="BI115" s="1">
        <f t="shared" si="343"/>
        <v>32472</v>
      </c>
      <c r="BJ115" s="1">
        <f t="shared" si="344"/>
        <v>47088</v>
      </c>
      <c r="BK115" s="1">
        <f t="shared" si="345"/>
        <v>59184</v>
      </c>
      <c r="BL115" s="1">
        <f t="shared" si="346"/>
        <v>20142</v>
      </c>
      <c r="BM115" s="1">
        <f t="shared" si="347"/>
        <v>0</v>
      </c>
      <c r="BN115" s="1">
        <f t="shared" si="348"/>
        <v>0</v>
      </c>
      <c r="BO115" s="1">
        <f t="shared" si="349"/>
        <v>0</v>
      </c>
      <c r="BP115" s="1">
        <f t="shared" si="350"/>
        <v>0</v>
      </c>
      <c r="BQ115" s="1">
        <f t="shared" si="330"/>
        <v>158886</v>
      </c>
    </row>
    <row r="116" spans="1:69" ht="15" customHeight="1" x14ac:dyDescent="0.25">
      <c r="C116" t="s">
        <v>193</v>
      </c>
      <c r="AR116" s="3">
        <f t="shared" si="341"/>
        <v>0</v>
      </c>
      <c r="AT116" s="1">
        <f>+[1]PassVol!$AU116</f>
        <v>0</v>
      </c>
      <c r="AU116" s="1">
        <f t="shared" si="328"/>
        <v>0</v>
      </c>
      <c r="AV116" s="1">
        <f t="shared" si="331"/>
        <v>0</v>
      </c>
      <c r="AW116" s="1">
        <f t="shared" si="332"/>
        <v>0</v>
      </c>
      <c r="AX116" s="1">
        <f t="shared" si="333"/>
        <v>0</v>
      </c>
      <c r="AY116" s="1">
        <f t="shared" si="334"/>
        <v>0</v>
      </c>
      <c r="AZ116" s="1">
        <f t="shared" si="335"/>
        <v>0</v>
      </c>
      <c r="BA116" s="1">
        <f t="shared" si="336"/>
        <v>0</v>
      </c>
      <c r="BB116" s="1">
        <f t="shared" si="337"/>
        <v>0</v>
      </c>
      <c r="BC116" s="1">
        <f t="shared" si="338"/>
        <v>0</v>
      </c>
      <c r="BD116" s="1">
        <f t="shared" si="339"/>
        <v>0</v>
      </c>
      <c r="BE116" s="1">
        <f t="shared" si="340"/>
        <v>0</v>
      </c>
      <c r="BG116" s="1">
        <f t="shared" si="342"/>
        <v>0</v>
      </c>
      <c r="BH116" s="1">
        <f t="shared" si="342"/>
        <v>0</v>
      </c>
      <c r="BI116" s="1">
        <f t="shared" si="343"/>
        <v>0</v>
      </c>
      <c r="BJ116" s="1">
        <f t="shared" si="344"/>
        <v>0</v>
      </c>
      <c r="BK116" s="1">
        <f t="shared" si="345"/>
        <v>0</v>
      </c>
      <c r="BL116" s="1">
        <f t="shared" si="346"/>
        <v>0</v>
      </c>
      <c r="BM116" s="1">
        <f t="shared" si="347"/>
        <v>0</v>
      </c>
      <c r="BN116" s="1">
        <f t="shared" si="348"/>
        <v>0</v>
      </c>
      <c r="BO116" s="1">
        <f t="shared" si="349"/>
        <v>0</v>
      </c>
      <c r="BP116" s="1">
        <f t="shared" si="350"/>
        <v>0</v>
      </c>
      <c r="BQ116" s="1">
        <f t="shared" si="330"/>
        <v>0</v>
      </c>
    </row>
    <row r="117" spans="1:69" ht="15" customHeight="1" x14ac:dyDescent="0.25">
      <c r="C117" t="s">
        <v>297</v>
      </c>
      <c r="AR117" s="3">
        <f t="shared" si="341"/>
        <v>0</v>
      </c>
      <c r="AT117" s="1">
        <f>+[1]PassVol!$AU117</f>
        <v>0</v>
      </c>
      <c r="AU117" s="1">
        <f t="shared" si="328"/>
        <v>0</v>
      </c>
      <c r="AV117" s="1">
        <f t="shared" si="331"/>
        <v>0</v>
      </c>
      <c r="AW117" s="1">
        <f t="shared" si="332"/>
        <v>0</v>
      </c>
      <c r="AX117" s="1">
        <f t="shared" si="333"/>
        <v>0</v>
      </c>
      <c r="AY117" s="1">
        <f t="shared" si="334"/>
        <v>0</v>
      </c>
      <c r="AZ117" s="1">
        <f t="shared" si="335"/>
        <v>0</v>
      </c>
      <c r="BA117" s="1">
        <f t="shared" si="336"/>
        <v>0</v>
      </c>
      <c r="BB117" s="1">
        <f t="shared" si="337"/>
        <v>0</v>
      </c>
      <c r="BC117" s="1">
        <f t="shared" si="338"/>
        <v>0</v>
      </c>
      <c r="BD117" s="1">
        <f t="shared" si="339"/>
        <v>0</v>
      </c>
      <c r="BE117" s="1">
        <f t="shared" si="340"/>
        <v>0</v>
      </c>
      <c r="BG117" s="1">
        <f t="shared" si="342"/>
        <v>0</v>
      </c>
      <c r="BH117" s="1">
        <f t="shared" si="342"/>
        <v>0</v>
      </c>
      <c r="BI117" s="1">
        <f t="shared" si="343"/>
        <v>0</v>
      </c>
      <c r="BJ117" s="1">
        <f t="shared" si="344"/>
        <v>0</v>
      </c>
      <c r="BK117" s="1">
        <f t="shared" si="345"/>
        <v>0</v>
      </c>
      <c r="BL117" s="1">
        <f t="shared" si="346"/>
        <v>0</v>
      </c>
      <c r="BM117" s="1">
        <f t="shared" si="347"/>
        <v>0</v>
      </c>
      <c r="BN117" s="1">
        <f t="shared" si="348"/>
        <v>0</v>
      </c>
      <c r="BO117" s="1">
        <f t="shared" si="349"/>
        <v>0</v>
      </c>
      <c r="BP117" s="1">
        <f t="shared" si="350"/>
        <v>0</v>
      </c>
      <c r="BQ117" s="1">
        <f t="shared" si="330"/>
        <v>0</v>
      </c>
    </row>
    <row r="118" spans="1:69" ht="15" customHeight="1" x14ac:dyDescent="0.25">
      <c r="C118" t="s">
        <v>296</v>
      </c>
      <c r="M118" s="1">
        <v>19</v>
      </c>
      <c r="N118" s="1">
        <v>17</v>
      </c>
      <c r="O118" s="1">
        <v>21</v>
      </c>
      <c r="P118" s="1">
        <v>48</v>
      </c>
      <c r="Q118" s="1">
        <v>51</v>
      </c>
      <c r="R118" s="1">
        <v>41</v>
      </c>
      <c r="S118" s="1">
        <v>57</v>
      </c>
      <c r="T118" s="1">
        <v>62</v>
      </c>
      <c r="U118" s="1">
        <v>92</v>
      </c>
      <c r="V118" s="1">
        <v>54</v>
      </c>
      <c r="W118" s="1">
        <v>53</v>
      </c>
      <c r="X118" s="1">
        <v>62</v>
      </c>
      <c r="Y118" s="1">
        <v>43</v>
      </c>
      <c r="Z118" s="1">
        <v>17</v>
      </c>
      <c r="AA118" s="1">
        <v>32</v>
      </c>
      <c r="AB118" s="1">
        <v>13</v>
      </c>
      <c r="AC118" s="1">
        <v>4</v>
      </c>
      <c r="AR118" s="3">
        <f t="shared" si="341"/>
        <v>686</v>
      </c>
      <c r="AT118" s="1">
        <f>+[1]PassVol!$AU118</f>
        <v>375</v>
      </c>
      <c r="AU118" s="1">
        <f t="shared" si="328"/>
        <v>311</v>
      </c>
      <c r="AV118" s="1">
        <f t="shared" si="331"/>
        <v>0</v>
      </c>
      <c r="AW118" s="1">
        <f t="shared" si="332"/>
        <v>0</v>
      </c>
      <c r="AX118" s="1">
        <f t="shared" si="333"/>
        <v>105</v>
      </c>
      <c r="AY118" s="1">
        <f t="shared" si="334"/>
        <v>211</v>
      </c>
      <c r="AZ118" s="1">
        <f t="shared" si="335"/>
        <v>261</v>
      </c>
      <c r="BA118" s="1">
        <f t="shared" si="336"/>
        <v>109</v>
      </c>
      <c r="BB118" s="1">
        <f t="shared" si="337"/>
        <v>0</v>
      </c>
      <c r="BC118" s="1">
        <f t="shared" si="338"/>
        <v>0</v>
      </c>
      <c r="BD118" s="1">
        <f t="shared" si="339"/>
        <v>0</v>
      </c>
      <c r="BE118" s="1">
        <f t="shared" si="340"/>
        <v>0</v>
      </c>
      <c r="BG118" s="1">
        <f t="shared" si="342"/>
        <v>0</v>
      </c>
      <c r="BH118" s="1">
        <f t="shared" si="342"/>
        <v>0</v>
      </c>
      <c r="BI118" s="1">
        <f t="shared" si="343"/>
        <v>1890</v>
      </c>
      <c r="BJ118" s="1">
        <f t="shared" si="344"/>
        <v>3798</v>
      </c>
      <c r="BK118" s="1">
        <f t="shared" si="345"/>
        <v>4698</v>
      </c>
      <c r="BL118" s="1">
        <f t="shared" si="346"/>
        <v>1962</v>
      </c>
      <c r="BM118" s="1">
        <f t="shared" si="347"/>
        <v>0</v>
      </c>
      <c r="BN118" s="1">
        <f t="shared" si="348"/>
        <v>0</v>
      </c>
      <c r="BO118" s="1">
        <f t="shared" si="349"/>
        <v>0</v>
      </c>
      <c r="BP118" s="1">
        <f t="shared" si="350"/>
        <v>0</v>
      </c>
      <c r="BQ118" s="1">
        <f t="shared" si="330"/>
        <v>12348</v>
      </c>
    </row>
    <row r="119" spans="1:69" ht="15" customHeight="1" x14ac:dyDescent="0.25">
      <c r="A119"/>
      <c r="C119" t="s">
        <v>44</v>
      </c>
      <c r="M119" s="1">
        <f>5555-4519-5</f>
        <v>1031</v>
      </c>
      <c r="N119" s="1">
        <f>3882-2237-10</f>
        <v>1635</v>
      </c>
      <c r="O119" s="1">
        <f>4814-2982</f>
        <v>1832</v>
      </c>
      <c r="P119" s="1">
        <f>7887-4760</f>
        <v>3127</v>
      </c>
      <c r="Q119" s="1">
        <f>8457-4828-9</f>
        <v>3620</v>
      </c>
      <c r="R119" s="1">
        <f>9210-4642</f>
        <v>4568</v>
      </c>
      <c r="S119" s="1">
        <f>10384-5484-7</f>
        <v>4893</v>
      </c>
      <c r="T119" s="1">
        <f>9261-5034</f>
        <v>4227</v>
      </c>
      <c r="U119" s="1">
        <f>10559-5871</f>
        <v>4688</v>
      </c>
      <c r="V119" s="1">
        <f>7528-3943</f>
        <v>3585</v>
      </c>
      <c r="W119" s="1">
        <f>8308-4081</f>
        <v>4227</v>
      </c>
      <c r="X119" s="1">
        <f>9478-5973</f>
        <v>3505</v>
      </c>
      <c r="Y119" s="1">
        <f>5221-3580</f>
        <v>1641</v>
      </c>
      <c r="Z119" s="1">
        <f>2130-1760</f>
        <v>370</v>
      </c>
      <c r="AA119" s="1">
        <f>1084-698</f>
        <v>386</v>
      </c>
      <c r="AB119" s="1">
        <f>486-296</f>
        <v>190</v>
      </c>
      <c r="AC119" s="1">
        <v>5</v>
      </c>
      <c r="AD119" s="1">
        <f>9-5</f>
        <v>4</v>
      </c>
      <c r="AR119" s="3">
        <f t="shared" si="341"/>
        <v>43534</v>
      </c>
      <c r="AT119" s="1">
        <f>+[1]PassVol!$AU119</f>
        <v>33614</v>
      </c>
      <c r="AU119" s="1">
        <f t="shared" si="328"/>
        <v>9920</v>
      </c>
      <c r="AV119" s="1">
        <f t="shared" si="331"/>
        <v>0</v>
      </c>
      <c r="AW119" s="1">
        <f t="shared" si="332"/>
        <v>0</v>
      </c>
      <c r="AX119" s="1">
        <f t="shared" si="333"/>
        <v>7625</v>
      </c>
      <c r="AY119" s="1">
        <f t="shared" si="334"/>
        <v>17308</v>
      </c>
      <c r="AZ119" s="1">
        <f t="shared" si="335"/>
        <v>16005</v>
      </c>
      <c r="BA119" s="1">
        <f t="shared" si="336"/>
        <v>2592</v>
      </c>
      <c r="BB119" s="1">
        <f t="shared" si="337"/>
        <v>4</v>
      </c>
      <c r="BC119" s="1">
        <f t="shared" si="338"/>
        <v>0</v>
      </c>
      <c r="BD119" s="1">
        <f t="shared" si="339"/>
        <v>0</v>
      </c>
      <c r="BE119" s="1">
        <f t="shared" si="340"/>
        <v>0</v>
      </c>
      <c r="BG119" s="1">
        <f t="shared" si="342"/>
        <v>0</v>
      </c>
      <c r="BH119" s="1">
        <f t="shared" si="342"/>
        <v>0</v>
      </c>
      <c r="BI119" s="1">
        <f t="shared" si="343"/>
        <v>137250</v>
      </c>
      <c r="BJ119" s="1">
        <f t="shared" si="344"/>
        <v>311544</v>
      </c>
      <c r="BK119" s="1">
        <f t="shared" si="345"/>
        <v>288090</v>
      </c>
      <c r="BL119" s="1">
        <f t="shared" si="346"/>
        <v>46656</v>
      </c>
      <c r="BM119" s="1">
        <f t="shared" si="347"/>
        <v>72</v>
      </c>
      <c r="BN119" s="1">
        <f t="shared" si="348"/>
        <v>0</v>
      </c>
      <c r="BO119" s="1">
        <f t="shared" si="349"/>
        <v>0</v>
      </c>
      <c r="BP119" s="1">
        <f t="shared" si="350"/>
        <v>0</v>
      </c>
      <c r="BQ119" s="1">
        <f t="shared" si="330"/>
        <v>783612</v>
      </c>
    </row>
    <row r="120" spans="1:69" s="2" customFormat="1" ht="15" customHeight="1" x14ac:dyDescent="0.25">
      <c r="B120" s="2" t="s">
        <v>154</v>
      </c>
      <c r="D120" s="3">
        <f t="shared" ref="D120:AQ120" si="351">SUM(D101:D119)</f>
        <v>0</v>
      </c>
      <c r="E120" s="3">
        <f t="shared" si="351"/>
        <v>0</v>
      </c>
      <c r="F120" s="3">
        <f t="shared" si="351"/>
        <v>0</v>
      </c>
      <c r="G120" s="3">
        <f t="shared" si="351"/>
        <v>0</v>
      </c>
      <c r="H120" s="3">
        <f t="shared" si="351"/>
        <v>0</v>
      </c>
      <c r="I120" s="3">
        <f t="shared" si="351"/>
        <v>0</v>
      </c>
      <c r="J120" s="3">
        <f t="shared" si="351"/>
        <v>0</v>
      </c>
      <c r="K120" s="3">
        <f t="shared" si="351"/>
        <v>0</v>
      </c>
      <c r="L120" s="3">
        <f>SUM(L101:L119)</f>
        <v>0</v>
      </c>
      <c r="M120" s="3">
        <f>SUM(M101:M119)</f>
        <v>5550</v>
      </c>
      <c r="N120" s="3">
        <f t="shared" si="351"/>
        <v>3882</v>
      </c>
      <c r="O120" s="3">
        <f t="shared" si="351"/>
        <v>4814</v>
      </c>
      <c r="P120" s="3">
        <f t="shared" si="351"/>
        <v>7888</v>
      </c>
      <c r="Q120" s="3">
        <f t="shared" si="351"/>
        <v>8457</v>
      </c>
      <c r="R120" s="3">
        <f t="shared" si="351"/>
        <v>9210</v>
      </c>
      <c r="S120" s="3">
        <f t="shared" si="351"/>
        <v>10384</v>
      </c>
      <c r="T120" s="3">
        <f t="shared" si="351"/>
        <v>9261</v>
      </c>
      <c r="U120" s="3">
        <f t="shared" si="351"/>
        <v>10559</v>
      </c>
      <c r="V120" s="3">
        <f t="shared" si="351"/>
        <v>7528</v>
      </c>
      <c r="W120" s="3">
        <f t="shared" si="351"/>
        <v>8308</v>
      </c>
      <c r="X120" s="3">
        <f t="shared" si="351"/>
        <v>9478</v>
      </c>
      <c r="Y120" s="3">
        <f t="shared" si="351"/>
        <v>5220</v>
      </c>
      <c r="Z120" s="3">
        <f t="shared" si="351"/>
        <v>2130</v>
      </c>
      <c r="AA120" s="3">
        <f t="shared" si="351"/>
        <v>1084</v>
      </c>
      <c r="AB120" s="3">
        <f t="shared" si="351"/>
        <v>486</v>
      </c>
      <c r="AC120" s="3">
        <f t="shared" si="351"/>
        <v>41</v>
      </c>
      <c r="AD120" s="3">
        <f t="shared" si="351"/>
        <v>9</v>
      </c>
      <c r="AE120" s="3">
        <f t="shared" si="351"/>
        <v>0</v>
      </c>
      <c r="AF120" s="3">
        <f t="shared" si="351"/>
        <v>0</v>
      </c>
      <c r="AG120" s="3">
        <f t="shared" si="351"/>
        <v>0</v>
      </c>
      <c r="AH120" s="150">
        <f t="shared" si="351"/>
        <v>0</v>
      </c>
      <c r="AI120" s="3">
        <f t="shared" si="351"/>
        <v>0</v>
      </c>
      <c r="AJ120" s="3">
        <f t="shared" si="351"/>
        <v>0</v>
      </c>
      <c r="AK120" s="3">
        <f t="shared" si="351"/>
        <v>0</v>
      </c>
      <c r="AL120" s="150">
        <f t="shared" si="351"/>
        <v>0</v>
      </c>
      <c r="AM120" s="3">
        <f t="shared" si="351"/>
        <v>0</v>
      </c>
      <c r="AN120" s="3">
        <f t="shared" si="351"/>
        <v>0</v>
      </c>
      <c r="AO120" s="3">
        <f t="shared" si="351"/>
        <v>0</v>
      </c>
      <c r="AP120" s="3">
        <f t="shared" si="351"/>
        <v>0</v>
      </c>
      <c r="AQ120" s="3">
        <f t="shared" si="351"/>
        <v>0</v>
      </c>
      <c r="AR120" s="3">
        <f t="shared" ref="AR120:AU120" si="352">SUM(AR101:AR119)</f>
        <v>104289</v>
      </c>
      <c r="AS120" s="3"/>
      <c r="AT120" s="3">
        <f t="shared" si="352"/>
        <v>84086</v>
      </c>
      <c r="AU120" s="3">
        <f t="shared" si="352"/>
        <v>20203</v>
      </c>
      <c r="AV120" s="3">
        <f>SUM(AV101:AV119)</f>
        <v>0</v>
      </c>
      <c r="AW120" s="3">
        <f>SUM(AW101:AW119)</f>
        <v>0</v>
      </c>
      <c r="AX120" s="3">
        <f t="shared" ref="AX120:BE120" si="353">SUM(AX101:AX119)</f>
        <v>22134</v>
      </c>
      <c r="AY120" s="3">
        <f t="shared" si="353"/>
        <v>37312</v>
      </c>
      <c r="AZ120" s="3">
        <f t="shared" si="353"/>
        <v>35873</v>
      </c>
      <c r="BA120" s="3">
        <f t="shared" si="353"/>
        <v>8961</v>
      </c>
      <c r="BB120" s="3">
        <f t="shared" si="353"/>
        <v>9</v>
      </c>
      <c r="BC120" s="3">
        <f t="shared" si="353"/>
        <v>0</v>
      </c>
      <c r="BD120" s="3">
        <f t="shared" si="353"/>
        <v>0</v>
      </c>
      <c r="BE120" s="3">
        <f t="shared" si="353"/>
        <v>0</v>
      </c>
      <c r="BG120" s="3">
        <f>SUM(BG101:BG119)</f>
        <v>0</v>
      </c>
      <c r="BH120" s="3">
        <f>SUM(BH101:BH119)</f>
        <v>0</v>
      </c>
      <c r="BI120" s="3">
        <f t="shared" ref="BI120:BQ120" si="354">SUM(BI101:BI119)</f>
        <v>398412</v>
      </c>
      <c r="BJ120" s="3">
        <f t="shared" si="354"/>
        <v>671616</v>
      </c>
      <c r="BK120" s="3">
        <f t="shared" si="354"/>
        <v>645714</v>
      </c>
      <c r="BL120" s="3">
        <f t="shared" si="354"/>
        <v>161298</v>
      </c>
      <c r="BM120" s="3">
        <f t="shared" si="354"/>
        <v>162</v>
      </c>
      <c r="BN120" s="3">
        <f t="shared" si="354"/>
        <v>0</v>
      </c>
      <c r="BO120" s="3">
        <f t="shared" si="354"/>
        <v>0</v>
      </c>
      <c r="BP120" s="3">
        <f t="shared" si="354"/>
        <v>0</v>
      </c>
      <c r="BQ120" s="3">
        <f t="shared" si="354"/>
        <v>1877202</v>
      </c>
    </row>
    <row r="121" spans="1:69" s="10" customFormat="1" ht="15" customHeight="1" x14ac:dyDescent="0.25">
      <c r="C121" s="38" t="s">
        <v>97</v>
      </c>
      <c r="D121" s="11">
        <f>+D120</f>
        <v>0</v>
      </c>
      <c r="E121" s="11">
        <f>+D121+E120</f>
        <v>0</v>
      </c>
      <c r="F121" s="11">
        <f t="shared" ref="F121:AQ121" si="355">+E121+F120</f>
        <v>0</v>
      </c>
      <c r="G121" s="11">
        <f t="shared" si="355"/>
        <v>0</v>
      </c>
      <c r="H121" s="11">
        <f t="shared" si="355"/>
        <v>0</v>
      </c>
      <c r="I121" s="11">
        <f t="shared" si="355"/>
        <v>0</v>
      </c>
      <c r="J121" s="11">
        <f t="shared" si="355"/>
        <v>0</v>
      </c>
      <c r="K121" s="11">
        <f t="shared" si="355"/>
        <v>0</v>
      </c>
      <c r="L121" s="11">
        <f t="shared" si="355"/>
        <v>0</v>
      </c>
      <c r="M121" s="11">
        <f t="shared" si="355"/>
        <v>5550</v>
      </c>
      <c r="N121" s="11">
        <f t="shared" si="355"/>
        <v>9432</v>
      </c>
      <c r="O121" s="11">
        <f t="shared" si="355"/>
        <v>14246</v>
      </c>
      <c r="P121" s="11">
        <f t="shared" si="355"/>
        <v>22134</v>
      </c>
      <c r="Q121" s="11">
        <f t="shared" si="355"/>
        <v>30591</v>
      </c>
      <c r="R121" s="11">
        <f t="shared" si="355"/>
        <v>39801</v>
      </c>
      <c r="S121" s="11">
        <f t="shared" si="355"/>
        <v>50185</v>
      </c>
      <c r="T121" s="11">
        <f t="shared" si="355"/>
        <v>59446</v>
      </c>
      <c r="U121" s="11">
        <f t="shared" si="355"/>
        <v>70005</v>
      </c>
      <c r="V121" s="11">
        <f t="shared" si="355"/>
        <v>77533</v>
      </c>
      <c r="W121" s="11">
        <f t="shared" si="355"/>
        <v>85841</v>
      </c>
      <c r="X121" s="11">
        <f t="shared" si="355"/>
        <v>95319</v>
      </c>
      <c r="Y121" s="11">
        <f t="shared" si="355"/>
        <v>100539</v>
      </c>
      <c r="Z121" s="11">
        <f t="shared" si="355"/>
        <v>102669</v>
      </c>
      <c r="AA121" s="11">
        <f t="shared" si="355"/>
        <v>103753</v>
      </c>
      <c r="AB121" s="11">
        <f t="shared" si="355"/>
        <v>104239</v>
      </c>
      <c r="AC121" s="11">
        <f t="shared" si="355"/>
        <v>104280</v>
      </c>
      <c r="AD121" s="11">
        <f t="shared" si="355"/>
        <v>104289</v>
      </c>
      <c r="AE121" s="11">
        <f t="shared" si="355"/>
        <v>104289</v>
      </c>
      <c r="AF121" s="11">
        <f t="shared" si="355"/>
        <v>104289</v>
      </c>
      <c r="AG121" s="11">
        <f t="shared" si="355"/>
        <v>104289</v>
      </c>
      <c r="AH121" s="147">
        <f t="shared" si="355"/>
        <v>104289</v>
      </c>
      <c r="AI121" s="11">
        <f t="shared" si="355"/>
        <v>104289</v>
      </c>
      <c r="AJ121" s="11">
        <f t="shared" si="355"/>
        <v>104289</v>
      </c>
      <c r="AK121" s="11">
        <f t="shared" si="355"/>
        <v>104289</v>
      </c>
      <c r="AL121" s="147">
        <f t="shared" si="355"/>
        <v>104289</v>
      </c>
      <c r="AM121" s="11">
        <f t="shared" si="355"/>
        <v>104289</v>
      </c>
      <c r="AN121" s="11">
        <f t="shared" si="355"/>
        <v>104289</v>
      </c>
      <c r="AO121" s="11">
        <f t="shared" si="355"/>
        <v>104289</v>
      </c>
      <c r="AP121" s="11">
        <f t="shared" si="355"/>
        <v>104289</v>
      </c>
      <c r="AQ121" s="11">
        <f t="shared" si="355"/>
        <v>104289</v>
      </c>
      <c r="AR121" s="40"/>
      <c r="AS121" s="11"/>
      <c r="AT121" s="11"/>
      <c r="AU121" s="11"/>
      <c r="AV121" s="11">
        <f>+AV120</f>
        <v>0</v>
      </c>
      <c r="AW121" s="1">
        <f>+AV121+AW120</f>
        <v>0</v>
      </c>
      <c r="AX121" s="1">
        <f t="shared" ref="AX121" si="356">+AW121+AX120</f>
        <v>22134</v>
      </c>
      <c r="AY121" s="1">
        <f t="shared" ref="AY121" si="357">+AX121+AY120</f>
        <v>59446</v>
      </c>
      <c r="AZ121" s="1">
        <f t="shared" ref="AZ121" si="358">+AY121+AZ120</f>
        <v>95319</v>
      </c>
      <c r="BA121" s="1">
        <f t="shared" ref="BA121" si="359">+AZ121+BA120</f>
        <v>104280</v>
      </c>
      <c r="BB121" s="1">
        <f t="shared" ref="BB121" si="360">+BA121+BB120</f>
        <v>104289</v>
      </c>
      <c r="BC121" s="1">
        <f t="shared" ref="BC121" si="361">+BB121+BC120</f>
        <v>104289</v>
      </c>
      <c r="BD121" s="1">
        <f t="shared" ref="BD121" si="362">+BC121+BD120</f>
        <v>104289</v>
      </c>
      <c r="BE121" s="1">
        <f t="shared" ref="BE121" si="363">+BD121+BE120</f>
        <v>104289</v>
      </c>
    </row>
    <row r="122" spans="1:69" s="10" customFormat="1" ht="15" customHeight="1" x14ac:dyDescent="0.2">
      <c r="C122" s="38" t="s">
        <v>220</v>
      </c>
      <c r="D122" s="11">
        <f>+D120*18</f>
        <v>0</v>
      </c>
      <c r="E122" s="11">
        <f t="shared" ref="E122:AQ122" si="364">+E120*18</f>
        <v>0</v>
      </c>
      <c r="F122" s="11">
        <f t="shared" si="364"/>
        <v>0</v>
      </c>
      <c r="G122" s="11">
        <f t="shared" si="364"/>
        <v>0</v>
      </c>
      <c r="H122" s="11">
        <f t="shared" si="364"/>
        <v>0</v>
      </c>
      <c r="I122" s="11">
        <f t="shared" si="364"/>
        <v>0</v>
      </c>
      <c r="J122" s="11">
        <f t="shared" si="364"/>
        <v>0</v>
      </c>
      <c r="K122" s="11">
        <f t="shared" si="364"/>
        <v>0</v>
      </c>
      <c r="L122" s="11">
        <f t="shared" si="364"/>
        <v>0</v>
      </c>
      <c r="M122" s="11">
        <f t="shared" si="364"/>
        <v>99900</v>
      </c>
      <c r="N122" s="11">
        <f t="shared" si="364"/>
        <v>69876</v>
      </c>
      <c r="O122" s="11">
        <f t="shared" si="364"/>
        <v>86652</v>
      </c>
      <c r="P122" s="11">
        <f t="shared" si="364"/>
        <v>141984</v>
      </c>
      <c r="Q122" s="11">
        <f t="shared" si="364"/>
        <v>152226</v>
      </c>
      <c r="R122" s="11">
        <f t="shared" si="364"/>
        <v>165780</v>
      </c>
      <c r="S122" s="11">
        <f t="shared" si="364"/>
        <v>186912</v>
      </c>
      <c r="T122" s="11">
        <f t="shared" si="364"/>
        <v>166698</v>
      </c>
      <c r="U122" s="11">
        <f t="shared" si="364"/>
        <v>190062</v>
      </c>
      <c r="V122" s="11">
        <f t="shared" si="364"/>
        <v>135504</v>
      </c>
      <c r="W122" s="11">
        <f t="shared" si="364"/>
        <v>149544</v>
      </c>
      <c r="X122" s="11">
        <f t="shared" si="364"/>
        <v>170604</v>
      </c>
      <c r="Y122" s="11">
        <f t="shared" si="364"/>
        <v>93960</v>
      </c>
      <c r="Z122" s="11">
        <f t="shared" si="364"/>
        <v>38340</v>
      </c>
      <c r="AA122" s="11">
        <f t="shared" si="364"/>
        <v>19512</v>
      </c>
      <c r="AB122" s="11">
        <f t="shared" si="364"/>
        <v>8748</v>
      </c>
      <c r="AC122" s="11">
        <f t="shared" si="364"/>
        <v>738</v>
      </c>
      <c r="AD122" s="11">
        <f t="shared" si="364"/>
        <v>162</v>
      </c>
      <c r="AE122" s="11">
        <f t="shared" si="364"/>
        <v>0</v>
      </c>
      <c r="AF122" s="11">
        <f t="shared" si="364"/>
        <v>0</v>
      </c>
      <c r="AG122" s="11">
        <f t="shared" si="364"/>
        <v>0</v>
      </c>
      <c r="AH122" s="147">
        <f t="shared" si="364"/>
        <v>0</v>
      </c>
      <c r="AI122" s="11">
        <f t="shared" si="364"/>
        <v>0</v>
      </c>
      <c r="AJ122" s="11">
        <f t="shared" si="364"/>
        <v>0</v>
      </c>
      <c r="AK122" s="11">
        <f t="shared" si="364"/>
        <v>0</v>
      </c>
      <c r="AL122" s="147">
        <f t="shared" si="364"/>
        <v>0</v>
      </c>
      <c r="AM122" s="11">
        <f t="shared" si="364"/>
        <v>0</v>
      </c>
      <c r="AN122" s="11">
        <f t="shared" si="364"/>
        <v>0</v>
      </c>
      <c r="AO122" s="11">
        <f t="shared" si="364"/>
        <v>0</v>
      </c>
      <c r="AP122" s="11">
        <f t="shared" si="364"/>
        <v>0</v>
      </c>
      <c r="AQ122" s="11">
        <f t="shared" si="364"/>
        <v>0</v>
      </c>
      <c r="AR122" s="40">
        <f>SUM(D122:AQ122)</f>
        <v>1877202</v>
      </c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</row>
    <row r="123" spans="1:69" s="10" customFormat="1" ht="15" customHeight="1" x14ac:dyDescent="0.2">
      <c r="C123" s="38" t="s">
        <v>286</v>
      </c>
      <c r="D123" s="11">
        <f>+(D120-D110-D116)/2</f>
        <v>0</v>
      </c>
      <c r="E123" s="11">
        <f t="shared" ref="E123:AQ123" si="365">+(E120-E110-E116)/2</f>
        <v>0</v>
      </c>
      <c r="F123" s="11">
        <f t="shared" si="365"/>
        <v>0</v>
      </c>
      <c r="G123" s="11">
        <f t="shared" si="365"/>
        <v>0</v>
      </c>
      <c r="H123" s="11">
        <f t="shared" si="365"/>
        <v>0</v>
      </c>
      <c r="I123" s="11">
        <f t="shared" si="365"/>
        <v>0</v>
      </c>
      <c r="J123" s="11">
        <f t="shared" si="365"/>
        <v>0</v>
      </c>
      <c r="K123" s="11">
        <f t="shared" si="365"/>
        <v>0</v>
      </c>
      <c r="L123" s="11">
        <f t="shared" si="365"/>
        <v>0</v>
      </c>
      <c r="M123" s="11">
        <f t="shared" si="365"/>
        <v>2775</v>
      </c>
      <c r="N123" s="11">
        <f t="shared" si="365"/>
        <v>1941</v>
      </c>
      <c r="O123" s="11">
        <f t="shared" si="365"/>
        <v>2407</v>
      </c>
      <c r="P123" s="11">
        <f>+(P120-P110-P116)/2</f>
        <v>3944</v>
      </c>
      <c r="Q123" s="11">
        <f t="shared" si="365"/>
        <v>4228.5</v>
      </c>
      <c r="R123" s="11">
        <f t="shared" si="365"/>
        <v>4605</v>
      </c>
      <c r="S123" s="11">
        <f t="shared" si="365"/>
        <v>5192</v>
      </c>
      <c r="T123" s="11">
        <f t="shared" si="365"/>
        <v>4630.5</v>
      </c>
      <c r="U123" s="11">
        <f t="shared" si="365"/>
        <v>5279.5</v>
      </c>
      <c r="V123" s="11">
        <f t="shared" si="365"/>
        <v>3764</v>
      </c>
      <c r="W123" s="11">
        <f t="shared" si="365"/>
        <v>4154</v>
      </c>
      <c r="X123" s="11">
        <f t="shared" si="365"/>
        <v>4739</v>
      </c>
      <c r="Y123" s="11">
        <f t="shared" si="365"/>
        <v>2610</v>
      </c>
      <c r="Z123" s="11">
        <f t="shared" si="365"/>
        <v>1065</v>
      </c>
      <c r="AA123" s="11">
        <f t="shared" si="365"/>
        <v>542</v>
      </c>
      <c r="AB123" s="11">
        <f t="shared" si="365"/>
        <v>243</v>
      </c>
      <c r="AC123" s="11">
        <f t="shared" si="365"/>
        <v>20.5</v>
      </c>
      <c r="AD123" s="11">
        <f t="shared" si="365"/>
        <v>4.5</v>
      </c>
      <c r="AE123" s="11">
        <f t="shared" si="365"/>
        <v>0</v>
      </c>
      <c r="AF123" s="11">
        <f t="shared" si="365"/>
        <v>0</v>
      </c>
      <c r="AG123" s="11">
        <f t="shared" si="365"/>
        <v>0</v>
      </c>
      <c r="AH123" s="147">
        <f t="shared" si="365"/>
        <v>0</v>
      </c>
      <c r="AI123" s="11">
        <f t="shared" si="365"/>
        <v>0</v>
      </c>
      <c r="AJ123" s="11">
        <f t="shared" si="365"/>
        <v>0</v>
      </c>
      <c r="AK123" s="11">
        <f t="shared" si="365"/>
        <v>0</v>
      </c>
      <c r="AL123" s="147">
        <f t="shared" si="365"/>
        <v>0</v>
      </c>
      <c r="AM123" s="11">
        <f t="shared" si="365"/>
        <v>0</v>
      </c>
      <c r="AN123" s="11">
        <f t="shared" si="365"/>
        <v>0</v>
      </c>
      <c r="AO123" s="11">
        <f t="shared" si="365"/>
        <v>0</v>
      </c>
      <c r="AP123" s="11">
        <f t="shared" si="365"/>
        <v>0</v>
      </c>
      <c r="AQ123" s="11">
        <f t="shared" si="365"/>
        <v>0</v>
      </c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</row>
    <row r="124" spans="1:69" s="10" customFormat="1" ht="15" customHeight="1" x14ac:dyDescent="0.25">
      <c r="B124" s="2" t="s">
        <v>163</v>
      </c>
      <c r="C124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47"/>
      <c r="AI124" s="11"/>
      <c r="AJ124" s="11"/>
      <c r="AK124" s="11"/>
      <c r="AL124" s="147"/>
      <c r="AM124" s="11"/>
      <c r="AN124" s="11"/>
      <c r="AO124" s="11"/>
      <c r="AP124" s="11"/>
      <c r="AQ124" s="11"/>
      <c r="AR124" s="40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</row>
    <row r="125" spans="1:69" s="10" customFormat="1" ht="15" customHeight="1" x14ac:dyDescent="0.25">
      <c r="B125" s="2"/>
      <c r="C125" t="s">
        <v>190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>
        <v>22</v>
      </c>
      <c r="P125" s="1">
        <v>60</v>
      </c>
      <c r="Q125" s="1">
        <v>65</v>
      </c>
      <c r="R125" s="1">
        <v>120</v>
      </c>
      <c r="S125" s="1">
        <v>74</v>
      </c>
      <c r="T125" s="1">
        <v>65</v>
      </c>
      <c r="U125" s="1">
        <v>33</v>
      </c>
      <c r="V125" s="1">
        <v>98</v>
      </c>
      <c r="W125" s="1">
        <v>34</v>
      </c>
      <c r="X125" s="1">
        <v>86</v>
      </c>
      <c r="Y125" s="1">
        <v>41</v>
      </c>
      <c r="Z125" s="1"/>
      <c r="AA125" s="1">
        <v>6</v>
      </c>
      <c r="AB125" s="1">
        <v>3</v>
      </c>
      <c r="AC125" s="1"/>
      <c r="AD125" s="1"/>
      <c r="AE125" s="1"/>
      <c r="AF125" s="1"/>
      <c r="AG125" s="1"/>
      <c r="AH125" s="117"/>
      <c r="AI125" s="1"/>
      <c r="AJ125" s="1"/>
      <c r="AK125" s="1"/>
      <c r="AL125" s="117"/>
      <c r="AM125" s="1"/>
      <c r="AN125" s="1"/>
      <c r="AO125" s="1"/>
      <c r="AP125" s="1"/>
      <c r="AQ125" s="1"/>
      <c r="AR125" s="3">
        <f>SUM(D125:AQ125)</f>
        <v>707</v>
      </c>
      <c r="AS125" s="11"/>
      <c r="AT125" s="1">
        <f>+[1]PassVol!$AU125</f>
        <v>2709</v>
      </c>
      <c r="AU125" s="1">
        <f t="shared" ref="AU125:AU143" si="366">+AR125-AT125</f>
        <v>-2002</v>
      </c>
      <c r="AV125" s="1">
        <f>SUM(D125:G125)</f>
        <v>0</v>
      </c>
      <c r="AW125" s="1">
        <f>SUM(H125:K125)</f>
        <v>0</v>
      </c>
      <c r="AX125" s="1">
        <f>SUM(L125:P125)</f>
        <v>82</v>
      </c>
      <c r="AY125" s="1">
        <f>SUM(Q125:T125)</f>
        <v>324</v>
      </c>
      <c r="AZ125" s="1">
        <f>SUM(U125:X125)</f>
        <v>251</v>
      </c>
      <c r="BA125" s="1">
        <f>SUM(Y125:AC125)</f>
        <v>50</v>
      </c>
      <c r="BB125" s="1">
        <f>SUM(AD125:AG125)</f>
        <v>0</v>
      </c>
      <c r="BC125" s="1">
        <f>SUM(AH125:AK125)</f>
        <v>0</v>
      </c>
      <c r="BD125" s="1">
        <f>SUM(AL125:AP125)</f>
        <v>0</v>
      </c>
      <c r="BE125" s="1">
        <f>+AQ125</f>
        <v>0</v>
      </c>
      <c r="BG125" s="1">
        <f t="shared" ref="BG125:BP126" si="367">+AV125*18</f>
        <v>0</v>
      </c>
      <c r="BH125" s="1">
        <f t="shared" si="367"/>
        <v>0</v>
      </c>
      <c r="BI125" s="1">
        <f t="shared" si="367"/>
        <v>1476</v>
      </c>
      <c r="BJ125" s="1">
        <f t="shared" si="367"/>
        <v>5832</v>
      </c>
      <c r="BK125" s="1">
        <f t="shared" si="367"/>
        <v>4518</v>
      </c>
      <c r="BL125" s="1">
        <f t="shared" si="367"/>
        <v>900</v>
      </c>
      <c r="BM125" s="1">
        <f t="shared" si="367"/>
        <v>0</v>
      </c>
      <c r="BN125" s="1">
        <f t="shared" si="367"/>
        <v>0</v>
      </c>
      <c r="BO125" s="1">
        <f t="shared" si="367"/>
        <v>0</v>
      </c>
      <c r="BP125" s="1">
        <f t="shared" si="367"/>
        <v>0</v>
      </c>
      <c r="BQ125" s="1">
        <f t="shared" ref="BQ125:BQ143" si="368">SUM(BH125:BP125)</f>
        <v>12726</v>
      </c>
    </row>
    <row r="126" spans="1:69" s="10" customFormat="1" ht="15" customHeight="1" x14ac:dyDescent="0.25">
      <c r="B126" s="2"/>
      <c r="C126" t="s">
        <v>424</v>
      </c>
      <c r="D126" s="1"/>
      <c r="E126" s="1"/>
      <c r="F126" s="1"/>
      <c r="G126" s="1"/>
      <c r="H126" s="1"/>
      <c r="I126" s="1"/>
      <c r="J126" s="1"/>
      <c r="K126" s="1"/>
      <c r="L126" s="1"/>
      <c r="M126" s="1">
        <v>3</v>
      </c>
      <c r="N126" s="1">
        <v>11</v>
      </c>
      <c r="O126" s="1">
        <v>24</v>
      </c>
      <c r="P126" s="1">
        <v>42</v>
      </c>
      <c r="Q126" s="1">
        <v>81</v>
      </c>
      <c r="R126" s="1">
        <v>66</v>
      </c>
      <c r="S126" s="1">
        <v>97</v>
      </c>
      <c r="T126" s="1">
        <v>113</v>
      </c>
      <c r="U126" s="1">
        <v>132</v>
      </c>
      <c r="V126" s="1">
        <v>96</v>
      </c>
      <c r="W126" s="1">
        <v>50</v>
      </c>
      <c r="X126" s="1">
        <v>19</v>
      </c>
      <c r="Y126" s="1">
        <v>28</v>
      </c>
      <c r="Z126" s="1">
        <v>6</v>
      </c>
      <c r="AA126" s="1">
        <v>13</v>
      </c>
      <c r="AB126" s="1">
        <v>6</v>
      </c>
      <c r="AC126" s="1">
        <v>1</v>
      </c>
      <c r="AD126" s="1"/>
      <c r="AE126" s="1"/>
      <c r="AF126" s="1"/>
      <c r="AG126" s="1"/>
      <c r="AH126" s="117"/>
      <c r="AI126" s="1"/>
      <c r="AJ126" s="1"/>
      <c r="AK126" s="1"/>
      <c r="AL126" s="117"/>
      <c r="AM126" s="1"/>
      <c r="AN126" s="1"/>
      <c r="AO126" s="1"/>
      <c r="AP126" s="1"/>
      <c r="AQ126" s="1"/>
      <c r="AR126" s="3">
        <f>SUM(D126:AQ126)</f>
        <v>788</v>
      </c>
      <c r="AS126" s="11"/>
      <c r="AT126" s="1">
        <f>+[1]PassVol!$AU126</f>
        <v>317</v>
      </c>
      <c r="AU126" s="1">
        <f t="shared" si="366"/>
        <v>471</v>
      </c>
      <c r="AV126" s="1">
        <f t="shared" ref="AV126:AV143" si="369">SUM(D126:G126)</f>
        <v>0</v>
      </c>
      <c r="AW126" s="1">
        <f t="shared" ref="AW126:AW143" si="370">SUM(H126:K126)</f>
        <v>0</v>
      </c>
      <c r="AX126" s="1">
        <f t="shared" ref="AX126:AX143" si="371">SUM(L126:P126)</f>
        <v>80</v>
      </c>
      <c r="AY126" s="1">
        <f t="shared" ref="AY126:AY143" si="372">SUM(Q126:T126)</f>
        <v>357</v>
      </c>
      <c r="AZ126" s="1">
        <f t="shared" ref="AZ126:AZ143" si="373">SUM(U126:X126)</f>
        <v>297</v>
      </c>
      <c r="BA126" s="1">
        <f t="shared" ref="BA126:BA143" si="374">SUM(Y126:AC126)</f>
        <v>54</v>
      </c>
      <c r="BB126" s="1">
        <f t="shared" ref="BB126:BB143" si="375">SUM(AD126:AG126)</f>
        <v>0</v>
      </c>
      <c r="BC126" s="1">
        <f t="shared" ref="BC126:BC143" si="376">SUM(AH126:AK126)</f>
        <v>0</v>
      </c>
      <c r="BD126" s="1">
        <f t="shared" ref="BD126:BD143" si="377">SUM(AL126:AP126)</f>
        <v>0</v>
      </c>
      <c r="BE126" s="1">
        <f t="shared" ref="BE126:BE143" si="378">+AQ126</f>
        <v>0</v>
      </c>
      <c r="BG126" s="1">
        <f t="shared" si="367"/>
        <v>0</v>
      </c>
      <c r="BH126" s="1">
        <f t="shared" si="367"/>
        <v>0</v>
      </c>
      <c r="BI126" s="1">
        <f t="shared" si="367"/>
        <v>1440</v>
      </c>
      <c r="BJ126" s="1">
        <f t="shared" si="367"/>
        <v>6426</v>
      </c>
      <c r="BK126" s="1">
        <f t="shared" si="367"/>
        <v>5346</v>
      </c>
      <c r="BL126" s="1">
        <f t="shared" si="367"/>
        <v>972</v>
      </c>
      <c r="BM126" s="1">
        <f t="shared" si="367"/>
        <v>0</v>
      </c>
      <c r="BN126" s="1">
        <f t="shared" si="367"/>
        <v>0</v>
      </c>
      <c r="BO126" s="1">
        <f t="shared" si="367"/>
        <v>0</v>
      </c>
      <c r="BP126" s="1">
        <f t="shared" si="367"/>
        <v>0</v>
      </c>
      <c r="BQ126" s="1">
        <f>SUM(BH126:BP126)</f>
        <v>14184</v>
      </c>
    </row>
    <row r="127" spans="1:69" s="10" customFormat="1" ht="15" customHeight="1" x14ac:dyDescent="0.25">
      <c r="B127" s="2"/>
      <c r="C127" t="s">
        <v>347</v>
      </c>
      <c r="D127" s="1"/>
      <c r="E127" s="1"/>
      <c r="F127" s="1"/>
      <c r="G127" s="1"/>
      <c r="H127" s="1"/>
      <c r="I127" s="1"/>
      <c r="J127" s="1"/>
      <c r="K127" s="1"/>
      <c r="L127" s="1"/>
      <c r="M127" s="1">
        <v>10</v>
      </c>
      <c r="N127" s="1">
        <v>12</v>
      </c>
      <c r="O127" s="1">
        <v>31</v>
      </c>
      <c r="P127" s="1">
        <v>47</v>
      </c>
      <c r="Q127" s="1">
        <v>60</v>
      </c>
      <c r="R127" s="1">
        <v>131</v>
      </c>
      <c r="S127" s="1">
        <v>117</v>
      </c>
      <c r="T127" s="1">
        <v>131</v>
      </c>
      <c r="U127" s="1">
        <v>133</v>
      </c>
      <c r="V127" s="1">
        <v>145</v>
      </c>
      <c r="W127" s="1">
        <v>99</v>
      </c>
      <c r="X127" s="1">
        <v>39</v>
      </c>
      <c r="Y127" s="1">
        <v>17</v>
      </c>
      <c r="Z127" s="1">
        <v>4</v>
      </c>
      <c r="AA127" s="1">
        <v>5</v>
      </c>
      <c r="AB127" s="1">
        <v>1</v>
      </c>
      <c r="AC127" s="1"/>
      <c r="AD127" s="1"/>
      <c r="AE127" s="1"/>
      <c r="AF127" s="1"/>
      <c r="AG127" s="1"/>
      <c r="AH127" s="117"/>
      <c r="AI127" s="1"/>
      <c r="AJ127" s="1"/>
      <c r="AK127" s="1"/>
      <c r="AL127" s="117"/>
      <c r="AM127" s="1"/>
      <c r="AN127" s="1"/>
      <c r="AO127" s="1"/>
      <c r="AP127" s="1"/>
      <c r="AQ127" s="1"/>
      <c r="AR127" s="3">
        <f t="shared" ref="AR127:AR143" si="379">SUM(D127:AQ127)</f>
        <v>982</v>
      </c>
      <c r="AS127" s="11"/>
      <c r="AT127" s="1">
        <f>+[1]PassVol!$AU127</f>
        <v>297</v>
      </c>
      <c r="AU127" s="1">
        <f t="shared" si="366"/>
        <v>685</v>
      </c>
      <c r="AV127" s="1">
        <f t="shared" si="369"/>
        <v>0</v>
      </c>
      <c r="AW127" s="1">
        <f t="shared" si="370"/>
        <v>0</v>
      </c>
      <c r="AX127" s="1">
        <f t="shared" si="371"/>
        <v>100</v>
      </c>
      <c r="AY127" s="1">
        <f t="shared" si="372"/>
        <v>439</v>
      </c>
      <c r="AZ127" s="1">
        <f t="shared" si="373"/>
        <v>416</v>
      </c>
      <c r="BA127" s="1">
        <f t="shared" si="374"/>
        <v>27</v>
      </c>
      <c r="BB127" s="1">
        <f t="shared" si="375"/>
        <v>0</v>
      </c>
      <c r="BC127" s="1">
        <f t="shared" si="376"/>
        <v>0</v>
      </c>
      <c r="BD127" s="1">
        <f t="shared" si="377"/>
        <v>0</v>
      </c>
      <c r="BE127" s="1">
        <f t="shared" si="378"/>
        <v>0</v>
      </c>
      <c r="BG127" s="1">
        <f t="shared" ref="BG127:BH143" si="380">+AV127*18</f>
        <v>0</v>
      </c>
      <c r="BH127" s="1">
        <f t="shared" si="380"/>
        <v>0</v>
      </c>
      <c r="BI127" s="1">
        <f t="shared" ref="BI127:BI143" si="381">+AX127*18</f>
        <v>1800</v>
      </c>
      <c r="BJ127" s="1">
        <f t="shared" ref="BJ127:BJ143" si="382">+AY127*18</f>
        <v>7902</v>
      </c>
      <c r="BK127" s="1">
        <f t="shared" ref="BK127:BK143" si="383">+AZ127*18</f>
        <v>7488</v>
      </c>
      <c r="BL127" s="1">
        <f t="shared" ref="BL127:BL143" si="384">+BA127*18</f>
        <v>486</v>
      </c>
      <c r="BM127" s="1">
        <f t="shared" ref="BM127:BM143" si="385">+BB127*18</f>
        <v>0</v>
      </c>
      <c r="BN127" s="1">
        <f t="shared" ref="BN127:BN143" si="386">+BC127*18</f>
        <v>0</v>
      </c>
      <c r="BO127" s="1">
        <f t="shared" ref="BO127:BO143" si="387">+BD127*18</f>
        <v>0</v>
      </c>
      <c r="BP127" s="1">
        <f t="shared" ref="BP127:BP143" si="388">+BE127*18</f>
        <v>0</v>
      </c>
      <c r="BQ127" s="1">
        <f t="shared" si="368"/>
        <v>17676</v>
      </c>
    </row>
    <row r="128" spans="1:69" s="10" customFormat="1" ht="15" customHeight="1" x14ac:dyDescent="0.25">
      <c r="B128" s="2"/>
      <c r="C128" t="s">
        <v>0</v>
      </c>
      <c r="D128" s="1"/>
      <c r="E128" s="1"/>
      <c r="F128" s="1"/>
      <c r="G128" s="1"/>
      <c r="H128" s="1"/>
      <c r="I128" s="1"/>
      <c r="J128" s="1"/>
      <c r="K128" s="1"/>
      <c r="L128" s="1"/>
      <c r="M128" s="1">
        <v>310</v>
      </c>
      <c r="N128" s="1">
        <v>383</v>
      </c>
      <c r="O128" s="1">
        <v>437</v>
      </c>
      <c r="P128" s="1">
        <v>629</v>
      </c>
      <c r="Q128" s="1">
        <v>881</v>
      </c>
      <c r="R128" s="1">
        <v>487</v>
      </c>
      <c r="S128" s="1">
        <v>786</v>
      </c>
      <c r="T128" s="1">
        <v>699</v>
      </c>
      <c r="U128" s="1">
        <v>744</v>
      </c>
      <c r="V128" s="1">
        <v>688</v>
      </c>
      <c r="W128" s="1">
        <v>652</v>
      </c>
      <c r="X128" s="1">
        <v>854</v>
      </c>
      <c r="Y128" s="1">
        <v>634</v>
      </c>
      <c r="Z128" s="1">
        <v>331</v>
      </c>
      <c r="AA128" s="1">
        <v>130</v>
      </c>
      <c r="AB128" s="1">
        <v>42</v>
      </c>
      <c r="AC128" s="1"/>
      <c r="AD128" s="1"/>
      <c r="AE128" s="1"/>
      <c r="AF128" s="1"/>
      <c r="AG128" s="1"/>
      <c r="AH128" s="117"/>
      <c r="AI128" s="1"/>
      <c r="AJ128" s="1"/>
      <c r="AK128" s="1"/>
      <c r="AL128" s="117"/>
      <c r="AM128" s="1"/>
      <c r="AN128" s="1"/>
      <c r="AO128" s="1"/>
      <c r="AP128" s="1"/>
      <c r="AQ128" s="1"/>
      <c r="AR128" s="3">
        <f t="shared" si="379"/>
        <v>8687</v>
      </c>
      <c r="AS128" s="11"/>
      <c r="AT128" s="1">
        <f>+[1]PassVol!$AU128</f>
        <v>4872</v>
      </c>
      <c r="AU128" s="1">
        <f t="shared" si="366"/>
        <v>3815</v>
      </c>
      <c r="AV128" s="1">
        <f t="shared" si="369"/>
        <v>0</v>
      </c>
      <c r="AW128" s="1">
        <f t="shared" si="370"/>
        <v>0</v>
      </c>
      <c r="AX128" s="1">
        <f t="shared" si="371"/>
        <v>1759</v>
      </c>
      <c r="AY128" s="1">
        <f t="shared" si="372"/>
        <v>2853</v>
      </c>
      <c r="AZ128" s="1">
        <f t="shared" si="373"/>
        <v>2938</v>
      </c>
      <c r="BA128" s="1">
        <f t="shared" si="374"/>
        <v>1137</v>
      </c>
      <c r="BB128" s="1">
        <f t="shared" si="375"/>
        <v>0</v>
      </c>
      <c r="BC128" s="1">
        <f t="shared" si="376"/>
        <v>0</v>
      </c>
      <c r="BD128" s="1">
        <f t="shared" si="377"/>
        <v>0</v>
      </c>
      <c r="BE128" s="1">
        <f t="shared" si="378"/>
        <v>0</v>
      </c>
      <c r="BG128" s="1">
        <f t="shared" si="380"/>
        <v>0</v>
      </c>
      <c r="BH128" s="1">
        <f t="shared" si="380"/>
        <v>0</v>
      </c>
      <c r="BI128" s="1">
        <f t="shared" si="381"/>
        <v>31662</v>
      </c>
      <c r="BJ128" s="1">
        <f t="shared" si="382"/>
        <v>51354</v>
      </c>
      <c r="BK128" s="1">
        <f t="shared" si="383"/>
        <v>52884</v>
      </c>
      <c r="BL128" s="1">
        <f t="shared" si="384"/>
        <v>20466</v>
      </c>
      <c r="BM128" s="1">
        <f t="shared" si="385"/>
        <v>0</v>
      </c>
      <c r="BN128" s="1">
        <f t="shared" si="386"/>
        <v>0</v>
      </c>
      <c r="BO128" s="1">
        <f t="shared" si="387"/>
        <v>0</v>
      </c>
      <c r="BP128" s="1">
        <f t="shared" si="388"/>
        <v>0</v>
      </c>
      <c r="BQ128" s="1">
        <f t="shared" si="368"/>
        <v>156366</v>
      </c>
    </row>
    <row r="129" spans="2:69" s="10" customFormat="1" ht="15" customHeight="1" x14ac:dyDescent="0.25">
      <c r="B129" s="2"/>
      <c r="C129" t="s">
        <v>354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>
        <v>4</v>
      </c>
      <c r="O129" s="1">
        <v>6</v>
      </c>
      <c r="P129" s="1">
        <v>8</v>
      </c>
      <c r="Q129" s="1">
        <v>28</v>
      </c>
      <c r="R129" s="1">
        <v>24</v>
      </c>
      <c r="S129" s="1">
        <v>26</v>
      </c>
      <c r="T129" s="1">
        <v>19</v>
      </c>
      <c r="U129" s="1">
        <v>32</v>
      </c>
      <c r="V129" s="1">
        <v>14</v>
      </c>
      <c r="W129" s="1">
        <v>20</v>
      </c>
      <c r="X129" s="1">
        <v>14</v>
      </c>
      <c r="Y129" s="1">
        <v>30</v>
      </c>
      <c r="Z129" s="1">
        <v>3</v>
      </c>
      <c r="AA129" s="1">
        <v>14</v>
      </c>
      <c r="AB129" s="1">
        <v>3</v>
      </c>
      <c r="AC129" s="1"/>
      <c r="AD129" s="1"/>
      <c r="AE129" s="1"/>
      <c r="AF129" s="1"/>
      <c r="AG129" s="1"/>
      <c r="AH129" s="117"/>
      <c r="AI129" s="1"/>
      <c r="AJ129" s="1"/>
      <c r="AK129" s="1"/>
      <c r="AL129" s="117"/>
      <c r="AM129" s="1"/>
      <c r="AN129" s="1"/>
      <c r="AO129" s="1"/>
      <c r="AP129" s="1"/>
      <c r="AQ129" s="1"/>
      <c r="AR129" s="3">
        <f t="shared" si="379"/>
        <v>245</v>
      </c>
      <c r="AS129" s="11"/>
      <c r="AT129" s="1">
        <f>+[1]PassVol!$AU129</f>
        <v>197</v>
      </c>
      <c r="AU129" s="1">
        <f t="shared" si="366"/>
        <v>48</v>
      </c>
      <c r="AV129" s="1">
        <f t="shared" si="369"/>
        <v>0</v>
      </c>
      <c r="AW129" s="1">
        <f t="shared" si="370"/>
        <v>0</v>
      </c>
      <c r="AX129" s="1">
        <f t="shared" si="371"/>
        <v>18</v>
      </c>
      <c r="AY129" s="1">
        <f t="shared" si="372"/>
        <v>97</v>
      </c>
      <c r="AZ129" s="1">
        <f t="shared" si="373"/>
        <v>80</v>
      </c>
      <c r="BA129" s="1">
        <f t="shared" si="374"/>
        <v>50</v>
      </c>
      <c r="BB129" s="1">
        <f t="shared" si="375"/>
        <v>0</v>
      </c>
      <c r="BC129" s="1">
        <f t="shared" si="376"/>
        <v>0</v>
      </c>
      <c r="BD129" s="1">
        <f t="shared" si="377"/>
        <v>0</v>
      </c>
      <c r="BE129" s="1">
        <f t="shared" si="378"/>
        <v>0</v>
      </c>
      <c r="BG129" s="1">
        <f t="shared" si="380"/>
        <v>0</v>
      </c>
      <c r="BH129" s="1">
        <f t="shared" si="380"/>
        <v>0</v>
      </c>
      <c r="BI129" s="1">
        <f t="shared" si="381"/>
        <v>324</v>
      </c>
      <c r="BJ129" s="1">
        <f t="shared" si="382"/>
        <v>1746</v>
      </c>
      <c r="BK129" s="1">
        <f t="shared" si="383"/>
        <v>1440</v>
      </c>
      <c r="BL129" s="1">
        <f t="shared" si="384"/>
        <v>900</v>
      </c>
      <c r="BM129" s="1">
        <f t="shared" si="385"/>
        <v>0</v>
      </c>
      <c r="BN129" s="1">
        <f t="shared" si="386"/>
        <v>0</v>
      </c>
      <c r="BO129" s="1">
        <f t="shared" si="387"/>
        <v>0</v>
      </c>
      <c r="BP129" s="1">
        <f t="shared" si="388"/>
        <v>0</v>
      </c>
      <c r="BQ129" s="1">
        <f t="shared" si="368"/>
        <v>4410</v>
      </c>
    </row>
    <row r="130" spans="2:69" s="10" customFormat="1" ht="15" customHeight="1" x14ac:dyDescent="0.25">
      <c r="B130" s="2"/>
      <c r="C130" t="s">
        <v>265</v>
      </c>
      <c r="D130" s="1"/>
      <c r="E130" s="1"/>
      <c r="F130" s="1"/>
      <c r="G130" s="1"/>
      <c r="H130" s="1"/>
      <c r="I130" s="1"/>
      <c r="J130" s="1"/>
      <c r="K130" s="1"/>
      <c r="L130" s="1"/>
      <c r="M130" s="1">
        <v>30</v>
      </c>
      <c r="N130" s="1">
        <v>21</v>
      </c>
      <c r="O130" s="1">
        <v>28</v>
      </c>
      <c r="P130" s="1">
        <v>75</v>
      </c>
      <c r="Q130" s="1">
        <v>30</v>
      </c>
      <c r="R130" s="1">
        <v>87</v>
      </c>
      <c r="S130" s="1">
        <v>99</v>
      </c>
      <c r="T130" s="1">
        <v>82</v>
      </c>
      <c r="U130" s="1">
        <v>133</v>
      </c>
      <c r="V130" s="1">
        <v>112</v>
      </c>
      <c r="W130" s="1">
        <v>62</v>
      </c>
      <c r="X130" s="1">
        <v>137</v>
      </c>
      <c r="Y130" s="1">
        <v>23</v>
      </c>
      <c r="Z130" s="1"/>
      <c r="AA130" s="1"/>
      <c r="AB130" s="1"/>
      <c r="AC130" s="1"/>
      <c r="AD130" s="1"/>
      <c r="AE130" s="1"/>
      <c r="AF130" s="1"/>
      <c r="AG130" s="1"/>
      <c r="AH130" s="117"/>
      <c r="AI130" s="1"/>
      <c r="AJ130" s="1"/>
      <c r="AK130" s="1"/>
      <c r="AL130" s="117"/>
      <c r="AM130" s="1"/>
      <c r="AN130" s="1"/>
      <c r="AO130" s="1"/>
      <c r="AP130" s="1"/>
      <c r="AQ130" s="1"/>
      <c r="AR130" s="3">
        <f t="shared" si="379"/>
        <v>919</v>
      </c>
      <c r="AS130" s="11"/>
      <c r="AT130" s="1">
        <f>+[1]PassVol!$AU130</f>
        <v>741</v>
      </c>
      <c r="AU130" s="1">
        <f t="shared" si="366"/>
        <v>178</v>
      </c>
      <c r="AV130" s="1">
        <f t="shared" si="369"/>
        <v>0</v>
      </c>
      <c r="AW130" s="1">
        <f t="shared" si="370"/>
        <v>0</v>
      </c>
      <c r="AX130" s="1">
        <f t="shared" si="371"/>
        <v>154</v>
      </c>
      <c r="AY130" s="1">
        <f t="shared" si="372"/>
        <v>298</v>
      </c>
      <c r="AZ130" s="1">
        <f t="shared" si="373"/>
        <v>444</v>
      </c>
      <c r="BA130" s="1">
        <f t="shared" si="374"/>
        <v>23</v>
      </c>
      <c r="BB130" s="1">
        <f t="shared" si="375"/>
        <v>0</v>
      </c>
      <c r="BC130" s="1">
        <f t="shared" si="376"/>
        <v>0</v>
      </c>
      <c r="BD130" s="1">
        <f t="shared" si="377"/>
        <v>0</v>
      </c>
      <c r="BE130" s="1">
        <f t="shared" si="378"/>
        <v>0</v>
      </c>
      <c r="BG130" s="1">
        <f t="shared" si="380"/>
        <v>0</v>
      </c>
      <c r="BH130" s="1">
        <f t="shared" si="380"/>
        <v>0</v>
      </c>
      <c r="BI130" s="1">
        <f t="shared" si="381"/>
        <v>2772</v>
      </c>
      <c r="BJ130" s="1">
        <f t="shared" si="382"/>
        <v>5364</v>
      </c>
      <c r="BK130" s="1">
        <f t="shared" si="383"/>
        <v>7992</v>
      </c>
      <c r="BL130" s="1">
        <f t="shared" si="384"/>
        <v>414</v>
      </c>
      <c r="BM130" s="1">
        <f t="shared" si="385"/>
        <v>0</v>
      </c>
      <c r="BN130" s="1">
        <f t="shared" si="386"/>
        <v>0</v>
      </c>
      <c r="BO130" s="1">
        <f t="shared" si="387"/>
        <v>0</v>
      </c>
      <c r="BP130" s="1">
        <f t="shared" si="388"/>
        <v>0</v>
      </c>
      <c r="BQ130" s="1">
        <f t="shared" si="368"/>
        <v>16542</v>
      </c>
    </row>
    <row r="131" spans="2:69" s="10" customFormat="1" ht="15" customHeight="1" x14ac:dyDescent="0.25">
      <c r="B131" s="2"/>
      <c r="C131" t="s">
        <v>191</v>
      </c>
      <c r="D131" s="1"/>
      <c r="E131" s="1"/>
      <c r="F131" s="1"/>
      <c r="G131" s="1"/>
      <c r="H131" s="1"/>
      <c r="I131" s="1"/>
      <c r="J131" s="1"/>
      <c r="K131" s="1"/>
      <c r="L131" s="1"/>
      <c r="M131" s="1">
        <v>34</v>
      </c>
      <c r="N131" s="1">
        <v>8</v>
      </c>
      <c r="O131" s="1">
        <v>44</v>
      </c>
      <c r="P131" s="1">
        <v>128</v>
      </c>
      <c r="Q131" s="1">
        <v>113</v>
      </c>
      <c r="R131" s="1">
        <v>119</v>
      </c>
      <c r="S131" s="1">
        <v>256</v>
      </c>
      <c r="T131" s="1">
        <v>154</v>
      </c>
      <c r="U131" s="1">
        <v>116</v>
      </c>
      <c r="V131" s="1">
        <v>3</v>
      </c>
      <c r="W131" s="1">
        <v>183</v>
      </c>
      <c r="X131" s="1">
        <v>152</v>
      </c>
      <c r="Y131" s="1">
        <v>163</v>
      </c>
      <c r="Z131" s="1">
        <v>51</v>
      </c>
      <c r="AA131" s="1">
        <v>96</v>
      </c>
      <c r="AB131" s="1">
        <v>1</v>
      </c>
      <c r="AC131" s="1"/>
      <c r="AD131" s="1"/>
      <c r="AE131" s="1"/>
      <c r="AF131" s="1"/>
      <c r="AG131" s="1"/>
      <c r="AH131" s="117"/>
      <c r="AI131" s="1"/>
      <c r="AJ131" s="1"/>
      <c r="AK131" s="1"/>
      <c r="AL131" s="117"/>
      <c r="AM131" s="1"/>
      <c r="AN131" s="1"/>
      <c r="AO131" s="1"/>
      <c r="AP131" s="1"/>
      <c r="AQ131" s="1"/>
      <c r="AR131" s="3">
        <f t="shared" si="379"/>
        <v>1621</v>
      </c>
      <c r="AS131" s="11"/>
      <c r="AT131" s="1">
        <f>+[1]PassVol!$AU131</f>
        <v>1109</v>
      </c>
      <c r="AU131" s="1">
        <f t="shared" si="366"/>
        <v>512</v>
      </c>
      <c r="AV131" s="1">
        <f t="shared" si="369"/>
        <v>0</v>
      </c>
      <c r="AW131" s="1">
        <f t="shared" si="370"/>
        <v>0</v>
      </c>
      <c r="AX131" s="1">
        <f t="shared" si="371"/>
        <v>214</v>
      </c>
      <c r="AY131" s="1">
        <f t="shared" si="372"/>
        <v>642</v>
      </c>
      <c r="AZ131" s="1">
        <f t="shared" si="373"/>
        <v>454</v>
      </c>
      <c r="BA131" s="1">
        <f t="shared" si="374"/>
        <v>311</v>
      </c>
      <c r="BB131" s="1">
        <f t="shared" si="375"/>
        <v>0</v>
      </c>
      <c r="BC131" s="1">
        <f t="shared" si="376"/>
        <v>0</v>
      </c>
      <c r="BD131" s="1">
        <f t="shared" si="377"/>
        <v>0</v>
      </c>
      <c r="BE131" s="1">
        <f t="shared" si="378"/>
        <v>0</v>
      </c>
      <c r="BG131" s="1">
        <f t="shared" si="380"/>
        <v>0</v>
      </c>
      <c r="BH131" s="1">
        <f t="shared" si="380"/>
        <v>0</v>
      </c>
      <c r="BI131" s="1">
        <f t="shared" si="381"/>
        <v>3852</v>
      </c>
      <c r="BJ131" s="1">
        <f t="shared" si="382"/>
        <v>11556</v>
      </c>
      <c r="BK131" s="1">
        <f t="shared" si="383"/>
        <v>8172</v>
      </c>
      <c r="BL131" s="1">
        <f t="shared" si="384"/>
        <v>5598</v>
      </c>
      <c r="BM131" s="1">
        <f t="shared" si="385"/>
        <v>0</v>
      </c>
      <c r="BN131" s="1">
        <f t="shared" si="386"/>
        <v>0</v>
      </c>
      <c r="BO131" s="1">
        <f t="shared" si="387"/>
        <v>0</v>
      </c>
      <c r="BP131" s="1">
        <f t="shared" si="388"/>
        <v>0</v>
      </c>
      <c r="BQ131" s="1">
        <f t="shared" si="368"/>
        <v>29178</v>
      </c>
    </row>
    <row r="132" spans="2:69" ht="15" customHeight="1" x14ac:dyDescent="0.25">
      <c r="C132" t="s">
        <v>549</v>
      </c>
      <c r="AR132" s="3">
        <f t="shared" si="379"/>
        <v>0</v>
      </c>
      <c r="AT132" s="1">
        <f>+[1]PassVol!$AU132</f>
        <v>0</v>
      </c>
      <c r="AU132" s="1">
        <f t="shared" si="366"/>
        <v>0</v>
      </c>
      <c r="AV132" s="1">
        <f t="shared" si="369"/>
        <v>0</v>
      </c>
      <c r="AW132" s="1">
        <f t="shared" si="370"/>
        <v>0</v>
      </c>
      <c r="AX132" s="1">
        <f t="shared" si="371"/>
        <v>0</v>
      </c>
      <c r="AY132" s="1">
        <f t="shared" si="372"/>
        <v>0</v>
      </c>
      <c r="AZ132" s="1">
        <f t="shared" si="373"/>
        <v>0</v>
      </c>
      <c r="BA132" s="1">
        <f t="shared" si="374"/>
        <v>0</v>
      </c>
      <c r="BB132" s="1">
        <f t="shared" si="375"/>
        <v>0</v>
      </c>
      <c r="BC132" s="1">
        <f t="shared" si="376"/>
        <v>0</v>
      </c>
      <c r="BD132" s="1">
        <f t="shared" si="377"/>
        <v>0</v>
      </c>
      <c r="BE132" s="1">
        <f t="shared" si="378"/>
        <v>0</v>
      </c>
      <c r="BG132" s="1">
        <f t="shared" si="380"/>
        <v>0</v>
      </c>
      <c r="BH132" s="1">
        <f t="shared" si="380"/>
        <v>0</v>
      </c>
      <c r="BI132" s="1">
        <f t="shared" si="381"/>
        <v>0</v>
      </c>
      <c r="BJ132" s="1">
        <f t="shared" si="382"/>
        <v>0</v>
      </c>
      <c r="BK132" s="1">
        <f t="shared" si="383"/>
        <v>0</v>
      </c>
      <c r="BL132" s="1">
        <f t="shared" si="384"/>
        <v>0</v>
      </c>
      <c r="BM132" s="1">
        <f t="shared" si="385"/>
        <v>0</v>
      </c>
      <c r="BN132" s="1">
        <f t="shared" si="386"/>
        <v>0</v>
      </c>
      <c r="BO132" s="1">
        <f t="shared" si="387"/>
        <v>0</v>
      </c>
      <c r="BP132" s="1">
        <f t="shared" si="388"/>
        <v>0</v>
      </c>
      <c r="BQ132" s="1">
        <f t="shared" si="368"/>
        <v>0</v>
      </c>
    </row>
    <row r="133" spans="2:69" ht="15" customHeight="1" x14ac:dyDescent="0.25">
      <c r="C133" t="s">
        <v>550</v>
      </c>
      <c r="M133" s="1">
        <v>24</v>
      </c>
      <c r="O133" s="1">
        <v>3</v>
      </c>
      <c r="Q133" s="1">
        <v>16</v>
      </c>
      <c r="U133" s="1">
        <v>37</v>
      </c>
      <c r="V133" s="1">
        <v>110</v>
      </c>
      <c r="W133" s="1">
        <v>201</v>
      </c>
      <c r="X133" s="1">
        <v>91</v>
      </c>
      <c r="Y133" s="1">
        <v>66</v>
      </c>
      <c r="Z133" s="1">
        <v>21</v>
      </c>
      <c r="AA133" s="1">
        <v>18</v>
      </c>
      <c r="AC133" s="1">
        <v>7</v>
      </c>
      <c r="AR133" s="3">
        <f t="shared" si="379"/>
        <v>594</v>
      </c>
      <c r="AT133" s="1">
        <f>+[1]PassVol!$AU133</f>
        <v>0</v>
      </c>
      <c r="AU133" s="1">
        <f t="shared" si="366"/>
        <v>594</v>
      </c>
      <c r="AV133" s="1">
        <f t="shared" si="369"/>
        <v>0</v>
      </c>
      <c r="AW133" s="1">
        <f t="shared" si="370"/>
        <v>0</v>
      </c>
      <c r="AX133" s="1">
        <f t="shared" si="371"/>
        <v>27</v>
      </c>
      <c r="AY133" s="1">
        <f t="shared" si="372"/>
        <v>16</v>
      </c>
      <c r="AZ133" s="1">
        <f t="shared" si="373"/>
        <v>439</v>
      </c>
      <c r="BA133" s="1">
        <f t="shared" si="374"/>
        <v>112</v>
      </c>
      <c r="BB133" s="1">
        <f t="shared" si="375"/>
        <v>0</v>
      </c>
      <c r="BC133" s="1">
        <f t="shared" si="376"/>
        <v>0</v>
      </c>
      <c r="BD133" s="1">
        <f t="shared" si="377"/>
        <v>0</v>
      </c>
      <c r="BE133" s="1">
        <f t="shared" si="378"/>
        <v>0</v>
      </c>
      <c r="BG133" s="1">
        <f t="shared" si="380"/>
        <v>0</v>
      </c>
      <c r="BH133" s="1">
        <f t="shared" si="380"/>
        <v>0</v>
      </c>
      <c r="BI133" s="1">
        <f t="shared" si="381"/>
        <v>486</v>
      </c>
      <c r="BJ133" s="1">
        <f t="shared" si="382"/>
        <v>288</v>
      </c>
      <c r="BK133" s="1">
        <f t="shared" si="383"/>
        <v>7902</v>
      </c>
      <c r="BL133" s="1">
        <f t="shared" si="384"/>
        <v>2016</v>
      </c>
      <c r="BM133" s="1">
        <f t="shared" si="385"/>
        <v>0</v>
      </c>
      <c r="BN133" s="1">
        <f t="shared" si="386"/>
        <v>0</v>
      </c>
      <c r="BO133" s="1">
        <f t="shared" si="387"/>
        <v>0</v>
      </c>
      <c r="BP133" s="1">
        <f t="shared" si="388"/>
        <v>0</v>
      </c>
      <c r="BQ133" s="1">
        <f t="shared" si="368"/>
        <v>10692</v>
      </c>
    </row>
    <row r="134" spans="2:69" ht="15" customHeight="1" x14ac:dyDescent="0.25">
      <c r="C134" t="s">
        <v>6</v>
      </c>
      <c r="AR134" s="3">
        <f t="shared" si="379"/>
        <v>0</v>
      </c>
      <c r="AT134" s="1">
        <f>+[1]PassVol!$AU134</f>
        <v>0</v>
      </c>
      <c r="AU134" s="1">
        <f t="shared" si="366"/>
        <v>0</v>
      </c>
      <c r="AV134" s="1">
        <f t="shared" si="369"/>
        <v>0</v>
      </c>
      <c r="AW134" s="1">
        <f t="shared" si="370"/>
        <v>0</v>
      </c>
      <c r="AX134" s="1">
        <f t="shared" si="371"/>
        <v>0</v>
      </c>
      <c r="AY134" s="1">
        <f t="shared" si="372"/>
        <v>0</v>
      </c>
      <c r="AZ134" s="1">
        <f t="shared" si="373"/>
        <v>0</v>
      </c>
      <c r="BA134" s="1">
        <f t="shared" si="374"/>
        <v>0</v>
      </c>
      <c r="BB134" s="1">
        <f t="shared" si="375"/>
        <v>0</v>
      </c>
      <c r="BC134" s="1">
        <f t="shared" si="376"/>
        <v>0</v>
      </c>
      <c r="BD134" s="1">
        <f t="shared" si="377"/>
        <v>0</v>
      </c>
      <c r="BE134" s="1">
        <f t="shared" si="378"/>
        <v>0</v>
      </c>
      <c r="BG134" s="1">
        <f t="shared" si="380"/>
        <v>0</v>
      </c>
      <c r="BH134" s="1">
        <f t="shared" si="380"/>
        <v>0</v>
      </c>
      <c r="BI134" s="1">
        <f t="shared" si="381"/>
        <v>0</v>
      </c>
      <c r="BJ134" s="1">
        <f t="shared" si="382"/>
        <v>0</v>
      </c>
      <c r="BK134" s="1">
        <f t="shared" si="383"/>
        <v>0</v>
      </c>
      <c r="BL134" s="1">
        <f t="shared" si="384"/>
        <v>0</v>
      </c>
      <c r="BM134" s="1">
        <f t="shared" si="385"/>
        <v>0</v>
      </c>
      <c r="BN134" s="1">
        <f t="shared" si="386"/>
        <v>0</v>
      </c>
      <c r="BO134" s="1">
        <f t="shared" si="387"/>
        <v>0</v>
      </c>
      <c r="BP134" s="1">
        <f t="shared" si="388"/>
        <v>0</v>
      </c>
      <c r="BQ134" s="1">
        <f t="shared" si="368"/>
        <v>0</v>
      </c>
    </row>
    <row r="135" spans="2:69" ht="15" customHeight="1" x14ac:dyDescent="0.25">
      <c r="C135" t="s">
        <v>262</v>
      </c>
      <c r="M135" s="1">
        <v>6</v>
      </c>
      <c r="N135" s="1">
        <v>56</v>
      </c>
      <c r="O135" s="1">
        <v>86</v>
      </c>
      <c r="P135" s="1">
        <v>114</v>
      </c>
      <c r="Q135" s="1">
        <v>100</v>
      </c>
      <c r="R135" s="1">
        <v>136</v>
      </c>
      <c r="S135" s="1">
        <v>111</v>
      </c>
      <c r="T135" s="1">
        <v>150</v>
      </c>
      <c r="U135" s="1">
        <v>95</v>
      </c>
      <c r="V135" s="1">
        <v>63</v>
      </c>
      <c r="W135" s="1">
        <v>45</v>
      </c>
      <c r="X135" s="1">
        <v>3</v>
      </c>
      <c r="Y135" s="1">
        <v>6</v>
      </c>
      <c r="Z135" s="1">
        <v>8</v>
      </c>
      <c r="AB135" s="1">
        <v>1</v>
      </c>
      <c r="AC135" s="1">
        <v>2</v>
      </c>
      <c r="AR135" s="3">
        <f t="shared" si="379"/>
        <v>982</v>
      </c>
      <c r="AT135" s="1">
        <f>+[1]PassVol!$AU135</f>
        <v>1558</v>
      </c>
      <c r="AU135" s="1">
        <f t="shared" si="366"/>
        <v>-576</v>
      </c>
      <c r="AV135" s="1">
        <f t="shared" si="369"/>
        <v>0</v>
      </c>
      <c r="AW135" s="1">
        <f t="shared" si="370"/>
        <v>0</v>
      </c>
      <c r="AX135" s="1">
        <f t="shared" si="371"/>
        <v>262</v>
      </c>
      <c r="AY135" s="1">
        <f t="shared" si="372"/>
        <v>497</v>
      </c>
      <c r="AZ135" s="1">
        <f t="shared" si="373"/>
        <v>206</v>
      </c>
      <c r="BA135" s="1">
        <f t="shared" si="374"/>
        <v>17</v>
      </c>
      <c r="BB135" s="1">
        <f t="shared" si="375"/>
        <v>0</v>
      </c>
      <c r="BC135" s="1">
        <f t="shared" si="376"/>
        <v>0</v>
      </c>
      <c r="BD135" s="1">
        <f t="shared" si="377"/>
        <v>0</v>
      </c>
      <c r="BE135" s="1">
        <f t="shared" si="378"/>
        <v>0</v>
      </c>
      <c r="BG135" s="1">
        <f t="shared" si="380"/>
        <v>0</v>
      </c>
      <c r="BH135" s="1">
        <f t="shared" si="380"/>
        <v>0</v>
      </c>
      <c r="BI135" s="1">
        <f t="shared" si="381"/>
        <v>4716</v>
      </c>
      <c r="BJ135" s="1">
        <f t="shared" si="382"/>
        <v>8946</v>
      </c>
      <c r="BK135" s="1">
        <f t="shared" si="383"/>
        <v>3708</v>
      </c>
      <c r="BL135" s="1">
        <f t="shared" si="384"/>
        <v>306</v>
      </c>
      <c r="BM135" s="1">
        <f t="shared" si="385"/>
        <v>0</v>
      </c>
      <c r="BN135" s="1">
        <f t="shared" si="386"/>
        <v>0</v>
      </c>
      <c r="BO135" s="1">
        <f t="shared" si="387"/>
        <v>0</v>
      </c>
      <c r="BP135" s="1">
        <f t="shared" si="388"/>
        <v>0</v>
      </c>
      <c r="BQ135" s="1">
        <f t="shared" si="368"/>
        <v>17676</v>
      </c>
    </row>
    <row r="136" spans="2:69" ht="15" customHeight="1" x14ac:dyDescent="0.25">
      <c r="C136" t="s">
        <v>42</v>
      </c>
      <c r="M136" s="1">
        <v>63</v>
      </c>
      <c r="N136" s="1">
        <v>14</v>
      </c>
      <c r="O136" s="1">
        <v>23</v>
      </c>
      <c r="P136" s="1">
        <v>55</v>
      </c>
      <c r="Q136" s="1">
        <v>40</v>
      </c>
      <c r="R136" s="1">
        <v>61</v>
      </c>
      <c r="S136" s="1">
        <v>77</v>
      </c>
      <c r="T136" s="1">
        <v>40</v>
      </c>
      <c r="U136" s="1">
        <v>49</v>
      </c>
      <c r="V136" s="1">
        <v>32</v>
      </c>
      <c r="X136" s="1">
        <v>18</v>
      </c>
      <c r="Y136" s="1">
        <v>11</v>
      </c>
      <c r="Z136" s="1">
        <v>4</v>
      </c>
      <c r="AA136" s="1">
        <v>12</v>
      </c>
      <c r="AR136" s="3">
        <f t="shared" si="379"/>
        <v>499</v>
      </c>
      <c r="AT136" s="1">
        <f>+[1]PassVol!$AU136</f>
        <v>334</v>
      </c>
      <c r="AU136" s="1">
        <f t="shared" si="366"/>
        <v>165</v>
      </c>
      <c r="AV136" s="1">
        <f t="shared" si="369"/>
        <v>0</v>
      </c>
      <c r="AW136" s="1">
        <f t="shared" si="370"/>
        <v>0</v>
      </c>
      <c r="AX136" s="1">
        <f t="shared" si="371"/>
        <v>155</v>
      </c>
      <c r="AY136" s="1">
        <f t="shared" si="372"/>
        <v>218</v>
      </c>
      <c r="AZ136" s="1">
        <f t="shared" si="373"/>
        <v>99</v>
      </c>
      <c r="BA136" s="1">
        <f t="shared" si="374"/>
        <v>27</v>
      </c>
      <c r="BB136" s="1">
        <f t="shared" si="375"/>
        <v>0</v>
      </c>
      <c r="BC136" s="1">
        <f t="shared" si="376"/>
        <v>0</v>
      </c>
      <c r="BD136" s="1">
        <f t="shared" si="377"/>
        <v>0</v>
      </c>
      <c r="BE136" s="1">
        <f t="shared" si="378"/>
        <v>0</v>
      </c>
      <c r="BG136" s="1">
        <f t="shared" si="380"/>
        <v>0</v>
      </c>
      <c r="BH136" s="1">
        <f t="shared" si="380"/>
        <v>0</v>
      </c>
      <c r="BI136" s="1">
        <f t="shared" si="381"/>
        <v>2790</v>
      </c>
      <c r="BJ136" s="1">
        <f t="shared" si="382"/>
        <v>3924</v>
      </c>
      <c r="BK136" s="1">
        <f t="shared" si="383"/>
        <v>1782</v>
      </c>
      <c r="BL136" s="1">
        <f t="shared" si="384"/>
        <v>486</v>
      </c>
      <c r="BM136" s="1">
        <f t="shared" si="385"/>
        <v>0</v>
      </c>
      <c r="BN136" s="1">
        <f t="shared" si="386"/>
        <v>0</v>
      </c>
      <c r="BO136" s="1">
        <f t="shared" si="387"/>
        <v>0</v>
      </c>
      <c r="BP136" s="1">
        <f t="shared" si="388"/>
        <v>0</v>
      </c>
      <c r="BQ136" s="1">
        <f t="shared" si="368"/>
        <v>8982</v>
      </c>
    </row>
    <row r="137" spans="2:69" ht="15" customHeight="1" x14ac:dyDescent="0.25">
      <c r="C137" t="s">
        <v>192</v>
      </c>
      <c r="M137" s="1">
        <v>79</v>
      </c>
      <c r="N137" s="1">
        <v>16</v>
      </c>
      <c r="O137" s="1">
        <v>83</v>
      </c>
      <c r="P137" s="1">
        <v>114</v>
      </c>
      <c r="Q137" s="1">
        <v>78</v>
      </c>
      <c r="R137" s="1">
        <v>75</v>
      </c>
      <c r="S137" s="1">
        <v>91</v>
      </c>
      <c r="T137" s="1">
        <v>99</v>
      </c>
      <c r="U137" s="1">
        <v>169</v>
      </c>
      <c r="V137" s="1">
        <v>80</v>
      </c>
      <c r="W137" s="1">
        <v>83</v>
      </c>
      <c r="X137" s="1">
        <v>57</v>
      </c>
      <c r="Y137" s="1">
        <v>15</v>
      </c>
      <c r="Z137" s="1">
        <v>12</v>
      </c>
      <c r="AB137" s="1">
        <v>3</v>
      </c>
      <c r="AC137" s="1">
        <v>2</v>
      </c>
      <c r="AR137" s="3">
        <f t="shared" si="379"/>
        <v>1056</v>
      </c>
      <c r="AT137" s="1">
        <f>+[1]PassVol!$AU137</f>
        <v>631</v>
      </c>
      <c r="AU137" s="1">
        <f t="shared" si="366"/>
        <v>425</v>
      </c>
      <c r="AV137" s="1">
        <f t="shared" si="369"/>
        <v>0</v>
      </c>
      <c r="AW137" s="1">
        <f t="shared" si="370"/>
        <v>0</v>
      </c>
      <c r="AX137" s="1">
        <f t="shared" si="371"/>
        <v>292</v>
      </c>
      <c r="AY137" s="1">
        <f t="shared" si="372"/>
        <v>343</v>
      </c>
      <c r="AZ137" s="1">
        <f t="shared" si="373"/>
        <v>389</v>
      </c>
      <c r="BA137" s="1">
        <f t="shared" si="374"/>
        <v>32</v>
      </c>
      <c r="BB137" s="1">
        <f t="shared" si="375"/>
        <v>0</v>
      </c>
      <c r="BC137" s="1">
        <f t="shared" si="376"/>
        <v>0</v>
      </c>
      <c r="BD137" s="1">
        <f t="shared" si="377"/>
        <v>0</v>
      </c>
      <c r="BE137" s="1">
        <f t="shared" si="378"/>
        <v>0</v>
      </c>
      <c r="BG137" s="1">
        <f t="shared" si="380"/>
        <v>0</v>
      </c>
      <c r="BH137" s="1">
        <f t="shared" si="380"/>
        <v>0</v>
      </c>
      <c r="BI137" s="1">
        <f t="shared" si="381"/>
        <v>5256</v>
      </c>
      <c r="BJ137" s="1">
        <f t="shared" si="382"/>
        <v>6174</v>
      </c>
      <c r="BK137" s="1">
        <f t="shared" si="383"/>
        <v>7002</v>
      </c>
      <c r="BL137" s="1">
        <f t="shared" si="384"/>
        <v>576</v>
      </c>
      <c r="BM137" s="1">
        <f t="shared" si="385"/>
        <v>0</v>
      </c>
      <c r="BN137" s="1">
        <f t="shared" si="386"/>
        <v>0</v>
      </c>
      <c r="BO137" s="1">
        <f t="shared" si="387"/>
        <v>0</v>
      </c>
      <c r="BP137" s="1">
        <f t="shared" si="388"/>
        <v>0</v>
      </c>
      <c r="BQ137" s="1">
        <f t="shared" si="368"/>
        <v>19008</v>
      </c>
    </row>
    <row r="138" spans="2:69" ht="15" customHeight="1" x14ac:dyDescent="0.25">
      <c r="C138" t="s">
        <v>133</v>
      </c>
      <c r="M138" s="1">
        <v>4</v>
      </c>
      <c r="N138" s="1">
        <v>26</v>
      </c>
      <c r="O138" s="1">
        <v>50</v>
      </c>
      <c r="P138" s="1">
        <v>104</v>
      </c>
      <c r="Q138" s="1">
        <v>101</v>
      </c>
      <c r="R138" s="1">
        <v>48</v>
      </c>
      <c r="S138" s="1">
        <v>102</v>
      </c>
      <c r="T138" s="1">
        <v>159</v>
      </c>
      <c r="U138" s="1">
        <v>117</v>
      </c>
      <c r="V138" s="1">
        <v>56</v>
      </c>
      <c r="W138" s="1">
        <v>59</v>
      </c>
      <c r="X138" s="1">
        <v>31</v>
      </c>
      <c r="Y138" s="1">
        <v>35</v>
      </c>
      <c r="Z138" s="1">
        <v>10</v>
      </c>
      <c r="AA138" s="1">
        <v>12</v>
      </c>
      <c r="AB138" s="1">
        <v>26</v>
      </c>
      <c r="AR138" s="3">
        <f t="shared" si="379"/>
        <v>940</v>
      </c>
      <c r="AT138" s="1">
        <f>+[1]PassVol!$AU138</f>
        <v>504</v>
      </c>
      <c r="AU138" s="1">
        <f t="shared" si="366"/>
        <v>436</v>
      </c>
      <c r="AV138" s="1">
        <f t="shared" si="369"/>
        <v>0</v>
      </c>
      <c r="AW138" s="1">
        <f t="shared" si="370"/>
        <v>0</v>
      </c>
      <c r="AX138" s="1">
        <f t="shared" si="371"/>
        <v>184</v>
      </c>
      <c r="AY138" s="1">
        <f t="shared" si="372"/>
        <v>410</v>
      </c>
      <c r="AZ138" s="1">
        <f t="shared" si="373"/>
        <v>263</v>
      </c>
      <c r="BA138" s="1">
        <f t="shared" si="374"/>
        <v>83</v>
      </c>
      <c r="BB138" s="1">
        <f t="shared" si="375"/>
        <v>0</v>
      </c>
      <c r="BC138" s="1">
        <f t="shared" si="376"/>
        <v>0</v>
      </c>
      <c r="BD138" s="1">
        <f t="shared" si="377"/>
        <v>0</v>
      </c>
      <c r="BE138" s="1">
        <f t="shared" si="378"/>
        <v>0</v>
      </c>
      <c r="BG138" s="1">
        <f t="shared" si="380"/>
        <v>0</v>
      </c>
      <c r="BH138" s="1">
        <f t="shared" si="380"/>
        <v>0</v>
      </c>
      <c r="BI138" s="1">
        <f t="shared" si="381"/>
        <v>3312</v>
      </c>
      <c r="BJ138" s="1">
        <f t="shared" si="382"/>
        <v>7380</v>
      </c>
      <c r="BK138" s="1">
        <f t="shared" si="383"/>
        <v>4734</v>
      </c>
      <c r="BL138" s="1">
        <f t="shared" si="384"/>
        <v>1494</v>
      </c>
      <c r="BM138" s="1">
        <f t="shared" si="385"/>
        <v>0</v>
      </c>
      <c r="BN138" s="1">
        <f t="shared" si="386"/>
        <v>0</v>
      </c>
      <c r="BO138" s="1">
        <f t="shared" si="387"/>
        <v>0</v>
      </c>
      <c r="BP138" s="1">
        <f t="shared" si="388"/>
        <v>0</v>
      </c>
      <c r="BQ138" s="1">
        <f t="shared" si="368"/>
        <v>16920</v>
      </c>
    </row>
    <row r="139" spans="2:69" ht="15" customHeight="1" x14ac:dyDescent="0.25">
      <c r="C139" t="s">
        <v>41</v>
      </c>
      <c r="M139" s="1">
        <v>8</v>
      </c>
      <c r="N139" s="1">
        <v>47</v>
      </c>
      <c r="O139" s="1">
        <v>163</v>
      </c>
      <c r="P139" s="1">
        <v>196</v>
      </c>
      <c r="Q139" s="1">
        <v>214</v>
      </c>
      <c r="R139" s="1">
        <v>253</v>
      </c>
      <c r="S139" s="1">
        <v>166</v>
      </c>
      <c r="T139" s="1">
        <v>263</v>
      </c>
      <c r="U139" s="1">
        <v>316</v>
      </c>
      <c r="V139" s="1">
        <v>220</v>
      </c>
      <c r="W139" s="1">
        <v>132</v>
      </c>
      <c r="X139" s="1">
        <v>184</v>
      </c>
      <c r="Y139" s="1">
        <v>301</v>
      </c>
      <c r="Z139" s="1">
        <v>53</v>
      </c>
      <c r="AA139" s="1">
        <v>37</v>
      </c>
      <c r="AC139" s="1">
        <v>3</v>
      </c>
      <c r="AR139" s="3">
        <f t="shared" si="379"/>
        <v>2556</v>
      </c>
      <c r="AT139" s="1">
        <f>+[1]PassVol!$AU139</f>
        <v>2561</v>
      </c>
      <c r="AU139" s="1">
        <f t="shared" si="366"/>
        <v>-5</v>
      </c>
      <c r="AV139" s="1">
        <f t="shared" si="369"/>
        <v>0</v>
      </c>
      <c r="AW139" s="1">
        <f t="shared" si="370"/>
        <v>0</v>
      </c>
      <c r="AX139" s="1">
        <f t="shared" si="371"/>
        <v>414</v>
      </c>
      <c r="AY139" s="1">
        <f t="shared" si="372"/>
        <v>896</v>
      </c>
      <c r="AZ139" s="1">
        <f t="shared" si="373"/>
        <v>852</v>
      </c>
      <c r="BA139" s="1">
        <f t="shared" si="374"/>
        <v>394</v>
      </c>
      <c r="BB139" s="1">
        <f t="shared" si="375"/>
        <v>0</v>
      </c>
      <c r="BC139" s="1">
        <f t="shared" si="376"/>
        <v>0</v>
      </c>
      <c r="BD139" s="1">
        <f t="shared" si="377"/>
        <v>0</v>
      </c>
      <c r="BE139" s="1">
        <f t="shared" si="378"/>
        <v>0</v>
      </c>
      <c r="BG139" s="1">
        <f t="shared" si="380"/>
        <v>0</v>
      </c>
      <c r="BH139" s="1">
        <f t="shared" si="380"/>
        <v>0</v>
      </c>
      <c r="BI139" s="1">
        <f t="shared" si="381"/>
        <v>7452</v>
      </c>
      <c r="BJ139" s="1">
        <f t="shared" si="382"/>
        <v>16128</v>
      </c>
      <c r="BK139" s="1">
        <f t="shared" si="383"/>
        <v>15336</v>
      </c>
      <c r="BL139" s="1">
        <f t="shared" si="384"/>
        <v>7092</v>
      </c>
      <c r="BM139" s="1">
        <f t="shared" si="385"/>
        <v>0</v>
      </c>
      <c r="BN139" s="1">
        <f t="shared" si="386"/>
        <v>0</v>
      </c>
      <c r="BO139" s="1">
        <f t="shared" si="387"/>
        <v>0</v>
      </c>
      <c r="BP139" s="1">
        <f t="shared" si="388"/>
        <v>0</v>
      </c>
      <c r="BQ139" s="1">
        <f t="shared" si="368"/>
        <v>46008</v>
      </c>
    </row>
    <row r="140" spans="2:69" ht="15" customHeight="1" x14ac:dyDescent="0.25">
      <c r="C140" t="s">
        <v>193</v>
      </c>
      <c r="AR140" s="3">
        <f t="shared" si="379"/>
        <v>0</v>
      </c>
      <c r="AT140" s="1">
        <f>+[1]PassVol!$AU140</f>
        <v>0</v>
      </c>
      <c r="AU140" s="1">
        <f t="shared" si="366"/>
        <v>0</v>
      </c>
      <c r="AV140" s="1">
        <f t="shared" si="369"/>
        <v>0</v>
      </c>
      <c r="AW140" s="1">
        <f t="shared" si="370"/>
        <v>0</v>
      </c>
      <c r="AX140" s="1">
        <f t="shared" si="371"/>
        <v>0</v>
      </c>
      <c r="AY140" s="1">
        <f t="shared" si="372"/>
        <v>0</v>
      </c>
      <c r="AZ140" s="1">
        <f t="shared" si="373"/>
        <v>0</v>
      </c>
      <c r="BA140" s="1">
        <f t="shared" si="374"/>
        <v>0</v>
      </c>
      <c r="BB140" s="1">
        <f t="shared" si="375"/>
        <v>0</v>
      </c>
      <c r="BC140" s="1">
        <f t="shared" si="376"/>
        <v>0</v>
      </c>
      <c r="BD140" s="1">
        <f t="shared" si="377"/>
        <v>0</v>
      </c>
      <c r="BE140" s="1">
        <f t="shared" si="378"/>
        <v>0</v>
      </c>
      <c r="BG140" s="1">
        <f t="shared" si="380"/>
        <v>0</v>
      </c>
      <c r="BH140" s="1">
        <f t="shared" si="380"/>
        <v>0</v>
      </c>
      <c r="BI140" s="1">
        <f t="shared" si="381"/>
        <v>0</v>
      </c>
      <c r="BJ140" s="1">
        <f t="shared" si="382"/>
        <v>0</v>
      </c>
      <c r="BK140" s="1">
        <f t="shared" si="383"/>
        <v>0</v>
      </c>
      <c r="BL140" s="1">
        <f t="shared" si="384"/>
        <v>0</v>
      </c>
      <c r="BM140" s="1">
        <f t="shared" si="385"/>
        <v>0</v>
      </c>
      <c r="BN140" s="1">
        <f t="shared" si="386"/>
        <v>0</v>
      </c>
      <c r="BO140" s="1">
        <f t="shared" si="387"/>
        <v>0</v>
      </c>
      <c r="BP140" s="1">
        <f t="shared" si="388"/>
        <v>0</v>
      </c>
      <c r="BQ140" s="1">
        <f t="shared" si="368"/>
        <v>0</v>
      </c>
    </row>
    <row r="141" spans="2:69" ht="15" customHeight="1" x14ac:dyDescent="0.25">
      <c r="C141" t="s">
        <v>297</v>
      </c>
      <c r="AR141" s="3">
        <f t="shared" si="379"/>
        <v>0</v>
      </c>
      <c r="AT141" s="1">
        <f>+[1]PassVol!$AU141</f>
        <v>0</v>
      </c>
      <c r="AU141" s="1">
        <f t="shared" si="366"/>
        <v>0</v>
      </c>
      <c r="AV141" s="1">
        <f t="shared" si="369"/>
        <v>0</v>
      </c>
      <c r="AW141" s="1">
        <f t="shared" si="370"/>
        <v>0</v>
      </c>
      <c r="AX141" s="1">
        <f t="shared" si="371"/>
        <v>0</v>
      </c>
      <c r="AY141" s="1">
        <f t="shared" si="372"/>
        <v>0</v>
      </c>
      <c r="AZ141" s="1">
        <f t="shared" si="373"/>
        <v>0</v>
      </c>
      <c r="BA141" s="1">
        <f t="shared" si="374"/>
        <v>0</v>
      </c>
      <c r="BB141" s="1">
        <f t="shared" si="375"/>
        <v>0</v>
      </c>
      <c r="BC141" s="1">
        <f t="shared" si="376"/>
        <v>0</v>
      </c>
      <c r="BD141" s="1">
        <f t="shared" si="377"/>
        <v>0</v>
      </c>
      <c r="BE141" s="1">
        <f t="shared" si="378"/>
        <v>0</v>
      </c>
      <c r="BG141" s="1">
        <f t="shared" si="380"/>
        <v>0</v>
      </c>
      <c r="BH141" s="1">
        <f t="shared" si="380"/>
        <v>0</v>
      </c>
      <c r="BI141" s="1">
        <f t="shared" si="381"/>
        <v>0</v>
      </c>
      <c r="BJ141" s="1">
        <f t="shared" si="382"/>
        <v>0</v>
      </c>
      <c r="BK141" s="1">
        <f t="shared" si="383"/>
        <v>0</v>
      </c>
      <c r="BL141" s="1">
        <f t="shared" si="384"/>
        <v>0</v>
      </c>
      <c r="BM141" s="1">
        <f t="shared" si="385"/>
        <v>0</v>
      </c>
      <c r="BN141" s="1">
        <f t="shared" si="386"/>
        <v>0</v>
      </c>
      <c r="BO141" s="1">
        <f t="shared" si="387"/>
        <v>0</v>
      </c>
      <c r="BP141" s="1">
        <f t="shared" si="388"/>
        <v>0</v>
      </c>
      <c r="BQ141" s="1">
        <f t="shared" si="368"/>
        <v>0</v>
      </c>
    </row>
    <row r="142" spans="2:69" ht="15" customHeight="1" x14ac:dyDescent="0.25">
      <c r="C142" t="s">
        <v>296</v>
      </c>
      <c r="M142" s="1">
        <v>1</v>
      </c>
      <c r="N142" s="1">
        <v>10</v>
      </c>
      <c r="O142" s="1">
        <v>9</v>
      </c>
      <c r="P142" s="1">
        <v>28</v>
      </c>
      <c r="Q142" s="1">
        <v>31</v>
      </c>
      <c r="R142" s="1">
        <v>28</v>
      </c>
      <c r="S142" s="1">
        <v>38</v>
      </c>
      <c r="T142" s="1">
        <v>42</v>
      </c>
      <c r="U142" s="1">
        <v>57</v>
      </c>
      <c r="V142" s="1">
        <v>40</v>
      </c>
      <c r="W142" s="1">
        <v>27</v>
      </c>
      <c r="X142" s="1">
        <v>8</v>
      </c>
      <c r="Y142" s="1">
        <v>10</v>
      </c>
      <c r="AA142" s="1">
        <v>16</v>
      </c>
      <c r="AB142" s="1">
        <v>2</v>
      </c>
      <c r="AR142" s="3">
        <f t="shared" si="379"/>
        <v>347</v>
      </c>
      <c r="AT142" s="1">
        <f>+[1]PassVol!$AU142</f>
        <v>200</v>
      </c>
      <c r="AU142" s="1">
        <f t="shared" si="366"/>
        <v>147</v>
      </c>
      <c r="AV142" s="1">
        <f t="shared" si="369"/>
        <v>0</v>
      </c>
      <c r="AW142" s="1">
        <f t="shared" si="370"/>
        <v>0</v>
      </c>
      <c r="AX142" s="1">
        <f t="shared" si="371"/>
        <v>48</v>
      </c>
      <c r="AY142" s="1">
        <f t="shared" si="372"/>
        <v>139</v>
      </c>
      <c r="AZ142" s="1">
        <f t="shared" si="373"/>
        <v>132</v>
      </c>
      <c r="BA142" s="1">
        <f t="shared" si="374"/>
        <v>28</v>
      </c>
      <c r="BB142" s="1">
        <f t="shared" si="375"/>
        <v>0</v>
      </c>
      <c r="BC142" s="1">
        <f t="shared" si="376"/>
        <v>0</v>
      </c>
      <c r="BD142" s="1">
        <f t="shared" si="377"/>
        <v>0</v>
      </c>
      <c r="BE142" s="1">
        <f t="shared" si="378"/>
        <v>0</v>
      </c>
      <c r="BG142" s="1">
        <f t="shared" si="380"/>
        <v>0</v>
      </c>
      <c r="BH142" s="1">
        <f t="shared" si="380"/>
        <v>0</v>
      </c>
      <c r="BI142" s="1">
        <f t="shared" si="381"/>
        <v>864</v>
      </c>
      <c r="BJ142" s="1">
        <f t="shared" si="382"/>
        <v>2502</v>
      </c>
      <c r="BK142" s="1">
        <f t="shared" si="383"/>
        <v>2376</v>
      </c>
      <c r="BL142" s="1">
        <f t="shared" si="384"/>
        <v>504</v>
      </c>
      <c r="BM142" s="1">
        <f t="shared" si="385"/>
        <v>0</v>
      </c>
      <c r="BN142" s="1">
        <f t="shared" si="386"/>
        <v>0</v>
      </c>
      <c r="BO142" s="1">
        <f t="shared" si="387"/>
        <v>0</v>
      </c>
      <c r="BP142" s="1">
        <f t="shared" si="388"/>
        <v>0</v>
      </c>
      <c r="BQ142" s="1">
        <f t="shared" si="368"/>
        <v>6246</v>
      </c>
    </row>
    <row r="143" spans="2:69" s="10" customFormat="1" ht="15" customHeight="1" x14ac:dyDescent="0.25">
      <c r="B143" s="2"/>
      <c r="C143" t="s">
        <v>44</v>
      </c>
      <c r="D143" s="1"/>
      <c r="E143" s="1"/>
      <c r="F143" s="1"/>
      <c r="G143" s="1"/>
      <c r="H143" s="1"/>
      <c r="I143" s="1"/>
      <c r="J143" s="1"/>
      <c r="K143" s="1"/>
      <c r="L143" s="1"/>
      <c r="M143" s="1">
        <f>656-572</f>
        <v>84</v>
      </c>
      <c r="N143" s="1">
        <f>999-604-4</f>
        <v>391</v>
      </c>
      <c r="O143" s="1">
        <f>1613-1009</f>
        <v>604</v>
      </c>
      <c r="P143" s="1">
        <f>2847-1600</f>
        <v>1247</v>
      </c>
      <c r="Q143" s="1">
        <f>2878-1837-1</f>
        <v>1040</v>
      </c>
      <c r="R143" s="1">
        <f>3287-1635</f>
        <v>1652</v>
      </c>
      <c r="S143" s="1">
        <f>3894-2036-4</f>
        <v>1854</v>
      </c>
      <c r="T143" s="1">
        <f>3583-2016</f>
        <v>1567</v>
      </c>
      <c r="U143" s="1">
        <f>3976-2163</f>
        <v>1813</v>
      </c>
      <c r="V143" s="1">
        <f>3362-1757</f>
        <v>1605</v>
      </c>
      <c r="W143" s="1">
        <f>2614-1647</f>
        <v>967</v>
      </c>
      <c r="X143" s="1">
        <f>2267-1693</f>
        <v>574</v>
      </c>
      <c r="Y143" s="1">
        <f>1773-1380</f>
        <v>393</v>
      </c>
      <c r="Z143" s="1">
        <f>613-503</f>
        <v>110</v>
      </c>
      <c r="AA143" s="1">
        <f>522-359</f>
        <v>163</v>
      </c>
      <c r="AB143" s="117">
        <f>131-88</f>
        <v>43</v>
      </c>
      <c r="AC143" s="1">
        <v>3</v>
      </c>
      <c r="AD143" s="1"/>
      <c r="AE143" s="1"/>
      <c r="AF143" s="1"/>
      <c r="AG143" s="1"/>
      <c r="AH143" s="117"/>
      <c r="AI143" s="1"/>
      <c r="AJ143" s="1"/>
      <c r="AK143" s="1"/>
      <c r="AL143" s="117"/>
      <c r="AM143" s="1"/>
      <c r="AN143" s="1"/>
      <c r="AO143" s="1"/>
      <c r="AP143" s="1"/>
      <c r="AQ143" s="1"/>
      <c r="AR143" s="3">
        <f t="shared" si="379"/>
        <v>14110</v>
      </c>
      <c r="AS143" s="11"/>
      <c r="AT143" s="1">
        <f>+[1]PassVol!$AU143</f>
        <v>9624</v>
      </c>
      <c r="AU143" s="1">
        <f t="shared" si="366"/>
        <v>4486</v>
      </c>
      <c r="AV143" s="1">
        <f t="shared" si="369"/>
        <v>0</v>
      </c>
      <c r="AW143" s="1">
        <f t="shared" si="370"/>
        <v>0</v>
      </c>
      <c r="AX143" s="1">
        <f t="shared" si="371"/>
        <v>2326</v>
      </c>
      <c r="AY143" s="1">
        <f t="shared" si="372"/>
        <v>6113</v>
      </c>
      <c r="AZ143" s="1">
        <f t="shared" si="373"/>
        <v>4959</v>
      </c>
      <c r="BA143" s="1">
        <f t="shared" si="374"/>
        <v>712</v>
      </c>
      <c r="BB143" s="1">
        <f t="shared" si="375"/>
        <v>0</v>
      </c>
      <c r="BC143" s="1">
        <f t="shared" si="376"/>
        <v>0</v>
      </c>
      <c r="BD143" s="1">
        <f t="shared" si="377"/>
        <v>0</v>
      </c>
      <c r="BE143" s="1">
        <f t="shared" si="378"/>
        <v>0</v>
      </c>
      <c r="BG143" s="1">
        <f t="shared" si="380"/>
        <v>0</v>
      </c>
      <c r="BH143" s="1">
        <f t="shared" si="380"/>
        <v>0</v>
      </c>
      <c r="BI143" s="1">
        <f t="shared" si="381"/>
        <v>41868</v>
      </c>
      <c r="BJ143" s="1">
        <f t="shared" si="382"/>
        <v>110034</v>
      </c>
      <c r="BK143" s="1">
        <f t="shared" si="383"/>
        <v>89262</v>
      </c>
      <c r="BL143" s="1">
        <f t="shared" si="384"/>
        <v>12816</v>
      </c>
      <c r="BM143" s="1">
        <f t="shared" si="385"/>
        <v>0</v>
      </c>
      <c r="BN143" s="1">
        <f t="shared" si="386"/>
        <v>0</v>
      </c>
      <c r="BO143" s="1">
        <f t="shared" si="387"/>
        <v>0</v>
      </c>
      <c r="BP143" s="1">
        <f t="shared" si="388"/>
        <v>0</v>
      </c>
      <c r="BQ143" s="1">
        <f t="shared" si="368"/>
        <v>253980</v>
      </c>
    </row>
    <row r="144" spans="2:69" s="10" customFormat="1" ht="15" customHeight="1" x14ac:dyDescent="0.25">
      <c r="B144" s="2" t="s">
        <v>164</v>
      </c>
      <c r="C144" s="2"/>
      <c r="D144" s="3">
        <f t="shared" ref="D144:AQ144" si="389">SUM(D125:D143)</f>
        <v>0</v>
      </c>
      <c r="E144" s="3">
        <f t="shared" si="389"/>
        <v>0</v>
      </c>
      <c r="F144" s="3">
        <f t="shared" si="389"/>
        <v>0</v>
      </c>
      <c r="G144" s="3">
        <f t="shared" si="389"/>
        <v>0</v>
      </c>
      <c r="H144" s="3">
        <f t="shared" si="389"/>
        <v>0</v>
      </c>
      <c r="I144" s="3">
        <f t="shared" si="389"/>
        <v>0</v>
      </c>
      <c r="J144" s="3">
        <f t="shared" si="389"/>
        <v>0</v>
      </c>
      <c r="K144" s="3">
        <f t="shared" si="389"/>
        <v>0</v>
      </c>
      <c r="L144" s="3">
        <f t="shared" si="389"/>
        <v>0</v>
      </c>
      <c r="M144" s="3">
        <f t="shared" si="389"/>
        <v>656</v>
      </c>
      <c r="N144" s="3">
        <f t="shared" si="389"/>
        <v>999</v>
      </c>
      <c r="O144" s="3">
        <f t="shared" si="389"/>
        <v>1613</v>
      </c>
      <c r="P144" s="3">
        <f t="shared" si="389"/>
        <v>2847</v>
      </c>
      <c r="Q144" s="3">
        <f t="shared" si="389"/>
        <v>2878</v>
      </c>
      <c r="R144" s="3">
        <f t="shared" si="389"/>
        <v>3287</v>
      </c>
      <c r="S144" s="3">
        <f t="shared" si="389"/>
        <v>3894</v>
      </c>
      <c r="T144" s="3">
        <f t="shared" si="389"/>
        <v>3583</v>
      </c>
      <c r="U144" s="3">
        <f t="shared" si="389"/>
        <v>3976</v>
      </c>
      <c r="V144" s="3">
        <f t="shared" si="389"/>
        <v>3362</v>
      </c>
      <c r="W144" s="3">
        <f t="shared" si="389"/>
        <v>2614</v>
      </c>
      <c r="X144" s="3">
        <f t="shared" si="389"/>
        <v>2267</v>
      </c>
      <c r="Y144" s="3">
        <f t="shared" si="389"/>
        <v>1773</v>
      </c>
      <c r="Z144" s="3">
        <f t="shared" si="389"/>
        <v>613</v>
      </c>
      <c r="AA144" s="3">
        <f t="shared" si="389"/>
        <v>522</v>
      </c>
      <c r="AB144" s="3">
        <f t="shared" si="389"/>
        <v>131</v>
      </c>
      <c r="AC144" s="3">
        <f t="shared" si="389"/>
        <v>18</v>
      </c>
      <c r="AD144" s="3">
        <f t="shared" si="389"/>
        <v>0</v>
      </c>
      <c r="AE144" s="3">
        <f t="shared" si="389"/>
        <v>0</v>
      </c>
      <c r="AF144" s="3">
        <f t="shared" si="389"/>
        <v>0</v>
      </c>
      <c r="AG144" s="3">
        <f t="shared" si="389"/>
        <v>0</v>
      </c>
      <c r="AH144" s="150">
        <f t="shared" si="389"/>
        <v>0</v>
      </c>
      <c r="AI144" s="3">
        <f t="shared" si="389"/>
        <v>0</v>
      </c>
      <c r="AJ144" s="3">
        <f t="shared" si="389"/>
        <v>0</v>
      </c>
      <c r="AK144" s="3">
        <f t="shared" si="389"/>
        <v>0</v>
      </c>
      <c r="AL144" s="150">
        <f t="shared" si="389"/>
        <v>0</v>
      </c>
      <c r="AM144" s="3">
        <f t="shared" si="389"/>
        <v>0</v>
      </c>
      <c r="AN144" s="3">
        <f t="shared" si="389"/>
        <v>0</v>
      </c>
      <c r="AO144" s="3">
        <f t="shared" si="389"/>
        <v>0</v>
      </c>
      <c r="AP144" s="3">
        <f t="shared" si="389"/>
        <v>0</v>
      </c>
      <c r="AQ144" s="3">
        <f t="shared" si="389"/>
        <v>0</v>
      </c>
      <c r="AR144" s="3">
        <f t="shared" ref="AR144" si="390">SUM(AR125:AR143)</f>
        <v>35033</v>
      </c>
      <c r="AS144" s="3"/>
      <c r="AT144" s="1">
        <f>SUM(AT125:AT143)</f>
        <v>25654</v>
      </c>
      <c r="AU144" s="3">
        <f>SUM(AU125:AU143)</f>
        <v>9379</v>
      </c>
      <c r="AV144" s="3">
        <f>SUM(AV125:AV143)</f>
        <v>0</v>
      </c>
      <c r="AW144" s="3">
        <f>SUM(AW125:AW143)</f>
        <v>0</v>
      </c>
      <c r="AX144" s="3">
        <f t="shared" ref="AX144:BE144" si="391">SUM(AX125:AX143)</f>
        <v>6115</v>
      </c>
      <c r="AY144" s="3">
        <f t="shared" si="391"/>
        <v>13642</v>
      </c>
      <c r="AZ144" s="3">
        <f t="shared" si="391"/>
        <v>12219</v>
      </c>
      <c r="BA144" s="3">
        <f t="shared" si="391"/>
        <v>3057</v>
      </c>
      <c r="BB144" s="3">
        <f t="shared" si="391"/>
        <v>0</v>
      </c>
      <c r="BC144" s="3">
        <f t="shared" si="391"/>
        <v>0</v>
      </c>
      <c r="BD144" s="3">
        <f t="shared" si="391"/>
        <v>0</v>
      </c>
      <c r="BE144" s="3">
        <f t="shared" si="391"/>
        <v>0</v>
      </c>
      <c r="BF144" s="3"/>
      <c r="BG144" s="3">
        <f t="shared" ref="BG144" si="392">SUM(BG125:BG143)</f>
        <v>0</v>
      </c>
      <c r="BH144" s="3">
        <f t="shared" ref="BH144:BQ144" si="393">SUM(BH125:BH143)</f>
        <v>0</v>
      </c>
      <c r="BI144" s="3">
        <f t="shared" si="393"/>
        <v>110070</v>
      </c>
      <c r="BJ144" s="3">
        <f t="shared" si="393"/>
        <v>245556</v>
      </c>
      <c r="BK144" s="3">
        <f t="shared" si="393"/>
        <v>219942</v>
      </c>
      <c r="BL144" s="3">
        <f t="shared" si="393"/>
        <v>55026</v>
      </c>
      <c r="BM144" s="3">
        <f t="shared" si="393"/>
        <v>0</v>
      </c>
      <c r="BN144" s="3">
        <f t="shared" si="393"/>
        <v>0</v>
      </c>
      <c r="BO144" s="3">
        <f t="shared" si="393"/>
        <v>0</v>
      </c>
      <c r="BP144" s="3">
        <f t="shared" si="393"/>
        <v>0</v>
      </c>
      <c r="BQ144" s="3">
        <f t="shared" si="393"/>
        <v>630594</v>
      </c>
    </row>
    <row r="145" spans="2:69" s="10" customFormat="1" ht="15" customHeight="1" x14ac:dyDescent="0.25">
      <c r="C145" s="38" t="s">
        <v>97</v>
      </c>
      <c r="D145" s="11">
        <f>+D144</f>
        <v>0</v>
      </c>
      <c r="E145" s="11">
        <f>+D145+E144</f>
        <v>0</v>
      </c>
      <c r="F145" s="11">
        <f t="shared" ref="F145:AQ145" si="394">+E145+F144</f>
        <v>0</v>
      </c>
      <c r="G145" s="11">
        <f t="shared" si="394"/>
        <v>0</v>
      </c>
      <c r="H145" s="11">
        <f t="shared" si="394"/>
        <v>0</v>
      </c>
      <c r="I145" s="11">
        <f t="shared" si="394"/>
        <v>0</v>
      </c>
      <c r="J145" s="11">
        <f t="shared" si="394"/>
        <v>0</v>
      </c>
      <c r="K145" s="11">
        <f t="shared" si="394"/>
        <v>0</v>
      </c>
      <c r="L145" s="11">
        <f t="shared" si="394"/>
        <v>0</v>
      </c>
      <c r="M145" s="11">
        <f t="shared" si="394"/>
        <v>656</v>
      </c>
      <c r="N145" s="11">
        <f t="shared" si="394"/>
        <v>1655</v>
      </c>
      <c r="O145" s="11">
        <f t="shared" si="394"/>
        <v>3268</v>
      </c>
      <c r="P145" s="11">
        <f t="shared" si="394"/>
        <v>6115</v>
      </c>
      <c r="Q145" s="11">
        <f t="shared" si="394"/>
        <v>8993</v>
      </c>
      <c r="R145" s="11">
        <f t="shared" si="394"/>
        <v>12280</v>
      </c>
      <c r="S145" s="11">
        <f t="shared" si="394"/>
        <v>16174</v>
      </c>
      <c r="T145" s="11">
        <f t="shared" si="394"/>
        <v>19757</v>
      </c>
      <c r="U145" s="11">
        <f t="shared" si="394"/>
        <v>23733</v>
      </c>
      <c r="V145" s="11">
        <f t="shared" si="394"/>
        <v>27095</v>
      </c>
      <c r="W145" s="11">
        <f t="shared" si="394"/>
        <v>29709</v>
      </c>
      <c r="X145" s="11">
        <f t="shared" si="394"/>
        <v>31976</v>
      </c>
      <c r="Y145" s="11">
        <f t="shared" si="394"/>
        <v>33749</v>
      </c>
      <c r="Z145" s="11">
        <f t="shared" si="394"/>
        <v>34362</v>
      </c>
      <c r="AA145" s="11">
        <f t="shared" si="394"/>
        <v>34884</v>
      </c>
      <c r="AB145" s="11">
        <f t="shared" si="394"/>
        <v>35015</v>
      </c>
      <c r="AC145" s="11">
        <f t="shared" si="394"/>
        <v>35033</v>
      </c>
      <c r="AD145" s="11">
        <f t="shared" si="394"/>
        <v>35033</v>
      </c>
      <c r="AE145" s="11">
        <f t="shared" si="394"/>
        <v>35033</v>
      </c>
      <c r="AF145" s="11">
        <f t="shared" si="394"/>
        <v>35033</v>
      </c>
      <c r="AG145" s="11">
        <f t="shared" si="394"/>
        <v>35033</v>
      </c>
      <c r="AH145" s="147">
        <f t="shared" si="394"/>
        <v>35033</v>
      </c>
      <c r="AI145" s="11">
        <f t="shared" si="394"/>
        <v>35033</v>
      </c>
      <c r="AJ145" s="11">
        <f t="shared" si="394"/>
        <v>35033</v>
      </c>
      <c r="AK145" s="11">
        <f t="shared" si="394"/>
        <v>35033</v>
      </c>
      <c r="AL145" s="147">
        <f t="shared" si="394"/>
        <v>35033</v>
      </c>
      <c r="AM145" s="11">
        <f t="shared" si="394"/>
        <v>35033</v>
      </c>
      <c r="AN145" s="11">
        <f t="shared" si="394"/>
        <v>35033</v>
      </c>
      <c r="AO145" s="11">
        <f t="shared" si="394"/>
        <v>35033</v>
      </c>
      <c r="AP145" s="11">
        <f t="shared" si="394"/>
        <v>35033</v>
      </c>
      <c r="AQ145" s="11">
        <f t="shared" si="394"/>
        <v>35033</v>
      </c>
      <c r="AR145" s="40"/>
      <c r="AS145" s="11"/>
      <c r="AT145" s="11"/>
      <c r="AU145" s="11"/>
      <c r="AV145" s="11">
        <f>+AV144</f>
        <v>0</v>
      </c>
      <c r="AW145" s="1">
        <f>+AV145+AW144</f>
        <v>0</v>
      </c>
      <c r="AX145" s="1">
        <f t="shared" ref="AX145" si="395">+AW145+AX144</f>
        <v>6115</v>
      </c>
      <c r="AY145" s="1">
        <f t="shared" ref="AY145" si="396">+AX145+AY144</f>
        <v>19757</v>
      </c>
      <c r="AZ145" s="1">
        <f t="shared" ref="AZ145" si="397">+AY145+AZ144</f>
        <v>31976</v>
      </c>
      <c r="BA145" s="1">
        <f t="shared" ref="BA145" si="398">+AZ145+BA144</f>
        <v>35033</v>
      </c>
      <c r="BB145" s="1">
        <f t="shared" ref="BB145" si="399">+BA145+BB144</f>
        <v>35033</v>
      </c>
      <c r="BC145" s="1">
        <f t="shared" ref="BC145" si="400">+BB145+BC144</f>
        <v>35033</v>
      </c>
      <c r="BD145" s="1">
        <f t="shared" ref="BD145" si="401">+BC145+BD144</f>
        <v>35033</v>
      </c>
      <c r="BE145" s="1">
        <f t="shared" ref="BE145" si="402">+BD145+BE144</f>
        <v>35033</v>
      </c>
    </row>
    <row r="146" spans="2:69" s="10" customFormat="1" ht="15" customHeight="1" x14ac:dyDescent="0.2">
      <c r="C146" s="38" t="s">
        <v>220</v>
      </c>
      <c r="D146" s="11">
        <f>+D144*18</f>
        <v>0</v>
      </c>
      <c r="E146" s="11">
        <f t="shared" ref="E146:AQ146" si="403">+E144*18</f>
        <v>0</v>
      </c>
      <c r="F146" s="11">
        <f t="shared" si="403"/>
        <v>0</v>
      </c>
      <c r="G146" s="11">
        <f t="shared" si="403"/>
        <v>0</v>
      </c>
      <c r="H146" s="11">
        <f t="shared" si="403"/>
        <v>0</v>
      </c>
      <c r="I146" s="11">
        <f t="shared" si="403"/>
        <v>0</v>
      </c>
      <c r="J146" s="11">
        <f t="shared" si="403"/>
        <v>0</v>
      </c>
      <c r="K146" s="11">
        <f t="shared" si="403"/>
        <v>0</v>
      </c>
      <c r="L146" s="11">
        <f t="shared" si="403"/>
        <v>0</v>
      </c>
      <c r="M146" s="11">
        <f t="shared" si="403"/>
        <v>11808</v>
      </c>
      <c r="N146" s="11">
        <f t="shared" si="403"/>
        <v>17982</v>
      </c>
      <c r="O146" s="11">
        <f t="shared" si="403"/>
        <v>29034</v>
      </c>
      <c r="P146" s="11">
        <f t="shared" si="403"/>
        <v>51246</v>
      </c>
      <c r="Q146" s="11">
        <f t="shared" si="403"/>
        <v>51804</v>
      </c>
      <c r="R146" s="11">
        <f t="shared" si="403"/>
        <v>59166</v>
      </c>
      <c r="S146" s="11">
        <f t="shared" si="403"/>
        <v>70092</v>
      </c>
      <c r="T146" s="11">
        <f t="shared" si="403"/>
        <v>64494</v>
      </c>
      <c r="U146" s="11">
        <f t="shared" si="403"/>
        <v>71568</v>
      </c>
      <c r="V146" s="11">
        <f t="shared" si="403"/>
        <v>60516</v>
      </c>
      <c r="W146" s="11">
        <f t="shared" si="403"/>
        <v>47052</v>
      </c>
      <c r="X146" s="11">
        <f t="shared" si="403"/>
        <v>40806</v>
      </c>
      <c r="Y146" s="11">
        <f t="shared" si="403"/>
        <v>31914</v>
      </c>
      <c r="Z146" s="11">
        <f t="shared" si="403"/>
        <v>11034</v>
      </c>
      <c r="AA146" s="11">
        <f t="shared" si="403"/>
        <v>9396</v>
      </c>
      <c r="AB146" s="11">
        <f t="shared" si="403"/>
        <v>2358</v>
      </c>
      <c r="AC146" s="11">
        <f t="shared" si="403"/>
        <v>324</v>
      </c>
      <c r="AD146" s="11">
        <f t="shared" si="403"/>
        <v>0</v>
      </c>
      <c r="AE146" s="11">
        <f t="shared" si="403"/>
        <v>0</v>
      </c>
      <c r="AF146" s="11">
        <f t="shared" si="403"/>
        <v>0</v>
      </c>
      <c r="AG146" s="11">
        <f t="shared" si="403"/>
        <v>0</v>
      </c>
      <c r="AH146" s="147">
        <f t="shared" si="403"/>
        <v>0</v>
      </c>
      <c r="AI146" s="11">
        <f t="shared" si="403"/>
        <v>0</v>
      </c>
      <c r="AJ146" s="11">
        <f t="shared" si="403"/>
        <v>0</v>
      </c>
      <c r="AK146" s="11">
        <f t="shared" si="403"/>
        <v>0</v>
      </c>
      <c r="AL146" s="147">
        <f t="shared" si="403"/>
        <v>0</v>
      </c>
      <c r="AM146" s="11">
        <f t="shared" si="403"/>
        <v>0</v>
      </c>
      <c r="AN146" s="11">
        <f t="shared" si="403"/>
        <v>0</v>
      </c>
      <c r="AO146" s="11">
        <f t="shared" si="403"/>
        <v>0</v>
      </c>
      <c r="AP146" s="11">
        <f t="shared" si="403"/>
        <v>0</v>
      </c>
      <c r="AQ146" s="11">
        <f t="shared" si="403"/>
        <v>0</v>
      </c>
      <c r="AR146" s="40">
        <f>SUM(D146:AC146)</f>
        <v>630594</v>
      </c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</row>
    <row r="147" spans="2:69" s="10" customFormat="1" ht="15" customHeight="1" x14ac:dyDescent="0.2">
      <c r="C147" s="38" t="s">
        <v>286</v>
      </c>
      <c r="D147" s="11">
        <f>+(D144-D134-D140)/2</f>
        <v>0</v>
      </c>
      <c r="E147" s="11">
        <f t="shared" ref="E147:AQ147" si="404">+(E144-E134-E140)/2</f>
        <v>0</v>
      </c>
      <c r="F147" s="11">
        <f t="shared" si="404"/>
        <v>0</v>
      </c>
      <c r="G147" s="11">
        <f t="shared" si="404"/>
        <v>0</v>
      </c>
      <c r="H147" s="11">
        <f t="shared" si="404"/>
        <v>0</v>
      </c>
      <c r="I147" s="11">
        <f t="shared" si="404"/>
        <v>0</v>
      </c>
      <c r="J147" s="11">
        <f t="shared" si="404"/>
        <v>0</v>
      </c>
      <c r="K147" s="11">
        <f t="shared" si="404"/>
        <v>0</v>
      </c>
      <c r="L147" s="11">
        <f t="shared" si="404"/>
        <v>0</v>
      </c>
      <c r="M147" s="11">
        <f t="shared" si="404"/>
        <v>328</v>
      </c>
      <c r="N147" s="11">
        <f t="shared" si="404"/>
        <v>499.5</v>
      </c>
      <c r="O147" s="11">
        <f t="shared" si="404"/>
        <v>806.5</v>
      </c>
      <c r="P147" s="11">
        <f t="shared" si="404"/>
        <v>1423.5</v>
      </c>
      <c r="Q147" s="11">
        <f t="shared" si="404"/>
        <v>1439</v>
      </c>
      <c r="R147" s="11">
        <f t="shared" si="404"/>
        <v>1643.5</v>
      </c>
      <c r="S147" s="11">
        <f t="shared" si="404"/>
        <v>1947</v>
      </c>
      <c r="T147" s="11">
        <f t="shared" si="404"/>
        <v>1791.5</v>
      </c>
      <c r="U147" s="11">
        <f t="shared" si="404"/>
        <v>1988</v>
      </c>
      <c r="V147" s="11">
        <f t="shared" si="404"/>
        <v>1681</v>
      </c>
      <c r="W147" s="11">
        <f t="shared" si="404"/>
        <v>1307</v>
      </c>
      <c r="X147" s="11">
        <f t="shared" si="404"/>
        <v>1133.5</v>
      </c>
      <c r="Y147" s="11">
        <f t="shared" si="404"/>
        <v>886.5</v>
      </c>
      <c r="Z147" s="11">
        <f t="shared" si="404"/>
        <v>306.5</v>
      </c>
      <c r="AA147" s="11">
        <f t="shared" si="404"/>
        <v>261</v>
      </c>
      <c r="AB147" s="11">
        <f t="shared" si="404"/>
        <v>65.5</v>
      </c>
      <c r="AC147" s="11">
        <f t="shared" si="404"/>
        <v>9</v>
      </c>
      <c r="AD147" s="11">
        <f t="shared" si="404"/>
        <v>0</v>
      </c>
      <c r="AE147" s="11">
        <f t="shared" si="404"/>
        <v>0</v>
      </c>
      <c r="AF147" s="11">
        <f t="shared" si="404"/>
        <v>0</v>
      </c>
      <c r="AG147" s="11">
        <f t="shared" si="404"/>
        <v>0</v>
      </c>
      <c r="AH147" s="147">
        <f t="shared" si="404"/>
        <v>0</v>
      </c>
      <c r="AI147" s="11">
        <f t="shared" si="404"/>
        <v>0</v>
      </c>
      <c r="AJ147" s="11">
        <f t="shared" si="404"/>
        <v>0</v>
      </c>
      <c r="AK147" s="11">
        <f t="shared" si="404"/>
        <v>0</v>
      </c>
      <c r="AL147" s="147">
        <f t="shared" si="404"/>
        <v>0</v>
      </c>
      <c r="AM147" s="11">
        <f t="shared" si="404"/>
        <v>0</v>
      </c>
      <c r="AN147" s="11">
        <f t="shared" si="404"/>
        <v>0</v>
      </c>
      <c r="AO147" s="11">
        <f t="shared" si="404"/>
        <v>0</v>
      </c>
      <c r="AP147" s="11">
        <f t="shared" si="404"/>
        <v>0</v>
      </c>
      <c r="AQ147" s="11">
        <f t="shared" si="404"/>
        <v>0</v>
      </c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</row>
    <row r="148" spans="2:69" s="10" customFormat="1" ht="15" customHeight="1" x14ac:dyDescent="0.25">
      <c r="B148" s="2" t="s">
        <v>393</v>
      </c>
      <c r="C148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47"/>
      <c r="AI148" s="11"/>
      <c r="AJ148" s="11"/>
      <c r="AK148" s="11"/>
      <c r="AL148" s="147"/>
      <c r="AM148" s="11"/>
      <c r="AN148" s="11"/>
      <c r="AO148" s="11"/>
      <c r="AP148" s="11"/>
      <c r="AQ148" s="11"/>
      <c r="AR148" s="40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</row>
    <row r="149" spans="2:69" s="10" customFormat="1" ht="15" customHeight="1" x14ac:dyDescent="0.25">
      <c r="B149" s="2"/>
      <c r="C149" t="s">
        <v>190</v>
      </c>
      <c r="D149" s="1"/>
      <c r="E149" s="1"/>
      <c r="F149" s="1"/>
      <c r="G149" s="1"/>
      <c r="H149" s="1"/>
      <c r="I149" s="1"/>
      <c r="J149" s="1"/>
      <c r="K149" s="1"/>
      <c r="L149" s="1">
        <v>12</v>
      </c>
      <c r="M149" s="1"/>
      <c r="N149" s="1"/>
      <c r="O149" s="1">
        <v>36</v>
      </c>
      <c r="P149" s="1">
        <v>29</v>
      </c>
      <c r="Q149" s="1">
        <v>85</v>
      </c>
      <c r="R149" s="1"/>
      <c r="S149" s="1">
        <v>15</v>
      </c>
      <c r="T149" s="1">
        <v>29</v>
      </c>
      <c r="U149" s="1"/>
      <c r="V149" s="1">
        <v>18</v>
      </c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17"/>
      <c r="AI149" s="1"/>
      <c r="AJ149" s="1"/>
      <c r="AK149" s="1"/>
      <c r="AL149" s="117"/>
      <c r="AM149" s="1"/>
      <c r="AN149" s="1"/>
      <c r="AO149" s="1"/>
      <c r="AP149" s="1"/>
      <c r="AQ149" s="1"/>
      <c r="AR149" s="3">
        <f>SUM(D149:AQ149)</f>
        <v>224</v>
      </c>
      <c r="AS149" s="11"/>
      <c r="AT149" s="1">
        <f>+[1]PassVol!$AU149</f>
        <v>49</v>
      </c>
      <c r="AU149" s="1">
        <f t="shared" ref="AU149:AU167" si="405">+AR149-AT149</f>
        <v>175</v>
      </c>
      <c r="AV149" s="1">
        <f>SUM(D149:G149)</f>
        <v>0</v>
      </c>
      <c r="AW149" s="1">
        <f>SUM(H149:K149)</f>
        <v>0</v>
      </c>
      <c r="AX149" s="1">
        <f>SUM(L149:P149)</f>
        <v>77</v>
      </c>
      <c r="AY149" s="1">
        <f>SUM(Q149:T149)</f>
        <v>129</v>
      </c>
      <c r="AZ149" s="1">
        <f>SUM(U149:X149)</f>
        <v>18</v>
      </c>
      <c r="BA149" s="1">
        <f>SUM(Y149:AC149)</f>
        <v>0</v>
      </c>
      <c r="BB149" s="1">
        <f>SUM(AD149:AG149)</f>
        <v>0</v>
      </c>
      <c r="BC149" s="1">
        <f>SUM(AH149:AK149)</f>
        <v>0</v>
      </c>
      <c r="BD149" s="1">
        <f>SUM(AL149:AP149)</f>
        <v>0</v>
      </c>
      <c r="BE149" s="1">
        <f>+AQ149</f>
        <v>0</v>
      </c>
      <c r="BG149" s="1">
        <f t="shared" ref="BG149:BP150" si="406">+AV149*18</f>
        <v>0</v>
      </c>
      <c r="BH149" s="1">
        <f t="shared" si="406"/>
        <v>0</v>
      </c>
      <c r="BI149" s="1">
        <f t="shared" si="406"/>
        <v>1386</v>
      </c>
      <c r="BJ149" s="1">
        <f t="shared" si="406"/>
        <v>2322</v>
      </c>
      <c r="BK149" s="1">
        <f t="shared" si="406"/>
        <v>324</v>
      </c>
      <c r="BL149" s="1">
        <f t="shared" si="406"/>
        <v>0</v>
      </c>
      <c r="BM149" s="1">
        <f t="shared" si="406"/>
        <v>0</v>
      </c>
      <c r="BN149" s="1">
        <f t="shared" si="406"/>
        <v>0</v>
      </c>
      <c r="BO149" s="1">
        <f t="shared" si="406"/>
        <v>0</v>
      </c>
      <c r="BP149" s="1">
        <f t="shared" si="406"/>
        <v>0</v>
      </c>
      <c r="BQ149" s="1">
        <f>SUM(BH149:BP149)</f>
        <v>4032</v>
      </c>
    </row>
    <row r="150" spans="2:69" s="10" customFormat="1" ht="15" customHeight="1" x14ac:dyDescent="0.25">
      <c r="B150" s="2"/>
      <c r="C150" t="s">
        <v>424</v>
      </c>
      <c r="D150" s="1"/>
      <c r="E150" s="1"/>
      <c r="F150" s="1"/>
      <c r="G150" s="1"/>
      <c r="H150" s="1"/>
      <c r="I150" s="1"/>
      <c r="J150" s="1"/>
      <c r="K150" s="1"/>
      <c r="L150" s="1">
        <v>69</v>
      </c>
      <c r="M150" s="1">
        <v>111</v>
      </c>
      <c r="N150" s="1">
        <v>16</v>
      </c>
      <c r="O150" s="1">
        <v>79</v>
      </c>
      <c r="P150" s="1">
        <v>180</v>
      </c>
      <c r="Q150" s="1">
        <v>58</v>
      </c>
      <c r="R150" s="1"/>
      <c r="S150" s="1">
        <v>77</v>
      </c>
      <c r="T150" s="1">
        <v>112</v>
      </c>
      <c r="U150" s="1">
        <v>51</v>
      </c>
      <c r="V150" s="1">
        <v>8</v>
      </c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17"/>
      <c r="AI150" s="1"/>
      <c r="AJ150" s="1"/>
      <c r="AK150" s="1"/>
      <c r="AL150" s="117"/>
      <c r="AM150" s="1"/>
      <c r="AN150" s="1"/>
      <c r="AO150" s="1"/>
      <c r="AP150" s="1"/>
      <c r="AQ150" s="1"/>
      <c r="AR150" s="3">
        <f>SUM(D150:AQ150)</f>
        <v>761</v>
      </c>
      <c r="AS150" s="11"/>
      <c r="AT150" s="1">
        <f>+[1]PassVol!$AU150</f>
        <v>504</v>
      </c>
      <c r="AU150" s="1">
        <f t="shared" si="405"/>
        <v>257</v>
      </c>
      <c r="AV150" s="1">
        <f t="shared" ref="AV150:AV167" si="407">SUM(D150:G150)</f>
        <v>0</v>
      </c>
      <c r="AW150" s="1">
        <f t="shared" ref="AW150:AW167" si="408">SUM(H150:K150)</f>
        <v>0</v>
      </c>
      <c r="AX150" s="1">
        <f t="shared" ref="AX150:AX167" si="409">SUM(L150:P150)</f>
        <v>455</v>
      </c>
      <c r="AY150" s="1">
        <f t="shared" ref="AY150:AY167" si="410">SUM(Q150:T150)</f>
        <v>247</v>
      </c>
      <c r="AZ150" s="1">
        <f t="shared" ref="AZ150:AZ167" si="411">SUM(U150:X150)</f>
        <v>59</v>
      </c>
      <c r="BA150" s="1">
        <f t="shared" ref="BA150:BA167" si="412">SUM(Y150:AC150)</f>
        <v>0</v>
      </c>
      <c r="BB150" s="1">
        <f t="shared" ref="BB150:BB167" si="413">SUM(AD150:AG150)</f>
        <v>0</v>
      </c>
      <c r="BC150" s="1">
        <f t="shared" ref="BC150:BC167" si="414">SUM(AH150:AK150)</f>
        <v>0</v>
      </c>
      <c r="BD150" s="1">
        <f t="shared" ref="BD150:BD167" si="415">SUM(AL150:AP150)</f>
        <v>0</v>
      </c>
      <c r="BE150" s="1">
        <f t="shared" ref="BE150:BE167" si="416">+AQ150</f>
        <v>0</v>
      </c>
      <c r="BG150" s="1">
        <f t="shared" si="406"/>
        <v>0</v>
      </c>
      <c r="BH150" s="1">
        <f t="shared" si="406"/>
        <v>0</v>
      </c>
      <c r="BI150" s="1">
        <f t="shared" si="406"/>
        <v>8190</v>
      </c>
      <c r="BJ150" s="1">
        <f t="shared" si="406"/>
        <v>4446</v>
      </c>
      <c r="BK150" s="1">
        <f t="shared" si="406"/>
        <v>1062</v>
      </c>
      <c r="BL150" s="1">
        <f t="shared" si="406"/>
        <v>0</v>
      </c>
      <c r="BM150" s="1">
        <f t="shared" si="406"/>
        <v>0</v>
      </c>
      <c r="BN150" s="1">
        <f t="shared" si="406"/>
        <v>0</v>
      </c>
      <c r="BO150" s="1">
        <f t="shared" si="406"/>
        <v>0</v>
      </c>
      <c r="BP150" s="1">
        <f t="shared" si="406"/>
        <v>0</v>
      </c>
      <c r="BQ150" s="1">
        <f>SUM(BH150:BP150)</f>
        <v>13698</v>
      </c>
    </row>
    <row r="151" spans="2:69" s="10" customFormat="1" ht="15" customHeight="1" x14ac:dyDescent="0.25">
      <c r="B151" s="2"/>
      <c r="C151" t="s">
        <v>347</v>
      </c>
      <c r="D151" s="1"/>
      <c r="E151" s="1"/>
      <c r="F151" s="1"/>
      <c r="G151" s="1"/>
      <c r="H151" s="1"/>
      <c r="I151" s="1"/>
      <c r="J151" s="1"/>
      <c r="K151" s="1"/>
      <c r="L151" s="1">
        <v>72</v>
      </c>
      <c r="M151" s="1">
        <v>104</v>
      </c>
      <c r="N151" s="1">
        <v>28</v>
      </c>
      <c r="O151" s="1">
        <v>32</v>
      </c>
      <c r="P151" s="1">
        <v>76</v>
      </c>
      <c r="Q151" s="1">
        <v>7</v>
      </c>
      <c r="R151" s="1">
        <v>70</v>
      </c>
      <c r="S151" s="1">
        <v>50</v>
      </c>
      <c r="T151" s="1">
        <v>99</v>
      </c>
      <c r="U151" s="1">
        <v>20</v>
      </c>
      <c r="V151" s="1">
        <v>38</v>
      </c>
      <c r="W151" s="1">
        <v>12</v>
      </c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17"/>
      <c r="AI151" s="1"/>
      <c r="AJ151" s="1"/>
      <c r="AK151" s="1"/>
      <c r="AL151" s="117"/>
      <c r="AM151" s="1"/>
      <c r="AN151" s="1"/>
      <c r="AO151" s="1"/>
      <c r="AP151" s="1"/>
      <c r="AQ151" s="1"/>
      <c r="AR151" s="3">
        <f t="shared" ref="AR151:AR167" si="417">SUM(D151:AQ151)</f>
        <v>608</v>
      </c>
      <c r="AS151" s="11"/>
      <c r="AT151" s="1">
        <f>+[1]PassVol!$AU151</f>
        <v>291</v>
      </c>
      <c r="AU151" s="1">
        <f t="shared" si="405"/>
        <v>317</v>
      </c>
      <c r="AV151" s="1">
        <f t="shared" si="407"/>
        <v>0</v>
      </c>
      <c r="AW151" s="1">
        <f t="shared" si="408"/>
        <v>0</v>
      </c>
      <c r="AX151" s="1">
        <f t="shared" si="409"/>
        <v>312</v>
      </c>
      <c r="AY151" s="1">
        <f t="shared" si="410"/>
        <v>226</v>
      </c>
      <c r="AZ151" s="1">
        <f t="shared" si="411"/>
        <v>70</v>
      </c>
      <c r="BA151" s="1">
        <f t="shared" si="412"/>
        <v>0</v>
      </c>
      <c r="BB151" s="1">
        <f t="shared" si="413"/>
        <v>0</v>
      </c>
      <c r="BC151" s="1">
        <f t="shared" si="414"/>
        <v>0</v>
      </c>
      <c r="BD151" s="1">
        <f t="shared" si="415"/>
        <v>0</v>
      </c>
      <c r="BE151" s="1">
        <f t="shared" si="416"/>
        <v>0</v>
      </c>
      <c r="BG151" s="1">
        <f t="shared" ref="BG151:BH167" si="418">+AV151*18</f>
        <v>0</v>
      </c>
      <c r="BH151" s="1">
        <f t="shared" si="418"/>
        <v>0</v>
      </c>
      <c r="BI151" s="1">
        <f t="shared" ref="BI151:BI167" si="419">+AX151*18</f>
        <v>5616</v>
      </c>
      <c r="BJ151" s="1">
        <f t="shared" ref="BJ151:BJ167" si="420">+AY151*18</f>
        <v>4068</v>
      </c>
      <c r="BK151" s="1">
        <f t="shared" ref="BK151:BK167" si="421">+AZ151*18</f>
        <v>1260</v>
      </c>
      <c r="BL151" s="1">
        <f t="shared" ref="BL151:BL167" si="422">+BA151*18</f>
        <v>0</v>
      </c>
      <c r="BM151" s="1">
        <f t="shared" ref="BM151:BM167" si="423">+BB151*18</f>
        <v>0</v>
      </c>
      <c r="BN151" s="1">
        <f t="shared" ref="BN151:BN167" si="424">+BC151*18</f>
        <v>0</v>
      </c>
      <c r="BO151" s="1">
        <f t="shared" ref="BO151:BO167" si="425">+BD151*18</f>
        <v>0</v>
      </c>
      <c r="BP151" s="1">
        <f t="shared" ref="BP151:BP167" si="426">+BE151*18</f>
        <v>0</v>
      </c>
      <c r="BQ151" s="1">
        <f t="shared" ref="BQ151:BQ167" si="427">SUM(BH151:BP151)</f>
        <v>10944</v>
      </c>
    </row>
    <row r="152" spans="2:69" s="10" customFormat="1" ht="15" customHeight="1" x14ac:dyDescent="0.25">
      <c r="B152" s="2"/>
      <c r="C152" t="s">
        <v>0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17"/>
      <c r="AI152" s="1"/>
      <c r="AJ152" s="1"/>
      <c r="AK152" s="1"/>
      <c r="AL152" s="117"/>
      <c r="AM152" s="1"/>
      <c r="AN152" s="1"/>
      <c r="AO152" s="1"/>
      <c r="AP152" s="1"/>
      <c r="AQ152" s="1"/>
      <c r="AR152" s="3">
        <f t="shared" si="417"/>
        <v>0</v>
      </c>
      <c r="AS152" s="11"/>
      <c r="AT152" s="1">
        <f>+[1]PassVol!$AU152</f>
        <v>0</v>
      </c>
      <c r="AU152" s="1">
        <f t="shared" si="405"/>
        <v>0</v>
      </c>
      <c r="AV152" s="1">
        <f t="shared" si="407"/>
        <v>0</v>
      </c>
      <c r="AW152" s="1">
        <f t="shared" si="408"/>
        <v>0</v>
      </c>
      <c r="AX152" s="1">
        <f t="shared" si="409"/>
        <v>0</v>
      </c>
      <c r="AY152" s="1">
        <f t="shared" si="410"/>
        <v>0</v>
      </c>
      <c r="AZ152" s="1">
        <f t="shared" si="411"/>
        <v>0</v>
      </c>
      <c r="BA152" s="1">
        <f t="shared" si="412"/>
        <v>0</v>
      </c>
      <c r="BB152" s="1">
        <f t="shared" si="413"/>
        <v>0</v>
      </c>
      <c r="BC152" s="1">
        <f t="shared" si="414"/>
        <v>0</v>
      </c>
      <c r="BD152" s="1">
        <f t="shared" si="415"/>
        <v>0</v>
      </c>
      <c r="BE152" s="1">
        <f t="shared" si="416"/>
        <v>0</v>
      </c>
      <c r="BG152" s="1">
        <f t="shared" si="418"/>
        <v>0</v>
      </c>
      <c r="BH152" s="1">
        <f t="shared" si="418"/>
        <v>0</v>
      </c>
      <c r="BI152" s="1">
        <f t="shared" si="419"/>
        <v>0</v>
      </c>
      <c r="BJ152" s="1">
        <f t="shared" si="420"/>
        <v>0</v>
      </c>
      <c r="BK152" s="1">
        <f t="shared" si="421"/>
        <v>0</v>
      </c>
      <c r="BL152" s="1">
        <f t="shared" si="422"/>
        <v>0</v>
      </c>
      <c r="BM152" s="1">
        <f t="shared" si="423"/>
        <v>0</v>
      </c>
      <c r="BN152" s="1">
        <f t="shared" si="424"/>
        <v>0</v>
      </c>
      <c r="BO152" s="1">
        <f t="shared" si="425"/>
        <v>0</v>
      </c>
      <c r="BP152" s="1">
        <f t="shared" si="426"/>
        <v>0</v>
      </c>
      <c r="BQ152" s="1">
        <f t="shared" si="427"/>
        <v>0</v>
      </c>
    </row>
    <row r="153" spans="2:69" s="10" customFormat="1" ht="15" customHeight="1" x14ac:dyDescent="0.25">
      <c r="B153" s="2"/>
      <c r="C153" t="s">
        <v>354</v>
      </c>
      <c r="D153" s="1"/>
      <c r="E153" s="1"/>
      <c r="F153" s="1"/>
      <c r="G153" s="1"/>
      <c r="H153" s="1"/>
      <c r="I153" s="1"/>
      <c r="J153" s="1"/>
      <c r="K153" s="1"/>
      <c r="L153" s="1">
        <v>64</v>
      </c>
      <c r="M153" s="1"/>
      <c r="N153" s="1"/>
      <c r="O153" s="1">
        <v>2</v>
      </c>
      <c r="P153" s="1">
        <v>48</v>
      </c>
      <c r="Q153" s="1">
        <v>16</v>
      </c>
      <c r="R153" s="1"/>
      <c r="S153" s="1">
        <v>7</v>
      </c>
      <c r="T153" s="1">
        <v>69</v>
      </c>
      <c r="U153" s="1"/>
      <c r="V153" s="1"/>
      <c r="W153" s="1">
        <v>40</v>
      </c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17"/>
      <c r="AI153" s="1"/>
      <c r="AJ153" s="1"/>
      <c r="AK153" s="1"/>
      <c r="AL153" s="117"/>
      <c r="AM153" s="1"/>
      <c r="AN153" s="1"/>
      <c r="AO153" s="1"/>
      <c r="AP153" s="1"/>
      <c r="AQ153" s="1"/>
      <c r="AR153" s="3">
        <f t="shared" si="417"/>
        <v>246</v>
      </c>
      <c r="AS153" s="11"/>
      <c r="AT153" s="1">
        <f>+[1]PassVol!$AU153</f>
        <v>327</v>
      </c>
      <c r="AU153" s="1">
        <f t="shared" si="405"/>
        <v>-81</v>
      </c>
      <c r="AV153" s="1">
        <f t="shared" si="407"/>
        <v>0</v>
      </c>
      <c r="AW153" s="1">
        <f t="shared" si="408"/>
        <v>0</v>
      </c>
      <c r="AX153" s="1">
        <f t="shared" si="409"/>
        <v>114</v>
      </c>
      <c r="AY153" s="1">
        <f t="shared" si="410"/>
        <v>92</v>
      </c>
      <c r="AZ153" s="1">
        <f t="shared" si="411"/>
        <v>40</v>
      </c>
      <c r="BA153" s="1">
        <f t="shared" si="412"/>
        <v>0</v>
      </c>
      <c r="BB153" s="1">
        <f t="shared" si="413"/>
        <v>0</v>
      </c>
      <c r="BC153" s="1">
        <f t="shared" si="414"/>
        <v>0</v>
      </c>
      <c r="BD153" s="1">
        <f t="shared" si="415"/>
        <v>0</v>
      </c>
      <c r="BE153" s="1">
        <f t="shared" si="416"/>
        <v>0</v>
      </c>
      <c r="BG153" s="1">
        <f t="shared" si="418"/>
        <v>0</v>
      </c>
      <c r="BH153" s="1">
        <f t="shared" si="418"/>
        <v>0</v>
      </c>
      <c r="BI153" s="1">
        <f t="shared" si="419"/>
        <v>2052</v>
      </c>
      <c r="BJ153" s="1">
        <f t="shared" si="420"/>
        <v>1656</v>
      </c>
      <c r="BK153" s="1">
        <f t="shared" si="421"/>
        <v>720</v>
      </c>
      <c r="BL153" s="1">
        <f t="shared" si="422"/>
        <v>0</v>
      </c>
      <c r="BM153" s="1">
        <f t="shared" si="423"/>
        <v>0</v>
      </c>
      <c r="BN153" s="1">
        <f t="shared" si="424"/>
        <v>0</v>
      </c>
      <c r="BO153" s="1">
        <f t="shared" si="425"/>
        <v>0</v>
      </c>
      <c r="BP153" s="1">
        <f t="shared" si="426"/>
        <v>0</v>
      </c>
      <c r="BQ153" s="1">
        <f t="shared" si="427"/>
        <v>4428</v>
      </c>
    </row>
    <row r="154" spans="2:69" s="10" customFormat="1" ht="15" customHeight="1" x14ac:dyDescent="0.25">
      <c r="B154" s="2"/>
      <c r="C154" t="s">
        <v>265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17"/>
      <c r="AI154" s="1"/>
      <c r="AJ154" s="1"/>
      <c r="AK154" s="1"/>
      <c r="AL154" s="117"/>
      <c r="AM154" s="1"/>
      <c r="AN154" s="1"/>
      <c r="AO154" s="1"/>
      <c r="AP154" s="1"/>
      <c r="AQ154" s="1"/>
      <c r="AR154" s="3">
        <f t="shared" si="417"/>
        <v>0</v>
      </c>
      <c r="AS154" s="11"/>
      <c r="AT154" s="1">
        <f>+[1]PassVol!$AU154</f>
        <v>0</v>
      </c>
      <c r="AU154" s="1">
        <f t="shared" si="405"/>
        <v>0</v>
      </c>
      <c r="AV154" s="1">
        <f t="shared" si="407"/>
        <v>0</v>
      </c>
      <c r="AW154" s="1">
        <f t="shared" si="408"/>
        <v>0</v>
      </c>
      <c r="AX154" s="1">
        <f t="shared" si="409"/>
        <v>0</v>
      </c>
      <c r="AY154" s="1">
        <f t="shared" si="410"/>
        <v>0</v>
      </c>
      <c r="AZ154" s="1">
        <f t="shared" si="411"/>
        <v>0</v>
      </c>
      <c r="BA154" s="1">
        <f t="shared" si="412"/>
        <v>0</v>
      </c>
      <c r="BB154" s="1">
        <f t="shared" si="413"/>
        <v>0</v>
      </c>
      <c r="BC154" s="1">
        <f t="shared" si="414"/>
        <v>0</v>
      </c>
      <c r="BD154" s="1">
        <f t="shared" si="415"/>
        <v>0</v>
      </c>
      <c r="BE154" s="1">
        <f t="shared" si="416"/>
        <v>0</v>
      </c>
      <c r="BG154" s="1">
        <f t="shared" si="418"/>
        <v>0</v>
      </c>
      <c r="BH154" s="1">
        <f t="shared" si="418"/>
        <v>0</v>
      </c>
      <c r="BI154" s="1">
        <f t="shared" si="419"/>
        <v>0</v>
      </c>
      <c r="BJ154" s="1">
        <f t="shared" si="420"/>
        <v>0</v>
      </c>
      <c r="BK154" s="1">
        <f t="shared" si="421"/>
        <v>0</v>
      </c>
      <c r="BL154" s="1">
        <f t="shared" si="422"/>
        <v>0</v>
      </c>
      <c r="BM154" s="1">
        <f t="shared" si="423"/>
        <v>0</v>
      </c>
      <c r="BN154" s="1">
        <f t="shared" si="424"/>
        <v>0</v>
      </c>
      <c r="BO154" s="1">
        <f t="shared" si="425"/>
        <v>0</v>
      </c>
      <c r="BP154" s="1">
        <f t="shared" si="426"/>
        <v>0</v>
      </c>
      <c r="BQ154" s="1">
        <f t="shared" si="427"/>
        <v>0</v>
      </c>
    </row>
    <row r="155" spans="2:69" s="10" customFormat="1" ht="15" customHeight="1" x14ac:dyDescent="0.25">
      <c r="B155" s="2"/>
      <c r="C155" t="s">
        <v>191</v>
      </c>
      <c r="D155" s="1"/>
      <c r="E155" s="1"/>
      <c r="F155" s="1"/>
      <c r="G155" s="1"/>
      <c r="H155" s="1"/>
      <c r="I155" s="1"/>
      <c r="J155" s="1"/>
      <c r="K155" s="1"/>
      <c r="L155" s="1"/>
      <c r="M155" s="1">
        <v>312</v>
      </c>
      <c r="N155" s="1">
        <v>15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17"/>
      <c r="AI155" s="1"/>
      <c r="AJ155" s="1"/>
      <c r="AK155" s="1"/>
      <c r="AL155" s="117"/>
      <c r="AM155" s="1"/>
      <c r="AN155" s="1"/>
      <c r="AO155" s="1"/>
      <c r="AP155" s="1"/>
      <c r="AQ155" s="1"/>
      <c r="AR155" s="3">
        <f t="shared" si="417"/>
        <v>327</v>
      </c>
      <c r="AS155" s="11"/>
      <c r="AT155" s="1">
        <f>+[1]PassVol!$AU155</f>
        <v>311</v>
      </c>
      <c r="AU155" s="1">
        <f t="shared" si="405"/>
        <v>16</v>
      </c>
      <c r="AV155" s="1">
        <f t="shared" si="407"/>
        <v>0</v>
      </c>
      <c r="AW155" s="1">
        <f t="shared" si="408"/>
        <v>0</v>
      </c>
      <c r="AX155" s="1">
        <f t="shared" si="409"/>
        <v>327</v>
      </c>
      <c r="AY155" s="1">
        <f t="shared" si="410"/>
        <v>0</v>
      </c>
      <c r="AZ155" s="1">
        <f t="shared" si="411"/>
        <v>0</v>
      </c>
      <c r="BA155" s="1">
        <f t="shared" si="412"/>
        <v>0</v>
      </c>
      <c r="BB155" s="1">
        <f t="shared" si="413"/>
        <v>0</v>
      </c>
      <c r="BC155" s="1">
        <f t="shared" si="414"/>
        <v>0</v>
      </c>
      <c r="BD155" s="1">
        <f t="shared" si="415"/>
        <v>0</v>
      </c>
      <c r="BE155" s="1">
        <f t="shared" si="416"/>
        <v>0</v>
      </c>
      <c r="BG155" s="1">
        <f t="shared" si="418"/>
        <v>0</v>
      </c>
      <c r="BH155" s="1">
        <f t="shared" si="418"/>
        <v>0</v>
      </c>
      <c r="BI155" s="1">
        <f t="shared" si="419"/>
        <v>5886</v>
      </c>
      <c r="BJ155" s="1">
        <f t="shared" si="420"/>
        <v>0</v>
      </c>
      <c r="BK155" s="1">
        <f t="shared" si="421"/>
        <v>0</v>
      </c>
      <c r="BL155" s="1">
        <f t="shared" si="422"/>
        <v>0</v>
      </c>
      <c r="BM155" s="1">
        <f t="shared" si="423"/>
        <v>0</v>
      </c>
      <c r="BN155" s="1">
        <f t="shared" si="424"/>
        <v>0</v>
      </c>
      <c r="BO155" s="1">
        <f t="shared" si="425"/>
        <v>0</v>
      </c>
      <c r="BP155" s="1">
        <f t="shared" si="426"/>
        <v>0</v>
      </c>
      <c r="BQ155" s="1">
        <f t="shared" si="427"/>
        <v>5886</v>
      </c>
    </row>
    <row r="156" spans="2:69" ht="15" customHeight="1" x14ac:dyDescent="0.25">
      <c r="C156" t="s">
        <v>549</v>
      </c>
      <c r="AR156" s="3">
        <f t="shared" si="417"/>
        <v>0</v>
      </c>
      <c r="AT156" s="1">
        <f>+[1]PassVol!$AU156</f>
        <v>0</v>
      </c>
      <c r="AU156" s="1">
        <f t="shared" si="405"/>
        <v>0</v>
      </c>
      <c r="AV156" s="1">
        <f t="shared" si="407"/>
        <v>0</v>
      </c>
      <c r="AW156" s="1">
        <f t="shared" si="408"/>
        <v>0</v>
      </c>
      <c r="AX156" s="1">
        <f t="shared" si="409"/>
        <v>0</v>
      </c>
      <c r="AY156" s="1">
        <f t="shared" si="410"/>
        <v>0</v>
      </c>
      <c r="AZ156" s="1">
        <f t="shared" si="411"/>
        <v>0</v>
      </c>
      <c r="BA156" s="1">
        <f t="shared" si="412"/>
        <v>0</v>
      </c>
      <c r="BB156" s="1">
        <f t="shared" si="413"/>
        <v>0</v>
      </c>
      <c r="BC156" s="1">
        <f t="shared" si="414"/>
        <v>0</v>
      </c>
      <c r="BD156" s="1">
        <f t="shared" si="415"/>
        <v>0</v>
      </c>
      <c r="BE156" s="1">
        <f t="shared" si="416"/>
        <v>0</v>
      </c>
      <c r="BG156" s="1">
        <f t="shared" si="418"/>
        <v>0</v>
      </c>
      <c r="BH156" s="1">
        <f t="shared" si="418"/>
        <v>0</v>
      </c>
      <c r="BI156" s="1">
        <f t="shared" si="419"/>
        <v>0</v>
      </c>
      <c r="BJ156" s="1">
        <f t="shared" si="420"/>
        <v>0</v>
      </c>
      <c r="BK156" s="1">
        <f t="shared" si="421"/>
        <v>0</v>
      </c>
      <c r="BL156" s="1">
        <f t="shared" si="422"/>
        <v>0</v>
      </c>
      <c r="BM156" s="1">
        <f t="shared" si="423"/>
        <v>0</v>
      </c>
      <c r="BN156" s="1">
        <f t="shared" si="424"/>
        <v>0</v>
      </c>
      <c r="BO156" s="1">
        <f t="shared" si="425"/>
        <v>0</v>
      </c>
      <c r="BP156" s="1">
        <f t="shared" si="426"/>
        <v>0</v>
      </c>
      <c r="BQ156" s="1">
        <f t="shared" si="427"/>
        <v>0</v>
      </c>
    </row>
    <row r="157" spans="2:69" ht="15" customHeight="1" x14ac:dyDescent="0.25">
      <c r="C157" t="s">
        <v>550</v>
      </c>
      <c r="AR157" s="3">
        <f t="shared" si="417"/>
        <v>0</v>
      </c>
      <c r="AT157" s="1">
        <f>+[1]PassVol!$AU157</f>
        <v>0</v>
      </c>
      <c r="AU157" s="1">
        <f t="shared" si="405"/>
        <v>0</v>
      </c>
      <c r="AV157" s="1">
        <f t="shared" si="407"/>
        <v>0</v>
      </c>
      <c r="AW157" s="1">
        <f t="shared" si="408"/>
        <v>0</v>
      </c>
      <c r="AX157" s="1">
        <f t="shared" si="409"/>
        <v>0</v>
      </c>
      <c r="AY157" s="1">
        <f t="shared" si="410"/>
        <v>0</v>
      </c>
      <c r="AZ157" s="1">
        <f t="shared" si="411"/>
        <v>0</v>
      </c>
      <c r="BA157" s="1">
        <f t="shared" si="412"/>
        <v>0</v>
      </c>
      <c r="BB157" s="1">
        <f t="shared" si="413"/>
        <v>0</v>
      </c>
      <c r="BC157" s="1">
        <f t="shared" si="414"/>
        <v>0</v>
      </c>
      <c r="BD157" s="1">
        <f t="shared" si="415"/>
        <v>0</v>
      </c>
      <c r="BE157" s="1">
        <f t="shared" si="416"/>
        <v>0</v>
      </c>
      <c r="BG157" s="1">
        <f t="shared" si="418"/>
        <v>0</v>
      </c>
      <c r="BH157" s="1">
        <f t="shared" si="418"/>
        <v>0</v>
      </c>
      <c r="BI157" s="1">
        <f t="shared" si="419"/>
        <v>0</v>
      </c>
      <c r="BJ157" s="1">
        <f t="shared" si="420"/>
        <v>0</v>
      </c>
      <c r="BK157" s="1">
        <f t="shared" si="421"/>
        <v>0</v>
      </c>
      <c r="BL157" s="1">
        <f t="shared" si="422"/>
        <v>0</v>
      </c>
      <c r="BM157" s="1">
        <f t="shared" si="423"/>
        <v>0</v>
      </c>
      <c r="BN157" s="1">
        <f t="shared" si="424"/>
        <v>0</v>
      </c>
      <c r="BO157" s="1">
        <f t="shared" si="425"/>
        <v>0</v>
      </c>
      <c r="BP157" s="1">
        <f t="shared" si="426"/>
        <v>0</v>
      </c>
      <c r="BQ157" s="1">
        <f t="shared" si="427"/>
        <v>0</v>
      </c>
    </row>
    <row r="158" spans="2:69" ht="15" customHeight="1" x14ac:dyDescent="0.25">
      <c r="C158" t="s">
        <v>6</v>
      </c>
      <c r="AR158" s="3">
        <f t="shared" si="417"/>
        <v>0</v>
      </c>
      <c r="AT158" s="1">
        <f>+[1]PassVol!$AU158</f>
        <v>500</v>
      </c>
      <c r="AU158" s="1">
        <f t="shared" si="405"/>
        <v>-500</v>
      </c>
      <c r="AV158" s="1">
        <f t="shared" si="407"/>
        <v>0</v>
      </c>
      <c r="AW158" s="1">
        <f t="shared" si="408"/>
        <v>0</v>
      </c>
      <c r="AX158" s="1">
        <f t="shared" si="409"/>
        <v>0</v>
      </c>
      <c r="AY158" s="1">
        <f t="shared" si="410"/>
        <v>0</v>
      </c>
      <c r="AZ158" s="1">
        <f t="shared" si="411"/>
        <v>0</v>
      </c>
      <c r="BA158" s="1">
        <f t="shared" si="412"/>
        <v>0</v>
      </c>
      <c r="BB158" s="1">
        <f t="shared" si="413"/>
        <v>0</v>
      </c>
      <c r="BC158" s="1">
        <f t="shared" si="414"/>
        <v>0</v>
      </c>
      <c r="BD158" s="1">
        <f t="shared" si="415"/>
        <v>0</v>
      </c>
      <c r="BE158" s="1">
        <f t="shared" si="416"/>
        <v>0</v>
      </c>
      <c r="BG158" s="1">
        <f t="shared" si="418"/>
        <v>0</v>
      </c>
      <c r="BH158" s="1">
        <f t="shared" si="418"/>
        <v>0</v>
      </c>
      <c r="BI158" s="1">
        <f t="shared" si="419"/>
        <v>0</v>
      </c>
      <c r="BJ158" s="1">
        <f t="shared" si="420"/>
        <v>0</v>
      </c>
      <c r="BK158" s="1">
        <f t="shared" si="421"/>
        <v>0</v>
      </c>
      <c r="BL158" s="1">
        <f t="shared" si="422"/>
        <v>0</v>
      </c>
      <c r="BM158" s="1">
        <f t="shared" si="423"/>
        <v>0</v>
      </c>
      <c r="BN158" s="1">
        <f t="shared" si="424"/>
        <v>0</v>
      </c>
      <c r="BO158" s="1">
        <f t="shared" si="425"/>
        <v>0</v>
      </c>
      <c r="BP158" s="1">
        <f t="shared" si="426"/>
        <v>0</v>
      </c>
      <c r="BQ158" s="1">
        <f t="shared" si="427"/>
        <v>0</v>
      </c>
    </row>
    <row r="159" spans="2:69" ht="15" customHeight="1" x14ac:dyDescent="0.25">
      <c r="C159" t="s">
        <v>262</v>
      </c>
      <c r="L159" s="1">
        <v>36</v>
      </c>
      <c r="AR159" s="3">
        <f t="shared" si="417"/>
        <v>36</v>
      </c>
      <c r="AT159" s="1">
        <f>+[1]PassVol!$AU159</f>
        <v>168</v>
      </c>
      <c r="AU159" s="1">
        <f t="shared" si="405"/>
        <v>-132</v>
      </c>
      <c r="AV159" s="1">
        <f t="shared" si="407"/>
        <v>0</v>
      </c>
      <c r="AW159" s="1">
        <f t="shared" si="408"/>
        <v>0</v>
      </c>
      <c r="AX159" s="1">
        <f t="shared" si="409"/>
        <v>36</v>
      </c>
      <c r="AY159" s="1">
        <f t="shared" si="410"/>
        <v>0</v>
      </c>
      <c r="AZ159" s="1">
        <f t="shared" si="411"/>
        <v>0</v>
      </c>
      <c r="BA159" s="1">
        <f t="shared" si="412"/>
        <v>0</v>
      </c>
      <c r="BB159" s="1">
        <f t="shared" si="413"/>
        <v>0</v>
      </c>
      <c r="BC159" s="1">
        <f t="shared" si="414"/>
        <v>0</v>
      </c>
      <c r="BD159" s="1">
        <f t="shared" si="415"/>
        <v>0</v>
      </c>
      <c r="BE159" s="1">
        <f t="shared" si="416"/>
        <v>0</v>
      </c>
      <c r="BG159" s="1">
        <f t="shared" si="418"/>
        <v>0</v>
      </c>
      <c r="BH159" s="1">
        <f t="shared" si="418"/>
        <v>0</v>
      </c>
      <c r="BI159" s="1">
        <f t="shared" si="419"/>
        <v>648</v>
      </c>
      <c r="BJ159" s="1">
        <f t="shared" si="420"/>
        <v>0</v>
      </c>
      <c r="BK159" s="1">
        <f t="shared" si="421"/>
        <v>0</v>
      </c>
      <c r="BL159" s="1">
        <f t="shared" si="422"/>
        <v>0</v>
      </c>
      <c r="BM159" s="1">
        <f t="shared" si="423"/>
        <v>0</v>
      </c>
      <c r="BN159" s="1">
        <f t="shared" si="424"/>
        <v>0</v>
      </c>
      <c r="BO159" s="1">
        <f t="shared" si="425"/>
        <v>0</v>
      </c>
      <c r="BP159" s="1">
        <f t="shared" si="426"/>
        <v>0</v>
      </c>
      <c r="BQ159" s="1">
        <f t="shared" si="427"/>
        <v>648</v>
      </c>
    </row>
    <row r="160" spans="2:69" ht="15" customHeight="1" x14ac:dyDescent="0.25">
      <c r="C160" t="s">
        <v>42</v>
      </c>
      <c r="L160" s="1">
        <v>304</v>
      </c>
      <c r="N160" s="1">
        <v>6</v>
      </c>
      <c r="O160" s="1">
        <v>66</v>
      </c>
      <c r="P160" s="1">
        <v>5</v>
      </c>
      <c r="Q160" s="1">
        <v>74</v>
      </c>
      <c r="R160" s="1">
        <v>26</v>
      </c>
      <c r="S160" s="1">
        <v>28</v>
      </c>
      <c r="T160" s="1">
        <v>14</v>
      </c>
      <c r="V160" s="1">
        <v>4</v>
      </c>
      <c r="AR160" s="3">
        <f t="shared" si="417"/>
        <v>527</v>
      </c>
      <c r="AT160" s="1">
        <f>+[1]PassVol!$AU160</f>
        <v>307</v>
      </c>
      <c r="AU160" s="1">
        <f t="shared" si="405"/>
        <v>220</v>
      </c>
      <c r="AV160" s="1">
        <f t="shared" si="407"/>
        <v>0</v>
      </c>
      <c r="AW160" s="1">
        <f t="shared" si="408"/>
        <v>0</v>
      </c>
      <c r="AX160" s="1">
        <f t="shared" si="409"/>
        <v>381</v>
      </c>
      <c r="AY160" s="1">
        <f t="shared" si="410"/>
        <v>142</v>
      </c>
      <c r="AZ160" s="1">
        <f t="shared" si="411"/>
        <v>4</v>
      </c>
      <c r="BA160" s="1">
        <f t="shared" si="412"/>
        <v>0</v>
      </c>
      <c r="BB160" s="1">
        <f t="shared" si="413"/>
        <v>0</v>
      </c>
      <c r="BC160" s="1">
        <f t="shared" si="414"/>
        <v>0</v>
      </c>
      <c r="BD160" s="1">
        <f t="shared" si="415"/>
        <v>0</v>
      </c>
      <c r="BE160" s="1">
        <f t="shared" si="416"/>
        <v>0</v>
      </c>
      <c r="BG160" s="1">
        <f t="shared" si="418"/>
        <v>0</v>
      </c>
      <c r="BH160" s="1">
        <f t="shared" si="418"/>
        <v>0</v>
      </c>
      <c r="BI160" s="1">
        <f t="shared" si="419"/>
        <v>6858</v>
      </c>
      <c r="BJ160" s="1">
        <f t="shared" si="420"/>
        <v>2556</v>
      </c>
      <c r="BK160" s="1">
        <f t="shared" si="421"/>
        <v>72</v>
      </c>
      <c r="BL160" s="1">
        <f t="shared" si="422"/>
        <v>0</v>
      </c>
      <c r="BM160" s="1">
        <f t="shared" si="423"/>
        <v>0</v>
      </c>
      <c r="BN160" s="1">
        <f t="shared" si="424"/>
        <v>0</v>
      </c>
      <c r="BO160" s="1">
        <f t="shared" si="425"/>
        <v>0</v>
      </c>
      <c r="BP160" s="1">
        <f t="shared" si="426"/>
        <v>0</v>
      </c>
      <c r="BQ160" s="1">
        <f t="shared" si="427"/>
        <v>9486</v>
      </c>
    </row>
    <row r="161" spans="2:69" ht="15" customHeight="1" x14ac:dyDescent="0.25">
      <c r="C161" t="s">
        <v>192</v>
      </c>
      <c r="M161" s="1">
        <v>456</v>
      </c>
      <c r="O161" s="1">
        <v>39</v>
      </c>
      <c r="P161" s="1">
        <v>28</v>
      </c>
      <c r="Q161" s="1">
        <v>352</v>
      </c>
      <c r="T161" s="1">
        <v>21</v>
      </c>
      <c r="U161" s="1">
        <v>181</v>
      </c>
      <c r="AR161" s="3">
        <f t="shared" si="417"/>
        <v>1077</v>
      </c>
      <c r="AT161" s="1">
        <f>+[1]PassVol!$AU161</f>
        <v>379</v>
      </c>
      <c r="AU161" s="1">
        <f t="shared" si="405"/>
        <v>698</v>
      </c>
      <c r="AV161" s="1">
        <f t="shared" si="407"/>
        <v>0</v>
      </c>
      <c r="AW161" s="1">
        <f t="shared" si="408"/>
        <v>0</v>
      </c>
      <c r="AX161" s="1">
        <f t="shared" si="409"/>
        <v>523</v>
      </c>
      <c r="AY161" s="1">
        <f t="shared" si="410"/>
        <v>373</v>
      </c>
      <c r="AZ161" s="1">
        <f t="shared" si="411"/>
        <v>181</v>
      </c>
      <c r="BA161" s="1">
        <f t="shared" si="412"/>
        <v>0</v>
      </c>
      <c r="BB161" s="1">
        <f t="shared" si="413"/>
        <v>0</v>
      </c>
      <c r="BC161" s="1">
        <f t="shared" si="414"/>
        <v>0</v>
      </c>
      <c r="BD161" s="1">
        <f t="shared" si="415"/>
        <v>0</v>
      </c>
      <c r="BE161" s="1">
        <f t="shared" si="416"/>
        <v>0</v>
      </c>
      <c r="BG161" s="1">
        <f t="shared" si="418"/>
        <v>0</v>
      </c>
      <c r="BH161" s="1">
        <f t="shared" si="418"/>
        <v>0</v>
      </c>
      <c r="BI161" s="1">
        <f t="shared" si="419"/>
        <v>9414</v>
      </c>
      <c r="BJ161" s="1">
        <f t="shared" si="420"/>
        <v>6714</v>
      </c>
      <c r="BK161" s="1">
        <f t="shared" si="421"/>
        <v>3258</v>
      </c>
      <c r="BL161" s="1">
        <f t="shared" si="422"/>
        <v>0</v>
      </c>
      <c r="BM161" s="1">
        <f t="shared" si="423"/>
        <v>0</v>
      </c>
      <c r="BN161" s="1">
        <f t="shared" si="424"/>
        <v>0</v>
      </c>
      <c r="BO161" s="1">
        <f t="shared" si="425"/>
        <v>0</v>
      </c>
      <c r="BP161" s="1">
        <f t="shared" si="426"/>
        <v>0</v>
      </c>
      <c r="BQ161" s="1">
        <f t="shared" si="427"/>
        <v>19386</v>
      </c>
    </row>
    <row r="162" spans="2:69" ht="15" customHeight="1" x14ac:dyDescent="0.25">
      <c r="C162" t="s">
        <v>133</v>
      </c>
      <c r="L162" s="1">
        <v>24</v>
      </c>
      <c r="Q162" s="1">
        <v>4</v>
      </c>
      <c r="S162" s="1">
        <v>2</v>
      </c>
      <c r="AR162" s="3">
        <f t="shared" si="417"/>
        <v>30</v>
      </c>
      <c r="AT162" s="1">
        <f>+[1]PassVol!$AU162</f>
        <v>47</v>
      </c>
      <c r="AU162" s="1">
        <f t="shared" si="405"/>
        <v>-17</v>
      </c>
      <c r="AV162" s="1">
        <f t="shared" si="407"/>
        <v>0</v>
      </c>
      <c r="AW162" s="1">
        <f t="shared" si="408"/>
        <v>0</v>
      </c>
      <c r="AX162" s="1">
        <f t="shared" si="409"/>
        <v>24</v>
      </c>
      <c r="AY162" s="1">
        <f t="shared" si="410"/>
        <v>6</v>
      </c>
      <c r="AZ162" s="1">
        <f t="shared" si="411"/>
        <v>0</v>
      </c>
      <c r="BA162" s="1">
        <f t="shared" si="412"/>
        <v>0</v>
      </c>
      <c r="BB162" s="1">
        <f t="shared" si="413"/>
        <v>0</v>
      </c>
      <c r="BC162" s="1">
        <f t="shared" si="414"/>
        <v>0</v>
      </c>
      <c r="BD162" s="1">
        <f t="shared" si="415"/>
        <v>0</v>
      </c>
      <c r="BE162" s="1">
        <f t="shared" si="416"/>
        <v>0</v>
      </c>
      <c r="BG162" s="1">
        <f t="shared" si="418"/>
        <v>0</v>
      </c>
      <c r="BH162" s="1">
        <f t="shared" si="418"/>
        <v>0</v>
      </c>
      <c r="BI162" s="1">
        <f t="shared" si="419"/>
        <v>432</v>
      </c>
      <c r="BJ162" s="1">
        <f t="shared" si="420"/>
        <v>108</v>
      </c>
      <c r="BK162" s="1">
        <f t="shared" si="421"/>
        <v>0</v>
      </c>
      <c r="BL162" s="1">
        <f t="shared" si="422"/>
        <v>0</v>
      </c>
      <c r="BM162" s="1">
        <f t="shared" si="423"/>
        <v>0</v>
      </c>
      <c r="BN162" s="1">
        <f t="shared" si="424"/>
        <v>0</v>
      </c>
      <c r="BO162" s="1">
        <f t="shared" si="425"/>
        <v>0</v>
      </c>
      <c r="BP162" s="1">
        <f t="shared" si="426"/>
        <v>0</v>
      </c>
      <c r="BQ162" s="1">
        <f t="shared" si="427"/>
        <v>540</v>
      </c>
    </row>
    <row r="163" spans="2:69" ht="15" customHeight="1" x14ac:dyDescent="0.25">
      <c r="C163" t="s">
        <v>41</v>
      </c>
      <c r="L163" s="1">
        <v>110</v>
      </c>
      <c r="M163" s="1">
        <v>64</v>
      </c>
      <c r="N163" s="1">
        <v>8</v>
      </c>
      <c r="O163" s="1">
        <v>74</v>
      </c>
      <c r="P163" s="1">
        <v>395</v>
      </c>
      <c r="Q163" s="1">
        <v>78</v>
      </c>
      <c r="R163" s="1">
        <v>52</v>
      </c>
      <c r="S163" s="1">
        <v>95</v>
      </c>
      <c r="T163" s="1">
        <v>62</v>
      </c>
      <c r="U163" s="1">
        <v>74</v>
      </c>
      <c r="V163" s="1">
        <v>18</v>
      </c>
      <c r="W163" s="1">
        <v>10</v>
      </c>
      <c r="AR163" s="3">
        <f t="shared" si="417"/>
        <v>1040</v>
      </c>
      <c r="AT163" s="1">
        <f>+[1]PassVol!$AU163</f>
        <v>838</v>
      </c>
      <c r="AU163" s="1">
        <f t="shared" si="405"/>
        <v>202</v>
      </c>
      <c r="AV163" s="1">
        <f t="shared" si="407"/>
        <v>0</v>
      </c>
      <c r="AW163" s="1">
        <f t="shared" si="408"/>
        <v>0</v>
      </c>
      <c r="AX163" s="1">
        <f t="shared" si="409"/>
        <v>651</v>
      </c>
      <c r="AY163" s="1">
        <f t="shared" si="410"/>
        <v>287</v>
      </c>
      <c r="AZ163" s="1">
        <f t="shared" si="411"/>
        <v>102</v>
      </c>
      <c r="BA163" s="1">
        <f t="shared" si="412"/>
        <v>0</v>
      </c>
      <c r="BB163" s="1">
        <f t="shared" si="413"/>
        <v>0</v>
      </c>
      <c r="BC163" s="1">
        <f t="shared" si="414"/>
        <v>0</v>
      </c>
      <c r="BD163" s="1">
        <f t="shared" si="415"/>
        <v>0</v>
      </c>
      <c r="BE163" s="1">
        <f t="shared" si="416"/>
        <v>0</v>
      </c>
      <c r="BG163" s="1">
        <f t="shared" si="418"/>
        <v>0</v>
      </c>
      <c r="BH163" s="1">
        <f t="shared" si="418"/>
        <v>0</v>
      </c>
      <c r="BI163" s="1">
        <f t="shared" si="419"/>
        <v>11718</v>
      </c>
      <c r="BJ163" s="1">
        <f t="shared" si="420"/>
        <v>5166</v>
      </c>
      <c r="BK163" s="1">
        <f t="shared" si="421"/>
        <v>1836</v>
      </c>
      <c r="BL163" s="1">
        <f t="shared" si="422"/>
        <v>0</v>
      </c>
      <c r="BM163" s="1">
        <f t="shared" si="423"/>
        <v>0</v>
      </c>
      <c r="BN163" s="1">
        <f t="shared" si="424"/>
        <v>0</v>
      </c>
      <c r="BO163" s="1">
        <f t="shared" si="425"/>
        <v>0</v>
      </c>
      <c r="BP163" s="1">
        <f t="shared" si="426"/>
        <v>0</v>
      </c>
      <c r="BQ163" s="1">
        <f t="shared" si="427"/>
        <v>18720</v>
      </c>
    </row>
    <row r="164" spans="2:69" ht="15" customHeight="1" x14ac:dyDescent="0.25">
      <c r="C164" t="s">
        <v>193</v>
      </c>
      <c r="AR164" s="3">
        <f t="shared" si="417"/>
        <v>0</v>
      </c>
      <c r="AT164" s="1">
        <f>+[1]PassVol!$AU164</f>
        <v>0</v>
      </c>
      <c r="AU164" s="1">
        <f t="shared" si="405"/>
        <v>0</v>
      </c>
      <c r="AV164" s="1">
        <f t="shared" si="407"/>
        <v>0</v>
      </c>
      <c r="AW164" s="1">
        <f t="shared" si="408"/>
        <v>0</v>
      </c>
      <c r="AX164" s="1">
        <f t="shared" si="409"/>
        <v>0</v>
      </c>
      <c r="AY164" s="1">
        <f t="shared" si="410"/>
        <v>0</v>
      </c>
      <c r="AZ164" s="1">
        <f t="shared" si="411"/>
        <v>0</v>
      </c>
      <c r="BA164" s="1">
        <f t="shared" si="412"/>
        <v>0</v>
      </c>
      <c r="BB164" s="1">
        <f t="shared" si="413"/>
        <v>0</v>
      </c>
      <c r="BC164" s="1">
        <f t="shared" si="414"/>
        <v>0</v>
      </c>
      <c r="BD164" s="1">
        <f t="shared" si="415"/>
        <v>0</v>
      </c>
      <c r="BE164" s="1">
        <f t="shared" si="416"/>
        <v>0</v>
      </c>
      <c r="BG164" s="1">
        <f t="shared" si="418"/>
        <v>0</v>
      </c>
      <c r="BH164" s="1">
        <f t="shared" si="418"/>
        <v>0</v>
      </c>
      <c r="BI164" s="1">
        <f t="shared" si="419"/>
        <v>0</v>
      </c>
      <c r="BJ164" s="1">
        <f t="shared" si="420"/>
        <v>0</v>
      </c>
      <c r="BK164" s="1">
        <f t="shared" si="421"/>
        <v>0</v>
      </c>
      <c r="BL164" s="1">
        <f t="shared" si="422"/>
        <v>0</v>
      </c>
      <c r="BM164" s="1">
        <f t="shared" si="423"/>
        <v>0</v>
      </c>
      <c r="BN164" s="1">
        <f t="shared" si="424"/>
        <v>0</v>
      </c>
      <c r="BO164" s="1">
        <f t="shared" si="425"/>
        <v>0</v>
      </c>
      <c r="BP164" s="1">
        <f t="shared" si="426"/>
        <v>0</v>
      </c>
      <c r="BQ164" s="1">
        <f t="shared" si="427"/>
        <v>0</v>
      </c>
    </row>
    <row r="165" spans="2:69" ht="15" customHeight="1" x14ac:dyDescent="0.25">
      <c r="C165" t="s">
        <v>297</v>
      </c>
      <c r="AR165" s="3">
        <f t="shared" si="417"/>
        <v>0</v>
      </c>
      <c r="AT165" s="1">
        <f>+[1]PassVol!$AU165</f>
        <v>0</v>
      </c>
      <c r="AU165" s="1">
        <f t="shared" si="405"/>
        <v>0</v>
      </c>
      <c r="AV165" s="1">
        <f t="shared" si="407"/>
        <v>0</v>
      </c>
      <c r="AW165" s="1">
        <f t="shared" si="408"/>
        <v>0</v>
      </c>
      <c r="AX165" s="1">
        <f t="shared" si="409"/>
        <v>0</v>
      </c>
      <c r="AY165" s="1">
        <f t="shared" si="410"/>
        <v>0</v>
      </c>
      <c r="AZ165" s="1">
        <f t="shared" si="411"/>
        <v>0</v>
      </c>
      <c r="BA165" s="1">
        <f t="shared" si="412"/>
        <v>0</v>
      </c>
      <c r="BB165" s="1">
        <f t="shared" si="413"/>
        <v>0</v>
      </c>
      <c r="BC165" s="1">
        <f t="shared" si="414"/>
        <v>0</v>
      </c>
      <c r="BD165" s="1">
        <f t="shared" si="415"/>
        <v>0</v>
      </c>
      <c r="BE165" s="1">
        <f t="shared" si="416"/>
        <v>0</v>
      </c>
      <c r="BG165" s="1">
        <f t="shared" si="418"/>
        <v>0</v>
      </c>
      <c r="BH165" s="1">
        <f t="shared" si="418"/>
        <v>0</v>
      </c>
      <c r="BI165" s="1">
        <f t="shared" si="419"/>
        <v>0</v>
      </c>
      <c r="BJ165" s="1">
        <f t="shared" si="420"/>
        <v>0</v>
      </c>
      <c r="BK165" s="1">
        <f t="shared" si="421"/>
        <v>0</v>
      </c>
      <c r="BL165" s="1">
        <f t="shared" si="422"/>
        <v>0</v>
      </c>
      <c r="BM165" s="1">
        <f t="shared" si="423"/>
        <v>0</v>
      </c>
      <c r="BN165" s="1">
        <f t="shared" si="424"/>
        <v>0</v>
      </c>
      <c r="BO165" s="1">
        <f t="shared" si="425"/>
        <v>0</v>
      </c>
      <c r="BP165" s="1">
        <f t="shared" si="426"/>
        <v>0</v>
      </c>
      <c r="BQ165" s="1">
        <f t="shared" si="427"/>
        <v>0</v>
      </c>
    </row>
    <row r="166" spans="2:69" ht="15" customHeight="1" x14ac:dyDescent="0.25">
      <c r="C166" t="s">
        <v>296</v>
      </c>
      <c r="M166" s="1">
        <v>14</v>
      </c>
      <c r="N166" s="1">
        <v>16</v>
      </c>
      <c r="O166" s="1">
        <v>20</v>
      </c>
      <c r="P166" s="1">
        <v>24</v>
      </c>
      <c r="Q166" s="1">
        <v>28</v>
      </c>
      <c r="S166" s="1">
        <v>6</v>
      </c>
      <c r="T166" s="1">
        <v>5</v>
      </c>
      <c r="U166" s="1">
        <v>25</v>
      </c>
      <c r="V166" s="1">
        <v>2</v>
      </c>
      <c r="AR166" s="3">
        <f t="shared" si="417"/>
        <v>140</v>
      </c>
      <c r="AT166" s="1">
        <f>+[1]PassVol!$AU166</f>
        <v>137</v>
      </c>
      <c r="AU166" s="1">
        <f t="shared" si="405"/>
        <v>3</v>
      </c>
      <c r="AV166" s="1">
        <f t="shared" si="407"/>
        <v>0</v>
      </c>
      <c r="AW166" s="1">
        <f t="shared" si="408"/>
        <v>0</v>
      </c>
      <c r="AX166" s="1">
        <f t="shared" si="409"/>
        <v>74</v>
      </c>
      <c r="AY166" s="1">
        <f t="shared" si="410"/>
        <v>39</v>
      </c>
      <c r="AZ166" s="1">
        <f t="shared" si="411"/>
        <v>27</v>
      </c>
      <c r="BA166" s="1">
        <f t="shared" si="412"/>
        <v>0</v>
      </c>
      <c r="BB166" s="1">
        <f t="shared" si="413"/>
        <v>0</v>
      </c>
      <c r="BC166" s="1">
        <f t="shared" si="414"/>
        <v>0</v>
      </c>
      <c r="BD166" s="1">
        <f t="shared" si="415"/>
        <v>0</v>
      </c>
      <c r="BE166" s="1">
        <f t="shared" si="416"/>
        <v>0</v>
      </c>
      <c r="BG166" s="1">
        <f t="shared" si="418"/>
        <v>0</v>
      </c>
      <c r="BH166" s="1">
        <f t="shared" si="418"/>
        <v>0</v>
      </c>
      <c r="BI166" s="1">
        <f t="shared" si="419"/>
        <v>1332</v>
      </c>
      <c r="BJ166" s="1">
        <f t="shared" si="420"/>
        <v>702</v>
      </c>
      <c r="BK166" s="1">
        <f t="shared" si="421"/>
        <v>486</v>
      </c>
      <c r="BL166" s="1">
        <f t="shared" si="422"/>
        <v>0</v>
      </c>
      <c r="BM166" s="1">
        <f t="shared" si="423"/>
        <v>0</v>
      </c>
      <c r="BN166" s="1">
        <f t="shared" si="424"/>
        <v>0</v>
      </c>
      <c r="BO166" s="1">
        <f t="shared" si="425"/>
        <v>0</v>
      </c>
      <c r="BP166" s="1">
        <f t="shared" si="426"/>
        <v>0</v>
      </c>
      <c r="BQ166" s="1">
        <f t="shared" si="427"/>
        <v>2520</v>
      </c>
    </row>
    <row r="167" spans="2:69" s="10" customFormat="1" ht="15" customHeight="1" x14ac:dyDescent="0.25">
      <c r="B167" s="2"/>
      <c r="C167" t="s">
        <v>44</v>
      </c>
      <c r="D167" s="1"/>
      <c r="E167" s="1"/>
      <c r="F167" s="1"/>
      <c r="G167" s="1"/>
      <c r="H167" s="1"/>
      <c r="I167" s="1"/>
      <c r="J167" s="1"/>
      <c r="K167" s="1"/>
      <c r="L167" s="1">
        <f>1493-691</f>
        <v>802</v>
      </c>
      <c r="M167" s="1">
        <f>1740-1061</f>
        <v>679</v>
      </c>
      <c r="N167" s="1">
        <f>285-89</f>
        <v>196</v>
      </c>
      <c r="O167" s="1">
        <f>1097-348</f>
        <v>749</v>
      </c>
      <c r="P167" s="1">
        <f>1632-785</f>
        <v>847</v>
      </c>
      <c r="Q167" s="1">
        <f>1235-702</f>
        <v>533</v>
      </c>
      <c r="R167" s="1">
        <f>414-148</f>
        <v>266</v>
      </c>
      <c r="S167" s="1">
        <f>938-280</f>
        <v>658</v>
      </c>
      <c r="T167" s="1">
        <f>1083-411</f>
        <v>672</v>
      </c>
      <c r="U167" s="1">
        <f>589-351</f>
        <v>238</v>
      </c>
      <c r="V167" s="1">
        <f>308-88</f>
        <v>220</v>
      </c>
      <c r="W167" s="1">
        <f>144-62</f>
        <v>82</v>
      </c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17"/>
      <c r="AI167" s="1"/>
      <c r="AJ167" s="1"/>
      <c r="AK167" s="1"/>
      <c r="AL167" s="117"/>
      <c r="AM167" s="1"/>
      <c r="AN167" s="1"/>
      <c r="AO167" s="1"/>
      <c r="AP167" s="1"/>
      <c r="AQ167" s="1"/>
      <c r="AR167" s="3">
        <f t="shared" si="417"/>
        <v>5942</v>
      </c>
      <c r="AS167" s="11"/>
      <c r="AT167" s="1">
        <f>+[1]PassVol!$AU167</f>
        <v>4494</v>
      </c>
      <c r="AU167" s="1">
        <f t="shared" si="405"/>
        <v>1448</v>
      </c>
      <c r="AV167" s="1">
        <f t="shared" si="407"/>
        <v>0</v>
      </c>
      <c r="AW167" s="1">
        <f t="shared" si="408"/>
        <v>0</v>
      </c>
      <c r="AX167" s="1">
        <f t="shared" si="409"/>
        <v>3273</v>
      </c>
      <c r="AY167" s="1">
        <f t="shared" si="410"/>
        <v>2129</v>
      </c>
      <c r="AZ167" s="1">
        <f t="shared" si="411"/>
        <v>540</v>
      </c>
      <c r="BA167" s="1">
        <f t="shared" si="412"/>
        <v>0</v>
      </c>
      <c r="BB167" s="1">
        <f t="shared" si="413"/>
        <v>0</v>
      </c>
      <c r="BC167" s="1">
        <f t="shared" si="414"/>
        <v>0</v>
      </c>
      <c r="BD167" s="1">
        <f t="shared" si="415"/>
        <v>0</v>
      </c>
      <c r="BE167" s="1">
        <f t="shared" si="416"/>
        <v>0</v>
      </c>
      <c r="BG167" s="1">
        <f t="shared" si="418"/>
        <v>0</v>
      </c>
      <c r="BH167" s="1">
        <f t="shared" si="418"/>
        <v>0</v>
      </c>
      <c r="BI167" s="1">
        <f t="shared" si="419"/>
        <v>58914</v>
      </c>
      <c r="BJ167" s="1">
        <f t="shared" si="420"/>
        <v>38322</v>
      </c>
      <c r="BK167" s="1">
        <f t="shared" si="421"/>
        <v>9720</v>
      </c>
      <c r="BL167" s="1">
        <f t="shared" si="422"/>
        <v>0</v>
      </c>
      <c r="BM167" s="1">
        <f t="shared" si="423"/>
        <v>0</v>
      </c>
      <c r="BN167" s="1">
        <f t="shared" si="424"/>
        <v>0</v>
      </c>
      <c r="BO167" s="1">
        <f t="shared" si="425"/>
        <v>0</v>
      </c>
      <c r="BP167" s="1">
        <f t="shared" si="426"/>
        <v>0</v>
      </c>
      <c r="BQ167" s="1">
        <f t="shared" si="427"/>
        <v>106956</v>
      </c>
    </row>
    <row r="168" spans="2:69" s="10" customFormat="1" ht="15" customHeight="1" x14ac:dyDescent="0.25">
      <c r="B168" s="2" t="s">
        <v>425</v>
      </c>
      <c r="C168" s="2"/>
      <c r="D168" s="3">
        <f t="shared" ref="D168:AQ168" si="428">SUM(D149:D167)</f>
        <v>0</v>
      </c>
      <c r="E168" s="3">
        <f t="shared" si="428"/>
        <v>0</v>
      </c>
      <c r="F168" s="3">
        <f t="shared" si="428"/>
        <v>0</v>
      </c>
      <c r="G168" s="3">
        <f t="shared" si="428"/>
        <v>0</v>
      </c>
      <c r="H168" s="3">
        <f t="shared" si="428"/>
        <v>0</v>
      </c>
      <c r="I168" s="3">
        <f t="shared" si="428"/>
        <v>0</v>
      </c>
      <c r="J168" s="3">
        <f t="shared" si="428"/>
        <v>0</v>
      </c>
      <c r="K168" s="3">
        <f t="shared" si="428"/>
        <v>0</v>
      </c>
      <c r="L168" s="3">
        <f t="shared" si="428"/>
        <v>1493</v>
      </c>
      <c r="M168" s="3">
        <f t="shared" si="428"/>
        <v>1740</v>
      </c>
      <c r="N168" s="3">
        <f t="shared" si="428"/>
        <v>285</v>
      </c>
      <c r="O168" s="3">
        <f t="shared" si="428"/>
        <v>1097</v>
      </c>
      <c r="P168" s="3">
        <f t="shared" si="428"/>
        <v>1632</v>
      </c>
      <c r="Q168" s="3">
        <f t="shared" si="428"/>
        <v>1235</v>
      </c>
      <c r="R168" s="3">
        <f t="shared" si="428"/>
        <v>414</v>
      </c>
      <c r="S168" s="3">
        <f t="shared" si="428"/>
        <v>938</v>
      </c>
      <c r="T168" s="3">
        <f t="shared" si="428"/>
        <v>1083</v>
      </c>
      <c r="U168" s="3">
        <f t="shared" si="428"/>
        <v>589</v>
      </c>
      <c r="V168" s="3">
        <f t="shared" si="428"/>
        <v>308</v>
      </c>
      <c r="W168" s="3">
        <f t="shared" si="428"/>
        <v>144</v>
      </c>
      <c r="X168" s="3">
        <f t="shared" si="428"/>
        <v>0</v>
      </c>
      <c r="Y168" s="3">
        <f t="shared" si="428"/>
        <v>0</v>
      </c>
      <c r="Z168" s="3">
        <f t="shared" si="428"/>
        <v>0</v>
      </c>
      <c r="AA168" s="3">
        <f t="shared" si="428"/>
        <v>0</v>
      </c>
      <c r="AB168" s="3">
        <f t="shared" si="428"/>
        <v>0</v>
      </c>
      <c r="AC168" s="3">
        <f t="shared" si="428"/>
        <v>0</v>
      </c>
      <c r="AD168" s="3">
        <f t="shared" si="428"/>
        <v>0</v>
      </c>
      <c r="AE168" s="3">
        <f t="shared" si="428"/>
        <v>0</v>
      </c>
      <c r="AF168" s="3">
        <f t="shared" si="428"/>
        <v>0</v>
      </c>
      <c r="AG168" s="3">
        <f t="shared" si="428"/>
        <v>0</v>
      </c>
      <c r="AH168" s="150">
        <f t="shared" si="428"/>
        <v>0</v>
      </c>
      <c r="AI168" s="3">
        <f t="shared" si="428"/>
        <v>0</v>
      </c>
      <c r="AJ168" s="3">
        <f t="shared" si="428"/>
        <v>0</v>
      </c>
      <c r="AK168" s="3">
        <f t="shared" si="428"/>
        <v>0</v>
      </c>
      <c r="AL168" s="150">
        <f t="shared" si="428"/>
        <v>0</v>
      </c>
      <c r="AM168" s="3">
        <f t="shared" si="428"/>
        <v>0</v>
      </c>
      <c r="AN168" s="3">
        <f t="shared" si="428"/>
        <v>0</v>
      </c>
      <c r="AO168" s="3">
        <f t="shared" si="428"/>
        <v>0</v>
      </c>
      <c r="AP168" s="3">
        <f t="shared" si="428"/>
        <v>0</v>
      </c>
      <c r="AQ168" s="3">
        <f t="shared" si="428"/>
        <v>0</v>
      </c>
      <c r="AR168" s="3">
        <f t="shared" ref="AR168" si="429">SUM(AR149:AR167)</f>
        <v>10958</v>
      </c>
      <c r="AS168" s="3"/>
      <c r="AT168" s="1">
        <f>SUM(AT149:AT167)</f>
        <v>8352</v>
      </c>
      <c r="AU168" s="3">
        <f>SUM(AU149:AU167)</f>
        <v>2606</v>
      </c>
      <c r="AV168" s="3">
        <f>SUM(AV149:AV167)</f>
        <v>0</v>
      </c>
      <c r="AW168" s="3">
        <f>SUM(AW149:AW167)</f>
        <v>0</v>
      </c>
      <c r="AX168" s="3">
        <f t="shared" ref="AX168:BE168" si="430">SUM(AX149:AX167)</f>
        <v>6247</v>
      </c>
      <c r="AY168" s="3">
        <f t="shared" si="430"/>
        <v>3670</v>
      </c>
      <c r="AZ168" s="3">
        <f t="shared" si="430"/>
        <v>1041</v>
      </c>
      <c r="BA168" s="3">
        <f t="shared" si="430"/>
        <v>0</v>
      </c>
      <c r="BB168" s="3">
        <f t="shared" si="430"/>
        <v>0</v>
      </c>
      <c r="BC168" s="3">
        <f t="shared" si="430"/>
        <v>0</v>
      </c>
      <c r="BD168" s="3">
        <f t="shared" si="430"/>
        <v>0</v>
      </c>
      <c r="BE168" s="3">
        <f t="shared" si="430"/>
        <v>0</v>
      </c>
      <c r="BF168" s="3"/>
      <c r="BG168" s="3">
        <f>SUM(BG149:BG167)</f>
        <v>0</v>
      </c>
      <c r="BH168" s="3">
        <f>SUM(BH149:BH167)</f>
        <v>0</v>
      </c>
      <c r="BI168" s="3">
        <f t="shared" ref="BI168:BQ168" si="431">SUM(BI149:BI167)</f>
        <v>112446</v>
      </c>
      <c r="BJ168" s="3">
        <f t="shared" si="431"/>
        <v>66060</v>
      </c>
      <c r="BK168" s="3">
        <f t="shared" si="431"/>
        <v>18738</v>
      </c>
      <c r="BL168" s="3">
        <f t="shared" si="431"/>
        <v>0</v>
      </c>
      <c r="BM168" s="3">
        <f t="shared" si="431"/>
        <v>0</v>
      </c>
      <c r="BN168" s="3">
        <f t="shared" si="431"/>
        <v>0</v>
      </c>
      <c r="BO168" s="3">
        <f t="shared" si="431"/>
        <v>0</v>
      </c>
      <c r="BP168" s="3">
        <f t="shared" si="431"/>
        <v>0</v>
      </c>
      <c r="BQ168" s="3">
        <f t="shared" si="431"/>
        <v>197244</v>
      </c>
    </row>
    <row r="169" spans="2:69" s="10" customFormat="1" ht="15" customHeight="1" x14ac:dyDescent="0.25">
      <c r="C169" s="38" t="s">
        <v>97</v>
      </c>
      <c r="D169" s="11">
        <f>+D168</f>
        <v>0</v>
      </c>
      <c r="E169" s="11">
        <f>+D169+E168</f>
        <v>0</v>
      </c>
      <c r="F169" s="11">
        <f t="shared" ref="F169:AQ169" si="432">+E169+F168</f>
        <v>0</v>
      </c>
      <c r="G169" s="11">
        <f t="shared" si="432"/>
        <v>0</v>
      </c>
      <c r="H169" s="11">
        <f t="shared" si="432"/>
        <v>0</v>
      </c>
      <c r="I169" s="11">
        <f t="shared" si="432"/>
        <v>0</v>
      </c>
      <c r="J169" s="11">
        <f t="shared" si="432"/>
        <v>0</v>
      </c>
      <c r="K169" s="11">
        <f t="shared" si="432"/>
        <v>0</v>
      </c>
      <c r="L169" s="11">
        <f t="shared" si="432"/>
        <v>1493</v>
      </c>
      <c r="M169" s="11">
        <f t="shared" si="432"/>
        <v>3233</v>
      </c>
      <c r="N169" s="11">
        <f t="shared" si="432"/>
        <v>3518</v>
      </c>
      <c r="O169" s="11">
        <f t="shared" si="432"/>
        <v>4615</v>
      </c>
      <c r="P169" s="11">
        <f t="shared" si="432"/>
        <v>6247</v>
      </c>
      <c r="Q169" s="11">
        <f t="shared" si="432"/>
        <v>7482</v>
      </c>
      <c r="R169" s="11">
        <f t="shared" si="432"/>
        <v>7896</v>
      </c>
      <c r="S169" s="11">
        <f t="shared" si="432"/>
        <v>8834</v>
      </c>
      <c r="T169" s="11">
        <f t="shared" si="432"/>
        <v>9917</v>
      </c>
      <c r="U169" s="11">
        <f t="shared" si="432"/>
        <v>10506</v>
      </c>
      <c r="V169" s="11">
        <f t="shared" si="432"/>
        <v>10814</v>
      </c>
      <c r="W169" s="11">
        <f t="shared" si="432"/>
        <v>10958</v>
      </c>
      <c r="X169" s="11">
        <f t="shared" si="432"/>
        <v>10958</v>
      </c>
      <c r="Y169" s="11">
        <f t="shared" si="432"/>
        <v>10958</v>
      </c>
      <c r="Z169" s="11">
        <f t="shared" si="432"/>
        <v>10958</v>
      </c>
      <c r="AA169" s="11">
        <f t="shared" si="432"/>
        <v>10958</v>
      </c>
      <c r="AB169" s="11">
        <f t="shared" si="432"/>
        <v>10958</v>
      </c>
      <c r="AC169" s="11">
        <f t="shared" si="432"/>
        <v>10958</v>
      </c>
      <c r="AD169" s="11">
        <f t="shared" si="432"/>
        <v>10958</v>
      </c>
      <c r="AE169" s="11">
        <f t="shared" si="432"/>
        <v>10958</v>
      </c>
      <c r="AF169" s="11">
        <f t="shared" si="432"/>
        <v>10958</v>
      </c>
      <c r="AG169" s="11">
        <f t="shared" si="432"/>
        <v>10958</v>
      </c>
      <c r="AH169" s="147">
        <f t="shared" si="432"/>
        <v>10958</v>
      </c>
      <c r="AI169" s="11">
        <f t="shared" si="432"/>
        <v>10958</v>
      </c>
      <c r="AJ169" s="11">
        <f t="shared" si="432"/>
        <v>10958</v>
      </c>
      <c r="AK169" s="11">
        <f t="shared" si="432"/>
        <v>10958</v>
      </c>
      <c r="AL169" s="147">
        <f t="shared" si="432"/>
        <v>10958</v>
      </c>
      <c r="AM169" s="11">
        <f t="shared" si="432"/>
        <v>10958</v>
      </c>
      <c r="AN169" s="11">
        <f t="shared" si="432"/>
        <v>10958</v>
      </c>
      <c r="AO169" s="11">
        <f t="shared" si="432"/>
        <v>10958</v>
      </c>
      <c r="AP169" s="11">
        <f t="shared" si="432"/>
        <v>10958</v>
      </c>
      <c r="AQ169" s="11">
        <f t="shared" si="432"/>
        <v>10958</v>
      </c>
      <c r="AR169" s="40"/>
      <c r="AS169" s="11"/>
      <c r="AT169" s="11"/>
      <c r="AU169" s="11"/>
      <c r="AV169" s="11">
        <f>+AV168</f>
        <v>0</v>
      </c>
      <c r="AW169" s="1">
        <f>+AV169+AW168</f>
        <v>0</v>
      </c>
      <c r="AX169" s="1">
        <f t="shared" ref="AX169" si="433">+AW169+AX168</f>
        <v>6247</v>
      </c>
      <c r="AY169" s="1">
        <f t="shared" ref="AY169" si="434">+AX169+AY168</f>
        <v>9917</v>
      </c>
      <c r="AZ169" s="1">
        <f t="shared" ref="AZ169" si="435">+AY169+AZ168</f>
        <v>10958</v>
      </c>
      <c r="BA169" s="1">
        <f t="shared" ref="BA169" si="436">+AZ169+BA168</f>
        <v>10958</v>
      </c>
      <c r="BB169" s="1">
        <f t="shared" ref="BB169" si="437">+BA169+BB168</f>
        <v>10958</v>
      </c>
      <c r="BC169" s="1">
        <f t="shared" ref="BC169" si="438">+BB169+BC168</f>
        <v>10958</v>
      </c>
      <c r="BD169" s="1">
        <f t="shared" ref="BD169" si="439">+BC169+BD168</f>
        <v>10958</v>
      </c>
      <c r="BE169" s="1">
        <f t="shared" ref="BE169" si="440">+BD169+BE168</f>
        <v>10958</v>
      </c>
    </row>
    <row r="170" spans="2:69" s="10" customFormat="1" ht="15" customHeight="1" x14ac:dyDescent="0.2">
      <c r="C170" s="38" t="s">
        <v>220</v>
      </c>
      <c r="D170" s="11">
        <f>+D168*18</f>
        <v>0</v>
      </c>
      <c r="E170" s="11">
        <f t="shared" ref="E170:AQ170" si="441">+E168*18</f>
        <v>0</v>
      </c>
      <c r="F170" s="11">
        <f t="shared" si="441"/>
        <v>0</v>
      </c>
      <c r="G170" s="11">
        <f t="shared" si="441"/>
        <v>0</v>
      </c>
      <c r="H170" s="11">
        <f t="shared" si="441"/>
        <v>0</v>
      </c>
      <c r="I170" s="11">
        <f t="shared" si="441"/>
        <v>0</v>
      </c>
      <c r="J170" s="11">
        <f t="shared" si="441"/>
        <v>0</v>
      </c>
      <c r="K170" s="11">
        <f t="shared" si="441"/>
        <v>0</v>
      </c>
      <c r="L170" s="11">
        <f t="shared" si="441"/>
        <v>26874</v>
      </c>
      <c r="M170" s="11">
        <f t="shared" si="441"/>
        <v>31320</v>
      </c>
      <c r="N170" s="11">
        <f t="shared" si="441"/>
        <v>5130</v>
      </c>
      <c r="O170" s="11">
        <f t="shared" si="441"/>
        <v>19746</v>
      </c>
      <c r="P170" s="11">
        <f t="shared" si="441"/>
        <v>29376</v>
      </c>
      <c r="Q170" s="11">
        <f t="shared" si="441"/>
        <v>22230</v>
      </c>
      <c r="R170" s="11">
        <f t="shared" si="441"/>
        <v>7452</v>
      </c>
      <c r="S170" s="11">
        <f t="shared" si="441"/>
        <v>16884</v>
      </c>
      <c r="T170" s="11">
        <f t="shared" si="441"/>
        <v>19494</v>
      </c>
      <c r="U170" s="11">
        <f t="shared" si="441"/>
        <v>10602</v>
      </c>
      <c r="V170" s="11">
        <f t="shared" si="441"/>
        <v>5544</v>
      </c>
      <c r="W170" s="11">
        <f t="shared" si="441"/>
        <v>2592</v>
      </c>
      <c r="X170" s="11">
        <f t="shared" si="441"/>
        <v>0</v>
      </c>
      <c r="Y170" s="11">
        <f t="shared" si="441"/>
        <v>0</v>
      </c>
      <c r="Z170" s="11">
        <f t="shared" si="441"/>
        <v>0</v>
      </c>
      <c r="AA170" s="11">
        <f t="shared" si="441"/>
        <v>0</v>
      </c>
      <c r="AB170" s="11">
        <f t="shared" si="441"/>
        <v>0</v>
      </c>
      <c r="AC170" s="11">
        <f t="shared" si="441"/>
        <v>0</v>
      </c>
      <c r="AD170" s="11">
        <f t="shared" si="441"/>
        <v>0</v>
      </c>
      <c r="AE170" s="11">
        <f t="shared" si="441"/>
        <v>0</v>
      </c>
      <c r="AF170" s="11">
        <f t="shared" si="441"/>
        <v>0</v>
      </c>
      <c r="AG170" s="11">
        <f t="shared" si="441"/>
        <v>0</v>
      </c>
      <c r="AH170" s="147">
        <f t="shared" si="441"/>
        <v>0</v>
      </c>
      <c r="AI170" s="11">
        <f t="shared" si="441"/>
        <v>0</v>
      </c>
      <c r="AJ170" s="11">
        <f t="shared" si="441"/>
        <v>0</v>
      </c>
      <c r="AK170" s="11">
        <f t="shared" si="441"/>
        <v>0</v>
      </c>
      <c r="AL170" s="147">
        <f t="shared" si="441"/>
        <v>0</v>
      </c>
      <c r="AM170" s="11">
        <f t="shared" si="441"/>
        <v>0</v>
      </c>
      <c r="AN170" s="11">
        <f t="shared" si="441"/>
        <v>0</v>
      </c>
      <c r="AO170" s="11">
        <f t="shared" si="441"/>
        <v>0</v>
      </c>
      <c r="AP170" s="11">
        <f t="shared" si="441"/>
        <v>0</v>
      </c>
      <c r="AQ170" s="11">
        <f t="shared" si="441"/>
        <v>0</v>
      </c>
      <c r="AR170" s="40">
        <f>SUM(D170:AC170)</f>
        <v>197244</v>
      </c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</row>
    <row r="171" spans="2:69" s="10" customFormat="1" ht="15" customHeight="1" x14ac:dyDescent="0.2">
      <c r="C171" s="38" t="s">
        <v>286</v>
      </c>
      <c r="D171" s="11">
        <f>+(D168-D158-D164)/2</f>
        <v>0</v>
      </c>
      <c r="E171" s="11">
        <f t="shared" ref="E171:AQ171" si="442">+(E168-E158-E164)/2</f>
        <v>0</v>
      </c>
      <c r="F171" s="11">
        <f t="shared" si="442"/>
        <v>0</v>
      </c>
      <c r="G171" s="11">
        <f t="shared" si="442"/>
        <v>0</v>
      </c>
      <c r="H171" s="11">
        <f t="shared" si="442"/>
        <v>0</v>
      </c>
      <c r="I171" s="11">
        <f t="shared" si="442"/>
        <v>0</v>
      </c>
      <c r="J171" s="11">
        <f t="shared" si="442"/>
        <v>0</v>
      </c>
      <c r="K171" s="11">
        <f t="shared" si="442"/>
        <v>0</v>
      </c>
      <c r="L171" s="11">
        <f t="shared" si="442"/>
        <v>746.5</v>
      </c>
      <c r="M171" s="11">
        <f t="shared" si="442"/>
        <v>870</v>
      </c>
      <c r="N171" s="11">
        <f t="shared" si="442"/>
        <v>142.5</v>
      </c>
      <c r="O171" s="11">
        <f t="shared" si="442"/>
        <v>548.5</v>
      </c>
      <c r="P171" s="11">
        <f t="shared" si="442"/>
        <v>816</v>
      </c>
      <c r="Q171" s="11">
        <f t="shared" si="442"/>
        <v>617.5</v>
      </c>
      <c r="R171" s="11">
        <f t="shared" si="442"/>
        <v>207</v>
      </c>
      <c r="S171" s="11">
        <f t="shared" si="442"/>
        <v>469</v>
      </c>
      <c r="T171" s="11">
        <f t="shared" si="442"/>
        <v>541.5</v>
      </c>
      <c r="U171" s="11">
        <f t="shared" si="442"/>
        <v>294.5</v>
      </c>
      <c r="V171" s="11">
        <f t="shared" si="442"/>
        <v>154</v>
      </c>
      <c r="W171" s="11">
        <f t="shared" si="442"/>
        <v>72</v>
      </c>
      <c r="X171" s="11">
        <f t="shared" si="442"/>
        <v>0</v>
      </c>
      <c r="Y171" s="11">
        <f t="shared" si="442"/>
        <v>0</v>
      </c>
      <c r="Z171" s="11">
        <f t="shared" si="442"/>
        <v>0</v>
      </c>
      <c r="AA171" s="11">
        <f t="shared" si="442"/>
        <v>0</v>
      </c>
      <c r="AB171" s="11">
        <f t="shared" si="442"/>
        <v>0</v>
      </c>
      <c r="AC171" s="11">
        <f t="shared" si="442"/>
        <v>0</v>
      </c>
      <c r="AD171" s="11">
        <f t="shared" si="442"/>
        <v>0</v>
      </c>
      <c r="AE171" s="11">
        <f t="shared" si="442"/>
        <v>0</v>
      </c>
      <c r="AF171" s="11">
        <f t="shared" si="442"/>
        <v>0</v>
      </c>
      <c r="AG171" s="11">
        <f t="shared" si="442"/>
        <v>0</v>
      </c>
      <c r="AH171" s="147">
        <f t="shared" si="442"/>
        <v>0</v>
      </c>
      <c r="AI171" s="11">
        <f t="shared" si="442"/>
        <v>0</v>
      </c>
      <c r="AJ171" s="11">
        <f t="shared" si="442"/>
        <v>0</v>
      </c>
      <c r="AK171" s="11">
        <f t="shared" si="442"/>
        <v>0</v>
      </c>
      <c r="AL171" s="147">
        <f t="shared" si="442"/>
        <v>0</v>
      </c>
      <c r="AM171" s="11">
        <f t="shared" si="442"/>
        <v>0</v>
      </c>
      <c r="AN171" s="11">
        <f t="shared" si="442"/>
        <v>0</v>
      </c>
      <c r="AO171" s="11">
        <f t="shared" si="442"/>
        <v>0</v>
      </c>
      <c r="AP171" s="11">
        <f t="shared" si="442"/>
        <v>0</v>
      </c>
      <c r="AQ171" s="11">
        <f t="shared" si="442"/>
        <v>0</v>
      </c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</row>
    <row r="172" spans="2:69" s="10" customFormat="1" ht="15" customHeight="1" x14ac:dyDescent="0.25">
      <c r="B172" s="2" t="s">
        <v>142</v>
      </c>
      <c r="C172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47"/>
      <c r="AI172" s="11"/>
      <c r="AJ172" s="11"/>
      <c r="AK172" s="11"/>
      <c r="AL172" s="147"/>
      <c r="AM172" s="11"/>
      <c r="AN172" s="11"/>
      <c r="AO172" s="11"/>
      <c r="AP172" s="11"/>
      <c r="AQ172" s="11"/>
      <c r="AR172" s="39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</row>
    <row r="173" spans="2:69" s="10" customFormat="1" ht="15" customHeight="1" x14ac:dyDescent="0.25">
      <c r="B173" s="2"/>
      <c r="C173" t="s">
        <v>190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>
        <v>1614</v>
      </c>
      <c r="R173" s="1"/>
      <c r="S173" s="1">
        <v>880</v>
      </c>
      <c r="T173" s="1"/>
      <c r="U173" s="1">
        <v>471</v>
      </c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17"/>
      <c r="AI173" s="1"/>
      <c r="AJ173" s="1"/>
      <c r="AK173" s="1"/>
      <c r="AL173" s="117"/>
      <c r="AM173" s="1"/>
      <c r="AN173" s="1"/>
      <c r="AO173" s="1"/>
      <c r="AP173" s="1"/>
      <c r="AQ173" s="1"/>
      <c r="AR173" s="3">
        <f>SUM(D173:AQ173)</f>
        <v>2965</v>
      </c>
      <c r="AS173" s="11"/>
      <c r="AT173" s="1">
        <f>+[1]PassVol!$AU173</f>
        <v>2463</v>
      </c>
      <c r="AU173" s="1">
        <f t="shared" ref="AU173:AU191" si="443">+AR173-AT173</f>
        <v>502</v>
      </c>
      <c r="AV173" s="1">
        <f>SUM(D173:G173)</f>
        <v>0</v>
      </c>
      <c r="AW173" s="1">
        <f>SUM(H173:K173)</f>
        <v>0</v>
      </c>
      <c r="AX173" s="1">
        <f>SUM(L173:P173)</f>
        <v>0</v>
      </c>
      <c r="AY173" s="1">
        <f>SUM(Q173:T173)</f>
        <v>2494</v>
      </c>
      <c r="AZ173" s="1">
        <f>SUM(U173:X173)</f>
        <v>471</v>
      </c>
      <c r="BA173" s="1">
        <f>SUM(Y173:AC173)</f>
        <v>0</v>
      </c>
      <c r="BB173" s="1">
        <f>SUM(AD173:AG173)</f>
        <v>0</v>
      </c>
      <c r="BC173" s="1">
        <f>SUM(AH173:AK173)</f>
        <v>0</v>
      </c>
      <c r="BD173" s="1">
        <f>SUM(AL173:AP173)</f>
        <v>0</v>
      </c>
      <c r="BE173" s="1">
        <f>+AQ173</f>
        <v>0</v>
      </c>
      <c r="BG173" s="1">
        <f t="shared" ref="BG173:BP174" si="444">+AV173*10</f>
        <v>0</v>
      </c>
      <c r="BH173" s="1">
        <f t="shared" si="444"/>
        <v>0</v>
      </c>
      <c r="BI173" s="1">
        <f t="shared" si="444"/>
        <v>0</v>
      </c>
      <c r="BJ173" s="1">
        <f t="shared" si="444"/>
        <v>24940</v>
      </c>
      <c r="BK173" s="1">
        <f t="shared" si="444"/>
        <v>4710</v>
      </c>
      <c r="BL173" s="1">
        <f t="shared" si="444"/>
        <v>0</v>
      </c>
      <c r="BM173" s="1">
        <f t="shared" si="444"/>
        <v>0</v>
      </c>
      <c r="BN173" s="1">
        <f t="shared" si="444"/>
        <v>0</v>
      </c>
      <c r="BO173" s="1">
        <f t="shared" si="444"/>
        <v>0</v>
      </c>
      <c r="BP173" s="1">
        <f t="shared" si="444"/>
        <v>0</v>
      </c>
      <c r="BQ173" s="1">
        <f t="shared" ref="BQ173:BQ191" si="445">SUM(BH173:BP173)</f>
        <v>29650</v>
      </c>
    </row>
    <row r="174" spans="2:69" s="10" customFormat="1" ht="15" customHeight="1" x14ac:dyDescent="0.25">
      <c r="B174" s="2"/>
      <c r="C174" t="s">
        <v>424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>
        <v>116</v>
      </c>
      <c r="R174" s="1"/>
      <c r="S174" s="1">
        <v>175</v>
      </c>
      <c r="T174" s="1"/>
      <c r="U174" s="1">
        <v>20</v>
      </c>
      <c r="V174" s="1">
        <v>1</v>
      </c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17"/>
      <c r="AI174" s="1"/>
      <c r="AJ174" s="1"/>
      <c r="AK174" s="1"/>
      <c r="AL174" s="117"/>
      <c r="AM174" s="1"/>
      <c r="AN174" s="1"/>
      <c r="AO174" s="1"/>
      <c r="AP174" s="1"/>
      <c r="AQ174" s="1"/>
      <c r="AR174" s="3">
        <f>SUM(D174:AQ174)</f>
        <v>312</v>
      </c>
      <c r="AS174" s="11"/>
      <c r="AT174" s="1">
        <f>+[1]PassVol!$AU174</f>
        <v>206</v>
      </c>
      <c r="AU174" s="1">
        <f t="shared" si="443"/>
        <v>106</v>
      </c>
      <c r="AV174" s="1">
        <f t="shared" ref="AV174:AV191" si="446">SUM(D174:G174)</f>
        <v>0</v>
      </c>
      <c r="AW174" s="1">
        <f t="shared" ref="AW174:AW191" si="447">SUM(H174:K174)</f>
        <v>0</v>
      </c>
      <c r="AX174" s="1">
        <f t="shared" ref="AX174:AX191" si="448">SUM(L174:P174)</f>
        <v>0</v>
      </c>
      <c r="AY174" s="1">
        <f t="shared" ref="AY174:AY191" si="449">SUM(Q174:T174)</f>
        <v>291</v>
      </c>
      <c r="AZ174" s="1">
        <f t="shared" ref="AZ174:AZ191" si="450">SUM(U174:X174)</f>
        <v>21</v>
      </c>
      <c r="BA174" s="1">
        <f t="shared" ref="BA174:BA191" si="451">SUM(Y174:AC174)</f>
        <v>0</v>
      </c>
      <c r="BB174" s="1">
        <f t="shared" ref="BB174:BB191" si="452">SUM(AD174:AG174)</f>
        <v>0</v>
      </c>
      <c r="BC174" s="1">
        <f t="shared" ref="BC174:BC191" si="453">SUM(AH174:AK174)</f>
        <v>0</v>
      </c>
      <c r="BD174" s="1">
        <f t="shared" ref="BD174:BD191" si="454">SUM(AL174:AP174)</f>
        <v>0</v>
      </c>
      <c r="BE174" s="1">
        <f t="shared" ref="BE174:BE191" si="455">+AQ174</f>
        <v>0</v>
      </c>
      <c r="BG174" s="1">
        <f t="shared" si="444"/>
        <v>0</v>
      </c>
      <c r="BH174" s="1">
        <f t="shared" si="444"/>
        <v>0</v>
      </c>
      <c r="BI174" s="1">
        <f t="shared" si="444"/>
        <v>0</v>
      </c>
      <c r="BJ174" s="1">
        <f t="shared" si="444"/>
        <v>2910</v>
      </c>
      <c r="BK174" s="1">
        <f t="shared" si="444"/>
        <v>210</v>
      </c>
      <c r="BL174" s="1">
        <f t="shared" si="444"/>
        <v>0</v>
      </c>
      <c r="BM174" s="1">
        <f t="shared" si="444"/>
        <v>0</v>
      </c>
      <c r="BN174" s="1">
        <f t="shared" si="444"/>
        <v>0</v>
      </c>
      <c r="BO174" s="1">
        <f t="shared" si="444"/>
        <v>0</v>
      </c>
      <c r="BP174" s="1">
        <f t="shared" si="444"/>
        <v>0</v>
      </c>
      <c r="BQ174" s="1">
        <f>SUM(BH174:BP174)</f>
        <v>3120</v>
      </c>
    </row>
    <row r="175" spans="2:69" s="10" customFormat="1" ht="15" customHeight="1" x14ac:dyDescent="0.25">
      <c r="B175" s="2"/>
      <c r="C175" t="s">
        <v>347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>
        <v>357</v>
      </c>
      <c r="R175" s="1"/>
      <c r="S175" s="1">
        <v>260</v>
      </c>
      <c r="T175" s="1"/>
      <c r="U175" s="1">
        <v>218</v>
      </c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17"/>
      <c r="AI175" s="1"/>
      <c r="AJ175" s="1"/>
      <c r="AK175" s="1"/>
      <c r="AL175" s="117"/>
      <c r="AM175" s="1"/>
      <c r="AN175" s="1"/>
      <c r="AO175" s="1"/>
      <c r="AP175" s="1"/>
      <c r="AQ175" s="1"/>
      <c r="AR175" s="3">
        <f>SUM(D175:AQ175)</f>
        <v>835</v>
      </c>
      <c r="AS175" s="11"/>
      <c r="AT175" s="1">
        <f>+[1]PassVol!$AU175</f>
        <v>274</v>
      </c>
      <c r="AU175" s="1">
        <f t="shared" si="443"/>
        <v>561</v>
      </c>
      <c r="AV175" s="1">
        <f t="shared" si="446"/>
        <v>0</v>
      </c>
      <c r="AW175" s="1">
        <f t="shared" si="447"/>
        <v>0</v>
      </c>
      <c r="AX175" s="1">
        <f t="shared" si="448"/>
        <v>0</v>
      </c>
      <c r="AY175" s="1">
        <f t="shared" si="449"/>
        <v>617</v>
      </c>
      <c r="AZ175" s="1">
        <f t="shared" si="450"/>
        <v>218</v>
      </c>
      <c r="BA175" s="1">
        <f t="shared" si="451"/>
        <v>0</v>
      </c>
      <c r="BB175" s="1">
        <f t="shared" si="452"/>
        <v>0</v>
      </c>
      <c r="BC175" s="1">
        <f t="shared" si="453"/>
        <v>0</v>
      </c>
      <c r="BD175" s="1">
        <f t="shared" si="454"/>
        <v>0</v>
      </c>
      <c r="BE175" s="1">
        <f t="shared" si="455"/>
        <v>0</v>
      </c>
      <c r="BG175" s="1">
        <f t="shared" ref="BG175:BH191" si="456">+AV175*10</f>
        <v>0</v>
      </c>
      <c r="BH175" s="1">
        <f t="shared" si="456"/>
        <v>0</v>
      </c>
      <c r="BI175" s="1">
        <f t="shared" ref="BI175:BI191" si="457">+AX175*10</f>
        <v>0</v>
      </c>
      <c r="BJ175" s="1">
        <f t="shared" ref="BJ175:BJ191" si="458">+AY175*10</f>
        <v>6170</v>
      </c>
      <c r="BK175" s="1">
        <f t="shared" ref="BK175:BK191" si="459">+AZ175*10</f>
        <v>2180</v>
      </c>
      <c r="BL175" s="1">
        <f t="shared" ref="BL175:BL191" si="460">+BA175*10</f>
        <v>0</v>
      </c>
      <c r="BM175" s="1">
        <f t="shared" ref="BM175:BM191" si="461">+BB175*10</f>
        <v>0</v>
      </c>
      <c r="BN175" s="1">
        <f t="shared" ref="BN175:BN191" si="462">+BC175*10</f>
        <v>0</v>
      </c>
      <c r="BO175" s="1">
        <f t="shared" ref="BO175:BO191" si="463">+BD175*10</f>
        <v>0</v>
      </c>
      <c r="BP175" s="1">
        <f t="shared" ref="BP175:BP191" si="464">+BE175*10</f>
        <v>0</v>
      </c>
      <c r="BQ175" s="1">
        <f t="shared" si="445"/>
        <v>8350</v>
      </c>
    </row>
    <row r="176" spans="2:69" s="10" customFormat="1" ht="15" customHeight="1" x14ac:dyDescent="0.25">
      <c r="B176" s="2"/>
      <c r="C176" t="s">
        <v>0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>
        <v>1525</v>
      </c>
      <c r="R176" s="1"/>
      <c r="S176" s="1">
        <v>1115</v>
      </c>
      <c r="T176" s="1"/>
      <c r="U176" s="1">
        <v>560</v>
      </c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17"/>
      <c r="AI176" s="1"/>
      <c r="AJ176" s="1"/>
      <c r="AK176" s="1"/>
      <c r="AL176" s="117"/>
      <c r="AM176" s="1"/>
      <c r="AN176" s="1"/>
      <c r="AO176" s="1"/>
      <c r="AP176" s="1"/>
      <c r="AQ176" s="1"/>
      <c r="AR176" s="3">
        <f t="shared" ref="AR176:AR191" si="465">SUM(D176:AQ176)</f>
        <v>3200</v>
      </c>
      <c r="AS176" s="11"/>
      <c r="AT176" s="1">
        <f>+[1]PassVol!$AU176</f>
        <v>0</v>
      </c>
      <c r="AU176" s="1">
        <f t="shared" si="443"/>
        <v>3200</v>
      </c>
      <c r="AV176" s="1">
        <f t="shared" si="446"/>
        <v>0</v>
      </c>
      <c r="AW176" s="1">
        <f t="shared" si="447"/>
        <v>0</v>
      </c>
      <c r="AX176" s="1">
        <f t="shared" si="448"/>
        <v>0</v>
      </c>
      <c r="AY176" s="1">
        <f t="shared" si="449"/>
        <v>2640</v>
      </c>
      <c r="AZ176" s="1">
        <f t="shared" si="450"/>
        <v>560</v>
      </c>
      <c r="BA176" s="1">
        <f t="shared" si="451"/>
        <v>0</v>
      </c>
      <c r="BB176" s="1">
        <f t="shared" si="452"/>
        <v>0</v>
      </c>
      <c r="BC176" s="1">
        <f t="shared" si="453"/>
        <v>0</v>
      </c>
      <c r="BD176" s="1">
        <f t="shared" si="454"/>
        <v>0</v>
      </c>
      <c r="BE176" s="1">
        <f t="shared" si="455"/>
        <v>0</v>
      </c>
      <c r="BG176" s="1">
        <f t="shared" si="456"/>
        <v>0</v>
      </c>
      <c r="BH176" s="1">
        <f t="shared" si="456"/>
        <v>0</v>
      </c>
      <c r="BI176" s="1">
        <f t="shared" si="457"/>
        <v>0</v>
      </c>
      <c r="BJ176" s="1">
        <f t="shared" si="458"/>
        <v>26400</v>
      </c>
      <c r="BK176" s="1">
        <f t="shared" si="459"/>
        <v>5600</v>
      </c>
      <c r="BL176" s="1">
        <f t="shared" si="460"/>
        <v>0</v>
      </c>
      <c r="BM176" s="1">
        <f t="shared" si="461"/>
        <v>0</v>
      </c>
      <c r="BN176" s="1">
        <f t="shared" si="462"/>
        <v>0</v>
      </c>
      <c r="BO176" s="1">
        <f t="shared" si="463"/>
        <v>0</v>
      </c>
      <c r="BP176" s="1">
        <f t="shared" si="464"/>
        <v>0</v>
      </c>
      <c r="BQ176" s="1">
        <f t="shared" si="445"/>
        <v>32000</v>
      </c>
    </row>
    <row r="177" spans="2:69" s="10" customFormat="1" ht="15" customHeight="1" x14ac:dyDescent="0.25">
      <c r="B177" s="2"/>
      <c r="C177" t="s">
        <v>354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17"/>
      <c r="AI177" s="1"/>
      <c r="AJ177" s="1"/>
      <c r="AK177" s="1"/>
      <c r="AL177" s="117"/>
      <c r="AM177" s="1"/>
      <c r="AN177" s="1"/>
      <c r="AO177" s="1"/>
      <c r="AP177" s="1"/>
      <c r="AQ177" s="1"/>
      <c r="AR177" s="3">
        <f t="shared" si="465"/>
        <v>0</v>
      </c>
      <c r="AS177" s="11"/>
      <c r="AT177" s="1">
        <f>+[1]PassVol!$AU177</f>
        <v>104</v>
      </c>
      <c r="AU177" s="1">
        <f t="shared" si="443"/>
        <v>-104</v>
      </c>
      <c r="AV177" s="1">
        <f t="shared" si="446"/>
        <v>0</v>
      </c>
      <c r="AW177" s="1">
        <f t="shared" si="447"/>
        <v>0</v>
      </c>
      <c r="AX177" s="1">
        <f t="shared" si="448"/>
        <v>0</v>
      </c>
      <c r="AY177" s="1">
        <f t="shared" si="449"/>
        <v>0</v>
      </c>
      <c r="AZ177" s="1">
        <f t="shared" si="450"/>
        <v>0</v>
      </c>
      <c r="BA177" s="1">
        <f t="shared" si="451"/>
        <v>0</v>
      </c>
      <c r="BB177" s="1">
        <f t="shared" si="452"/>
        <v>0</v>
      </c>
      <c r="BC177" s="1">
        <f t="shared" si="453"/>
        <v>0</v>
      </c>
      <c r="BD177" s="1">
        <f t="shared" si="454"/>
        <v>0</v>
      </c>
      <c r="BE177" s="1">
        <f t="shared" si="455"/>
        <v>0</v>
      </c>
      <c r="BG177" s="1">
        <f t="shared" si="456"/>
        <v>0</v>
      </c>
      <c r="BH177" s="1">
        <f t="shared" si="456"/>
        <v>0</v>
      </c>
      <c r="BI177" s="1">
        <f t="shared" si="457"/>
        <v>0</v>
      </c>
      <c r="BJ177" s="1">
        <f t="shared" si="458"/>
        <v>0</v>
      </c>
      <c r="BK177" s="1">
        <f t="shared" si="459"/>
        <v>0</v>
      </c>
      <c r="BL177" s="1">
        <f t="shared" si="460"/>
        <v>0</v>
      </c>
      <c r="BM177" s="1">
        <f t="shared" si="461"/>
        <v>0</v>
      </c>
      <c r="BN177" s="1">
        <f t="shared" si="462"/>
        <v>0</v>
      </c>
      <c r="BO177" s="1">
        <f t="shared" si="463"/>
        <v>0</v>
      </c>
      <c r="BP177" s="1">
        <f t="shared" si="464"/>
        <v>0</v>
      </c>
      <c r="BQ177" s="1">
        <f t="shared" si="445"/>
        <v>0</v>
      </c>
    </row>
    <row r="178" spans="2:69" s="10" customFormat="1" ht="15" customHeight="1" x14ac:dyDescent="0.25">
      <c r="B178" s="2"/>
      <c r="C178" t="s">
        <v>265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>
        <v>328</v>
      </c>
      <c r="R178" s="1"/>
      <c r="S178" s="1">
        <v>288</v>
      </c>
      <c r="T178" s="1"/>
      <c r="U178" s="1">
        <v>168</v>
      </c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17"/>
      <c r="AI178" s="1"/>
      <c r="AJ178" s="1"/>
      <c r="AK178" s="1"/>
      <c r="AL178" s="117"/>
      <c r="AM178" s="1"/>
      <c r="AN178" s="1"/>
      <c r="AO178" s="1"/>
      <c r="AP178" s="1"/>
      <c r="AQ178" s="1"/>
      <c r="AR178" s="3">
        <f t="shared" si="465"/>
        <v>784</v>
      </c>
      <c r="AS178" s="11"/>
      <c r="AT178" s="1">
        <f>+[1]PassVol!$AU178</f>
        <v>95</v>
      </c>
      <c r="AU178" s="1">
        <f t="shared" si="443"/>
        <v>689</v>
      </c>
      <c r="AV178" s="1">
        <f t="shared" si="446"/>
        <v>0</v>
      </c>
      <c r="AW178" s="1">
        <f t="shared" si="447"/>
        <v>0</v>
      </c>
      <c r="AX178" s="1">
        <f t="shared" si="448"/>
        <v>0</v>
      </c>
      <c r="AY178" s="1">
        <f t="shared" si="449"/>
        <v>616</v>
      </c>
      <c r="AZ178" s="1">
        <f t="shared" si="450"/>
        <v>168</v>
      </c>
      <c r="BA178" s="1">
        <f t="shared" si="451"/>
        <v>0</v>
      </c>
      <c r="BB178" s="1">
        <f t="shared" si="452"/>
        <v>0</v>
      </c>
      <c r="BC178" s="1">
        <f t="shared" si="453"/>
        <v>0</v>
      </c>
      <c r="BD178" s="1">
        <f t="shared" si="454"/>
        <v>0</v>
      </c>
      <c r="BE178" s="1">
        <f t="shared" si="455"/>
        <v>0</v>
      </c>
      <c r="BG178" s="1">
        <f t="shared" si="456"/>
        <v>0</v>
      </c>
      <c r="BH178" s="1">
        <f t="shared" si="456"/>
        <v>0</v>
      </c>
      <c r="BI178" s="1">
        <f t="shared" si="457"/>
        <v>0</v>
      </c>
      <c r="BJ178" s="1">
        <f t="shared" si="458"/>
        <v>6160</v>
      </c>
      <c r="BK178" s="1">
        <f t="shared" si="459"/>
        <v>1680</v>
      </c>
      <c r="BL178" s="1">
        <f t="shared" si="460"/>
        <v>0</v>
      </c>
      <c r="BM178" s="1">
        <f t="shared" si="461"/>
        <v>0</v>
      </c>
      <c r="BN178" s="1">
        <f t="shared" si="462"/>
        <v>0</v>
      </c>
      <c r="BO178" s="1">
        <f t="shared" si="463"/>
        <v>0</v>
      </c>
      <c r="BP178" s="1">
        <f t="shared" si="464"/>
        <v>0</v>
      </c>
      <c r="BQ178" s="1">
        <f t="shared" si="445"/>
        <v>7840</v>
      </c>
    </row>
    <row r="179" spans="2:69" s="10" customFormat="1" ht="15" customHeight="1" x14ac:dyDescent="0.25">
      <c r="B179" s="2"/>
      <c r="C179" t="s">
        <v>191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>
        <v>626</v>
      </c>
      <c r="R179" s="1"/>
      <c r="S179" s="1">
        <v>430</v>
      </c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17"/>
      <c r="AI179" s="1"/>
      <c r="AJ179" s="1"/>
      <c r="AK179" s="1"/>
      <c r="AL179" s="117"/>
      <c r="AM179" s="1"/>
      <c r="AN179" s="1"/>
      <c r="AO179" s="1"/>
      <c r="AP179" s="1"/>
      <c r="AQ179" s="1"/>
      <c r="AR179" s="3">
        <f t="shared" si="465"/>
        <v>1056</v>
      </c>
      <c r="AS179" s="11"/>
      <c r="AT179" s="1">
        <f>+[1]PassVol!$AU179</f>
        <v>867</v>
      </c>
      <c r="AU179" s="1">
        <f t="shared" si="443"/>
        <v>189</v>
      </c>
      <c r="AV179" s="1">
        <f t="shared" si="446"/>
        <v>0</v>
      </c>
      <c r="AW179" s="1">
        <f t="shared" si="447"/>
        <v>0</v>
      </c>
      <c r="AX179" s="1">
        <f t="shared" si="448"/>
        <v>0</v>
      </c>
      <c r="AY179" s="1">
        <f t="shared" si="449"/>
        <v>1056</v>
      </c>
      <c r="AZ179" s="1">
        <f t="shared" si="450"/>
        <v>0</v>
      </c>
      <c r="BA179" s="1">
        <f t="shared" si="451"/>
        <v>0</v>
      </c>
      <c r="BB179" s="1">
        <f t="shared" si="452"/>
        <v>0</v>
      </c>
      <c r="BC179" s="1">
        <f t="shared" si="453"/>
        <v>0</v>
      </c>
      <c r="BD179" s="1">
        <f t="shared" si="454"/>
        <v>0</v>
      </c>
      <c r="BE179" s="1">
        <f t="shared" si="455"/>
        <v>0</v>
      </c>
      <c r="BG179" s="1">
        <f t="shared" si="456"/>
        <v>0</v>
      </c>
      <c r="BH179" s="1">
        <f t="shared" si="456"/>
        <v>0</v>
      </c>
      <c r="BI179" s="1">
        <f t="shared" si="457"/>
        <v>0</v>
      </c>
      <c r="BJ179" s="1">
        <f t="shared" si="458"/>
        <v>10560</v>
      </c>
      <c r="BK179" s="1">
        <f t="shared" si="459"/>
        <v>0</v>
      </c>
      <c r="BL179" s="1">
        <f t="shared" si="460"/>
        <v>0</v>
      </c>
      <c r="BM179" s="1">
        <f t="shared" si="461"/>
        <v>0</v>
      </c>
      <c r="BN179" s="1">
        <f t="shared" si="462"/>
        <v>0</v>
      </c>
      <c r="BO179" s="1">
        <f t="shared" si="463"/>
        <v>0</v>
      </c>
      <c r="BP179" s="1">
        <f t="shared" si="464"/>
        <v>0</v>
      </c>
      <c r="BQ179" s="1">
        <f t="shared" si="445"/>
        <v>10560</v>
      </c>
    </row>
    <row r="180" spans="2:69" ht="15" customHeight="1" x14ac:dyDescent="0.25">
      <c r="C180" t="s">
        <v>549</v>
      </c>
      <c r="AR180" s="3">
        <f t="shared" si="465"/>
        <v>0</v>
      </c>
      <c r="AT180" s="1">
        <f>+[1]PassVol!$AU180</f>
        <v>0</v>
      </c>
      <c r="AU180" s="1">
        <f t="shared" si="443"/>
        <v>0</v>
      </c>
      <c r="AV180" s="1">
        <f t="shared" si="446"/>
        <v>0</v>
      </c>
      <c r="AW180" s="1">
        <f t="shared" si="447"/>
        <v>0</v>
      </c>
      <c r="AX180" s="1">
        <f t="shared" si="448"/>
        <v>0</v>
      </c>
      <c r="AY180" s="1">
        <f t="shared" si="449"/>
        <v>0</v>
      </c>
      <c r="AZ180" s="1">
        <f t="shared" si="450"/>
        <v>0</v>
      </c>
      <c r="BA180" s="1">
        <f t="shared" si="451"/>
        <v>0</v>
      </c>
      <c r="BB180" s="1">
        <f t="shared" si="452"/>
        <v>0</v>
      </c>
      <c r="BC180" s="1">
        <f t="shared" si="453"/>
        <v>0</v>
      </c>
      <c r="BD180" s="1">
        <f t="shared" si="454"/>
        <v>0</v>
      </c>
      <c r="BE180" s="1">
        <f t="shared" si="455"/>
        <v>0</v>
      </c>
      <c r="BG180" s="1">
        <f t="shared" si="456"/>
        <v>0</v>
      </c>
      <c r="BH180" s="1">
        <f t="shared" si="456"/>
        <v>0</v>
      </c>
      <c r="BI180" s="1">
        <f t="shared" si="457"/>
        <v>0</v>
      </c>
      <c r="BJ180" s="1">
        <f t="shared" si="458"/>
        <v>0</v>
      </c>
      <c r="BK180" s="1">
        <f t="shared" si="459"/>
        <v>0</v>
      </c>
      <c r="BL180" s="1">
        <f t="shared" si="460"/>
        <v>0</v>
      </c>
      <c r="BM180" s="1">
        <f t="shared" si="461"/>
        <v>0</v>
      </c>
      <c r="BN180" s="1">
        <f t="shared" si="462"/>
        <v>0</v>
      </c>
      <c r="BO180" s="1">
        <f t="shared" si="463"/>
        <v>0</v>
      </c>
      <c r="BP180" s="1">
        <f t="shared" si="464"/>
        <v>0</v>
      </c>
      <c r="BQ180" s="1">
        <f t="shared" si="445"/>
        <v>0</v>
      </c>
    </row>
    <row r="181" spans="2:69" ht="15" customHeight="1" x14ac:dyDescent="0.25">
      <c r="C181" t="s">
        <v>550</v>
      </c>
      <c r="Q181" s="1">
        <v>800</v>
      </c>
      <c r="S181" s="1">
        <v>200</v>
      </c>
      <c r="U181" s="1">
        <v>37</v>
      </c>
      <c r="AR181" s="3">
        <f t="shared" si="465"/>
        <v>1037</v>
      </c>
      <c r="AT181" s="1">
        <f>+[1]PassVol!$AU181</f>
        <v>0</v>
      </c>
      <c r="AU181" s="1">
        <f t="shared" si="443"/>
        <v>1037</v>
      </c>
      <c r="AV181" s="1">
        <f t="shared" si="446"/>
        <v>0</v>
      </c>
      <c r="AW181" s="1">
        <f t="shared" si="447"/>
        <v>0</v>
      </c>
      <c r="AX181" s="1">
        <f t="shared" si="448"/>
        <v>0</v>
      </c>
      <c r="AY181" s="1">
        <f t="shared" si="449"/>
        <v>1000</v>
      </c>
      <c r="AZ181" s="1">
        <f t="shared" si="450"/>
        <v>37</v>
      </c>
      <c r="BA181" s="1">
        <f t="shared" si="451"/>
        <v>0</v>
      </c>
      <c r="BB181" s="1">
        <f t="shared" si="452"/>
        <v>0</v>
      </c>
      <c r="BC181" s="1">
        <f t="shared" si="453"/>
        <v>0</v>
      </c>
      <c r="BD181" s="1">
        <f t="shared" si="454"/>
        <v>0</v>
      </c>
      <c r="BE181" s="1">
        <f t="shared" si="455"/>
        <v>0</v>
      </c>
      <c r="BG181" s="1">
        <f t="shared" si="456"/>
        <v>0</v>
      </c>
      <c r="BH181" s="1">
        <f t="shared" si="456"/>
        <v>0</v>
      </c>
      <c r="BI181" s="1">
        <f t="shared" si="457"/>
        <v>0</v>
      </c>
      <c r="BJ181" s="1">
        <f t="shared" si="458"/>
        <v>10000</v>
      </c>
      <c r="BK181" s="1">
        <f t="shared" si="459"/>
        <v>370</v>
      </c>
      <c r="BL181" s="1">
        <f t="shared" si="460"/>
        <v>0</v>
      </c>
      <c r="BM181" s="1">
        <f t="shared" si="461"/>
        <v>0</v>
      </c>
      <c r="BN181" s="1">
        <f t="shared" si="462"/>
        <v>0</v>
      </c>
      <c r="BO181" s="1">
        <f t="shared" si="463"/>
        <v>0</v>
      </c>
      <c r="BP181" s="1">
        <f t="shared" si="464"/>
        <v>0</v>
      </c>
      <c r="BQ181" s="1">
        <f t="shared" si="445"/>
        <v>10370</v>
      </c>
    </row>
    <row r="182" spans="2:69" ht="15" customHeight="1" x14ac:dyDescent="0.25">
      <c r="C182" t="s">
        <v>6</v>
      </c>
      <c r="R182" s="1">
        <v>660</v>
      </c>
      <c r="T182" s="1">
        <v>210</v>
      </c>
      <c r="V182" s="1">
        <v>165</v>
      </c>
      <c r="AR182" s="3">
        <f t="shared" si="465"/>
        <v>1035</v>
      </c>
      <c r="AT182" s="1">
        <f>+[1]PassVol!$AU182</f>
        <v>1032</v>
      </c>
      <c r="AU182" s="1">
        <f t="shared" si="443"/>
        <v>3</v>
      </c>
      <c r="AV182" s="1">
        <f t="shared" si="446"/>
        <v>0</v>
      </c>
      <c r="AW182" s="1">
        <f t="shared" si="447"/>
        <v>0</v>
      </c>
      <c r="AX182" s="1">
        <f t="shared" si="448"/>
        <v>0</v>
      </c>
      <c r="AY182" s="1">
        <f t="shared" si="449"/>
        <v>870</v>
      </c>
      <c r="AZ182" s="1">
        <f t="shared" si="450"/>
        <v>165</v>
      </c>
      <c r="BA182" s="1">
        <f t="shared" si="451"/>
        <v>0</v>
      </c>
      <c r="BB182" s="1">
        <f t="shared" si="452"/>
        <v>0</v>
      </c>
      <c r="BC182" s="1">
        <f t="shared" si="453"/>
        <v>0</v>
      </c>
      <c r="BD182" s="1">
        <f t="shared" si="454"/>
        <v>0</v>
      </c>
      <c r="BE182" s="1">
        <f t="shared" si="455"/>
        <v>0</v>
      </c>
      <c r="BG182" s="1">
        <f t="shared" si="456"/>
        <v>0</v>
      </c>
      <c r="BH182" s="1">
        <f t="shared" si="456"/>
        <v>0</v>
      </c>
      <c r="BI182" s="1">
        <f t="shared" si="457"/>
        <v>0</v>
      </c>
      <c r="BJ182" s="1">
        <f t="shared" si="458"/>
        <v>8700</v>
      </c>
      <c r="BK182" s="1">
        <f t="shared" si="459"/>
        <v>1650</v>
      </c>
      <c r="BL182" s="1">
        <f t="shared" si="460"/>
        <v>0</v>
      </c>
      <c r="BM182" s="1">
        <f t="shared" si="461"/>
        <v>0</v>
      </c>
      <c r="BN182" s="1">
        <f t="shared" si="462"/>
        <v>0</v>
      </c>
      <c r="BO182" s="1">
        <f t="shared" si="463"/>
        <v>0</v>
      </c>
      <c r="BP182" s="1">
        <f t="shared" si="464"/>
        <v>0</v>
      </c>
      <c r="BQ182" s="1">
        <f t="shared" si="445"/>
        <v>10350</v>
      </c>
    </row>
    <row r="183" spans="2:69" ht="15" customHeight="1" x14ac:dyDescent="0.25">
      <c r="C183" t="s">
        <v>262</v>
      </c>
      <c r="Q183" s="1">
        <v>390</v>
      </c>
      <c r="V183" s="1">
        <v>2</v>
      </c>
      <c r="AR183" s="3">
        <f t="shared" si="465"/>
        <v>392</v>
      </c>
      <c r="AT183" s="1">
        <f>+[1]PassVol!$AU183</f>
        <v>386</v>
      </c>
      <c r="AU183" s="1">
        <f t="shared" si="443"/>
        <v>6</v>
      </c>
      <c r="AV183" s="1">
        <f t="shared" si="446"/>
        <v>0</v>
      </c>
      <c r="AW183" s="1">
        <f t="shared" si="447"/>
        <v>0</v>
      </c>
      <c r="AX183" s="1">
        <f t="shared" si="448"/>
        <v>0</v>
      </c>
      <c r="AY183" s="1">
        <f t="shared" si="449"/>
        <v>390</v>
      </c>
      <c r="AZ183" s="1">
        <f t="shared" si="450"/>
        <v>2</v>
      </c>
      <c r="BA183" s="1">
        <f t="shared" si="451"/>
        <v>0</v>
      </c>
      <c r="BB183" s="1">
        <f t="shared" si="452"/>
        <v>0</v>
      </c>
      <c r="BC183" s="1">
        <f t="shared" si="453"/>
        <v>0</v>
      </c>
      <c r="BD183" s="1">
        <f t="shared" si="454"/>
        <v>0</v>
      </c>
      <c r="BE183" s="1">
        <f t="shared" si="455"/>
        <v>0</v>
      </c>
      <c r="BG183" s="1">
        <f t="shared" si="456"/>
        <v>0</v>
      </c>
      <c r="BH183" s="1">
        <f t="shared" si="456"/>
        <v>0</v>
      </c>
      <c r="BI183" s="1">
        <f t="shared" si="457"/>
        <v>0</v>
      </c>
      <c r="BJ183" s="1">
        <f t="shared" si="458"/>
        <v>3900</v>
      </c>
      <c r="BK183" s="1">
        <f t="shared" si="459"/>
        <v>20</v>
      </c>
      <c r="BL183" s="1">
        <f t="shared" si="460"/>
        <v>0</v>
      </c>
      <c r="BM183" s="1">
        <f t="shared" si="461"/>
        <v>0</v>
      </c>
      <c r="BN183" s="1">
        <f t="shared" si="462"/>
        <v>0</v>
      </c>
      <c r="BO183" s="1">
        <f t="shared" si="463"/>
        <v>0</v>
      </c>
      <c r="BP183" s="1">
        <f t="shared" si="464"/>
        <v>0</v>
      </c>
      <c r="BQ183" s="1">
        <f t="shared" si="445"/>
        <v>3920</v>
      </c>
    </row>
    <row r="184" spans="2:69" ht="15" customHeight="1" x14ac:dyDescent="0.25">
      <c r="C184" t="s">
        <v>42</v>
      </c>
      <c r="Q184" s="1">
        <v>340</v>
      </c>
      <c r="AR184" s="3">
        <f t="shared" si="465"/>
        <v>340</v>
      </c>
      <c r="AT184" s="1">
        <f>+[1]PassVol!$AU184</f>
        <v>320</v>
      </c>
      <c r="AU184" s="1">
        <f t="shared" si="443"/>
        <v>20</v>
      </c>
      <c r="AV184" s="1">
        <f t="shared" si="446"/>
        <v>0</v>
      </c>
      <c r="AW184" s="1">
        <f t="shared" si="447"/>
        <v>0</v>
      </c>
      <c r="AX184" s="1">
        <f t="shared" si="448"/>
        <v>0</v>
      </c>
      <c r="AY184" s="1">
        <f t="shared" si="449"/>
        <v>340</v>
      </c>
      <c r="AZ184" s="1">
        <f t="shared" si="450"/>
        <v>0</v>
      </c>
      <c r="BA184" s="1">
        <f t="shared" si="451"/>
        <v>0</v>
      </c>
      <c r="BB184" s="1">
        <f t="shared" si="452"/>
        <v>0</v>
      </c>
      <c r="BC184" s="1">
        <f t="shared" si="453"/>
        <v>0</v>
      </c>
      <c r="BD184" s="1">
        <f t="shared" si="454"/>
        <v>0</v>
      </c>
      <c r="BE184" s="1">
        <f t="shared" si="455"/>
        <v>0</v>
      </c>
      <c r="BG184" s="1">
        <f t="shared" si="456"/>
        <v>0</v>
      </c>
      <c r="BH184" s="1">
        <f t="shared" si="456"/>
        <v>0</v>
      </c>
      <c r="BI184" s="1">
        <f t="shared" si="457"/>
        <v>0</v>
      </c>
      <c r="BJ184" s="1">
        <f t="shared" si="458"/>
        <v>3400</v>
      </c>
      <c r="BK184" s="1">
        <f t="shared" si="459"/>
        <v>0</v>
      </c>
      <c r="BL184" s="1">
        <f t="shared" si="460"/>
        <v>0</v>
      </c>
      <c r="BM184" s="1">
        <f t="shared" si="461"/>
        <v>0</v>
      </c>
      <c r="BN184" s="1">
        <f t="shared" si="462"/>
        <v>0</v>
      </c>
      <c r="BO184" s="1">
        <f t="shared" si="463"/>
        <v>0</v>
      </c>
      <c r="BP184" s="1">
        <f t="shared" si="464"/>
        <v>0</v>
      </c>
      <c r="BQ184" s="1">
        <f t="shared" si="445"/>
        <v>3400</v>
      </c>
    </row>
    <row r="185" spans="2:69" ht="15" customHeight="1" x14ac:dyDescent="0.25">
      <c r="C185" t="s">
        <v>192</v>
      </c>
      <c r="Q185" s="1">
        <v>440</v>
      </c>
      <c r="S185" s="1">
        <v>120</v>
      </c>
      <c r="U185" s="1">
        <v>80</v>
      </c>
      <c r="AR185" s="3">
        <f t="shared" si="465"/>
        <v>640</v>
      </c>
      <c r="AT185" s="1">
        <f>+[1]PassVol!$AU185</f>
        <v>562</v>
      </c>
      <c r="AU185" s="1">
        <f t="shared" si="443"/>
        <v>78</v>
      </c>
      <c r="AV185" s="1">
        <f t="shared" si="446"/>
        <v>0</v>
      </c>
      <c r="AW185" s="1">
        <f t="shared" si="447"/>
        <v>0</v>
      </c>
      <c r="AX185" s="1">
        <f t="shared" si="448"/>
        <v>0</v>
      </c>
      <c r="AY185" s="1">
        <f t="shared" si="449"/>
        <v>560</v>
      </c>
      <c r="AZ185" s="1">
        <f t="shared" si="450"/>
        <v>80</v>
      </c>
      <c r="BA185" s="1">
        <f t="shared" si="451"/>
        <v>0</v>
      </c>
      <c r="BB185" s="1">
        <f t="shared" si="452"/>
        <v>0</v>
      </c>
      <c r="BC185" s="1">
        <f t="shared" si="453"/>
        <v>0</v>
      </c>
      <c r="BD185" s="1">
        <f t="shared" si="454"/>
        <v>0</v>
      </c>
      <c r="BE185" s="1">
        <f t="shared" si="455"/>
        <v>0</v>
      </c>
      <c r="BG185" s="1">
        <f t="shared" si="456"/>
        <v>0</v>
      </c>
      <c r="BH185" s="1">
        <f t="shared" si="456"/>
        <v>0</v>
      </c>
      <c r="BI185" s="1">
        <f t="shared" si="457"/>
        <v>0</v>
      </c>
      <c r="BJ185" s="1">
        <f t="shared" si="458"/>
        <v>5600</v>
      </c>
      <c r="BK185" s="1">
        <f t="shared" si="459"/>
        <v>800</v>
      </c>
      <c r="BL185" s="1">
        <f t="shared" si="460"/>
        <v>0</v>
      </c>
      <c r="BM185" s="1">
        <f t="shared" si="461"/>
        <v>0</v>
      </c>
      <c r="BN185" s="1">
        <f t="shared" si="462"/>
        <v>0</v>
      </c>
      <c r="BO185" s="1">
        <f t="shared" si="463"/>
        <v>0</v>
      </c>
      <c r="BP185" s="1">
        <f t="shared" si="464"/>
        <v>0</v>
      </c>
      <c r="BQ185" s="1">
        <f t="shared" si="445"/>
        <v>6400</v>
      </c>
    </row>
    <row r="186" spans="2:69" ht="15" customHeight="1" x14ac:dyDescent="0.25">
      <c r="C186" t="s">
        <v>133</v>
      </c>
      <c r="Q186" s="1">
        <v>46</v>
      </c>
      <c r="S186" s="1">
        <v>52</v>
      </c>
      <c r="AR186" s="3">
        <f t="shared" si="465"/>
        <v>98</v>
      </c>
      <c r="AT186" s="1">
        <f>+[1]PassVol!$AU186</f>
        <v>106</v>
      </c>
      <c r="AU186" s="1">
        <f t="shared" si="443"/>
        <v>-8</v>
      </c>
      <c r="AV186" s="1">
        <f t="shared" si="446"/>
        <v>0</v>
      </c>
      <c r="AW186" s="1">
        <f t="shared" si="447"/>
        <v>0</v>
      </c>
      <c r="AX186" s="1">
        <f t="shared" si="448"/>
        <v>0</v>
      </c>
      <c r="AY186" s="1">
        <f t="shared" si="449"/>
        <v>98</v>
      </c>
      <c r="AZ186" s="1">
        <f t="shared" si="450"/>
        <v>0</v>
      </c>
      <c r="BA186" s="1">
        <f t="shared" si="451"/>
        <v>0</v>
      </c>
      <c r="BB186" s="1">
        <f t="shared" si="452"/>
        <v>0</v>
      </c>
      <c r="BC186" s="1">
        <f t="shared" si="453"/>
        <v>0</v>
      </c>
      <c r="BD186" s="1">
        <f t="shared" si="454"/>
        <v>0</v>
      </c>
      <c r="BE186" s="1">
        <f t="shared" si="455"/>
        <v>0</v>
      </c>
      <c r="BG186" s="1">
        <f t="shared" si="456"/>
        <v>0</v>
      </c>
      <c r="BH186" s="1">
        <f t="shared" si="456"/>
        <v>0</v>
      </c>
      <c r="BI186" s="1">
        <f t="shared" si="457"/>
        <v>0</v>
      </c>
      <c r="BJ186" s="1">
        <f t="shared" si="458"/>
        <v>980</v>
      </c>
      <c r="BK186" s="1">
        <f t="shared" si="459"/>
        <v>0</v>
      </c>
      <c r="BL186" s="1">
        <f t="shared" si="460"/>
        <v>0</v>
      </c>
      <c r="BM186" s="1">
        <f t="shared" si="461"/>
        <v>0</v>
      </c>
      <c r="BN186" s="1">
        <f t="shared" si="462"/>
        <v>0</v>
      </c>
      <c r="BO186" s="1">
        <f t="shared" si="463"/>
        <v>0</v>
      </c>
      <c r="BP186" s="1">
        <f t="shared" si="464"/>
        <v>0</v>
      </c>
      <c r="BQ186" s="1">
        <f t="shared" si="445"/>
        <v>980</v>
      </c>
    </row>
    <row r="187" spans="2:69" ht="15" customHeight="1" x14ac:dyDescent="0.25">
      <c r="C187" t="s">
        <v>41</v>
      </c>
      <c r="Q187" s="1">
        <v>1015</v>
      </c>
      <c r="S187" s="1">
        <v>636</v>
      </c>
      <c r="U187" s="1">
        <v>488</v>
      </c>
      <c r="AR187" s="3">
        <f t="shared" si="465"/>
        <v>2139</v>
      </c>
      <c r="AT187" s="1">
        <f>+[1]PassVol!$AU187</f>
        <v>1767</v>
      </c>
      <c r="AU187" s="1">
        <f t="shared" si="443"/>
        <v>372</v>
      </c>
      <c r="AV187" s="1">
        <f t="shared" si="446"/>
        <v>0</v>
      </c>
      <c r="AW187" s="1">
        <f t="shared" si="447"/>
        <v>0</v>
      </c>
      <c r="AX187" s="1">
        <f t="shared" si="448"/>
        <v>0</v>
      </c>
      <c r="AY187" s="1">
        <f t="shared" si="449"/>
        <v>1651</v>
      </c>
      <c r="AZ187" s="1">
        <f t="shared" si="450"/>
        <v>488</v>
      </c>
      <c r="BA187" s="1">
        <f t="shared" si="451"/>
        <v>0</v>
      </c>
      <c r="BB187" s="1">
        <f t="shared" si="452"/>
        <v>0</v>
      </c>
      <c r="BC187" s="1">
        <f t="shared" si="453"/>
        <v>0</v>
      </c>
      <c r="BD187" s="1">
        <f t="shared" si="454"/>
        <v>0</v>
      </c>
      <c r="BE187" s="1">
        <f t="shared" si="455"/>
        <v>0</v>
      </c>
      <c r="BG187" s="1">
        <f t="shared" si="456"/>
        <v>0</v>
      </c>
      <c r="BH187" s="1">
        <f t="shared" si="456"/>
        <v>0</v>
      </c>
      <c r="BI187" s="1">
        <f t="shared" si="457"/>
        <v>0</v>
      </c>
      <c r="BJ187" s="1">
        <f t="shared" si="458"/>
        <v>16510</v>
      </c>
      <c r="BK187" s="1">
        <f t="shared" si="459"/>
        <v>4880</v>
      </c>
      <c r="BL187" s="1">
        <f t="shared" si="460"/>
        <v>0</v>
      </c>
      <c r="BM187" s="1">
        <f t="shared" si="461"/>
        <v>0</v>
      </c>
      <c r="BN187" s="1">
        <f t="shared" si="462"/>
        <v>0</v>
      </c>
      <c r="BO187" s="1">
        <f t="shared" si="463"/>
        <v>0</v>
      </c>
      <c r="BP187" s="1">
        <f t="shared" si="464"/>
        <v>0</v>
      </c>
      <c r="BQ187" s="1">
        <f t="shared" si="445"/>
        <v>21390</v>
      </c>
    </row>
    <row r="188" spans="2:69" ht="15" customHeight="1" x14ac:dyDescent="0.25">
      <c r="C188" t="s">
        <v>193</v>
      </c>
      <c r="AR188" s="3">
        <f t="shared" si="465"/>
        <v>0</v>
      </c>
      <c r="AT188" s="1">
        <f>+[1]PassVol!$AU188</f>
        <v>0</v>
      </c>
      <c r="AU188" s="1">
        <f t="shared" si="443"/>
        <v>0</v>
      </c>
      <c r="AV188" s="1">
        <f t="shared" si="446"/>
        <v>0</v>
      </c>
      <c r="AW188" s="1">
        <f t="shared" si="447"/>
        <v>0</v>
      </c>
      <c r="AX188" s="1">
        <f t="shared" si="448"/>
        <v>0</v>
      </c>
      <c r="AY188" s="1">
        <f t="shared" si="449"/>
        <v>0</v>
      </c>
      <c r="AZ188" s="1">
        <f t="shared" si="450"/>
        <v>0</v>
      </c>
      <c r="BA188" s="1">
        <f t="shared" si="451"/>
        <v>0</v>
      </c>
      <c r="BB188" s="1">
        <f t="shared" si="452"/>
        <v>0</v>
      </c>
      <c r="BC188" s="1">
        <f t="shared" si="453"/>
        <v>0</v>
      </c>
      <c r="BD188" s="1">
        <f t="shared" si="454"/>
        <v>0</v>
      </c>
      <c r="BE188" s="1">
        <f t="shared" si="455"/>
        <v>0</v>
      </c>
      <c r="BG188" s="1">
        <f t="shared" si="456"/>
        <v>0</v>
      </c>
      <c r="BH188" s="1">
        <f t="shared" si="456"/>
        <v>0</v>
      </c>
      <c r="BI188" s="1">
        <f t="shared" si="457"/>
        <v>0</v>
      </c>
      <c r="BJ188" s="1">
        <f t="shared" si="458"/>
        <v>0</v>
      </c>
      <c r="BK188" s="1">
        <f t="shared" si="459"/>
        <v>0</v>
      </c>
      <c r="BL188" s="1">
        <f t="shared" si="460"/>
        <v>0</v>
      </c>
      <c r="BM188" s="1">
        <f t="shared" si="461"/>
        <v>0</v>
      </c>
      <c r="BN188" s="1">
        <f t="shared" si="462"/>
        <v>0</v>
      </c>
      <c r="BO188" s="1">
        <f t="shared" si="463"/>
        <v>0</v>
      </c>
      <c r="BP188" s="1">
        <f t="shared" si="464"/>
        <v>0</v>
      </c>
      <c r="BQ188" s="1">
        <f t="shared" si="445"/>
        <v>0</v>
      </c>
    </row>
    <row r="189" spans="2:69" ht="15" customHeight="1" x14ac:dyDescent="0.25">
      <c r="C189" t="s">
        <v>297</v>
      </c>
      <c r="AR189" s="3">
        <f t="shared" si="465"/>
        <v>0</v>
      </c>
      <c r="AT189" s="1">
        <f>+[1]PassVol!$AU189</f>
        <v>0</v>
      </c>
      <c r="AU189" s="1">
        <f t="shared" si="443"/>
        <v>0</v>
      </c>
      <c r="AV189" s="1">
        <f t="shared" si="446"/>
        <v>0</v>
      </c>
      <c r="AW189" s="1">
        <f t="shared" si="447"/>
        <v>0</v>
      </c>
      <c r="AX189" s="1">
        <f t="shared" si="448"/>
        <v>0</v>
      </c>
      <c r="AY189" s="1">
        <f t="shared" si="449"/>
        <v>0</v>
      </c>
      <c r="AZ189" s="1">
        <f t="shared" si="450"/>
        <v>0</v>
      </c>
      <c r="BA189" s="1">
        <f t="shared" si="451"/>
        <v>0</v>
      </c>
      <c r="BB189" s="1">
        <f t="shared" si="452"/>
        <v>0</v>
      </c>
      <c r="BC189" s="1">
        <f t="shared" si="453"/>
        <v>0</v>
      </c>
      <c r="BD189" s="1">
        <f t="shared" si="454"/>
        <v>0</v>
      </c>
      <c r="BE189" s="1">
        <f t="shared" si="455"/>
        <v>0</v>
      </c>
      <c r="BG189" s="1">
        <f t="shared" si="456"/>
        <v>0</v>
      </c>
      <c r="BH189" s="1">
        <f t="shared" si="456"/>
        <v>0</v>
      </c>
      <c r="BI189" s="1">
        <f t="shared" si="457"/>
        <v>0</v>
      </c>
      <c r="BJ189" s="1">
        <f t="shared" si="458"/>
        <v>0</v>
      </c>
      <c r="BK189" s="1">
        <f t="shared" si="459"/>
        <v>0</v>
      </c>
      <c r="BL189" s="1">
        <f t="shared" si="460"/>
        <v>0</v>
      </c>
      <c r="BM189" s="1">
        <f t="shared" si="461"/>
        <v>0</v>
      </c>
      <c r="BN189" s="1">
        <f t="shared" si="462"/>
        <v>0</v>
      </c>
      <c r="BO189" s="1">
        <f t="shared" si="463"/>
        <v>0</v>
      </c>
      <c r="BP189" s="1">
        <f t="shared" si="464"/>
        <v>0</v>
      </c>
      <c r="BQ189" s="1">
        <f t="shared" si="445"/>
        <v>0</v>
      </c>
    </row>
    <row r="190" spans="2:69" ht="15" customHeight="1" x14ac:dyDescent="0.25">
      <c r="C190" t="s">
        <v>296</v>
      </c>
      <c r="S190" s="1">
        <v>53</v>
      </c>
      <c r="AR190" s="3">
        <f t="shared" si="465"/>
        <v>53</v>
      </c>
      <c r="AT190" s="1">
        <f>+[1]PassVol!$AU190</f>
        <v>72</v>
      </c>
      <c r="AU190" s="1">
        <f t="shared" si="443"/>
        <v>-19</v>
      </c>
      <c r="AV190" s="1">
        <f t="shared" si="446"/>
        <v>0</v>
      </c>
      <c r="AW190" s="1">
        <f t="shared" si="447"/>
        <v>0</v>
      </c>
      <c r="AX190" s="1">
        <f t="shared" si="448"/>
        <v>0</v>
      </c>
      <c r="AY190" s="1">
        <f t="shared" si="449"/>
        <v>53</v>
      </c>
      <c r="AZ190" s="1">
        <f t="shared" si="450"/>
        <v>0</v>
      </c>
      <c r="BA190" s="1">
        <f t="shared" si="451"/>
        <v>0</v>
      </c>
      <c r="BB190" s="1">
        <f t="shared" si="452"/>
        <v>0</v>
      </c>
      <c r="BC190" s="1">
        <f t="shared" si="453"/>
        <v>0</v>
      </c>
      <c r="BD190" s="1">
        <f t="shared" si="454"/>
        <v>0</v>
      </c>
      <c r="BE190" s="1">
        <f t="shared" si="455"/>
        <v>0</v>
      </c>
      <c r="BG190" s="1">
        <f t="shared" si="456"/>
        <v>0</v>
      </c>
      <c r="BH190" s="1">
        <f t="shared" si="456"/>
        <v>0</v>
      </c>
      <c r="BI190" s="1">
        <f t="shared" si="457"/>
        <v>0</v>
      </c>
      <c r="BJ190" s="1">
        <f t="shared" si="458"/>
        <v>530</v>
      </c>
      <c r="BK190" s="1">
        <f t="shared" si="459"/>
        <v>0</v>
      </c>
      <c r="BL190" s="1">
        <f t="shared" si="460"/>
        <v>0</v>
      </c>
      <c r="BM190" s="1">
        <f t="shared" si="461"/>
        <v>0</v>
      </c>
      <c r="BN190" s="1">
        <f t="shared" si="462"/>
        <v>0</v>
      </c>
      <c r="BO190" s="1">
        <f t="shared" si="463"/>
        <v>0</v>
      </c>
      <c r="BP190" s="1">
        <f t="shared" si="464"/>
        <v>0</v>
      </c>
      <c r="BQ190" s="1">
        <f t="shared" si="445"/>
        <v>530</v>
      </c>
    </row>
    <row r="191" spans="2:69" s="10" customFormat="1" ht="15" customHeight="1" x14ac:dyDescent="0.25">
      <c r="B191" s="2"/>
      <c r="C191" t="s">
        <v>44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>
        <f>9116-7597-23</f>
        <v>1496</v>
      </c>
      <c r="R191" s="1">
        <v>7</v>
      </c>
      <c r="S191" s="1">
        <f>5370-4209</f>
        <v>1161</v>
      </c>
      <c r="T191" s="1">
        <v>0</v>
      </c>
      <c r="U191" s="1">
        <f>2705-2042</f>
        <v>663</v>
      </c>
      <c r="V191" s="1">
        <f>176-168</f>
        <v>8</v>
      </c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17"/>
      <c r="AI191" s="1"/>
      <c r="AJ191" s="1"/>
      <c r="AK191" s="1"/>
      <c r="AL191" s="117"/>
      <c r="AM191" s="1"/>
      <c r="AN191" s="1"/>
      <c r="AO191" s="1"/>
      <c r="AP191" s="1"/>
      <c r="AQ191" s="1"/>
      <c r="AR191" s="3">
        <f t="shared" si="465"/>
        <v>3335</v>
      </c>
      <c r="AS191" s="11"/>
      <c r="AT191" s="1">
        <f>+[1]PassVol!$AU191</f>
        <v>3175</v>
      </c>
      <c r="AU191" s="1">
        <f t="shared" si="443"/>
        <v>160</v>
      </c>
      <c r="AV191" s="1">
        <f t="shared" si="446"/>
        <v>0</v>
      </c>
      <c r="AW191" s="1">
        <f t="shared" si="447"/>
        <v>0</v>
      </c>
      <c r="AX191" s="1">
        <f t="shared" si="448"/>
        <v>0</v>
      </c>
      <c r="AY191" s="1">
        <f t="shared" si="449"/>
        <v>2664</v>
      </c>
      <c r="AZ191" s="1">
        <f t="shared" si="450"/>
        <v>671</v>
      </c>
      <c r="BA191" s="1">
        <f t="shared" si="451"/>
        <v>0</v>
      </c>
      <c r="BB191" s="1">
        <f t="shared" si="452"/>
        <v>0</v>
      </c>
      <c r="BC191" s="1">
        <f t="shared" si="453"/>
        <v>0</v>
      </c>
      <c r="BD191" s="1">
        <f t="shared" si="454"/>
        <v>0</v>
      </c>
      <c r="BE191" s="1">
        <f t="shared" si="455"/>
        <v>0</v>
      </c>
      <c r="BG191" s="1">
        <f t="shared" si="456"/>
        <v>0</v>
      </c>
      <c r="BH191" s="1">
        <f t="shared" si="456"/>
        <v>0</v>
      </c>
      <c r="BI191" s="1">
        <f t="shared" si="457"/>
        <v>0</v>
      </c>
      <c r="BJ191" s="1">
        <f t="shared" si="458"/>
        <v>26640</v>
      </c>
      <c r="BK191" s="1">
        <f t="shared" si="459"/>
        <v>6710</v>
      </c>
      <c r="BL191" s="1">
        <f t="shared" si="460"/>
        <v>0</v>
      </c>
      <c r="BM191" s="1">
        <f t="shared" si="461"/>
        <v>0</v>
      </c>
      <c r="BN191" s="1">
        <f t="shared" si="462"/>
        <v>0</v>
      </c>
      <c r="BO191" s="1">
        <f t="shared" si="463"/>
        <v>0</v>
      </c>
      <c r="BP191" s="1">
        <f t="shared" si="464"/>
        <v>0</v>
      </c>
      <c r="BQ191" s="1">
        <f t="shared" si="445"/>
        <v>33350</v>
      </c>
    </row>
    <row r="192" spans="2:69" s="36" customFormat="1" ht="15" customHeight="1" x14ac:dyDescent="0.25">
      <c r="B192" s="2" t="s">
        <v>143</v>
      </c>
      <c r="C192" s="2"/>
      <c r="D192" s="3">
        <f t="shared" ref="D192:AQ192" si="466">SUM(D173:D191)</f>
        <v>0</v>
      </c>
      <c r="E192" s="3">
        <f t="shared" si="466"/>
        <v>0</v>
      </c>
      <c r="F192" s="3">
        <f t="shared" si="466"/>
        <v>0</v>
      </c>
      <c r="G192" s="3">
        <f t="shared" si="466"/>
        <v>0</v>
      </c>
      <c r="H192" s="3">
        <f t="shared" si="466"/>
        <v>0</v>
      </c>
      <c r="I192" s="3">
        <f t="shared" si="466"/>
        <v>0</v>
      </c>
      <c r="J192" s="3">
        <f t="shared" si="466"/>
        <v>0</v>
      </c>
      <c r="K192" s="3">
        <f t="shared" si="466"/>
        <v>0</v>
      </c>
      <c r="L192" s="3">
        <f t="shared" si="466"/>
        <v>0</v>
      </c>
      <c r="M192" s="3">
        <f t="shared" si="466"/>
        <v>0</v>
      </c>
      <c r="N192" s="3">
        <f t="shared" si="466"/>
        <v>0</v>
      </c>
      <c r="O192" s="3">
        <f t="shared" si="466"/>
        <v>0</v>
      </c>
      <c r="P192" s="3">
        <f t="shared" si="466"/>
        <v>0</v>
      </c>
      <c r="Q192" s="3">
        <f t="shared" si="466"/>
        <v>9093</v>
      </c>
      <c r="R192" s="3">
        <f t="shared" si="466"/>
        <v>667</v>
      </c>
      <c r="S192" s="3">
        <f t="shared" si="466"/>
        <v>5370</v>
      </c>
      <c r="T192" s="3">
        <f t="shared" si="466"/>
        <v>210</v>
      </c>
      <c r="U192" s="3">
        <f t="shared" si="466"/>
        <v>2705</v>
      </c>
      <c r="V192" s="3">
        <f t="shared" si="466"/>
        <v>176</v>
      </c>
      <c r="W192" s="3">
        <f t="shared" si="466"/>
        <v>0</v>
      </c>
      <c r="X192" s="3">
        <f t="shared" si="466"/>
        <v>0</v>
      </c>
      <c r="Y192" s="3">
        <f t="shared" si="466"/>
        <v>0</v>
      </c>
      <c r="Z192" s="3">
        <f t="shared" si="466"/>
        <v>0</v>
      </c>
      <c r="AA192" s="3">
        <f t="shared" si="466"/>
        <v>0</v>
      </c>
      <c r="AB192" s="3">
        <f t="shared" si="466"/>
        <v>0</v>
      </c>
      <c r="AC192" s="3">
        <f t="shared" si="466"/>
        <v>0</v>
      </c>
      <c r="AD192" s="3">
        <f t="shared" si="466"/>
        <v>0</v>
      </c>
      <c r="AE192" s="3">
        <f t="shared" si="466"/>
        <v>0</v>
      </c>
      <c r="AF192" s="3">
        <f t="shared" si="466"/>
        <v>0</v>
      </c>
      <c r="AG192" s="3">
        <f t="shared" si="466"/>
        <v>0</v>
      </c>
      <c r="AH192" s="150">
        <f t="shared" si="466"/>
        <v>0</v>
      </c>
      <c r="AI192" s="3">
        <f t="shared" si="466"/>
        <v>0</v>
      </c>
      <c r="AJ192" s="3">
        <f t="shared" si="466"/>
        <v>0</v>
      </c>
      <c r="AK192" s="3">
        <f t="shared" si="466"/>
        <v>0</v>
      </c>
      <c r="AL192" s="150">
        <f t="shared" si="466"/>
        <v>0</v>
      </c>
      <c r="AM192" s="3">
        <f t="shared" si="466"/>
        <v>0</v>
      </c>
      <c r="AN192" s="3">
        <f t="shared" si="466"/>
        <v>0</v>
      </c>
      <c r="AO192" s="3">
        <f t="shared" si="466"/>
        <v>0</v>
      </c>
      <c r="AP192" s="3">
        <f t="shared" si="466"/>
        <v>0</v>
      </c>
      <c r="AQ192" s="3">
        <f t="shared" si="466"/>
        <v>0</v>
      </c>
      <c r="AR192" s="3">
        <f t="shared" ref="AR192" si="467">SUM(AR173:AR191)</f>
        <v>18221</v>
      </c>
      <c r="AS192" s="35"/>
      <c r="AT192" s="1">
        <f>SUM(AT173:AT191)</f>
        <v>11429</v>
      </c>
      <c r="AU192" s="1">
        <f>SUM(AU173:AU191)</f>
        <v>6792</v>
      </c>
      <c r="AV192" s="3">
        <f>SUM(AV173:AV191)</f>
        <v>0</v>
      </c>
      <c r="AW192" s="3">
        <f>SUM(AW173:AW191)</f>
        <v>0</v>
      </c>
      <c r="AX192" s="3">
        <f t="shared" ref="AX192:BE192" si="468">SUM(AX173:AX191)</f>
        <v>0</v>
      </c>
      <c r="AY192" s="3">
        <f t="shared" si="468"/>
        <v>15340</v>
      </c>
      <c r="AZ192" s="3">
        <f t="shared" si="468"/>
        <v>2881</v>
      </c>
      <c r="BA192" s="3">
        <f t="shared" si="468"/>
        <v>0</v>
      </c>
      <c r="BB192" s="3">
        <f t="shared" si="468"/>
        <v>0</v>
      </c>
      <c r="BC192" s="3">
        <f t="shared" si="468"/>
        <v>0</v>
      </c>
      <c r="BD192" s="3">
        <f t="shared" si="468"/>
        <v>0</v>
      </c>
      <c r="BE192" s="3">
        <f t="shared" si="468"/>
        <v>0</v>
      </c>
      <c r="BG192" s="35">
        <f>SUM(BG173:BG191)</f>
        <v>0</v>
      </c>
      <c r="BH192" s="35">
        <f>SUM(BH173:BH191)</f>
        <v>0</v>
      </c>
      <c r="BI192" s="35">
        <f t="shared" ref="BI192:BQ192" si="469">SUM(BI173:BI191)</f>
        <v>0</v>
      </c>
      <c r="BJ192" s="35">
        <f t="shared" si="469"/>
        <v>153400</v>
      </c>
      <c r="BK192" s="35">
        <f t="shared" si="469"/>
        <v>28810</v>
      </c>
      <c r="BL192" s="35">
        <f t="shared" si="469"/>
        <v>0</v>
      </c>
      <c r="BM192" s="35">
        <f t="shared" si="469"/>
        <v>0</v>
      </c>
      <c r="BN192" s="35">
        <f t="shared" si="469"/>
        <v>0</v>
      </c>
      <c r="BO192" s="35">
        <f t="shared" si="469"/>
        <v>0</v>
      </c>
      <c r="BP192" s="35">
        <f t="shared" si="469"/>
        <v>0</v>
      </c>
      <c r="BQ192" s="35">
        <f t="shared" si="469"/>
        <v>182210</v>
      </c>
    </row>
    <row r="193" spans="2:69" s="10" customFormat="1" ht="15" customHeight="1" x14ac:dyDescent="0.25">
      <c r="C193" s="38" t="s">
        <v>97</v>
      </c>
      <c r="D193" s="11">
        <f>+D192</f>
        <v>0</v>
      </c>
      <c r="E193" s="11">
        <f>+D193+E192</f>
        <v>0</v>
      </c>
      <c r="F193" s="11">
        <f t="shared" ref="F193:AQ193" si="470">+E193+F192</f>
        <v>0</v>
      </c>
      <c r="G193" s="11">
        <f t="shared" si="470"/>
        <v>0</v>
      </c>
      <c r="H193" s="11">
        <f t="shared" si="470"/>
        <v>0</v>
      </c>
      <c r="I193" s="11">
        <f t="shared" si="470"/>
        <v>0</v>
      </c>
      <c r="J193" s="11">
        <f t="shared" si="470"/>
        <v>0</v>
      </c>
      <c r="K193" s="11">
        <f t="shared" si="470"/>
        <v>0</v>
      </c>
      <c r="L193" s="11">
        <f t="shared" si="470"/>
        <v>0</v>
      </c>
      <c r="M193" s="11">
        <f t="shared" si="470"/>
        <v>0</v>
      </c>
      <c r="N193" s="11">
        <f t="shared" si="470"/>
        <v>0</v>
      </c>
      <c r="O193" s="11">
        <f t="shared" si="470"/>
        <v>0</v>
      </c>
      <c r="P193" s="11">
        <f t="shared" si="470"/>
        <v>0</v>
      </c>
      <c r="Q193" s="11">
        <f t="shared" si="470"/>
        <v>9093</v>
      </c>
      <c r="R193" s="11">
        <f t="shared" si="470"/>
        <v>9760</v>
      </c>
      <c r="S193" s="11">
        <f t="shared" si="470"/>
        <v>15130</v>
      </c>
      <c r="T193" s="11">
        <f t="shared" si="470"/>
        <v>15340</v>
      </c>
      <c r="U193" s="11">
        <f t="shared" si="470"/>
        <v>18045</v>
      </c>
      <c r="V193" s="11">
        <f t="shared" si="470"/>
        <v>18221</v>
      </c>
      <c r="W193" s="11">
        <f t="shared" si="470"/>
        <v>18221</v>
      </c>
      <c r="X193" s="11">
        <f t="shared" si="470"/>
        <v>18221</v>
      </c>
      <c r="Y193" s="11">
        <f t="shared" si="470"/>
        <v>18221</v>
      </c>
      <c r="Z193" s="11">
        <f t="shared" si="470"/>
        <v>18221</v>
      </c>
      <c r="AA193" s="11">
        <f t="shared" si="470"/>
        <v>18221</v>
      </c>
      <c r="AB193" s="11">
        <f t="shared" si="470"/>
        <v>18221</v>
      </c>
      <c r="AC193" s="11">
        <f t="shared" si="470"/>
        <v>18221</v>
      </c>
      <c r="AD193" s="11">
        <f t="shared" si="470"/>
        <v>18221</v>
      </c>
      <c r="AE193" s="11">
        <f t="shared" si="470"/>
        <v>18221</v>
      </c>
      <c r="AF193" s="11">
        <f t="shared" si="470"/>
        <v>18221</v>
      </c>
      <c r="AG193" s="11">
        <f t="shared" si="470"/>
        <v>18221</v>
      </c>
      <c r="AH193" s="147">
        <f t="shared" si="470"/>
        <v>18221</v>
      </c>
      <c r="AI193" s="11">
        <f t="shared" si="470"/>
        <v>18221</v>
      </c>
      <c r="AJ193" s="11">
        <f t="shared" si="470"/>
        <v>18221</v>
      </c>
      <c r="AK193" s="11">
        <f t="shared" si="470"/>
        <v>18221</v>
      </c>
      <c r="AL193" s="147">
        <f t="shared" si="470"/>
        <v>18221</v>
      </c>
      <c r="AM193" s="11">
        <f t="shared" si="470"/>
        <v>18221</v>
      </c>
      <c r="AN193" s="11">
        <f t="shared" si="470"/>
        <v>18221</v>
      </c>
      <c r="AO193" s="11">
        <f t="shared" si="470"/>
        <v>18221</v>
      </c>
      <c r="AP193" s="11">
        <f t="shared" si="470"/>
        <v>18221</v>
      </c>
      <c r="AQ193" s="11">
        <f t="shared" si="470"/>
        <v>18221</v>
      </c>
      <c r="AR193" s="40"/>
      <c r="AS193" s="11"/>
      <c r="AT193" s="11"/>
      <c r="AU193" s="11"/>
      <c r="AV193" s="11">
        <f>+AV192</f>
        <v>0</v>
      </c>
      <c r="AW193" s="1">
        <f>+AV193+AW192</f>
        <v>0</v>
      </c>
      <c r="AX193" s="1">
        <f t="shared" ref="AX193" si="471">+AW193+AX192</f>
        <v>0</v>
      </c>
      <c r="AY193" s="1">
        <f t="shared" ref="AY193" si="472">+AX193+AY192</f>
        <v>15340</v>
      </c>
      <c r="AZ193" s="1">
        <f t="shared" ref="AZ193" si="473">+AY193+AZ192</f>
        <v>18221</v>
      </c>
      <c r="BA193" s="1">
        <f t="shared" ref="BA193" si="474">+AZ193+BA192</f>
        <v>18221</v>
      </c>
      <c r="BB193" s="1">
        <f t="shared" ref="BB193" si="475">+BA193+BB192</f>
        <v>18221</v>
      </c>
      <c r="BC193" s="1">
        <f t="shared" ref="BC193" si="476">+BB193+BC192</f>
        <v>18221</v>
      </c>
      <c r="BD193" s="1">
        <f t="shared" ref="BD193" si="477">+BC193+BD192</f>
        <v>18221</v>
      </c>
      <c r="BE193" s="1">
        <f t="shared" ref="BE193" si="478">+BD193+BE192</f>
        <v>18221</v>
      </c>
    </row>
    <row r="194" spans="2:69" s="10" customFormat="1" ht="15" customHeight="1" x14ac:dyDescent="0.2">
      <c r="C194" s="38" t="s">
        <v>220</v>
      </c>
      <c r="D194" s="11">
        <f>+D192*10</f>
        <v>0</v>
      </c>
      <c r="E194" s="11">
        <f t="shared" ref="E194:AQ194" si="479">+E192*10</f>
        <v>0</v>
      </c>
      <c r="F194" s="11">
        <f t="shared" si="479"/>
        <v>0</v>
      </c>
      <c r="G194" s="11">
        <f t="shared" si="479"/>
        <v>0</v>
      </c>
      <c r="H194" s="11">
        <f t="shared" si="479"/>
        <v>0</v>
      </c>
      <c r="I194" s="11">
        <f t="shared" si="479"/>
        <v>0</v>
      </c>
      <c r="J194" s="11">
        <f t="shared" si="479"/>
        <v>0</v>
      </c>
      <c r="K194" s="11">
        <f t="shared" si="479"/>
        <v>0</v>
      </c>
      <c r="L194" s="11">
        <f t="shared" si="479"/>
        <v>0</v>
      </c>
      <c r="M194" s="11">
        <f t="shared" si="479"/>
        <v>0</v>
      </c>
      <c r="N194" s="11">
        <f t="shared" si="479"/>
        <v>0</v>
      </c>
      <c r="O194" s="11">
        <f t="shared" si="479"/>
        <v>0</v>
      </c>
      <c r="P194" s="11">
        <f t="shared" si="479"/>
        <v>0</v>
      </c>
      <c r="Q194" s="11">
        <f t="shared" si="479"/>
        <v>90930</v>
      </c>
      <c r="R194" s="11">
        <f t="shared" si="479"/>
        <v>6670</v>
      </c>
      <c r="S194" s="11">
        <f t="shared" si="479"/>
        <v>53700</v>
      </c>
      <c r="T194" s="11">
        <f t="shared" si="479"/>
        <v>2100</v>
      </c>
      <c r="U194" s="11">
        <f t="shared" si="479"/>
        <v>27050</v>
      </c>
      <c r="V194" s="11">
        <f t="shared" si="479"/>
        <v>1760</v>
      </c>
      <c r="W194" s="11">
        <f t="shared" si="479"/>
        <v>0</v>
      </c>
      <c r="X194" s="11">
        <f t="shared" si="479"/>
        <v>0</v>
      </c>
      <c r="Y194" s="11">
        <f t="shared" si="479"/>
        <v>0</v>
      </c>
      <c r="Z194" s="11">
        <f t="shared" si="479"/>
        <v>0</v>
      </c>
      <c r="AA194" s="11">
        <f t="shared" si="479"/>
        <v>0</v>
      </c>
      <c r="AB194" s="11">
        <f t="shared" si="479"/>
        <v>0</v>
      </c>
      <c r="AC194" s="11">
        <f t="shared" si="479"/>
        <v>0</v>
      </c>
      <c r="AD194" s="11">
        <f t="shared" si="479"/>
        <v>0</v>
      </c>
      <c r="AE194" s="11">
        <f t="shared" si="479"/>
        <v>0</v>
      </c>
      <c r="AF194" s="11">
        <f t="shared" si="479"/>
        <v>0</v>
      </c>
      <c r="AG194" s="11">
        <f t="shared" si="479"/>
        <v>0</v>
      </c>
      <c r="AH194" s="147">
        <f t="shared" si="479"/>
        <v>0</v>
      </c>
      <c r="AI194" s="11">
        <f t="shared" si="479"/>
        <v>0</v>
      </c>
      <c r="AJ194" s="11">
        <f t="shared" si="479"/>
        <v>0</v>
      </c>
      <c r="AK194" s="11">
        <f t="shared" si="479"/>
        <v>0</v>
      </c>
      <c r="AL194" s="147">
        <f t="shared" si="479"/>
        <v>0</v>
      </c>
      <c r="AM194" s="11">
        <f t="shared" si="479"/>
        <v>0</v>
      </c>
      <c r="AN194" s="11">
        <f t="shared" si="479"/>
        <v>0</v>
      </c>
      <c r="AO194" s="11">
        <f t="shared" si="479"/>
        <v>0</v>
      </c>
      <c r="AP194" s="11">
        <f t="shared" si="479"/>
        <v>0</v>
      </c>
      <c r="AQ194" s="11">
        <f t="shared" si="479"/>
        <v>0</v>
      </c>
      <c r="AR194" s="40">
        <f>SUM(D194:AC194)</f>
        <v>182210</v>
      </c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</row>
    <row r="195" spans="2:69" s="10" customFormat="1" ht="15" customHeight="1" x14ac:dyDescent="0.2">
      <c r="C195" s="38" t="s">
        <v>286</v>
      </c>
      <c r="D195" s="11">
        <f>+(D192-D182-D188)/2</f>
        <v>0</v>
      </c>
      <c r="E195" s="11">
        <f t="shared" ref="E195:AQ195" si="480">+(E192-E182-E188)/2</f>
        <v>0</v>
      </c>
      <c r="F195" s="11">
        <f t="shared" si="480"/>
        <v>0</v>
      </c>
      <c r="G195" s="11">
        <f t="shared" si="480"/>
        <v>0</v>
      </c>
      <c r="H195" s="11">
        <f t="shared" si="480"/>
        <v>0</v>
      </c>
      <c r="I195" s="11">
        <f t="shared" si="480"/>
        <v>0</v>
      </c>
      <c r="J195" s="11">
        <f t="shared" si="480"/>
        <v>0</v>
      </c>
      <c r="K195" s="11">
        <f t="shared" si="480"/>
        <v>0</v>
      </c>
      <c r="L195" s="11">
        <f t="shared" si="480"/>
        <v>0</v>
      </c>
      <c r="M195" s="11">
        <f t="shared" si="480"/>
        <v>0</v>
      </c>
      <c r="N195" s="11">
        <f t="shared" si="480"/>
        <v>0</v>
      </c>
      <c r="O195" s="11">
        <f t="shared" si="480"/>
        <v>0</v>
      </c>
      <c r="P195" s="11">
        <f t="shared" si="480"/>
        <v>0</v>
      </c>
      <c r="Q195" s="11">
        <f t="shared" si="480"/>
        <v>4546.5</v>
      </c>
      <c r="R195" s="11">
        <f t="shared" si="480"/>
        <v>3.5</v>
      </c>
      <c r="S195" s="11">
        <f t="shared" si="480"/>
        <v>2685</v>
      </c>
      <c r="T195" s="11">
        <f t="shared" si="480"/>
        <v>0</v>
      </c>
      <c r="U195" s="11">
        <f t="shared" si="480"/>
        <v>1352.5</v>
      </c>
      <c r="V195" s="11">
        <f t="shared" si="480"/>
        <v>5.5</v>
      </c>
      <c r="W195" s="11">
        <f t="shared" si="480"/>
        <v>0</v>
      </c>
      <c r="X195" s="11">
        <f t="shared" si="480"/>
        <v>0</v>
      </c>
      <c r="Y195" s="11">
        <f t="shared" si="480"/>
        <v>0</v>
      </c>
      <c r="Z195" s="11">
        <f t="shared" si="480"/>
        <v>0</v>
      </c>
      <c r="AA195" s="11">
        <f t="shared" si="480"/>
        <v>0</v>
      </c>
      <c r="AB195" s="11">
        <f t="shared" si="480"/>
        <v>0</v>
      </c>
      <c r="AC195" s="11">
        <f t="shared" si="480"/>
        <v>0</v>
      </c>
      <c r="AD195" s="11">
        <f t="shared" si="480"/>
        <v>0</v>
      </c>
      <c r="AE195" s="11">
        <f t="shared" si="480"/>
        <v>0</v>
      </c>
      <c r="AF195" s="11">
        <f t="shared" si="480"/>
        <v>0</v>
      </c>
      <c r="AG195" s="11">
        <f t="shared" si="480"/>
        <v>0</v>
      </c>
      <c r="AH195" s="147">
        <f t="shared" si="480"/>
        <v>0</v>
      </c>
      <c r="AI195" s="11">
        <f t="shared" si="480"/>
        <v>0</v>
      </c>
      <c r="AJ195" s="11">
        <f t="shared" si="480"/>
        <v>0</v>
      </c>
      <c r="AK195" s="11">
        <f t="shared" si="480"/>
        <v>0</v>
      </c>
      <c r="AL195" s="147">
        <f t="shared" si="480"/>
        <v>0</v>
      </c>
      <c r="AM195" s="11">
        <f t="shared" si="480"/>
        <v>0</v>
      </c>
      <c r="AN195" s="11">
        <f t="shared" si="480"/>
        <v>0</v>
      </c>
      <c r="AO195" s="11">
        <f t="shared" si="480"/>
        <v>0</v>
      </c>
      <c r="AP195" s="11">
        <f t="shared" si="480"/>
        <v>0</v>
      </c>
      <c r="AQ195" s="11">
        <f t="shared" si="480"/>
        <v>0</v>
      </c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</row>
    <row r="196" spans="2:69" s="10" customFormat="1" ht="15" customHeight="1" x14ac:dyDescent="0.25">
      <c r="B196" s="2" t="s">
        <v>155</v>
      </c>
      <c r="C196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47"/>
      <c r="AI196" s="11"/>
      <c r="AJ196" s="11"/>
      <c r="AK196" s="11"/>
      <c r="AL196" s="147"/>
      <c r="AM196" s="11"/>
      <c r="AN196" s="11"/>
      <c r="AO196" s="11"/>
      <c r="AP196" s="11"/>
      <c r="AQ196" s="11"/>
      <c r="AR196" s="40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</row>
    <row r="197" spans="2:69" s="10" customFormat="1" ht="15" customHeight="1" x14ac:dyDescent="0.25">
      <c r="B197" s="2"/>
      <c r="C197" t="s">
        <v>190</v>
      </c>
      <c r="D197" s="1"/>
      <c r="E197" s="1"/>
      <c r="F197" s="1"/>
      <c r="G197" s="1">
        <v>354</v>
      </c>
      <c r="H197" s="1"/>
      <c r="I197" s="1"/>
      <c r="J197" s="1">
        <v>6</v>
      </c>
      <c r="K197" s="1">
        <v>17</v>
      </c>
      <c r="L197" s="1">
        <v>546</v>
      </c>
      <c r="M197" s="1"/>
      <c r="N197" s="1">
        <v>53</v>
      </c>
      <c r="O197" s="1">
        <v>67</v>
      </c>
      <c r="P197" s="1">
        <v>166</v>
      </c>
      <c r="Q197" s="1">
        <v>192</v>
      </c>
      <c r="R197" s="1">
        <v>573</v>
      </c>
      <c r="S197" s="1">
        <v>94</v>
      </c>
      <c r="T197" s="1">
        <v>376</v>
      </c>
      <c r="U197" s="1">
        <v>81</v>
      </c>
      <c r="V197" s="1">
        <v>179</v>
      </c>
      <c r="W197" s="1">
        <v>156</v>
      </c>
      <c r="X197" s="1">
        <v>457</v>
      </c>
      <c r="Y197" s="1">
        <v>78</v>
      </c>
      <c r="Z197" s="1">
        <v>97</v>
      </c>
      <c r="AA197" s="1">
        <v>86</v>
      </c>
      <c r="AB197" s="1">
        <v>89</v>
      </c>
      <c r="AC197" s="1">
        <v>63</v>
      </c>
      <c r="AD197" s="1">
        <v>51</v>
      </c>
      <c r="AE197" s="1">
        <v>64</v>
      </c>
      <c r="AF197" s="1">
        <v>74</v>
      </c>
      <c r="AG197" s="1">
        <v>64</v>
      </c>
      <c r="AH197" s="117">
        <v>171</v>
      </c>
      <c r="AI197" s="1">
        <v>115</v>
      </c>
      <c r="AJ197" s="1">
        <v>150</v>
      </c>
      <c r="AK197" s="1">
        <v>51</v>
      </c>
      <c r="AL197" s="117">
        <v>89</v>
      </c>
      <c r="AM197" s="1">
        <v>37</v>
      </c>
      <c r="AN197" s="1"/>
      <c r="AO197" s="1"/>
      <c r="AP197" s="1"/>
      <c r="AQ197" s="1"/>
      <c r="AR197" s="3">
        <f>SUM(D197:AQ197)</f>
        <v>4596</v>
      </c>
      <c r="AS197" s="11"/>
      <c r="AT197" s="1">
        <f>+[1]PassVol!$AU197</f>
        <v>277</v>
      </c>
      <c r="AU197" s="1">
        <f t="shared" ref="AU197:AU215" si="481">+AR197-AT197</f>
        <v>4319</v>
      </c>
      <c r="AV197" s="1">
        <f>SUM(D197:G197)</f>
        <v>354</v>
      </c>
      <c r="AW197" s="1">
        <f>SUM(H197:K197)</f>
        <v>23</v>
      </c>
      <c r="AX197" s="1">
        <f>SUM(L197:P197)</f>
        <v>832</v>
      </c>
      <c r="AY197" s="1">
        <f>SUM(Q197:T197)</f>
        <v>1235</v>
      </c>
      <c r="AZ197" s="1">
        <f>SUM(U197:X197)</f>
        <v>873</v>
      </c>
      <c r="BA197" s="1">
        <f>SUM(Y197:AC197)</f>
        <v>413</v>
      </c>
      <c r="BB197" s="1">
        <f>SUM(AD197:AG197)</f>
        <v>253</v>
      </c>
      <c r="BC197" s="1">
        <f>SUM(AH197:AK197)</f>
        <v>487</v>
      </c>
      <c r="BD197" s="1">
        <f>SUM(AL197:AP197)</f>
        <v>126</v>
      </c>
      <c r="BE197" s="1">
        <f>+AQ197</f>
        <v>0</v>
      </c>
      <c r="BG197" s="1">
        <f t="shared" ref="BG197:BP198" si="482">+AV197*18</f>
        <v>6372</v>
      </c>
      <c r="BH197" s="1">
        <f t="shared" si="482"/>
        <v>414</v>
      </c>
      <c r="BI197" s="1">
        <f t="shared" si="482"/>
        <v>14976</v>
      </c>
      <c r="BJ197" s="1">
        <f t="shared" si="482"/>
        <v>22230</v>
      </c>
      <c r="BK197" s="1">
        <f t="shared" si="482"/>
        <v>15714</v>
      </c>
      <c r="BL197" s="1">
        <f t="shared" si="482"/>
        <v>7434</v>
      </c>
      <c r="BM197" s="1">
        <f t="shared" si="482"/>
        <v>4554</v>
      </c>
      <c r="BN197" s="1">
        <f t="shared" si="482"/>
        <v>8766</v>
      </c>
      <c r="BO197" s="1">
        <f t="shared" si="482"/>
        <v>2268</v>
      </c>
      <c r="BP197" s="1">
        <f t="shared" si="482"/>
        <v>0</v>
      </c>
      <c r="BQ197" s="1">
        <f t="shared" ref="BQ197:BQ215" si="483">SUM(BH197:BP197)</f>
        <v>76356</v>
      </c>
    </row>
    <row r="198" spans="2:69" s="10" customFormat="1" ht="15" customHeight="1" x14ac:dyDescent="0.25">
      <c r="B198" s="2"/>
      <c r="C198" t="s">
        <v>424</v>
      </c>
      <c r="D198" s="1"/>
      <c r="E198" s="1"/>
      <c r="F198" s="1"/>
      <c r="G198" s="1"/>
      <c r="H198" s="1">
        <v>22</v>
      </c>
      <c r="I198" s="1">
        <v>22</v>
      </c>
      <c r="J198" s="1"/>
      <c r="K198" s="1"/>
      <c r="L198" s="1">
        <v>39</v>
      </c>
      <c r="M198" s="1">
        <v>72</v>
      </c>
      <c r="N198" s="1">
        <v>34</v>
      </c>
      <c r="O198" s="1">
        <v>64</v>
      </c>
      <c r="P198" s="1">
        <v>85</v>
      </c>
      <c r="Q198" s="1">
        <v>83</v>
      </c>
      <c r="R198" s="1">
        <v>83</v>
      </c>
      <c r="S198" s="1">
        <v>109</v>
      </c>
      <c r="T198" s="1">
        <v>113</v>
      </c>
      <c r="U198" s="1">
        <v>29</v>
      </c>
      <c r="V198" s="1">
        <v>83</v>
      </c>
      <c r="W198" s="1">
        <v>120</v>
      </c>
      <c r="X198" s="1">
        <v>40</v>
      </c>
      <c r="Y198" s="1">
        <v>31</v>
      </c>
      <c r="Z198" s="1">
        <v>58</v>
      </c>
      <c r="AA198" s="1">
        <v>24</v>
      </c>
      <c r="AB198" s="1">
        <v>15</v>
      </c>
      <c r="AC198" s="1">
        <v>36</v>
      </c>
      <c r="AD198" s="1"/>
      <c r="AE198" s="1">
        <v>20</v>
      </c>
      <c r="AF198" s="1">
        <v>8</v>
      </c>
      <c r="AG198" s="1"/>
      <c r="AH198" s="117"/>
      <c r="AI198" s="1"/>
      <c r="AJ198" s="1">
        <v>12</v>
      </c>
      <c r="AK198" s="1"/>
      <c r="AL198" s="117">
        <v>31</v>
      </c>
      <c r="AM198" s="1"/>
      <c r="AN198" s="1"/>
      <c r="AO198" s="1"/>
      <c r="AP198" s="1"/>
      <c r="AQ198" s="1"/>
      <c r="AR198" s="3">
        <f>SUM(D198:AQ198)</f>
        <v>1233</v>
      </c>
      <c r="AS198" s="11"/>
      <c r="AT198" s="1">
        <f>+[1]PassVol!$AU198</f>
        <v>356</v>
      </c>
      <c r="AU198" s="1">
        <f t="shared" si="481"/>
        <v>877</v>
      </c>
      <c r="AV198" s="1">
        <f t="shared" ref="AV198:AV215" si="484">SUM(D198:G198)</f>
        <v>0</v>
      </c>
      <c r="AW198" s="1">
        <f t="shared" ref="AW198:AW215" si="485">SUM(H198:K198)</f>
        <v>44</v>
      </c>
      <c r="AX198" s="1">
        <f t="shared" ref="AX198:AX215" si="486">SUM(L198:P198)</f>
        <v>294</v>
      </c>
      <c r="AY198" s="1">
        <f t="shared" ref="AY198:AY215" si="487">SUM(Q198:T198)</f>
        <v>388</v>
      </c>
      <c r="AZ198" s="1">
        <f t="shared" ref="AZ198:AZ215" si="488">SUM(U198:X198)</f>
        <v>272</v>
      </c>
      <c r="BA198" s="1">
        <f t="shared" ref="BA198:BA215" si="489">SUM(Y198:AC198)</f>
        <v>164</v>
      </c>
      <c r="BB198" s="1">
        <f t="shared" ref="BB198:BB215" si="490">SUM(AD198:AG198)</f>
        <v>28</v>
      </c>
      <c r="BC198" s="1">
        <f t="shared" ref="BC198:BC215" si="491">SUM(AH198:AK198)</f>
        <v>12</v>
      </c>
      <c r="BD198" s="1">
        <f t="shared" ref="BD198:BD215" si="492">SUM(AL198:AP198)</f>
        <v>31</v>
      </c>
      <c r="BE198" s="1">
        <f t="shared" ref="BE198:BE215" si="493">+AQ198</f>
        <v>0</v>
      </c>
      <c r="BG198" s="1">
        <f t="shared" si="482"/>
        <v>0</v>
      </c>
      <c r="BH198" s="1">
        <f t="shared" si="482"/>
        <v>792</v>
      </c>
      <c r="BI198" s="1">
        <f t="shared" si="482"/>
        <v>5292</v>
      </c>
      <c r="BJ198" s="1">
        <f t="shared" si="482"/>
        <v>6984</v>
      </c>
      <c r="BK198" s="1">
        <f t="shared" si="482"/>
        <v>4896</v>
      </c>
      <c r="BL198" s="1">
        <f t="shared" si="482"/>
        <v>2952</v>
      </c>
      <c r="BM198" s="1">
        <f t="shared" si="482"/>
        <v>504</v>
      </c>
      <c r="BN198" s="1">
        <f t="shared" si="482"/>
        <v>216</v>
      </c>
      <c r="BO198" s="1">
        <f t="shared" si="482"/>
        <v>558</v>
      </c>
      <c r="BP198" s="1">
        <f t="shared" si="482"/>
        <v>0</v>
      </c>
      <c r="BQ198" s="1">
        <f>SUM(BH198:BP198)</f>
        <v>22194</v>
      </c>
    </row>
    <row r="199" spans="2:69" s="10" customFormat="1" ht="15" customHeight="1" x14ac:dyDescent="0.25">
      <c r="B199" s="2"/>
      <c r="C199" t="s">
        <v>347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>
        <v>6</v>
      </c>
      <c r="P199" s="1">
        <v>20</v>
      </c>
      <c r="Q199" s="1">
        <v>8</v>
      </c>
      <c r="R199" s="1">
        <v>25</v>
      </c>
      <c r="S199" s="1">
        <v>14</v>
      </c>
      <c r="T199" s="1">
        <v>38</v>
      </c>
      <c r="U199" s="1">
        <v>32</v>
      </c>
      <c r="V199" s="1">
        <v>61</v>
      </c>
      <c r="W199" s="1">
        <v>71</v>
      </c>
      <c r="X199" s="1">
        <v>59</v>
      </c>
      <c r="Y199" s="1">
        <v>1</v>
      </c>
      <c r="Z199" s="1">
        <v>20</v>
      </c>
      <c r="AA199" s="1">
        <v>5</v>
      </c>
      <c r="AB199" s="1">
        <v>6</v>
      </c>
      <c r="AC199" s="1"/>
      <c r="AD199" s="1">
        <v>2</v>
      </c>
      <c r="AE199" s="1"/>
      <c r="AF199" s="1">
        <v>6</v>
      </c>
      <c r="AG199" s="1">
        <v>21</v>
      </c>
      <c r="AH199" s="117"/>
      <c r="AI199" s="1"/>
      <c r="AJ199" s="1">
        <v>6</v>
      </c>
      <c r="AK199" s="1">
        <v>14</v>
      </c>
      <c r="AL199" s="117"/>
      <c r="AM199" s="1"/>
      <c r="AN199" s="1"/>
      <c r="AO199" s="1"/>
      <c r="AP199" s="1"/>
      <c r="AQ199" s="1"/>
      <c r="AR199" s="3">
        <f t="shared" ref="AR199:AR215" si="494">SUM(D199:AQ199)</f>
        <v>415</v>
      </c>
      <c r="AS199" s="11"/>
      <c r="AT199" s="1">
        <f>+[1]PassVol!$AU199</f>
        <v>57</v>
      </c>
      <c r="AU199" s="1">
        <f t="shared" si="481"/>
        <v>358</v>
      </c>
      <c r="AV199" s="1">
        <f t="shared" si="484"/>
        <v>0</v>
      </c>
      <c r="AW199" s="1">
        <f t="shared" si="485"/>
        <v>0</v>
      </c>
      <c r="AX199" s="1">
        <f t="shared" si="486"/>
        <v>26</v>
      </c>
      <c r="AY199" s="1">
        <f t="shared" si="487"/>
        <v>85</v>
      </c>
      <c r="AZ199" s="1">
        <f t="shared" si="488"/>
        <v>223</v>
      </c>
      <c r="BA199" s="1">
        <f t="shared" si="489"/>
        <v>32</v>
      </c>
      <c r="BB199" s="1">
        <f t="shared" si="490"/>
        <v>29</v>
      </c>
      <c r="BC199" s="1">
        <f t="shared" si="491"/>
        <v>20</v>
      </c>
      <c r="BD199" s="1">
        <f t="shared" si="492"/>
        <v>0</v>
      </c>
      <c r="BE199" s="1">
        <f t="shared" si="493"/>
        <v>0</v>
      </c>
      <c r="BG199" s="1">
        <f t="shared" ref="BG199:BH215" si="495">+AV199*18</f>
        <v>0</v>
      </c>
      <c r="BH199" s="1">
        <f t="shared" si="495"/>
        <v>0</v>
      </c>
      <c r="BI199" s="1">
        <f t="shared" ref="BI199:BI215" si="496">+AX199*18</f>
        <v>468</v>
      </c>
      <c r="BJ199" s="1">
        <f t="shared" ref="BJ199:BJ215" si="497">+AY199*18</f>
        <v>1530</v>
      </c>
      <c r="BK199" s="1">
        <f t="shared" ref="BK199:BK215" si="498">+AZ199*18</f>
        <v>4014</v>
      </c>
      <c r="BL199" s="1">
        <f t="shared" ref="BL199:BL215" si="499">+BA199*18</f>
        <v>576</v>
      </c>
      <c r="BM199" s="1">
        <f t="shared" ref="BM199:BM215" si="500">+BB199*18</f>
        <v>522</v>
      </c>
      <c r="BN199" s="1">
        <f t="shared" ref="BN199:BN215" si="501">+BC199*18</f>
        <v>360</v>
      </c>
      <c r="BO199" s="1">
        <f t="shared" ref="BO199:BO215" si="502">+BD199*18</f>
        <v>0</v>
      </c>
      <c r="BP199" s="1">
        <f t="shared" ref="BP199:BP215" si="503">+BE199*18</f>
        <v>0</v>
      </c>
      <c r="BQ199" s="1">
        <f t="shared" si="483"/>
        <v>7470</v>
      </c>
    </row>
    <row r="200" spans="2:69" s="10" customFormat="1" ht="15" customHeight="1" x14ac:dyDescent="0.25">
      <c r="B200" s="2"/>
      <c r="C200" t="s">
        <v>0</v>
      </c>
      <c r="D200" s="1"/>
      <c r="E200" s="1"/>
      <c r="F200" s="1"/>
      <c r="G200" s="1">
        <v>2364</v>
      </c>
      <c r="H200" s="1"/>
      <c r="I200" s="1"/>
      <c r="J200" s="1">
        <v>667</v>
      </c>
      <c r="K200" s="1">
        <v>726</v>
      </c>
      <c r="L200" s="1">
        <v>25</v>
      </c>
      <c r="M200" s="1">
        <v>773</v>
      </c>
      <c r="N200" s="1">
        <v>929</v>
      </c>
      <c r="O200" s="1">
        <v>512</v>
      </c>
      <c r="P200" s="1">
        <v>292</v>
      </c>
      <c r="Q200" s="1">
        <v>658</v>
      </c>
      <c r="R200" s="1">
        <v>659</v>
      </c>
      <c r="S200" s="1">
        <v>845</v>
      </c>
      <c r="T200" s="1">
        <v>659</v>
      </c>
      <c r="U200" s="1">
        <v>1339</v>
      </c>
      <c r="V200" s="1">
        <v>680</v>
      </c>
      <c r="W200" s="1">
        <v>784</v>
      </c>
      <c r="X200" s="1">
        <v>812</v>
      </c>
      <c r="Y200" s="1">
        <v>743</v>
      </c>
      <c r="Z200" s="1">
        <v>501</v>
      </c>
      <c r="AA200" s="1">
        <v>616</v>
      </c>
      <c r="AB200" s="1">
        <v>629</v>
      </c>
      <c r="AC200" s="1">
        <v>257</v>
      </c>
      <c r="AD200" s="1">
        <v>638</v>
      </c>
      <c r="AE200" s="1">
        <v>40</v>
      </c>
      <c r="AF200" s="1">
        <v>52</v>
      </c>
      <c r="AG200" s="1">
        <v>113</v>
      </c>
      <c r="AH200" s="117">
        <v>38</v>
      </c>
      <c r="AI200" s="1">
        <v>259</v>
      </c>
      <c r="AJ200" s="1">
        <v>158</v>
      </c>
      <c r="AK200" s="1">
        <v>413</v>
      </c>
      <c r="AL200" s="117">
        <v>33</v>
      </c>
      <c r="AM200" s="1">
        <v>54</v>
      </c>
      <c r="AN200" s="1">
        <v>105</v>
      </c>
      <c r="AO200" s="1"/>
      <c r="AP200" s="1"/>
      <c r="AQ200" s="1"/>
      <c r="AR200" s="3">
        <f t="shared" si="494"/>
        <v>17373</v>
      </c>
      <c r="AS200" s="11"/>
      <c r="AT200" s="1">
        <f>+[1]PassVol!$AU200</f>
        <v>14522</v>
      </c>
      <c r="AU200" s="1">
        <f t="shared" si="481"/>
        <v>2851</v>
      </c>
      <c r="AV200" s="1">
        <f t="shared" si="484"/>
        <v>2364</v>
      </c>
      <c r="AW200" s="1">
        <f t="shared" si="485"/>
        <v>1393</v>
      </c>
      <c r="AX200" s="1">
        <f t="shared" si="486"/>
        <v>2531</v>
      </c>
      <c r="AY200" s="1">
        <f t="shared" si="487"/>
        <v>2821</v>
      </c>
      <c r="AZ200" s="1">
        <f t="shared" si="488"/>
        <v>3615</v>
      </c>
      <c r="BA200" s="1">
        <f t="shared" si="489"/>
        <v>2746</v>
      </c>
      <c r="BB200" s="1">
        <f t="shared" si="490"/>
        <v>843</v>
      </c>
      <c r="BC200" s="1">
        <f t="shared" si="491"/>
        <v>868</v>
      </c>
      <c r="BD200" s="1">
        <f t="shared" si="492"/>
        <v>192</v>
      </c>
      <c r="BE200" s="1">
        <f t="shared" si="493"/>
        <v>0</v>
      </c>
      <c r="BG200" s="1">
        <f t="shared" si="495"/>
        <v>42552</v>
      </c>
      <c r="BH200" s="1">
        <f t="shared" si="495"/>
        <v>25074</v>
      </c>
      <c r="BI200" s="1">
        <f t="shared" si="496"/>
        <v>45558</v>
      </c>
      <c r="BJ200" s="1">
        <f t="shared" si="497"/>
        <v>50778</v>
      </c>
      <c r="BK200" s="1">
        <f t="shared" si="498"/>
        <v>65070</v>
      </c>
      <c r="BL200" s="1">
        <f t="shared" si="499"/>
        <v>49428</v>
      </c>
      <c r="BM200" s="1">
        <f t="shared" si="500"/>
        <v>15174</v>
      </c>
      <c r="BN200" s="1">
        <f t="shared" si="501"/>
        <v>15624</v>
      </c>
      <c r="BO200" s="1">
        <f t="shared" si="502"/>
        <v>3456</v>
      </c>
      <c r="BP200" s="1">
        <f t="shared" si="503"/>
        <v>0</v>
      </c>
      <c r="BQ200" s="1">
        <f t="shared" si="483"/>
        <v>270162</v>
      </c>
    </row>
    <row r="201" spans="2:69" s="10" customFormat="1" ht="15" customHeight="1" x14ac:dyDescent="0.25">
      <c r="B201" s="2"/>
      <c r="C201" t="s">
        <v>354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>
        <v>7</v>
      </c>
      <c r="O201" s="1">
        <v>8</v>
      </c>
      <c r="P201" s="1">
        <v>11</v>
      </c>
      <c r="Q201" s="1">
        <v>3</v>
      </c>
      <c r="R201" s="1">
        <v>4</v>
      </c>
      <c r="S201" s="1">
        <v>6</v>
      </c>
      <c r="T201" s="1">
        <v>10</v>
      </c>
      <c r="U201" s="1"/>
      <c r="V201" s="1">
        <v>1</v>
      </c>
      <c r="W201" s="1">
        <v>1</v>
      </c>
      <c r="X201" s="1">
        <v>4</v>
      </c>
      <c r="Y201" s="1">
        <v>5</v>
      </c>
      <c r="Z201" s="1">
        <v>4</v>
      </c>
      <c r="AA201" s="1">
        <v>13</v>
      </c>
      <c r="AB201" s="1"/>
      <c r="AC201" s="1"/>
      <c r="AD201" s="1"/>
      <c r="AE201" s="1"/>
      <c r="AF201" s="1"/>
      <c r="AG201" s="1"/>
      <c r="AH201" s="117"/>
      <c r="AI201" s="1"/>
      <c r="AJ201" s="1"/>
      <c r="AK201" s="1"/>
      <c r="AL201" s="117"/>
      <c r="AM201" s="1"/>
      <c r="AN201" s="1"/>
      <c r="AO201" s="1"/>
      <c r="AP201" s="1"/>
      <c r="AQ201" s="1"/>
      <c r="AR201" s="3">
        <f t="shared" si="494"/>
        <v>77</v>
      </c>
      <c r="AS201" s="11"/>
      <c r="AT201" s="1">
        <f>+[1]PassVol!$AU201</f>
        <v>61</v>
      </c>
      <c r="AU201" s="1">
        <f t="shared" si="481"/>
        <v>16</v>
      </c>
      <c r="AV201" s="1">
        <f t="shared" si="484"/>
        <v>0</v>
      </c>
      <c r="AW201" s="1">
        <f t="shared" si="485"/>
        <v>0</v>
      </c>
      <c r="AX201" s="1">
        <f t="shared" si="486"/>
        <v>26</v>
      </c>
      <c r="AY201" s="1">
        <f t="shared" si="487"/>
        <v>23</v>
      </c>
      <c r="AZ201" s="1">
        <f t="shared" si="488"/>
        <v>6</v>
      </c>
      <c r="BA201" s="1">
        <f t="shared" si="489"/>
        <v>22</v>
      </c>
      <c r="BB201" s="1">
        <f t="shared" si="490"/>
        <v>0</v>
      </c>
      <c r="BC201" s="1">
        <f t="shared" si="491"/>
        <v>0</v>
      </c>
      <c r="BD201" s="1">
        <f t="shared" si="492"/>
        <v>0</v>
      </c>
      <c r="BE201" s="1">
        <f t="shared" si="493"/>
        <v>0</v>
      </c>
      <c r="BG201" s="1">
        <f t="shared" si="495"/>
        <v>0</v>
      </c>
      <c r="BH201" s="1">
        <f t="shared" si="495"/>
        <v>0</v>
      </c>
      <c r="BI201" s="1">
        <f t="shared" si="496"/>
        <v>468</v>
      </c>
      <c r="BJ201" s="1">
        <f t="shared" si="497"/>
        <v>414</v>
      </c>
      <c r="BK201" s="1">
        <f t="shared" si="498"/>
        <v>108</v>
      </c>
      <c r="BL201" s="1">
        <f t="shared" si="499"/>
        <v>396</v>
      </c>
      <c r="BM201" s="1">
        <f t="shared" si="500"/>
        <v>0</v>
      </c>
      <c r="BN201" s="1">
        <f t="shared" si="501"/>
        <v>0</v>
      </c>
      <c r="BO201" s="1">
        <f t="shared" si="502"/>
        <v>0</v>
      </c>
      <c r="BP201" s="1">
        <f t="shared" si="503"/>
        <v>0</v>
      </c>
      <c r="BQ201" s="1">
        <f t="shared" si="483"/>
        <v>1386</v>
      </c>
    </row>
    <row r="202" spans="2:69" s="10" customFormat="1" ht="15" customHeight="1" x14ac:dyDescent="0.25">
      <c r="B202" s="2"/>
      <c r="C202" t="s">
        <v>265</v>
      </c>
      <c r="D202" s="1"/>
      <c r="E202" s="1"/>
      <c r="F202" s="1"/>
      <c r="G202" s="1"/>
      <c r="H202" s="1"/>
      <c r="I202" s="1">
        <v>150</v>
      </c>
      <c r="J202" s="1"/>
      <c r="K202" s="1"/>
      <c r="L202" s="1">
        <v>47</v>
      </c>
      <c r="M202" s="1">
        <v>50</v>
      </c>
      <c r="N202" s="1">
        <v>46</v>
      </c>
      <c r="O202" s="1">
        <v>45</v>
      </c>
      <c r="P202" s="1">
        <v>77</v>
      </c>
      <c r="Q202" s="1">
        <v>114</v>
      </c>
      <c r="R202" s="1">
        <v>117</v>
      </c>
      <c r="S202" s="1">
        <v>133</v>
      </c>
      <c r="T202" s="1">
        <v>63</v>
      </c>
      <c r="U202" s="1">
        <v>95</v>
      </c>
      <c r="V202" s="1">
        <v>82</v>
      </c>
      <c r="W202" s="1">
        <v>73</v>
      </c>
      <c r="X202" s="1"/>
      <c r="Y202" s="1">
        <v>6</v>
      </c>
      <c r="Z202" s="1"/>
      <c r="AA202" s="1">
        <v>9</v>
      </c>
      <c r="AB202" s="1"/>
      <c r="AC202" s="1"/>
      <c r="AD202" s="1"/>
      <c r="AE202" s="1"/>
      <c r="AF202" s="1"/>
      <c r="AG202" s="1"/>
      <c r="AH202" s="117"/>
      <c r="AI202" s="1"/>
      <c r="AJ202" s="1"/>
      <c r="AK202" s="1"/>
      <c r="AL202" s="117"/>
      <c r="AM202" s="1"/>
      <c r="AN202" s="1"/>
      <c r="AO202" s="1"/>
      <c r="AP202" s="1"/>
      <c r="AQ202" s="1"/>
      <c r="AR202" s="3">
        <f t="shared" si="494"/>
        <v>1107</v>
      </c>
      <c r="AS202" s="11"/>
      <c r="AT202" s="1">
        <f>+[1]PassVol!$AU202</f>
        <v>100</v>
      </c>
      <c r="AU202" s="1">
        <f t="shared" si="481"/>
        <v>1007</v>
      </c>
      <c r="AV202" s="1">
        <f t="shared" si="484"/>
        <v>0</v>
      </c>
      <c r="AW202" s="1">
        <f t="shared" si="485"/>
        <v>150</v>
      </c>
      <c r="AX202" s="1">
        <f t="shared" si="486"/>
        <v>265</v>
      </c>
      <c r="AY202" s="1">
        <f t="shared" si="487"/>
        <v>427</v>
      </c>
      <c r="AZ202" s="1">
        <f t="shared" si="488"/>
        <v>250</v>
      </c>
      <c r="BA202" s="1">
        <f t="shared" si="489"/>
        <v>15</v>
      </c>
      <c r="BB202" s="1">
        <f t="shared" si="490"/>
        <v>0</v>
      </c>
      <c r="BC202" s="1">
        <f t="shared" si="491"/>
        <v>0</v>
      </c>
      <c r="BD202" s="1">
        <f t="shared" si="492"/>
        <v>0</v>
      </c>
      <c r="BE202" s="1">
        <f t="shared" si="493"/>
        <v>0</v>
      </c>
      <c r="BG202" s="1">
        <f t="shared" si="495"/>
        <v>0</v>
      </c>
      <c r="BH202" s="1">
        <f t="shared" si="495"/>
        <v>2700</v>
      </c>
      <c r="BI202" s="1">
        <f t="shared" si="496"/>
        <v>4770</v>
      </c>
      <c r="BJ202" s="1">
        <f t="shared" si="497"/>
        <v>7686</v>
      </c>
      <c r="BK202" s="1">
        <f t="shared" si="498"/>
        <v>4500</v>
      </c>
      <c r="BL202" s="1">
        <f t="shared" si="499"/>
        <v>270</v>
      </c>
      <c r="BM202" s="1">
        <f t="shared" si="500"/>
        <v>0</v>
      </c>
      <c r="BN202" s="1">
        <f t="shared" si="501"/>
        <v>0</v>
      </c>
      <c r="BO202" s="1">
        <f t="shared" si="502"/>
        <v>0</v>
      </c>
      <c r="BP202" s="1">
        <f t="shared" si="503"/>
        <v>0</v>
      </c>
      <c r="BQ202" s="1">
        <f t="shared" si="483"/>
        <v>19926</v>
      </c>
    </row>
    <row r="203" spans="2:69" s="10" customFormat="1" ht="15" customHeight="1" x14ac:dyDescent="0.25">
      <c r="B203" s="2"/>
      <c r="C203" t="s">
        <v>191</v>
      </c>
      <c r="D203" s="1"/>
      <c r="E203" s="1"/>
      <c r="F203" s="1"/>
      <c r="G203" s="1"/>
      <c r="H203" s="1">
        <v>660</v>
      </c>
      <c r="I203" s="1"/>
      <c r="J203" s="1"/>
      <c r="K203" s="1"/>
      <c r="L203" s="1"/>
      <c r="M203" s="1"/>
      <c r="N203" s="1">
        <v>106</v>
      </c>
      <c r="O203" s="1">
        <v>36</v>
      </c>
      <c r="P203" s="1">
        <v>1</v>
      </c>
      <c r="Q203" s="1">
        <v>101</v>
      </c>
      <c r="R203" s="1"/>
      <c r="S203" s="1"/>
      <c r="T203" s="1"/>
      <c r="U203" s="1"/>
      <c r="V203" s="1"/>
      <c r="W203" s="1"/>
      <c r="X203" s="1"/>
      <c r="Y203" s="1">
        <v>11</v>
      </c>
      <c r="Z203" s="1">
        <v>3</v>
      </c>
      <c r="AA203" s="1"/>
      <c r="AB203" s="1"/>
      <c r="AC203" s="1"/>
      <c r="AD203" s="1"/>
      <c r="AE203" s="1"/>
      <c r="AF203" s="1"/>
      <c r="AG203" s="1"/>
      <c r="AH203" s="117"/>
      <c r="AI203" s="1"/>
      <c r="AJ203" s="1"/>
      <c r="AK203" s="1"/>
      <c r="AL203" s="117"/>
      <c r="AM203" s="1">
        <v>7</v>
      </c>
      <c r="AN203" s="1"/>
      <c r="AO203" s="1"/>
      <c r="AP203" s="1">
        <v>11</v>
      </c>
      <c r="AQ203" s="1"/>
      <c r="AR203" s="3">
        <f t="shared" si="494"/>
        <v>936</v>
      </c>
      <c r="AS203" s="11"/>
      <c r="AT203" s="1">
        <f>+[1]PassVol!$AU203</f>
        <v>3402</v>
      </c>
      <c r="AU203" s="1">
        <f t="shared" si="481"/>
        <v>-2466</v>
      </c>
      <c r="AV203" s="1">
        <f t="shared" si="484"/>
        <v>0</v>
      </c>
      <c r="AW203" s="1">
        <f t="shared" si="485"/>
        <v>660</v>
      </c>
      <c r="AX203" s="1">
        <f t="shared" si="486"/>
        <v>143</v>
      </c>
      <c r="AY203" s="1">
        <f t="shared" si="487"/>
        <v>101</v>
      </c>
      <c r="AZ203" s="1">
        <f t="shared" si="488"/>
        <v>0</v>
      </c>
      <c r="BA203" s="1">
        <f t="shared" si="489"/>
        <v>14</v>
      </c>
      <c r="BB203" s="1">
        <f t="shared" si="490"/>
        <v>0</v>
      </c>
      <c r="BC203" s="1">
        <f t="shared" si="491"/>
        <v>0</v>
      </c>
      <c r="BD203" s="1">
        <f t="shared" si="492"/>
        <v>18</v>
      </c>
      <c r="BE203" s="1">
        <f t="shared" si="493"/>
        <v>0</v>
      </c>
      <c r="BG203" s="1">
        <f t="shared" si="495"/>
        <v>0</v>
      </c>
      <c r="BH203" s="1">
        <f t="shared" si="495"/>
        <v>11880</v>
      </c>
      <c r="BI203" s="1">
        <f t="shared" si="496"/>
        <v>2574</v>
      </c>
      <c r="BJ203" s="1">
        <f t="shared" si="497"/>
        <v>1818</v>
      </c>
      <c r="BK203" s="1">
        <f t="shared" si="498"/>
        <v>0</v>
      </c>
      <c r="BL203" s="1">
        <f t="shared" si="499"/>
        <v>252</v>
      </c>
      <c r="BM203" s="1">
        <f t="shared" si="500"/>
        <v>0</v>
      </c>
      <c r="BN203" s="1">
        <f t="shared" si="501"/>
        <v>0</v>
      </c>
      <c r="BO203" s="1">
        <f t="shared" si="502"/>
        <v>324</v>
      </c>
      <c r="BP203" s="1">
        <f t="shared" si="503"/>
        <v>0</v>
      </c>
      <c r="BQ203" s="1">
        <f t="shared" si="483"/>
        <v>16848</v>
      </c>
    </row>
    <row r="204" spans="2:69" ht="15" customHeight="1" x14ac:dyDescent="0.25">
      <c r="C204" t="s">
        <v>549</v>
      </c>
      <c r="AR204" s="3">
        <f t="shared" si="494"/>
        <v>0</v>
      </c>
      <c r="AT204" s="1">
        <f>+[1]PassVol!$AU204</f>
        <v>0</v>
      </c>
      <c r="AU204" s="1">
        <f t="shared" si="481"/>
        <v>0</v>
      </c>
      <c r="AV204" s="1">
        <f t="shared" si="484"/>
        <v>0</v>
      </c>
      <c r="AW204" s="1">
        <f t="shared" si="485"/>
        <v>0</v>
      </c>
      <c r="AX204" s="1">
        <f t="shared" si="486"/>
        <v>0</v>
      </c>
      <c r="AY204" s="1">
        <f t="shared" si="487"/>
        <v>0</v>
      </c>
      <c r="AZ204" s="1">
        <f t="shared" si="488"/>
        <v>0</v>
      </c>
      <c r="BA204" s="1">
        <f t="shared" si="489"/>
        <v>0</v>
      </c>
      <c r="BB204" s="1">
        <f t="shared" si="490"/>
        <v>0</v>
      </c>
      <c r="BC204" s="1">
        <f t="shared" si="491"/>
        <v>0</v>
      </c>
      <c r="BD204" s="1">
        <f t="shared" si="492"/>
        <v>0</v>
      </c>
      <c r="BE204" s="1">
        <f t="shared" si="493"/>
        <v>0</v>
      </c>
      <c r="BG204" s="1">
        <f t="shared" si="495"/>
        <v>0</v>
      </c>
      <c r="BH204" s="1">
        <f t="shared" si="495"/>
        <v>0</v>
      </c>
      <c r="BI204" s="1">
        <f t="shared" si="496"/>
        <v>0</v>
      </c>
      <c r="BJ204" s="1">
        <f t="shared" si="497"/>
        <v>0</v>
      </c>
      <c r="BK204" s="1">
        <f t="shared" si="498"/>
        <v>0</v>
      </c>
      <c r="BL204" s="1">
        <f t="shared" si="499"/>
        <v>0</v>
      </c>
      <c r="BM204" s="1">
        <f t="shared" si="500"/>
        <v>0</v>
      </c>
      <c r="BN204" s="1">
        <f t="shared" si="501"/>
        <v>0</v>
      </c>
      <c r="BO204" s="1">
        <f t="shared" si="502"/>
        <v>0</v>
      </c>
      <c r="BP204" s="1">
        <f t="shared" si="503"/>
        <v>0</v>
      </c>
      <c r="BQ204" s="1">
        <f t="shared" si="483"/>
        <v>0</v>
      </c>
    </row>
    <row r="205" spans="2:69" ht="15" customHeight="1" x14ac:dyDescent="0.25">
      <c r="C205" t="s">
        <v>550</v>
      </c>
      <c r="O205" s="1">
        <v>13</v>
      </c>
      <c r="Q205" s="1">
        <v>41</v>
      </c>
      <c r="T205" s="1">
        <v>120</v>
      </c>
      <c r="V205" s="1">
        <v>335</v>
      </c>
      <c r="W205" s="1">
        <v>99</v>
      </c>
      <c r="X205" s="1">
        <v>79</v>
      </c>
      <c r="Y205" s="1">
        <v>232</v>
      </c>
      <c r="Z205" s="1">
        <v>36</v>
      </c>
      <c r="AA205" s="1">
        <v>103</v>
      </c>
      <c r="AB205" s="1">
        <v>65</v>
      </c>
      <c r="AC205" s="1">
        <v>34</v>
      </c>
      <c r="AD205" s="1">
        <v>53</v>
      </c>
      <c r="AE205" s="1">
        <v>61</v>
      </c>
      <c r="AF205" s="1">
        <v>18</v>
      </c>
      <c r="AG205" s="1">
        <v>20</v>
      </c>
      <c r="AH205" s="117">
        <v>35</v>
      </c>
      <c r="AI205" s="1">
        <v>27</v>
      </c>
      <c r="AJ205" s="1">
        <v>29</v>
      </c>
      <c r="AK205" s="1">
        <v>23</v>
      </c>
      <c r="AL205" s="117">
        <v>29</v>
      </c>
      <c r="AM205" s="1">
        <v>46</v>
      </c>
      <c r="AN205" s="1">
        <v>29</v>
      </c>
      <c r="AR205" s="3">
        <f t="shared" si="494"/>
        <v>1527</v>
      </c>
      <c r="AT205" s="1">
        <f>+[1]PassVol!$AU205</f>
        <v>0</v>
      </c>
      <c r="AU205" s="1">
        <f t="shared" si="481"/>
        <v>1527</v>
      </c>
      <c r="AV205" s="1">
        <f t="shared" si="484"/>
        <v>0</v>
      </c>
      <c r="AW205" s="1">
        <f t="shared" si="485"/>
        <v>0</v>
      </c>
      <c r="AX205" s="1">
        <f t="shared" si="486"/>
        <v>13</v>
      </c>
      <c r="AY205" s="1">
        <f t="shared" si="487"/>
        <v>161</v>
      </c>
      <c r="AZ205" s="1">
        <f t="shared" si="488"/>
        <v>513</v>
      </c>
      <c r="BA205" s="1">
        <f t="shared" si="489"/>
        <v>470</v>
      </c>
      <c r="BB205" s="1">
        <f t="shared" si="490"/>
        <v>152</v>
      </c>
      <c r="BC205" s="1">
        <f t="shared" si="491"/>
        <v>114</v>
      </c>
      <c r="BD205" s="1">
        <f t="shared" si="492"/>
        <v>104</v>
      </c>
      <c r="BE205" s="1">
        <f t="shared" si="493"/>
        <v>0</v>
      </c>
      <c r="BG205" s="1">
        <f t="shared" si="495"/>
        <v>0</v>
      </c>
      <c r="BH205" s="1">
        <f t="shared" si="495"/>
        <v>0</v>
      </c>
      <c r="BI205" s="1">
        <f t="shared" si="496"/>
        <v>234</v>
      </c>
      <c r="BJ205" s="1">
        <f t="shared" si="497"/>
        <v>2898</v>
      </c>
      <c r="BK205" s="1">
        <f t="shared" si="498"/>
        <v>9234</v>
      </c>
      <c r="BL205" s="1">
        <f t="shared" si="499"/>
        <v>8460</v>
      </c>
      <c r="BM205" s="1">
        <f t="shared" si="500"/>
        <v>2736</v>
      </c>
      <c r="BN205" s="1">
        <f t="shared" si="501"/>
        <v>2052</v>
      </c>
      <c r="BO205" s="1">
        <f t="shared" si="502"/>
        <v>1872</v>
      </c>
      <c r="BP205" s="1">
        <f t="shared" si="503"/>
        <v>0</v>
      </c>
      <c r="BQ205" s="1">
        <f t="shared" si="483"/>
        <v>27486</v>
      </c>
    </row>
    <row r="206" spans="2:69" ht="15" customHeight="1" x14ac:dyDescent="0.25">
      <c r="C206" t="s">
        <v>6</v>
      </c>
      <c r="AR206" s="3">
        <f t="shared" si="494"/>
        <v>0</v>
      </c>
      <c r="AT206" s="1">
        <f>+[1]PassVol!$AU206</f>
        <v>0</v>
      </c>
      <c r="AU206" s="1">
        <f t="shared" si="481"/>
        <v>0</v>
      </c>
      <c r="AV206" s="1">
        <f t="shared" si="484"/>
        <v>0</v>
      </c>
      <c r="AW206" s="1">
        <f t="shared" si="485"/>
        <v>0</v>
      </c>
      <c r="AX206" s="1">
        <f t="shared" si="486"/>
        <v>0</v>
      </c>
      <c r="AY206" s="1">
        <f t="shared" si="487"/>
        <v>0</v>
      </c>
      <c r="AZ206" s="1">
        <f t="shared" si="488"/>
        <v>0</v>
      </c>
      <c r="BA206" s="1">
        <f t="shared" si="489"/>
        <v>0</v>
      </c>
      <c r="BB206" s="1">
        <f t="shared" si="490"/>
        <v>0</v>
      </c>
      <c r="BC206" s="1">
        <f t="shared" si="491"/>
        <v>0</v>
      </c>
      <c r="BD206" s="1">
        <f t="shared" si="492"/>
        <v>0</v>
      </c>
      <c r="BE206" s="1">
        <f t="shared" si="493"/>
        <v>0</v>
      </c>
      <c r="BG206" s="1">
        <f t="shared" si="495"/>
        <v>0</v>
      </c>
      <c r="BH206" s="1">
        <f t="shared" si="495"/>
        <v>0</v>
      </c>
      <c r="BI206" s="1">
        <f t="shared" si="496"/>
        <v>0</v>
      </c>
      <c r="BJ206" s="1">
        <f t="shared" si="497"/>
        <v>0</v>
      </c>
      <c r="BK206" s="1">
        <f t="shared" si="498"/>
        <v>0</v>
      </c>
      <c r="BL206" s="1">
        <f t="shared" si="499"/>
        <v>0</v>
      </c>
      <c r="BM206" s="1">
        <f t="shared" si="500"/>
        <v>0</v>
      </c>
      <c r="BN206" s="1">
        <f t="shared" si="501"/>
        <v>0</v>
      </c>
      <c r="BO206" s="1">
        <f t="shared" si="502"/>
        <v>0</v>
      </c>
      <c r="BP206" s="1">
        <f t="shared" si="503"/>
        <v>0</v>
      </c>
      <c r="BQ206" s="1">
        <f t="shared" si="483"/>
        <v>0</v>
      </c>
    </row>
    <row r="207" spans="2:69" ht="15" customHeight="1" x14ac:dyDescent="0.25">
      <c r="C207" t="s">
        <v>262</v>
      </c>
      <c r="AR207" s="3">
        <f t="shared" si="494"/>
        <v>0</v>
      </c>
      <c r="AT207" s="1">
        <f>+[1]PassVol!$AU207</f>
        <v>0</v>
      </c>
      <c r="AU207" s="1">
        <f t="shared" si="481"/>
        <v>0</v>
      </c>
      <c r="AV207" s="1">
        <f t="shared" si="484"/>
        <v>0</v>
      </c>
      <c r="AW207" s="1">
        <f t="shared" si="485"/>
        <v>0</v>
      </c>
      <c r="AX207" s="1">
        <f t="shared" si="486"/>
        <v>0</v>
      </c>
      <c r="AY207" s="1">
        <f t="shared" si="487"/>
        <v>0</v>
      </c>
      <c r="AZ207" s="1">
        <f t="shared" si="488"/>
        <v>0</v>
      </c>
      <c r="BA207" s="1">
        <f t="shared" si="489"/>
        <v>0</v>
      </c>
      <c r="BB207" s="1">
        <f t="shared" si="490"/>
        <v>0</v>
      </c>
      <c r="BC207" s="1">
        <f t="shared" si="491"/>
        <v>0</v>
      </c>
      <c r="BD207" s="1">
        <f t="shared" si="492"/>
        <v>0</v>
      </c>
      <c r="BE207" s="1">
        <f t="shared" si="493"/>
        <v>0</v>
      </c>
      <c r="BG207" s="1">
        <f t="shared" si="495"/>
        <v>0</v>
      </c>
      <c r="BH207" s="1">
        <f t="shared" si="495"/>
        <v>0</v>
      </c>
      <c r="BI207" s="1">
        <f t="shared" si="496"/>
        <v>0</v>
      </c>
      <c r="BJ207" s="1">
        <f t="shared" si="497"/>
        <v>0</v>
      </c>
      <c r="BK207" s="1">
        <f t="shared" si="498"/>
        <v>0</v>
      </c>
      <c r="BL207" s="1">
        <f t="shared" si="499"/>
        <v>0</v>
      </c>
      <c r="BM207" s="1">
        <f t="shared" si="500"/>
        <v>0</v>
      </c>
      <c r="BN207" s="1">
        <f t="shared" si="501"/>
        <v>0</v>
      </c>
      <c r="BO207" s="1">
        <f t="shared" si="502"/>
        <v>0</v>
      </c>
      <c r="BP207" s="1">
        <f t="shared" si="503"/>
        <v>0</v>
      </c>
      <c r="BQ207" s="1">
        <f t="shared" si="483"/>
        <v>0</v>
      </c>
    </row>
    <row r="208" spans="2:69" ht="15" customHeight="1" x14ac:dyDescent="0.25">
      <c r="C208" t="s">
        <v>42</v>
      </c>
      <c r="K208" s="1">
        <v>5</v>
      </c>
      <c r="L208" s="1">
        <v>254</v>
      </c>
      <c r="N208" s="1">
        <v>28</v>
      </c>
      <c r="O208" s="1">
        <v>10</v>
      </c>
      <c r="P208" s="1">
        <v>6</v>
      </c>
      <c r="Q208" s="1">
        <v>79</v>
      </c>
      <c r="S208" s="1">
        <v>48</v>
      </c>
      <c r="T208" s="1">
        <v>82</v>
      </c>
      <c r="U208" s="1">
        <v>15</v>
      </c>
      <c r="V208" s="1">
        <v>13</v>
      </c>
      <c r="W208" s="1">
        <v>15</v>
      </c>
      <c r="X208" s="1">
        <v>20</v>
      </c>
      <c r="Z208" s="1">
        <v>20</v>
      </c>
      <c r="AC208" s="1">
        <v>4</v>
      </c>
      <c r="AE208" s="1">
        <v>7</v>
      </c>
      <c r="AI208" s="1">
        <v>4</v>
      </c>
      <c r="AJ208" s="1">
        <v>21</v>
      </c>
      <c r="AR208" s="3">
        <f t="shared" si="494"/>
        <v>631</v>
      </c>
      <c r="AT208" s="1">
        <f>+[1]PassVol!$AU208</f>
        <v>1171</v>
      </c>
      <c r="AU208" s="1">
        <f t="shared" si="481"/>
        <v>-540</v>
      </c>
      <c r="AV208" s="1">
        <f t="shared" si="484"/>
        <v>0</v>
      </c>
      <c r="AW208" s="1">
        <f t="shared" si="485"/>
        <v>5</v>
      </c>
      <c r="AX208" s="1">
        <f t="shared" si="486"/>
        <v>298</v>
      </c>
      <c r="AY208" s="1">
        <f t="shared" si="487"/>
        <v>209</v>
      </c>
      <c r="AZ208" s="1">
        <f t="shared" si="488"/>
        <v>63</v>
      </c>
      <c r="BA208" s="1">
        <f t="shared" si="489"/>
        <v>24</v>
      </c>
      <c r="BB208" s="1">
        <f t="shared" si="490"/>
        <v>7</v>
      </c>
      <c r="BC208" s="1">
        <f t="shared" si="491"/>
        <v>25</v>
      </c>
      <c r="BD208" s="1">
        <f t="shared" si="492"/>
        <v>0</v>
      </c>
      <c r="BE208" s="1">
        <f t="shared" si="493"/>
        <v>0</v>
      </c>
      <c r="BG208" s="1">
        <f t="shared" si="495"/>
        <v>0</v>
      </c>
      <c r="BH208" s="1">
        <f t="shared" si="495"/>
        <v>90</v>
      </c>
      <c r="BI208" s="1">
        <f t="shared" si="496"/>
        <v>5364</v>
      </c>
      <c r="BJ208" s="1">
        <f t="shared" si="497"/>
        <v>3762</v>
      </c>
      <c r="BK208" s="1">
        <f t="shared" si="498"/>
        <v>1134</v>
      </c>
      <c r="BL208" s="1">
        <f t="shared" si="499"/>
        <v>432</v>
      </c>
      <c r="BM208" s="1">
        <f t="shared" si="500"/>
        <v>126</v>
      </c>
      <c r="BN208" s="1">
        <f t="shared" si="501"/>
        <v>450</v>
      </c>
      <c r="BO208" s="1">
        <f t="shared" si="502"/>
        <v>0</v>
      </c>
      <c r="BP208" s="1">
        <f t="shared" si="503"/>
        <v>0</v>
      </c>
      <c r="BQ208" s="1">
        <f t="shared" si="483"/>
        <v>11358</v>
      </c>
    </row>
    <row r="209" spans="2:69" ht="15" customHeight="1" x14ac:dyDescent="0.25">
      <c r="C209" t="s">
        <v>192</v>
      </c>
      <c r="G209" s="1">
        <v>20</v>
      </c>
      <c r="I209" s="1">
        <v>9</v>
      </c>
      <c r="J209" s="1">
        <v>30</v>
      </c>
      <c r="K209" s="1">
        <v>876</v>
      </c>
      <c r="N209" s="1">
        <v>10</v>
      </c>
      <c r="O209" s="1">
        <v>41</v>
      </c>
      <c r="P209" s="1">
        <v>30</v>
      </c>
      <c r="Q209" s="1">
        <v>68</v>
      </c>
      <c r="R209" s="1">
        <v>32</v>
      </c>
      <c r="S209" s="1">
        <v>90</v>
      </c>
      <c r="T209" s="1">
        <v>82</v>
      </c>
      <c r="U209" s="1">
        <v>126</v>
      </c>
      <c r="V209" s="1">
        <v>14</v>
      </c>
      <c r="W209" s="1">
        <v>117</v>
      </c>
      <c r="X209" s="1">
        <v>128</v>
      </c>
      <c r="Y209" s="1">
        <v>48</v>
      </c>
      <c r="Z209" s="1">
        <v>14</v>
      </c>
      <c r="AA209" s="1">
        <v>50</v>
      </c>
      <c r="AB209" s="1">
        <v>43</v>
      </c>
      <c r="AC209" s="1">
        <v>8</v>
      </c>
      <c r="AD209" s="1">
        <v>14</v>
      </c>
      <c r="AH209" s="117">
        <v>16</v>
      </c>
      <c r="AI209" s="1">
        <v>16</v>
      </c>
      <c r="AJ209" s="1">
        <v>55</v>
      </c>
      <c r="AR209" s="3">
        <f t="shared" si="494"/>
        <v>1937</v>
      </c>
      <c r="AT209" s="1">
        <f>+[1]PassVol!$AU209</f>
        <v>697</v>
      </c>
      <c r="AU209" s="1">
        <f t="shared" si="481"/>
        <v>1240</v>
      </c>
      <c r="AV209" s="1">
        <f t="shared" si="484"/>
        <v>20</v>
      </c>
      <c r="AW209" s="1">
        <f t="shared" si="485"/>
        <v>915</v>
      </c>
      <c r="AX209" s="1">
        <f t="shared" si="486"/>
        <v>81</v>
      </c>
      <c r="AY209" s="1">
        <f t="shared" si="487"/>
        <v>272</v>
      </c>
      <c r="AZ209" s="1">
        <f t="shared" si="488"/>
        <v>385</v>
      </c>
      <c r="BA209" s="1">
        <f t="shared" si="489"/>
        <v>163</v>
      </c>
      <c r="BB209" s="1">
        <f t="shared" si="490"/>
        <v>14</v>
      </c>
      <c r="BC209" s="1">
        <f t="shared" si="491"/>
        <v>87</v>
      </c>
      <c r="BD209" s="1">
        <f t="shared" si="492"/>
        <v>0</v>
      </c>
      <c r="BE209" s="1">
        <f t="shared" si="493"/>
        <v>0</v>
      </c>
      <c r="BG209" s="1">
        <f t="shared" si="495"/>
        <v>360</v>
      </c>
      <c r="BH209" s="1">
        <f t="shared" si="495"/>
        <v>16470</v>
      </c>
      <c r="BI209" s="1">
        <f t="shared" si="496"/>
        <v>1458</v>
      </c>
      <c r="BJ209" s="1">
        <f t="shared" si="497"/>
        <v>4896</v>
      </c>
      <c r="BK209" s="1">
        <f t="shared" si="498"/>
        <v>6930</v>
      </c>
      <c r="BL209" s="1">
        <f t="shared" si="499"/>
        <v>2934</v>
      </c>
      <c r="BM209" s="1">
        <f t="shared" si="500"/>
        <v>252</v>
      </c>
      <c r="BN209" s="1">
        <f t="shared" si="501"/>
        <v>1566</v>
      </c>
      <c r="BO209" s="1">
        <f t="shared" si="502"/>
        <v>0</v>
      </c>
      <c r="BP209" s="1">
        <f t="shared" si="503"/>
        <v>0</v>
      </c>
      <c r="BQ209" s="1">
        <f t="shared" si="483"/>
        <v>34506</v>
      </c>
    </row>
    <row r="210" spans="2:69" ht="15" customHeight="1" x14ac:dyDescent="0.25">
      <c r="C210" t="s">
        <v>133</v>
      </c>
      <c r="Q210" s="1">
        <v>3</v>
      </c>
      <c r="R210" s="1">
        <v>1</v>
      </c>
      <c r="S210" s="1">
        <v>4</v>
      </c>
      <c r="T210" s="1">
        <v>3</v>
      </c>
      <c r="U210" s="1">
        <v>1</v>
      </c>
      <c r="V210" s="1">
        <v>1</v>
      </c>
      <c r="Z210" s="1">
        <v>14</v>
      </c>
      <c r="AA210" s="1">
        <v>2</v>
      </c>
      <c r="AD210" s="1">
        <v>3</v>
      </c>
      <c r="AF210" s="1">
        <v>6</v>
      </c>
      <c r="AG210" s="1">
        <v>8</v>
      </c>
      <c r="AR210" s="3">
        <f t="shared" si="494"/>
        <v>46</v>
      </c>
      <c r="AT210" s="1">
        <f>+[1]PassVol!$AU210</f>
        <v>144</v>
      </c>
      <c r="AU210" s="1">
        <f t="shared" si="481"/>
        <v>-98</v>
      </c>
      <c r="AV210" s="1">
        <f t="shared" si="484"/>
        <v>0</v>
      </c>
      <c r="AW210" s="1">
        <f t="shared" si="485"/>
        <v>0</v>
      </c>
      <c r="AX210" s="1">
        <f t="shared" si="486"/>
        <v>0</v>
      </c>
      <c r="AY210" s="1">
        <f t="shared" si="487"/>
        <v>11</v>
      </c>
      <c r="AZ210" s="1">
        <f t="shared" si="488"/>
        <v>2</v>
      </c>
      <c r="BA210" s="1">
        <f t="shared" si="489"/>
        <v>16</v>
      </c>
      <c r="BB210" s="1">
        <f t="shared" si="490"/>
        <v>17</v>
      </c>
      <c r="BC210" s="1">
        <f t="shared" si="491"/>
        <v>0</v>
      </c>
      <c r="BD210" s="1">
        <f t="shared" si="492"/>
        <v>0</v>
      </c>
      <c r="BE210" s="1">
        <f t="shared" si="493"/>
        <v>0</v>
      </c>
      <c r="BG210" s="1">
        <f t="shared" si="495"/>
        <v>0</v>
      </c>
      <c r="BH210" s="1">
        <f t="shared" si="495"/>
        <v>0</v>
      </c>
      <c r="BI210" s="1">
        <f t="shared" si="496"/>
        <v>0</v>
      </c>
      <c r="BJ210" s="1">
        <f t="shared" si="497"/>
        <v>198</v>
      </c>
      <c r="BK210" s="1">
        <f t="shared" si="498"/>
        <v>36</v>
      </c>
      <c r="BL210" s="1">
        <f t="shared" si="499"/>
        <v>288</v>
      </c>
      <c r="BM210" s="1">
        <f t="shared" si="500"/>
        <v>306</v>
      </c>
      <c r="BN210" s="1">
        <f t="shared" si="501"/>
        <v>0</v>
      </c>
      <c r="BO210" s="1">
        <f t="shared" si="502"/>
        <v>0</v>
      </c>
      <c r="BP210" s="1">
        <f t="shared" si="503"/>
        <v>0</v>
      </c>
      <c r="BQ210" s="1">
        <f t="shared" si="483"/>
        <v>828</v>
      </c>
    </row>
    <row r="211" spans="2:69" ht="15" customHeight="1" x14ac:dyDescent="0.25">
      <c r="C211" t="s">
        <v>41</v>
      </c>
      <c r="H211" s="1">
        <v>305</v>
      </c>
      <c r="K211" s="1">
        <v>6</v>
      </c>
      <c r="L211" s="1">
        <v>336</v>
      </c>
      <c r="M211" s="1">
        <v>104</v>
      </c>
      <c r="N211" s="1">
        <v>361</v>
      </c>
      <c r="O211" s="1">
        <v>40</v>
      </c>
      <c r="P211" s="1">
        <v>444</v>
      </c>
      <c r="Q211" s="1">
        <v>29</v>
      </c>
      <c r="R211" s="1">
        <v>367</v>
      </c>
      <c r="S211" s="1">
        <v>189</v>
      </c>
      <c r="T211" s="1">
        <v>326</v>
      </c>
      <c r="U211" s="1">
        <v>330</v>
      </c>
      <c r="V211" s="1">
        <v>364</v>
      </c>
      <c r="W211" s="1">
        <v>86</v>
      </c>
      <c r="X211" s="1">
        <v>404</v>
      </c>
      <c r="Y211" s="1">
        <v>529</v>
      </c>
      <c r="Z211" s="1">
        <v>44</v>
      </c>
      <c r="AA211" s="1">
        <v>25</v>
      </c>
      <c r="AB211" s="1">
        <v>30</v>
      </c>
      <c r="AC211" s="1">
        <v>22</v>
      </c>
      <c r="AD211" s="1">
        <v>39</v>
      </c>
      <c r="AE211" s="1">
        <v>40</v>
      </c>
      <c r="AF211" s="1">
        <v>108</v>
      </c>
      <c r="AG211" s="1">
        <v>76</v>
      </c>
      <c r="AH211" s="117">
        <v>24</v>
      </c>
      <c r="AI211" s="1">
        <v>61</v>
      </c>
      <c r="AJ211" s="1">
        <v>122</v>
      </c>
      <c r="AK211" s="1">
        <v>62</v>
      </c>
      <c r="AL211" s="117">
        <v>29</v>
      </c>
      <c r="AM211" s="1">
        <v>38</v>
      </c>
      <c r="AN211" s="1">
        <v>6</v>
      </c>
      <c r="AO211" s="1">
        <v>45</v>
      </c>
      <c r="AR211" s="3">
        <f t="shared" si="494"/>
        <v>4991</v>
      </c>
      <c r="AT211" s="1">
        <f>+[1]PassVol!$AU211</f>
        <v>488</v>
      </c>
      <c r="AU211" s="1">
        <f t="shared" si="481"/>
        <v>4503</v>
      </c>
      <c r="AV211" s="1">
        <f t="shared" si="484"/>
        <v>0</v>
      </c>
      <c r="AW211" s="1">
        <f t="shared" si="485"/>
        <v>311</v>
      </c>
      <c r="AX211" s="1">
        <f t="shared" si="486"/>
        <v>1285</v>
      </c>
      <c r="AY211" s="1">
        <f t="shared" si="487"/>
        <v>911</v>
      </c>
      <c r="AZ211" s="1">
        <f t="shared" si="488"/>
        <v>1184</v>
      </c>
      <c r="BA211" s="1">
        <f t="shared" si="489"/>
        <v>650</v>
      </c>
      <c r="BB211" s="1">
        <f t="shared" si="490"/>
        <v>263</v>
      </c>
      <c r="BC211" s="1">
        <f t="shared" si="491"/>
        <v>269</v>
      </c>
      <c r="BD211" s="1">
        <f t="shared" si="492"/>
        <v>118</v>
      </c>
      <c r="BE211" s="1">
        <f t="shared" si="493"/>
        <v>0</v>
      </c>
      <c r="BG211" s="1">
        <f t="shared" si="495"/>
        <v>0</v>
      </c>
      <c r="BH211" s="1">
        <f t="shared" si="495"/>
        <v>5598</v>
      </c>
      <c r="BI211" s="1">
        <f t="shared" si="496"/>
        <v>23130</v>
      </c>
      <c r="BJ211" s="1">
        <f t="shared" si="497"/>
        <v>16398</v>
      </c>
      <c r="BK211" s="1">
        <f t="shared" si="498"/>
        <v>21312</v>
      </c>
      <c r="BL211" s="1">
        <f t="shared" si="499"/>
        <v>11700</v>
      </c>
      <c r="BM211" s="1">
        <f t="shared" si="500"/>
        <v>4734</v>
      </c>
      <c r="BN211" s="1">
        <f t="shared" si="501"/>
        <v>4842</v>
      </c>
      <c r="BO211" s="1">
        <f t="shared" si="502"/>
        <v>2124</v>
      </c>
      <c r="BP211" s="1">
        <f t="shared" si="503"/>
        <v>0</v>
      </c>
      <c r="BQ211" s="1">
        <f t="shared" si="483"/>
        <v>89838</v>
      </c>
    </row>
    <row r="212" spans="2:69" ht="15" customHeight="1" x14ac:dyDescent="0.25">
      <c r="C212" t="s">
        <v>193</v>
      </c>
      <c r="AR212" s="3">
        <f t="shared" si="494"/>
        <v>0</v>
      </c>
      <c r="AT212" s="1">
        <f>+[1]PassVol!$AU212</f>
        <v>0</v>
      </c>
      <c r="AU212" s="1">
        <f t="shared" si="481"/>
        <v>0</v>
      </c>
      <c r="AV212" s="1">
        <f t="shared" si="484"/>
        <v>0</v>
      </c>
      <c r="AW212" s="1">
        <f t="shared" si="485"/>
        <v>0</v>
      </c>
      <c r="AX212" s="1">
        <f t="shared" si="486"/>
        <v>0</v>
      </c>
      <c r="AY212" s="1">
        <f t="shared" si="487"/>
        <v>0</v>
      </c>
      <c r="AZ212" s="1">
        <f t="shared" si="488"/>
        <v>0</v>
      </c>
      <c r="BA212" s="1">
        <f t="shared" si="489"/>
        <v>0</v>
      </c>
      <c r="BB212" s="1">
        <f t="shared" si="490"/>
        <v>0</v>
      </c>
      <c r="BC212" s="1">
        <f t="shared" si="491"/>
        <v>0</v>
      </c>
      <c r="BD212" s="1">
        <f t="shared" si="492"/>
        <v>0</v>
      </c>
      <c r="BE212" s="1">
        <f t="shared" si="493"/>
        <v>0</v>
      </c>
      <c r="BG212" s="1">
        <f t="shared" si="495"/>
        <v>0</v>
      </c>
      <c r="BH212" s="1">
        <f t="shared" si="495"/>
        <v>0</v>
      </c>
      <c r="BI212" s="1">
        <f t="shared" si="496"/>
        <v>0</v>
      </c>
      <c r="BJ212" s="1">
        <f t="shared" si="497"/>
        <v>0</v>
      </c>
      <c r="BK212" s="1">
        <f t="shared" si="498"/>
        <v>0</v>
      </c>
      <c r="BL212" s="1">
        <f t="shared" si="499"/>
        <v>0</v>
      </c>
      <c r="BM212" s="1">
        <f t="shared" si="500"/>
        <v>0</v>
      </c>
      <c r="BN212" s="1">
        <f t="shared" si="501"/>
        <v>0</v>
      </c>
      <c r="BO212" s="1">
        <f t="shared" si="502"/>
        <v>0</v>
      </c>
      <c r="BP212" s="1">
        <f t="shared" si="503"/>
        <v>0</v>
      </c>
      <c r="BQ212" s="1">
        <f t="shared" si="483"/>
        <v>0</v>
      </c>
    </row>
    <row r="213" spans="2:69" ht="15" customHeight="1" x14ac:dyDescent="0.25">
      <c r="C213" t="s">
        <v>297</v>
      </c>
      <c r="AR213" s="3">
        <f t="shared" si="494"/>
        <v>0</v>
      </c>
      <c r="AT213" s="1">
        <f>+[1]PassVol!$AU213</f>
        <v>0</v>
      </c>
      <c r="AU213" s="1">
        <f t="shared" si="481"/>
        <v>0</v>
      </c>
      <c r="AV213" s="1">
        <f t="shared" si="484"/>
        <v>0</v>
      </c>
      <c r="AW213" s="1">
        <f t="shared" si="485"/>
        <v>0</v>
      </c>
      <c r="AX213" s="1">
        <f t="shared" si="486"/>
        <v>0</v>
      </c>
      <c r="AY213" s="1">
        <f t="shared" si="487"/>
        <v>0</v>
      </c>
      <c r="AZ213" s="1">
        <f t="shared" si="488"/>
        <v>0</v>
      </c>
      <c r="BA213" s="1">
        <f t="shared" si="489"/>
        <v>0</v>
      </c>
      <c r="BB213" s="1">
        <f t="shared" si="490"/>
        <v>0</v>
      </c>
      <c r="BC213" s="1">
        <f t="shared" si="491"/>
        <v>0</v>
      </c>
      <c r="BD213" s="1">
        <f t="shared" si="492"/>
        <v>0</v>
      </c>
      <c r="BE213" s="1">
        <f t="shared" si="493"/>
        <v>0</v>
      </c>
      <c r="BG213" s="1">
        <f t="shared" si="495"/>
        <v>0</v>
      </c>
      <c r="BH213" s="1">
        <f t="shared" si="495"/>
        <v>0</v>
      </c>
      <c r="BI213" s="1">
        <f t="shared" si="496"/>
        <v>0</v>
      </c>
      <c r="BJ213" s="1">
        <f t="shared" si="497"/>
        <v>0</v>
      </c>
      <c r="BK213" s="1">
        <f t="shared" si="498"/>
        <v>0</v>
      </c>
      <c r="BL213" s="1">
        <f t="shared" si="499"/>
        <v>0</v>
      </c>
      <c r="BM213" s="1">
        <f t="shared" si="500"/>
        <v>0</v>
      </c>
      <c r="BN213" s="1">
        <f t="shared" si="501"/>
        <v>0</v>
      </c>
      <c r="BO213" s="1">
        <f t="shared" si="502"/>
        <v>0</v>
      </c>
      <c r="BP213" s="1">
        <f t="shared" si="503"/>
        <v>0</v>
      </c>
      <c r="BQ213" s="1">
        <f t="shared" si="483"/>
        <v>0</v>
      </c>
    </row>
    <row r="214" spans="2:69" ht="15" customHeight="1" x14ac:dyDescent="0.25">
      <c r="C214" t="s">
        <v>296</v>
      </c>
      <c r="G214" s="1">
        <v>30</v>
      </c>
      <c r="L214" s="1">
        <v>14</v>
      </c>
      <c r="M214" s="1">
        <v>3</v>
      </c>
      <c r="N214" s="1">
        <v>22</v>
      </c>
      <c r="O214" s="1">
        <v>9</v>
      </c>
      <c r="P214" s="1">
        <v>23</v>
      </c>
      <c r="Q214" s="1">
        <v>23</v>
      </c>
      <c r="R214" s="1">
        <v>1</v>
      </c>
      <c r="S214" s="1">
        <v>24</v>
      </c>
      <c r="T214" s="1">
        <v>27</v>
      </c>
      <c r="U214" s="1">
        <v>20</v>
      </c>
      <c r="V214" s="1">
        <v>6</v>
      </c>
      <c r="W214" s="1">
        <v>13</v>
      </c>
      <c r="X214" s="1">
        <v>7</v>
      </c>
      <c r="Y214" s="1">
        <v>30</v>
      </c>
      <c r="Z214" s="1">
        <v>3</v>
      </c>
      <c r="AA214" s="1">
        <v>5</v>
      </c>
      <c r="AB214" s="1">
        <v>21</v>
      </c>
      <c r="AC214" s="1">
        <v>4</v>
      </c>
      <c r="AE214" s="1">
        <v>7</v>
      </c>
      <c r="AH214" s="117">
        <v>8</v>
      </c>
      <c r="AJ214" s="1">
        <v>3</v>
      </c>
      <c r="AM214" s="1">
        <v>10</v>
      </c>
      <c r="AR214" s="3">
        <f t="shared" si="494"/>
        <v>313</v>
      </c>
      <c r="AT214" s="1">
        <f>+[1]PassVol!$AU214</f>
        <v>64</v>
      </c>
      <c r="AU214" s="1">
        <f t="shared" si="481"/>
        <v>249</v>
      </c>
      <c r="AV214" s="1">
        <f t="shared" si="484"/>
        <v>30</v>
      </c>
      <c r="AW214" s="1">
        <f t="shared" si="485"/>
        <v>0</v>
      </c>
      <c r="AX214" s="1">
        <f t="shared" si="486"/>
        <v>71</v>
      </c>
      <c r="AY214" s="1">
        <f t="shared" si="487"/>
        <v>75</v>
      </c>
      <c r="AZ214" s="1">
        <f t="shared" si="488"/>
        <v>46</v>
      </c>
      <c r="BA214" s="1">
        <f t="shared" si="489"/>
        <v>63</v>
      </c>
      <c r="BB214" s="1">
        <f t="shared" si="490"/>
        <v>7</v>
      </c>
      <c r="BC214" s="1">
        <f t="shared" si="491"/>
        <v>11</v>
      </c>
      <c r="BD214" s="1">
        <f t="shared" si="492"/>
        <v>10</v>
      </c>
      <c r="BE214" s="1">
        <f t="shared" si="493"/>
        <v>0</v>
      </c>
      <c r="BG214" s="1">
        <f t="shared" si="495"/>
        <v>540</v>
      </c>
      <c r="BH214" s="1">
        <f t="shared" si="495"/>
        <v>0</v>
      </c>
      <c r="BI214" s="1">
        <f t="shared" si="496"/>
        <v>1278</v>
      </c>
      <c r="BJ214" s="1">
        <f t="shared" si="497"/>
        <v>1350</v>
      </c>
      <c r="BK214" s="1">
        <f t="shared" si="498"/>
        <v>828</v>
      </c>
      <c r="BL214" s="1">
        <f t="shared" si="499"/>
        <v>1134</v>
      </c>
      <c r="BM214" s="1">
        <f t="shared" si="500"/>
        <v>126</v>
      </c>
      <c r="BN214" s="1">
        <f t="shared" si="501"/>
        <v>198</v>
      </c>
      <c r="BO214" s="1">
        <f t="shared" si="502"/>
        <v>180</v>
      </c>
      <c r="BP214" s="1">
        <f t="shared" si="503"/>
        <v>0</v>
      </c>
      <c r="BQ214" s="1">
        <f t="shared" si="483"/>
        <v>5094</v>
      </c>
    </row>
    <row r="215" spans="2:69" s="10" customFormat="1" ht="15" customHeight="1" x14ac:dyDescent="0.25">
      <c r="B215" s="2"/>
      <c r="C215" t="s">
        <v>44</v>
      </c>
      <c r="D215" s="1"/>
      <c r="E215" s="1"/>
      <c r="F215" s="1"/>
      <c r="G215" s="1">
        <f>2904-2768</f>
        <v>136</v>
      </c>
      <c r="H215" s="1">
        <f>1491-987</f>
        <v>504</v>
      </c>
      <c r="I215" s="1">
        <f>292-181</f>
        <v>111</v>
      </c>
      <c r="J215" s="1">
        <f>823-703</f>
        <v>120</v>
      </c>
      <c r="K215" s="1">
        <f>1696-1630</f>
        <v>66</v>
      </c>
      <c r="L215" s="1">
        <f>1691-1261</f>
        <v>430</v>
      </c>
      <c r="M215" s="1">
        <f>1370-1002</f>
        <v>368</v>
      </c>
      <c r="N215" s="1">
        <f>2092-1596</f>
        <v>496</v>
      </c>
      <c r="O215" s="1">
        <f>1481-851</f>
        <v>630</v>
      </c>
      <c r="P215" s="1">
        <f>2027-1155+15</f>
        <v>887</v>
      </c>
      <c r="Q215" s="1">
        <f>2348-1402</f>
        <v>946</v>
      </c>
      <c r="R215" s="1">
        <f>2944-1858-4</f>
        <v>1082</v>
      </c>
      <c r="S215" s="1">
        <f>2676-1556</f>
        <v>1120</v>
      </c>
      <c r="T215" s="1">
        <f>2845-1899</f>
        <v>946</v>
      </c>
      <c r="U215" s="1">
        <f>3492-2068</f>
        <v>1424</v>
      </c>
      <c r="V215" s="1">
        <f>2748-1819</f>
        <v>929</v>
      </c>
      <c r="W215" s="1">
        <f>2657-1535</f>
        <v>1122</v>
      </c>
      <c r="X215" s="1">
        <f>2986-2010</f>
        <v>976</v>
      </c>
      <c r="Y215" s="1">
        <f>2300-1714</f>
        <v>586</v>
      </c>
      <c r="Z215" s="1">
        <f>1272-814</f>
        <v>458</v>
      </c>
      <c r="AA215" s="1">
        <f>1380-938</f>
        <v>442</v>
      </c>
      <c r="AB215" s="1">
        <f>1166-898</f>
        <v>268</v>
      </c>
      <c r="AC215" s="1">
        <f>793-427</f>
        <v>366</v>
      </c>
      <c r="AD215" s="1">
        <f>955-800</f>
        <v>155</v>
      </c>
      <c r="AE215" s="1">
        <f>363-239</f>
        <v>124</v>
      </c>
      <c r="AF215" s="1">
        <f>437-272</f>
        <v>165</v>
      </c>
      <c r="AG215" s="1">
        <f>436-302</f>
        <v>134</v>
      </c>
      <c r="AH215" s="117">
        <f>356-292</f>
        <v>64</v>
      </c>
      <c r="AI215" s="1">
        <f>555-482</f>
        <v>73</v>
      </c>
      <c r="AJ215" s="1">
        <f>727-556</f>
        <v>171</v>
      </c>
      <c r="AK215" s="1">
        <f>636-563</f>
        <v>73</v>
      </c>
      <c r="AL215" s="117">
        <f>397-211</f>
        <v>186</v>
      </c>
      <c r="AM215" s="1">
        <f>227-192</f>
        <v>35</v>
      </c>
      <c r="AN215" s="1">
        <f>203-140</f>
        <v>63</v>
      </c>
      <c r="AO215" s="1">
        <f>75-45</f>
        <v>30</v>
      </c>
      <c r="AP215" s="1">
        <f>24-11</f>
        <v>13</v>
      </c>
      <c r="AQ215" s="1"/>
      <c r="AR215" s="3">
        <f t="shared" si="494"/>
        <v>15699</v>
      </c>
      <c r="AS215" s="11"/>
      <c r="AT215" s="1">
        <f>+[1]PassVol!$AU215</f>
        <v>7915</v>
      </c>
      <c r="AU215" s="1">
        <f t="shared" si="481"/>
        <v>7784</v>
      </c>
      <c r="AV215" s="1">
        <f t="shared" si="484"/>
        <v>136</v>
      </c>
      <c r="AW215" s="1">
        <f t="shared" si="485"/>
        <v>801</v>
      </c>
      <c r="AX215" s="1">
        <f t="shared" si="486"/>
        <v>2811</v>
      </c>
      <c r="AY215" s="1">
        <f t="shared" si="487"/>
        <v>4094</v>
      </c>
      <c r="AZ215" s="1">
        <f t="shared" si="488"/>
        <v>4451</v>
      </c>
      <c r="BA215" s="1">
        <f t="shared" si="489"/>
        <v>2120</v>
      </c>
      <c r="BB215" s="1">
        <f t="shared" si="490"/>
        <v>578</v>
      </c>
      <c r="BC215" s="1">
        <f t="shared" si="491"/>
        <v>381</v>
      </c>
      <c r="BD215" s="1">
        <f t="shared" si="492"/>
        <v>327</v>
      </c>
      <c r="BE215" s="1">
        <f t="shared" si="493"/>
        <v>0</v>
      </c>
      <c r="BG215" s="1">
        <f t="shared" si="495"/>
        <v>2448</v>
      </c>
      <c r="BH215" s="1">
        <f t="shared" si="495"/>
        <v>14418</v>
      </c>
      <c r="BI215" s="1">
        <f t="shared" si="496"/>
        <v>50598</v>
      </c>
      <c r="BJ215" s="1">
        <f t="shared" si="497"/>
        <v>73692</v>
      </c>
      <c r="BK215" s="1">
        <f t="shared" si="498"/>
        <v>80118</v>
      </c>
      <c r="BL215" s="1">
        <f t="shared" si="499"/>
        <v>38160</v>
      </c>
      <c r="BM215" s="1">
        <f t="shared" si="500"/>
        <v>10404</v>
      </c>
      <c r="BN215" s="1">
        <f t="shared" si="501"/>
        <v>6858</v>
      </c>
      <c r="BO215" s="1">
        <f t="shared" si="502"/>
        <v>5886</v>
      </c>
      <c r="BP215" s="1">
        <f t="shared" si="503"/>
        <v>0</v>
      </c>
      <c r="BQ215" s="1">
        <f t="shared" si="483"/>
        <v>280134</v>
      </c>
    </row>
    <row r="216" spans="2:69" s="36" customFormat="1" ht="15" customHeight="1" x14ac:dyDescent="0.25">
      <c r="B216" s="2" t="s">
        <v>156</v>
      </c>
      <c r="C216" s="2"/>
      <c r="D216" s="3">
        <f t="shared" ref="D216:AQ216" si="504">SUM(D197:D215)</f>
        <v>0</v>
      </c>
      <c r="E216" s="3">
        <f t="shared" si="504"/>
        <v>0</v>
      </c>
      <c r="F216" s="3">
        <f t="shared" si="504"/>
        <v>0</v>
      </c>
      <c r="G216" s="3">
        <f t="shared" si="504"/>
        <v>2904</v>
      </c>
      <c r="H216" s="3">
        <f t="shared" si="504"/>
        <v>1491</v>
      </c>
      <c r="I216" s="3">
        <f t="shared" si="504"/>
        <v>292</v>
      </c>
      <c r="J216" s="3">
        <f t="shared" si="504"/>
        <v>823</v>
      </c>
      <c r="K216" s="3">
        <f t="shared" si="504"/>
        <v>1696</v>
      </c>
      <c r="L216" s="3">
        <f t="shared" si="504"/>
        <v>1691</v>
      </c>
      <c r="M216" s="3">
        <f t="shared" si="504"/>
        <v>1370</v>
      </c>
      <c r="N216" s="3">
        <f t="shared" si="504"/>
        <v>2092</v>
      </c>
      <c r="O216" s="3">
        <f t="shared" si="504"/>
        <v>1481</v>
      </c>
      <c r="P216" s="3">
        <f>SUM(P197:P215)</f>
        <v>2042</v>
      </c>
      <c r="Q216" s="3">
        <f t="shared" si="504"/>
        <v>2348</v>
      </c>
      <c r="R216" s="3">
        <f t="shared" si="504"/>
        <v>2944</v>
      </c>
      <c r="S216" s="3">
        <f t="shared" si="504"/>
        <v>2676</v>
      </c>
      <c r="T216" s="3">
        <f t="shared" si="504"/>
        <v>2845</v>
      </c>
      <c r="U216" s="3">
        <f t="shared" si="504"/>
        <v>3492</v>
      </c>
      <c r="V216" s="3">
        <f t="shared" si="504"/>
        <v>2748</v>
      </c>
      <c r="W216" s="3">
        <f t="shared" si="504"/>
        <v>2657</v>
      </c>
      <c r="X216" s="3">
        <f t="shared" si="504"/>
        <v>2986</v>
      </c>
      <c r="Y216" s="3">
        <f t="shared" si="504"/>
        <v>2300</v>
      </c>
      <c r="Z216" s="3">
        <f t="shared" si="504"/>
        <v>1272</v>
      </c>
      <c r="AA216" s="3">
        <f t="shared" si="504"/>
        <v>1380</v>
      </c>
      <c r="AB216" s="3">
        <f t="shared" si="504"/>
        <v>1166</v>
      </c>
      <c r="AC216" s="3">
        <f t="shared" si="504"/>
        <v>794</v>
      </c>
      <c r="AD216" s="3">
        <f t="shared" si="504"/>
        <v>955</v>
      </c>
      <c r="AE216" s="3">
        <f t="shared" si="504"/>
        <v>363</v>
      </c>
      <c r="AF216" s="3">
        <f t="shared" si="504"/>
        <v>437</v>
      </c>
      <c r="AG216" s="3">
        <f t="shared" si="504"/>
        <v>436</v>
      </c>
      <c r="AH216" s="150">
        <f t="shared" si="504"/>
        <v>356</v>
      </c>
      <c r="AI216" s="3">
        <f t="shared" si="504"/>
        <v>555</v>
      </c>
      <c r="AJ216" s="3">
        <f t="shared" si="504"/>
        <v>727</v>
      </c>
      <c r="AK216" s="3">
        <f t="shared" si="504"/>
        <v>636</v>
      </c>
      <c r="AL216" s="150">
        <f t="shared" si="504"/>
        <v>397</v>
      </c>
      <c r="AM216" s="3">
        <f t="shared" si="504"/>
        <v>227</v>
      </c>
      <c r="AN216" s="3">
        <f t="shared" si="504"/>
        <v>203</v>
      </c>
      <c r="AO216" s="3">
        <f t="shared" si="504"/>
        <v>75</v>
      </c>
      <c r="AP216" s="3">
        <f t="shared" si="504"/>
        <v>24</v>
      </c>
      <c r="AQ216" s="3">
        <f t="shared" si="504"/>
        <v>0</v>
      </c>
      <c r="AR216" s="3">
        <f t="shared" ref="AR216" si="505">SUM(AR197:AR215)</f>
        <v>50881</v>
      </c>
      <c r="AS216" s="35"/>
      <c r="AT216" s="1">
        <f>SUM(AT197:AT215)</f>
        <v>29254</v>
      </c>
      <c r="AU216" s="1">
        <f>SUM(AU197:AU215)</f>
        <v>21627</v>
      </c>
      <c r="AV216" s="3">
        <f>SUM(AV197:AV215)</f>
        <v>2904</v>
      </c>
      <c r="AW216" s="3">
        <f>SUM(AW197:AW215)</f>
        <v>4302</v>
      </c>
      <c r="AX216" s="3">
        <f t="shared" ref="AX216:BE216" si="506">SUM(AX197:AX215)</f>
        <v>8676</v>
      </c>
      <c r="AY216" s="3">
        <f t="shared" si="506"/>
        <v>10813</v>
      </c>
      <c r="AZ216" s="3">
        <f t="shared" si="506"/>
        <v>11883</v>
      </c>
      <c r="BA216" s="3">
        <f t="shared" si="506"/>
        <v>6912</v>
      </c>
      <c r="BB216" s="3">
        <f t="shared" si="506"/>
        <v>2191</v>
      </c>
      <c r="BC216" s="3">
        <f t="shared" si="506"/>
        <v>2274</v>
      </c>
      <c r="BD216" s="3">
        <f t="shared" si="506"/>
        <v>926</v>
      </c>
      <c r="BE216" s="3">
        <f t="shared" si="506"/>
        <v>0</v>
      </c>
      <c r="BG216" s="3">
        <f t="shared" ref="BG216" si="507">SUM(BG197:BG215)</f>
        <v>52272</v>
      </c>
      <c r="BH216" s="3">
        <f t="shared" ref="BH216:BQ216" si="508">SUM(BH197:BH215)</f>
        <v>77436</v>
      </c>
      <c r="BI216" s="3">
        <f t="shared" si="508"/>
        <v>156168</v>
      </c>
      <c r="BJ216" s="3">
        <f t="shared" si="508"/>
        <v>194634</v>
      </c>
      <c r="BK216" s="3">
        <f t="shared" si="508"/>
        <v>213894</v>
      </c>
      <c r="BL216" s="3">
        <f t="shared" si="508"/>
        <v>124416</v>
      </c>
      <c r="BM216" s="3">
        <f t="shared" si="508"/>
        <v>39438</v>
      </c>
      <c r="BN216" s="3">
        <f t="shared" si="508"/>
        <v>40932</v>
      </c>
      <c r="BO216" s="3">
        <f t="shared" si="508"/>
        <v>16668</v>
      </c>
      <c r="BP216" s="3">
        <f t="shared" si="508"/>
        <v>0</v>
      </c>
      <c r="BQ216" s="3">
        <f t="shared" si="508"/>
        <v>863586</v>
      </c>
    </row>
    <row r="217" spans="2:69" s="10" customFormat="1" ht="15" customHeight="1" x14ac:dyDescent="0.25">
      <c r="C217" s="38" t="s">
        <v>97</v>
      </c>
      <c r="D217" s="11">
        <f>+D216</f>
        <v>0</v>
      </c>
      <c r="E217" s="11">
        <f>+D217+E216</f>
        <v>0</v>
      </c>
      <c r="F217" s="11">
        <f t="shared" ref="F217:AQ217" si="509">+E217+F216</f>
        <v>0</v>
      </c>
      <c r="G217" s="11">
        <f t="shared" si="509"/>
        <v>2904</v>
      </c>
      <c r="H217" s="11">
        <f t="shared" si="509"/>
        <v>4395</v>
      </c>
      <c r="I217" s="11">
        <f t="shared" si="509"/>
        <v>4687</v>
      </c>
      <c r="J217" s="11">
        <f t="shared" si="509"/>
        <v>5510</v>
      </c>
      <c r="K217" s="11">
        <f t="shared" si="509"/>
        <v>7206</v>
      </c>
      <c r="L217" s="11">
        <f t="shared" si="509"/>
        <v>8897</v>
      </c>
      <c r="M217" s="11">
        <f t="shared" si="509"/>
        <v>10267</v>
      </c>
      <c r="N217" s="11">
        <f t="shared" si="509"/>
        <v>12359</v>
      </c>
      <c r="O217" s="11">
        <f t="shared" si="509"/>
        <v>13840</v>
      </c>
      <c r="P217" s="11">
        <f t="shared" si="509"/>
        <v>15882</v>
      </c>
      <c r="Q217" s="11">
        <f t="shared" si="509"/>
        <v>18230</v>
      </c>
      <c r="R217" s="11">
        <f t="shared" si="509"/>
        <v>21174</v>
      </c>
      <c r="S217" s="11">
        <f t="shared" si="509"/>
        <v>23850</v>
      </c>
      <c r="T217" s="11">
        <f t="shared" si="509"/>
        <v>26695</v>
      </c>
      <c r="U217" s="11">
        <f t="shared" si="509"/>
        <v>30187</v>
      </c>
      <c r="V217" s="11">
        <f t="shared" si="509"/>
        <v>32935</v>
      </c>
      <c r="W217" s="11">
        <f t="shared" si="509"/>
        <v>35592</v>
      </c>
      <c r="X217" s="11">
        <f t="shared" si="509"/>
        <v>38578</v>
      </c>
      <c r="Y217" s="11">
        <f t="shared" si="509"/>
        <v>40878</v>
      </c>
      <c r="Z217" s="11">
        <f t="shared" si="509"/>
        <v>42150</v>
      </c>
      <c r="AA217" s="11">
        <f t="shared" si="509"/>
        <v>43530</v>
      </c>
      <c r="AB217" s="11">
        <f t="shared" si="509"/>
        <v>44696</v>
      </c>
      <c r="AC217" s="11">
        <f t="shared" si="509"/>
        <v>45490</v>
      </c>
      <c r="AD217" s="11">
        <f t="shared" si="509"/>
        <v>46445</v>
      </c>
      <c r="AE217" s="11">
        <f t="shared" si="509"/>
        <v>46808</v>
      </c>
      <c r="AF217" s="11">
        <f t="shared" si="509"/>
        <v>47245</v>
      </c>
      <c r="AG217" s="11">
        <f t="shared" si="509"/>
        <v>47681</v>
      </c>
      <c r="AH217" s="147">
        <f t="shared" si="509"/>
        <v>48037</v>
      </c>
      <c r="AI217" s="11">
        <f t="shared" si="509"/>
        <v>48592</v>
      </c>
      <c r="AJ217" s="11">
        <f t="shared" si="509"/>
        <v>49319</v>
      </c>
      <c r="AK217" s="11">
        <f t="shared" si="509"/>
        <v>49955</v>
      </c>
      <c r="AL217" s="147">
        <f t="shared" si="509"/>
        <v>50352</v>
      </c>
      <c r="AM217" s="11">
        <f t="shared" si="509"/>
        <v>50579</v>
      </c>
      <c r="AN217" s="11">
        <f t="shared" si="509"/>
        <v>50782</v>
      </c>
      <c r="AO217" s="11">
        <f t="shared" si="509"/>
        <v>50857</v>
      </c>
      <c r="AP217" s="11">
        <f t="shared" si="509"/>
        <v>50881</v>
      </c>
      <c r="AQ217" s="11">
        <f t="shared" si="509"/>
        <v>50881</v>
      </c>
      <c r="AR217" s="40"/>
      <c r="AS217" s="11"/>
      <c r="AT217" s="11"/>
      <c r="AU217" s="11"/>
      <c r="AV217" s="11">
        <f>+AV216</f>
        <v>2904</v>
      </c>
      <c r="AW217" s="1">
        <f>+AV217+AW216</f>
        <v>7206</v>
      </c>
      <c r="AX217" s="1">
        <f t="shared" ref="AX217" si="510">+AW217+AX216</f>
        <v>15882</v>
      </c>
      <c r="AY217" s="1">
        <f t="shared" ref="AY217" si="511">+AX217+AY216</f>
        <v>26695</v>
      </c>
      <c r="AZ217" s="1">
        <f t="shared" ref="AZ217" si="512">+AY217+AZ216</f>
        <v>38578</v>
      </c>
      <c r="BA217" s="1">
        <f t="shared" ref="BA217" si="513">+AZ217+BA216</f>
        <v>45490</v>
      </c>
      <c r="BB217" s="1">
        <f t="shared" ref="BB217" si="514">+BA217+BB216</f>
        <v>47681</v>
      </c>
      <c r="BC217" s="1">
        <f t="shared" ref="BC217" si="515">+BB217+BC216</f>
        <v>49955</v>
      </c>
      <c r="BD217" s="1">
        <f t="shared" ref="BD217" si="516">+BC217+BD216</f>
        <v>50881</v>
      </c>
      <c r="BE217" s="1">
        <f t="shared" ref="BE217" si="517">+BD217+BE216</f>
        <v>50881</v>
      </c>
    </row>
    <row r="218" spans="2:69" s="10" customFormat="1" ht="15" customHeight="1" x14ac:dyDescent="0.2">
      <c r="C218" s="38" t="s">
        <v>220</v>
      </c>
      <c r="D218" s="11">
        <f>+D216*18</f>
        <v>0</v>
      </c>
      <c r="E218" s="11">
        <f t="shared" ref="E218:AQ218" si="518">+E216*18</f>
        <v>0</v>
      </c>
      <c r="F218" s="11">
        <f t="shared" si="518"/>
        <v>0</v>
      </c>
      <c r="G218" s="11">
        <f t="shared" si="518"/>
        <v>52272</v>
      </c>
      <c r="H218" s="11">
        <f t="shared" si="518"/>
        <v>26838</v>
      </c>
      <c r="I218" s="11">
        <f t="shared" si="518"/>
        <v>5256</v>
      </c>
      <c r="J218" s="11">
        <f t="shared" si="518"/>
        <v>14814</v>
      </c>
      <c r="K218" s="11">
        <f t="shared" si="518"/>
        <v>30528</v>
      </c>
      <c r="L218" s="11">
        <f t="shared" si="518"/>
        <v>30438</v>
      </c>
      <c r="M218" s="11">
        <f t="shared" si="518"/>
        <v>24660</v>
      </c>
      <c r="N218" s="11">
        <f t="shared" si="518"/>
        <v>37656</v>
      </c>
      <c r="O218" s="11">
        <f t="shared" si="518"/>
        <v>26658</v>
      </c>
      <c r="P218" s="11">
        <f t="shared" si="518"/>
        <v>36756</v>
      </c>
      <c r="Q218" s="11">
        <f t="shared" si="518"/>
        <v>42264</v>
      </c>
      <c r="R218" s="11">
        <f t="shared" si="518"/>
        <v>52992</v>
      </c>
      <c r="S218" s="11">
        <f t="shared" si="518"/>
        <v>48168</v>
      </c>
      <c r="T218" s="11">
        <f t="shared" si="518"/>
        <v>51210</v>
      </c>
      <c r="U218" s="11">
        <f t="shared" si="518"/>
        <v>62856</v>
      </c>
      <c r="V218" s="11">
        <f t="shared" si="518"/>
        <v>49464</v>
      </c>
      <c r="W218" s="11">
        <f t="shared" si="518"/>
        <v>47826</v>
      </c>
      <c r="X218" s="11">
        <f t="shared" si="518"/>
        <v>53748</v>
      </c>
      <c r="Y218" s="11">
        <f t="shared" si="518"/>
        <v>41400</v>
      </c>
      <c r="Z218" s="11">
        <f t="shared" si="518"/>
        <v>22896</v>
      </c>
      <c r="AA218" s="11">
        <f t="shared" si="518"/>
        <v>24840</v>
      </c>
      <c r="AB218" s="11">
        <f t="shared" si="518"/>
        <v>20988</v>
      </c>
      <c r="AC218" s="11">
        <f t="shared" si="518"/>
        <v>14292</v>
      </c>
      <c r="AD218" s="11">
        <f t="shared" si="518"/>
        <v>17190</v>
      </c>
      <c r="AE218" s="11">
        <f t="shared" si="518"/>
        <v>6534</v>
      </c>
      <c r="AF218" s="11">
        <f t="shared" si="518"/>
        <v>7866</v>
      </c>
      <c r="AG218" s="11">
        <f t="shared" si="518"/>
        <v>7848</v>
      </c>
      <c r="AH218" s="147">
        <f t="shared" si="518"/>
        <v>6408</v>
      </c>
      <c r="AI218" s="11">
        <f t="shared" si="518"/>
        <v>9990</v>
      </c>
      <c r="AJ218" s="11">
        <f t="shared" si="518"/>
        <v>13086</v>
      </c>
      <c r="AK218" s="11">
        <f t="shared" si="518"/>
        <v>11448</v>
      </c>
      <c r="AL218" s="147">
        <f t="shared" si="518"/>
        <v>7146</v>
      </c>
      <c r="AM218" s="11">
        <f t="shared" si="518"/>
        <v>4086</v>
      </c>
      <c r="AN218" s="11">
        <f t="shared" si="518"/>
        <v>3654</v>
      </c>
      <c r="AO218" s="11">
        <f t="shared" si="518"/>
        <v>1350</v>
      </c>
      <c r="AP218" s="11">
        <f t="shared" si="518"/>
        <v>432</v>
      </c>
      <c r="AQ218" s="11">
        <f t="shared" si="518"/>
        <v>0</v>
      </c>
      <c r="AR218" s="40">
        <f>SUM(D218:AQ218)</f>
        <v>915858</v>
      </c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</row>
    <row r="219" spans="2:69" s="10" customFormat="1" ht="15" customHeight="1" x14ac:dyDescent="0.2">
      <c r="C219" s="38" t="s">
        <v>286</v>
      </c>
      <c r="D219" s="11">
        <f>+(D216-D206-D212)/2</f>
        <v>0</v>
      </c>
      <c r="E219" s="11">
        <f t="shared" ref="E219:AQ219" si="519">+(E216-E206-E212)/2</f>
        <v>0</v>
      </c>
      <c r="F219" s="11">
        <f t="shared" si="519"/>
        <v>0</v>
      </c>
      <c r="G219" s="11">
        <f t="shared" si="519"/>
        <v>1452</v>
      </c>
      <c r="H219" s="11">
        <f t="shared" si="519"/>
        <v>745.5</v>
      </c>
      <c r="I219" s="11">
        <f t="shared" si="519"/>
        <v>146</v>
      </c>
      <c r="J219" s="11">
        <f t="shared" si="519"/>
        <v>411.5</v>
      </c>
      <c r="K219" s="11">
        <f t="shared" si="519"/>
        <v>848</v>
      </c>
      <c r="L219" s="11">
        <f t="shared" si="519"/>
        <v>845.5</v>
      </c>
      <c r="M219" s="11">
        <f t="shared" si="519"/>
        <v>685</v>
      </c>
      <c r="N219" s="11">
        <f t="shared" si="519"/>
        <v>1046</v>
      </c>
      <c r="O219" s="11">
        <f t="shared" si="519"/>
        <v>740.5</v>
      </c>
      <c r="P219" s="11">
        <f t="shared" si="519"/>
        <v>1021</v>
      </c>
      <c r="Q219" s="11">
        <f t="shared" si="519"/>
        <v>1174</v>
      </c>
      <c r="R219" s="11">
        <f t="shared" si="519"/>
        <v>1472</v>
      </c>
      <c r="S219" s="11">
        <f t="shared" si="519"/>
        <v>1338</v>
      </c>
      <c r="T219" s="11">
        <f t="shared" si="519"/>
        <v>1422.5</v>
      </c>
      <c r="U219" s="11">
        <f t="shared" si="519"/>
        <v>1746</v>
      </c>
      <c r="V219" s="11">
        <f t="shared" si="519"/>
        <v>1374</v>
      </c>
      <c r="W219" s="11">
        <f t="shared" si="519"/>
        <v>1328.5</v>
      </c>
      <c r="X219" s="11">
        <f t="shared" si="519"/>
        <v>1493</v>
      </c>
      <c r="Y219" s="11">
        <f t="shared" si="519"/>
        <v>1150</v>
      </c>
      <c r="Z219" s="11">
        <f t="shared" si="519"/>
        <v>636</v>
      </c>
      <c r="AA219" s="11">
        <f t="shared" si="519"/>
        <v>690</v>
      </c>
      <c r="AB219" s="11">
        <f t="shared" si="519"/>
        <v>583</v>
      </c>
      <c r="AC219" s="11">
        <f t="shared" si="519"/>
        <v>397</v>
      </c>
      <c r="AD219" s="11">
        <f t="shared" si="519"/>
        <v>477.5</v>
      </c>
      <c r="AE219" s="11">
        <f t="shared" si="519"/>
        <v>181.5</v>
      </c>
      <c r="AF219" s="11">
        <f t="shared" si="519"/>
        <v>218.5</v>
      </c>
      <c r="AG219" s="11">
        <f t="shared" si="519"/>
        <v>218</v>
      </c>
      <c r="AH219" s="147">
        <f t="shared" si="519"/>
        <v>178</v>
      </c>
      <c r="AI219" s="11">
        <f t="shared" si="519"/>
        <v>277.5</v>
      </c>
      <c r="AJ219" s="11">
        <f t="shared" si="519"/>
        <v>363.5</v>
      </c>
      <c r="AK219" s="11">
        <f t="shared" si="519"/>
        <v>318</v>
      </c>
      <c r="AL219" s="147">
        <f t="shared" si="519"/>
        <v>198.5</v>
      </c>
      <c r="AM219" s="11">
        <f t="shared" si="519"/>
        <v>113.5</v>
      </c>
      <c r="AN219" s="11">
        <f t="shared" si="519"/>
        <v>101.5</v>
      </c>
      <c r="AO219" s="11">
        <f t="shared" si="519"/>
        <v>37.5</v>
      </c>
      <c r="AP219" s="11">
        <f t="shared" si="519"/>
        <v>12</v>
      </c>
      <c r="AQ219" s="11">
        <f t="shared" si="519"/>
        <v>0</v>
      </c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</row>
    <row r="220" spans="2:69" s="10" customFormat="1" ht="15" customHeight="1" x14ac:dyDescent="0.25">
      <c r="B220" s="2" t="s">
        <v>266</v>
      </c>
      <c r="C220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47"/>
      <c r="AI220" s="11"/>
      <c r="AJ220" s="11"/>
      <c r="AK220" s="11"/>
      <c r="AL220" s="147"/>
      <c r="AM220" s="11"/>
      <c r="AN220" s="11"/>
      <c r="AO220" s="11"/>
      <c r="AP220" s="11"/>
      <c r="AQ220" s="11"/>
      <c r="AR220" s="3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</row>
    <row r="221" spans="2:69" s="10" customFormat="1" ht="15" customHeight="1" x14ac:dyDescent="0.25">
      <c r="B221" s="2"/>
      <c r="C221" t="s">
        <v>190</v>
      </c>
      <c r="D221" s="1"/>
      <c r="E221" s="1"/>
      <c r="F221" s="1"/>
      <c r="G221" s="1">
        <v>270</v>
      </c>
      <c r="H221" s="1"/>
      <c r="I221" s="1"/>
      <c r="J221" s="1">
        <v>24</v>
      </c>
      <c r="K221" s="1">
        <v>45</v>
      </c>
      <c r="L221" s="1">
        <v>444</v>
      </c>
      <c r="M221" s="1"/>
      <c r="N221" s="1">
        <v>79</v>
      </c>
      <c r="O221" s="1">
        <v>45</v>
      </c>
      <c r="P221" s="1">
        <v>114</v>
      </c>
      <c r="Q221" s="1">
        <v>374</v>
      </c>
      <c r="R221" s="1">
        <v>57</v>
      </c>
      <c r="S221" s="1">
        <v>74</v>
      </c>
      <c r="T221" s="1">
        <v>221</v>
      </c>
      <c r="U221" s="1">
        <v>37</v>
      </c>
      <c r="V221" s="1">
        <v>106</v>
      </c>
      <c r="W221" s="1">
        <v>91</v>
      </c>
      <c r="X221" s="1">
        <v>301</v>
      </c>
      <c r="Y221" s="1">
        <v>39</v>
      </c>
      <c r="Z221" s="1">
        <v>70</v>
      </c>
      <c r="AA221" s="1">
        <v>27</v>
      </c>
      <c r="AB221" s="1">
        <v>93</v>
      </c>
      <c r="AC221" s="1">
        <v>69</v>
      </c>
      <c r="AD221" s="1">
        <v>38</v>
      </c>
      <c r="AE221" s="1">
        <v>40</v>
      </c>
      <c r="AF221" s="1">
        <v>84</v>
      </c>
      <c r="AG221" s="1">
        <v>44</v>
      </c>
      <c r="AH221" s="117">
        <v>185</v>
      </c>
      <c r="AI221" s="1">
        <v>157</v>
      </c>
      <c r="AJ221" s="1">
        <v>734</v>
      </c>
      <c r="AK221" s="1">
        <v>65</v>
      </c>
      <c r="AL221" s="117">
        <v>35</v>
      </c>
      <c r="AM221" s="1">
        <v>37</v>
      </c>
      <c r="AN221" s="1"/>
      <c r="AO221" s="1"/>
      <c r="AP221" s="1"/>
      <c r="AQ221" s="1"/>
      <c r="AR221" s="3">
        <f>SUM(D221:AQ221)</f>
        <v>3999</v>
      </c>
      <c r="AS221" s="11"/>
      <c r="AT221" s="1">
        <f>+[1]PassVol!$AU221</f>
        <v>374</v>
      </c>
      <c r="AU221" s="1">
        <f t="shared" ref="AU221:AU239" si="520">+AR221-AT221</f>
        <v>3625</v>
      </c>
      <c r="AV221" s="1">
        <f>SUM(D221:G221)</f>
        <v>270</v>
      </c>
      <c r="AW221" s="1">
        <f>SUM(H221:K221)</f>
        <v>69</v>
      </c>
      <c r="AX221" s="1">
        <f>SUM(L221:P221)</f>
        <v>682</v>
      </c>
      <c r="AY221" s="1">
        <f>SUM(Q221:T221)</f>
        <v>726</v>
      </c>
      <c r="AZ221" s="1">
        <f>SUM(U221:X221)</f>
        <v>535</v>
      </c>
      <c r="BA221" s="1">
        <f>SUM(Y221:AC221)</f>
        <v>298</v>
      </c>
      <c r="BB221" s="1">
        <f>SUM(AD221:AG221)</f>
        <v>206</v>
      </c>
      <c r="BC221" s="1">
        <f>SUM(AH221:AK221)</f>
        <v>1141</v>
      </c>
      <c r="BD221" s="1">
        <f>SUM(AL221:AP221)</f>
        <v>72</v>
      </c>
      <c r="BE221" s="1">
        <f>+AQ221</f>
        <v>0</v>
      </c>
      <c r="BG221" s="1">
        <f t="shared" ref="BG221:BP222" si="521">+AV221*8</f>
        <v>2160</v>
      </c>
      <c r="BH221" s="1">
        <f t="shared" si="521"/>
        <v>552</v>
      </c>
      <c r="BI221" s="1">
        <f t="shared" si="521"/>
        <v>5456</v>
      </c>
      <c r="BJ221" s="1">
        <f t="shared" si="521"/>
        <v>5808</v>
      </c>
      <c r="BK221" s="1">
        <f t="shared" si="521"/>
        <v>4280</v>
      </c>
      <c r="BL221" s="1">
        <f t="shared" si="521"/>
        <v>2384</v>
      </c>
      <c r="BM221" s="1">
        <f t="shared" si="521"/>
        <v>1648</v>
      </c>
      <c r="BN221" s="1">
        <f t="shared" si="521"/>
        <v>9128</v>
      </c>
      <c r="BO221" s="1">
        <f t="shared" si="521"/>
        <v>576</v>
      </c>
      <c r="BP221" s="1">
        <f t="shared" si="521"/>
        <v>0</v>
      </c>
      <c r="BQ221" s="1">
        <f t="shared" ref="BQ221:BQ239" si="522">SUM(BH221:BP221)</f>
        <v>29832</v>
      </c>
    </row>
    <row r="222" spans="2:69" s="10" customFormat="1" ht="15" customHeight="1" x14ac:dyDescent="0.25">
      <c r="B222" s="2"/>
      <c r="C222" t="s">
        <v>424</v>
      </c>
      <c r="D222" s="1"/>
      <c r="E222" s="1"/>
      <c r="F222" s="1"/>
      <c r="G222" s="1"/>
      <c r="H222" s="1">
        <v>8</v>
      </c>
      <c r="I222" s="1">
        <v>20</v>
      </c>
      <c r="J222" s="1"/>
      <c r="K222" s="1"/>
      <c r="L222" s="1">
        <v>20</v>
      </c>
      <c r="M222" s="1">
        <v>49</v>
      </c>
      <c r="N222" s="1">
        <v>34</v>
      </c>
      <c r="O222" s="1">
        <v>90</v>
      </c>
      <c r="P222" s="1">
        <v>86</v>
      </c>
      <c r="Q222" s="1">
        <v>72</v>
      </c>
      <c r="R222" s="1">
        <v>74</v>
      </c>
      <c r="S222" s="1">
        <v>119</v>
      </c>
      <c r="T222" s="1">
        <v>72</v>
      </c>
      <c r="U222" s="1">
        <v>56</v>
      </c>
      <c r="V222" s="1">
        <v>77</v>
      </c>
      <c r="W222" s="1">
        <v>110</v>
      </c>
      <c r="X222" s="1">
        <v>47</v>
      </c>
      <c r="Y222" s="1">
        <v>42</v>
      </c>
      <c r="Z222" s="1">
        <v>79</v>
      </c>
      <c r="AA222" s="1">
        <v>19</v>
      </c>
      <c r="AB222" s="1">
        <v>9</v>
      </c>
      <c r="AC222" s="1">
        <v>5</v>
      </c>
      <c r="AD222" s="1">
        <v>30</v>
      </c>
      <c r="AE222" s="1">
        <v>18</v>
      </c>
      <c r="AF222" s="1">
        <v>6</v>
      </c>
      <c r="AG222" s="1"/>
      <c r="AH222" s="117"/>
      <c r="AI222" s="1"/>
      <c r="AJ222" s="1">
        <v>12</v>
      </c>
      <c r="AK222" s="1"/>
      <c r="AL222" s="117">
        <v>5</v>
      </c>
      <c r="AM222" s="1"/>
      <c r="AN222" s="1"/>
      <c r="AO222" s="1"/>
      <c r="AP222" s="1"/>
      <c r="AQ222" s="1"/>
      <c r="AR222" s="3">
        <f>SUM(D222:AQ222)</f>
        <v>1159</v>
      </c>
      <c r="AS222" s="11"/>
      <c r="AT222" s="1">
        <f>+[1]PassVol!$AU222</f>
        <v>342</v>
      </c>
      <c r="AU222" s="1">
        <f t="shared" si="520"/>
        <v>817</v>
      </c>
      <c r="AV222" s="1">
        <f t="shared" ref="AV222:AV239" si="523">SUM(D222:G222)</f>
        <v>0</v>
      </c>
      <c r="AW222" s="1">
        <f t="shared" ref="AW222:AW239" si="524">SUM(H222:K222)</f>
        <v>28</v>
      </c>
      <c r="AX222" s="1">
        <f t="shared" ref="AX222:AX239" si="525">SUM(L222:P222)</f>
        <v>279</v>
      </c>
      <c r="AY222" s="1">
        <f t="shared" ref="AY222:AY239" si="526">SUM(Q222:T222)</f>
        <v>337</v>
      </c>
      <c r="AZ222" s="1">
        <f t="shared" ref="AZ222:AZ239" si="527">SUM(U222:X222)</f>
        <v>290</v>
      </c>
      <c r="BA222" s="1">
        <f t="shared" ref="BA222:BA239" si="528">SUM(Y222:AC222)</f>
        <v>154</v>
      </c>
      <c r="BB222" s="1">
        <f t="shared" ref="BB222:BB239" si="529">SUM(AD222:AG222)</f>
        <v>54</v>
      </c>
      <c r="BC222" s="1">
        <f t="shared" ref="BC222:BC239" si="530">SUM(AH222:AK222)</f>
        <v>12</v>
      </c>
      <c r="BD222" s="1">
        <f t="shared" ref="BD222:BD239" si="531">SUM(AL222:AP222)</f>
        <v>5</v>
      </c>
      <c r="BE222" s="1">
        <f t="shared" ref="BE222:BE239" si="532">+AQ222</f>
        <v>0</v>
      </c>
      <c r="BG222" s="1">
        <f t="shared" si="521"/>
        <v>0</v>
      </c>
      <c r="BH222" s="1">
        <f t="shared" si="521"/>
        <v>224</v>
      </c>
      <c r="BI222" s="1">
        <f t="shared" si="521"/>
        <v>2232</v>
      </c>
      <c r="BJ222" s="1">
        <f t="shared" si="521"/>
        <v>2696</v>
      </c>
      <c r="BK222" s="1">
        <f t="shared" si="521"/>
        <v>2320</v>
      </c>
      <c r="BL222" s="1">
        <f t="shared" si="521"/>
        <v>1232</v>
      </c>
      <c r="BM222" s="1">
        <f t="shared" si="521"/>
        <v>432</v>
      </c>
      <c r="BN222" s="1">
        <f t="shared" si="521"/>
        <v>96</v>
      </c>
      <c r="BO222" s="1">
        <f t="shared" si="521"/>
        <v>40</v>
      </c>
      <c r="BP222" s="1">
        <f t="shared" si="521"/>
        <v>0</v>
      </c>
      <c r="BQ222" s="1">
        <f>SUM(BH222:BP222)</f>
        <v>9272</v>
      </c>
    </row>
    <row r="223" spans="2:69" s="10" customFormat="1" ht="15" customHeight="1" x14ac:dyDescent="0.25">
      <c r="B223" s="2"/>
      <c r="C223" t="s">
        <v>347</v>
      </c>
      <c r="D223" s="1"/>
      <c r="E223" s="1"/>
      <c r="F223" s="1"/>
      <c r="G223" s="1"/>
      <c r="H223" s="1"/>
      <c r="I223" s="1"/>
      <c r="J223" s="1"/>
      <c r="K223" s="1"/>
      <c r="L223" s="1">
        <v>10</v>
      </c>
      <c r="M223" s="1"/>
      <c r="N223" s="1"/>
      <c r="O223" s="1">
        <v>5</v>
      </c>
      <c r="P223" s="1">
        <v>18</v>
      </c>
      <c r="Q223" s="1">
        <v>5</v>
      </c>
      <c r="R223" s="1">
        <v>14</v>
      </c>
      <c r="S223" s="1">
        <v>23</v>
      </c>
      <c r="T223" s="1">
        <v>42</v>
      </c>
      <c r="U223" s="1"/>
      <c r="V223" s="1">
        <v>19</v>
      </c>
      <c r="W223" s="1">
        <v>25</v>
      </c>
      <c r="X223" s="1">
        <v>37</v>
      </c>
      <c r="Y223" s="1"/>
      <c r="Z223" s="1"/>
      <c r="AA223" s="1"/>
      <c r="AB223" s="1">
        <v>6</v>
      </c>
      <c r="AC223" s="1">
        <v>16</v>
      </c>
      <c r="AD223" s="1">
        <v>18</v>
      </c>
      <c r="AE223" s="1"/>
      <c r="AF223" s="1"/>
      <c r="AG223" s="1">
        <v>9</v>
      </c>
      <c r="AH223" s="117"/>
      <c r="AI223" s="1">
        <v>10</v>
      </c>
      <c r="AJ223" s="1">
        <v>6</v>
      </c>
      <c r="AK223" s="1">
        <v>8</v>
      </c>
      <c r="AL223" s="117"/>
      <c r="AM223" s="1"/>
      <c r="AN223" s="1"/>
      <c r="AO223" s="1"/>
      <c r="AP223" s="1"/>
      <c r="AQ223" s="1"/>
      <c r="AR223" s="3">
        <f t="shared" ref="AR223:AR239" si="533">SUM(D223:AQ223)</f>
        <v>271</v>
      </c>
      <c r="AS223" s="11"/>
      <c r="AT223" s="1">
        <f>+[1]PassVol!$AU223</f>
        <v>105</v>
      </c>
      <c r="AU223" s="1">
        <f t="shared" si="520"/>
        <v>166</v>
      </c>
      <c r="AV223" s="1">
        <f t="shared" si="523"/>
        <v>0</v>
      </c>
      <c r="AW223" s="1">
        <f t="shared" si="524"/>
        <v>0</v>
      </c>
      <c r="AX223" s="1">
        <f t="shared" si="525"/>
        <v>33</v>
      </c>
      <c r="AY223" s="1">
        <f t="shared" si="526"/>
        <v>84</v>
      </c>
      <c r="AZ223" s="1">
        <f t="shared" si="527"/>
        <v>81</v>
      </c>
      <c r="BA223" s="1">
        <f t="shared" si="528"/>
        <v>22</v>
      </c>
      <c r="BB223" s="1">
        <f t="shared" si="529"/>
        <v>27</v>
      </c>
      <c r="BC223" s="1">
        <f t="shared" si="530"/>
        <v>24</v>
      </c>
      <c r="BD223" s="1">
        <f t="shared" si="531"/>
        <v>0</v>
      </c>
      <c r="BE223" s="1">
        <f t="shared" si="532"/>
        <v>0</v>
      </c>
      <c r="BG223" s="1">
        <f t="shared" ref="BG223:BH239" si="534">+AV223*8</f>
        <v>0</v>
      </c>
      <c r="BH223" s="1">
        <f t="shared" si="534"/>
        <v>0</v>
      </c>
      <c r="BI223" s="1">
        <f t="shared" ref="BI223:BI239" si="535">+AX223*8</f>
        <v>264</v>
      </c>
      <c r="BJ223" s="1">
        <f t="shared" ref="BJ223:BJ239" si="536">+AY223*8</f>
        <v>672</v>
      </c>
      <c r="BK223" s="1">
        <f t="shared" ref="BK223:BK239" si="537">+AZ223*8</f>
        <v>648</v>
      </c>
      <c r="BL223" s="1">
        <f t="shared" ref="BL223:BL239" si="538">+BA223*8</f>
        <v>176</v>
      </c>
      <c r="BM223" s="1">
        <f t="shared" ref="BM223:BM239" si="539">+BB223*8</f>
        <v>216</v>
      </c>
      <c r="BN223" s="1">
        <f t="shared" ref="BN223:BN239" si="540">+BC223*8</f>
        <v>192</v>
      </c>
      <c r="BO223" s="1">
        <f t="shared" ref="BO223:BO239" si="541">+BD223*8</f>
        <v>0</v>
      </c>
      <c r="BP223" s="1">
        <f t="shared" ref="BP223:BP239" si="542">+BE223*8</f>
        <v>0</v>
      </c>
      <c r="BQ223" s="1">
        <f t="shared" si="522"/>
        <v>2168</v>
      </c>
    </row>
    <row r="224" spans="2:69" s="10" customFormat="1" ht="15" customHeight="1" x14ac:dyDescent="0.25">
      <c r="B224" s="2"/>
      <c r="C224" t="s">
        <v>0</v>
      </c>
      <c r="D224" s="1"/>
      <c r="E224" s="1"/>
      <c r="F224" s="1"/>
      <c r="G224" s="1">
        <v>2153</v>
      </c>
      <c r="H224" s="1"/>
      <c r="I224" s="1"/>
      <c r="J224" s="1">
        <v>533</v>
      </c>
      <c r="K224" s="1">
        <v>909</v>
      </c>
      <c r="L224" s="1">
        <v>63</v>
      </c>
      <c r="M224" s="1">
        <v>964</v>
      </c>
      <c r="N224" s="1">
        <v>632</v>
      </c>
      <c r="O224" s="1">
        <v>556</v>
      </c>
      <c r="P224" s="1">
        <v>433</v>
      </c>
      <c r="Q224" s="1">
        <v>584</v>
      </c>
      <c r="R224" s="1">
        <v>392</v>
      </c>
      <c r="S224" s="1">
        <v>798</v>
      </c>
      <c r="T224" s="1">
        <v>610</v>
      </c>
      <c r="U224" s="1">
        <v>1290</v>
      </c>
      <c r="V224" s="1">
        <v>493</v>
      </c>
      <c r="W224" s="1">
        <v>732</v>
      </c>
      <c r="X224" s="1">
        <v>830</v>
      </c>
      <c r="Y224" s="1">
        <v>617</v>
      </c>
      <c r="Z224" s="1">
        <v>598</v>
      </c>
      <c r="AA224" s="1">
        <v>592</v>
      </c>
      <c r="AB224" s="1">
        <v>726</v>
      </c>
      <c r="AC224" s="1">
        <v>425</v>
      </c>
      <c r="AD224" s="1">
        <v>625</v>
      </c>
      <c r="AE224" s="1">
        <v>155</v>
      </c>
      <c r="AF224" s="1">
        <v>53</v>
      </c>
      <c r="AG224" s="1">
        <v>213</v>
      </c>
      <c r="AH224" s="117">
        <v>87</v>
      </c>
      <c r="AI224" s="1">
        <v>251</v>
      </c>
      <c r="AJ224" s="1">
        <v>292</v>
      </c>
      <c r="AK224" s="1"/>
      <c r="AL224" s="117">
        <v>219</v>
      </c>
      <c r="AM224" s="1">
        <v>66</v>
      </c>
      <c r="AN224" s="1">
        <v>105</v>
      </c>
      <c r="AO224" s="1"/>
      <c r="AP224" s="1"/>
      <c r="AQ224" s="1"/>
      <c r="AR224" s="3">
        <f t="shared" si="533"/>
        <v>16996</v>
      </c>
      <c r="AS224" s="11"/>
      <c r="AT224" s="1">
        <f>+[1]PassVol!$AU224</f>
        <v>12010</v>
      </c>
      <c r="AU224" s="1">
        <f t="shared" si="520"/>
        <v>4986</v>
      </c>
      <c r="AV224" s="1">
        <f t="shared" si="523"/>
        <v>2153</v>
      </c>
      <c r="AW224" s="1">
        <f t="shared" si="524"/>
        <v>1442</v>
      </c>
      <c r="AX224" s="1">
        <f t="shared" si="525"/>
        <v>2648</v>
      </c>
      <c r="AY224" s="1">
        <f t="shared" si="526"/>
        <v>2384</v>
      </c>
      <c r="AZ224" s="1">
        <f t="shared" si="527"/>
        <v>3345</v>
      </c>
      <c r="BA224" s="1">
        <f t="shared" si="528"/>
        <v>2958</v>
      </c>
      <c r="BB224" s="1">
        <f t="shared" si="529"/>
        <v>1046</v>
      </c>
      <c r="BC224" s="1">
        <f t="shared" si="530"/>
        <v>630</v>
      </c>
      <c r="BD224" s="1">
        <f t="shared" si="531"/>
        <v>390</v>
      </c>
      <c r="BE224" s="1">
        <f t="shared" si="532"/>
        <v>0</v>
      </c>
      <c r="BG224" s="1">
        <f t="shared" si="534"/>
        <v>17224</v>
      </c>
      <c r="BH224" s="1">
        <f t="shared" si="534"/>
        <v>11536</v>
      </c>
      <c r="BI224" s="1">
        <f t="shared" si="535"/>
        <v>21184</v>
      </c>
      <c r="BJ224" s="1">
        <f t="shared" si="536"/>
        <v>19072</v>
      </c>
      <c r="BK224" s="1">
        <f t="shared" si="537"/>
        <v>26760</v>
      </c>
      <c r="BL224" s="1">
        <f t="shared" si="538"/>
        <v>23664</v>
      </c>
      <c r="BM224" s="1">
        <f t="shared" si="539"/>
        <v>8368</v>
      </c>
      <c r="BN224" s="1">
        <f t="shared" si="540"/>
        <v>5040</v>
      </c>
      <c r="BO224" s="1">
        <f t="shared" si="541"/>
        <v>3120</v>
      </c>
      <c r="BP224" s="1">
        <f t="shared" si="542"/>
        <v>0</v>
      </c>
      <c r="BQ224" s="1">
        <f t="shared" si="522"/>
        <v>118744</v>
      </c>
    </row>
    <row r="225" spans="2:69" s="10" customFormat="1" ht="15" customHeight="1" x14ac:dyDescent="0.25">
      <c r="B225" s="2"/>
      <c r="C225" t="s">
        <v>354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>
        <v>7</v>
      </c>
      <c r="P225" s="1">
        <v>9</v>
      </c>
      <c r="Q225" s="1">
        <v>2</v>
      </c>
      <c r="R225" s="1">
        <v>1</v>
      </c>
      <c r="S225" s="1">
        <v>36</v>
      </c>
      <c r="T225" s="1">
        <v>4</v>
      </c>
      <c r="U225" s="1">
        <v>5</v>
      </c>
      <c r="V225" s="1">
        <v>1</v>
      </c>
      <c r="W225" s="1"/>
      <c r="X225" s="1">
        <v>3</v>
      </c>
      <c r="Y225" s="1"/>
      <c r="Z225" s="1">
        <v>12</v>
      </c>
      <c r="AA225" s="1"/>
      <c r="AB225" s="1"/>
      <c r="AC225" s="1"/>
      <c r="AD225" s="1"/>
      <c r="AE225" s="1"/>
      <c r="AF225" s="1"/>
      <c r="AG225" s="1"/>
      <c r="AH225" s="117"/>
      <c r="AI225" s="1"/>
      <c r="AJ225" s="1"/>
      <c r="AK225" s="1"/>
      <c r="AL225" s="117"/>
      <c r="AM225" s="1"/>
      <c r="AN225" s="1"/>
      <c r="AO225" s="1"/>
      <c r="AP225" s="1"/>
      <c r="AQ225" s="1"/>
      <c r="AR225" s="3">
        <f t="shared" si="533"/>
        <v>80</v>
      </c>
      <c r="AS225" s="11"/>
      <c r="AT225" s="1">
        <f>+[1]PassVol!$AU225</f>
        <v>124</v>
      </c>
      <c r="AU225" s="1">
        <f t="shared" si="520"/>
        <v>-44</v>
      </c>
      <c r="AV225" s="1">
        <f t="shared" si="523"/>
        <v>0</v>
      </c>
      <c r="AW225" s="1">
        <f t="shared" si="524"/>
        <v>0</v>
      </c>
      <c r="AX225" s="1">
        <f t="shared" si="525"/>
        <v>16</v>
      </c>
      <c r="AY225" s="1">
        <f t="shared" si="526"/>
        <v>43</v>
      </c>
      <c r="AZ225" s="1">
        <f t="shared" si="527"/>
        <v>9</v>
      </c>
      <c r="BA225" s="1">
        <f t="shared" si="528"/>
        <v>12</v>
      </c>
      <c r="BB225" s="1">
        <f t="shared" si="529"/>
        <v>0</v>
      </c>
      <c r="BC225" s="1">
        <f t="shared" si="530"/>
        <v>0</v>
      </c>
      <c r="BD225" s="1">
        <f t="shared" si="531"/>
        <v>0</v>
      </c>
      <c r="BE225" s="1">
        <f t="shared" si="532"/>
        <v>0</v>
      </c>
      <c r="BG225" s="1">
        <f t="shared" si="534"/>
        <v>0</v>
      </c>
      <c r="BH225" s="1">
        <f t="shared" si="534"/>
        <v>0</v>
      </c>
      <c r="BI225" s="1">
        <f t="shared" si="535"/>
        <v>128</v>
      </c>
      <c r="BJ225" s="1">
        <f t="shared" si="536"/>
        <v>344</v>
      </c>
      <c r="BK225" s="1">
        <f t="shared" si="537"/>
        <v>72</v>
      </c>
      <c r="BL225" s="1">
        <f t="shared" si="538"/>
        <v>96</v>
      </c>
      <c r="BM225" s="1">
        <f t="shared" si="539"/>
        <v>0</v>
      </c>
      <c r="BN225" s="1">
        <f t="shared" si="540"/>
        <v>0</v>
      </c>
      <c r="BO225" s="1">
        <f t="shared" si="541"/>
        <v>0</v>
      </c>
      <c r="BP225" s="1">
        <f t="shared" si="542"/>
        <v>0</v>
      </c>
      <c r="BQ225" s="1">
        <f t="shared" si="522"/>
        <v>640</v>
      </c>
    </row>
    <row r="226" spans="2:69" s="10" customFormat="1" ht="15" customHeight="1" x14ac:dyDescent="0.25">
      <c r="B226" s="2"/>
      <c r="C226" t="s">
        <v>265</v>
      </c>
      <c r="D226" s="1"/>
      <c r="E226" s="1"/>
      <c r="F226" s="1"/>
      <c r="G226" s="1"/>
      <c r="H226" s="1"/>
      <c r="I226" s="1"/>
      <c r="J226" s="1"/>
      <c r="K226" s="1"/>
      <c r="L226" s="1"/>
      <c r="M226" s="1">
        <v>40</v>
      </c>
      <c r="N226" s="1">
        <v>14</v>
      </c>
      <c r="O226" s="1">
        <v>24</v>
      </c>
      <c r="P226" s="1">
        <v>108</v>
      </c>
      <c r="Q226" s="1">
        <v>133</v>
      </c>
      <c r="R226" s="1">
        <v>58</v>
      </c>
      <c r="S226" s="1">
        <v>179</v>
      </c>
      <c r="T226" s="1">
        <v>88</v>
      </c>
      <c r="U226" s="1">
        <v>177</v>
      </c>
      <c r="V226" s="1">
        <v>116</v>
      </c>
      <c r="W226" s="1">
        <v>95</v>
      </c>
      <c r="X226" s="1">
        <v>69</v>
      </c>
      <c r="Y226" s="1">
        <v>91</v>
      </c>
      <c r="Z226" s="1"/>
      <c r="AA226" s="1">
        <v>79</v>
      </c>
      <c r="AB226" s="1"/>
      <c r="AC226" s="1"/>
      <c r="AD226" s="1"/>
      <c r="AE226" s="1"/>
      <c r="AF226" s="1"/>
      <c r="AG226" s="1"/>
      <c r="AH226" s="117">
        <v>102</v>
      </c>
      <c r="AI226" s="1"/>
      <c r="AJ226" s="1"/>
      <c r="AK226" s="1">
        <v>35</v>
      </c>
      <c r="AL226" s="117"/>
      <c r="AM226" s="1"/>
      <c r="AN226" s="1"/>
      <c r="AO226" s="1"/>
      <c r="AP226" s="1"/>
      <c r="AQ226" s="1"/>
      <c r="AR226" s="3">
        <f t="shared" si="533"/>
        <v>1408</v>
      </c>
      <c r="AS226" s="11"/>
      <c r="AT226" s="1">
        <f>+[1]PassVol!$AU226</f>
        <v>88</v>
      </c>
      <c r="AU226" s="1">
        <f t="shared" si="520"/>
        <v>1320</v>
      </c>
      <c r="AV226" s="1">
        <f t="shared" si="523"/>
        <v>0</v>
      </c>
      <c r="AW226" s="1">
        <f t="shared" si="524"/>
        <v>0</v>
      </c>
      <c r="AX226" s="1">
        <f t="shared" si="525"/>
        <v>186</v>
      </c>
      <c r="AY226" s="1">
        <f t="shared" si="526"/>
        <v>458</v>
      </c>
      <c r="AZ226" s="1">
        <f t="shared" si="527"/>
        <v>457</v>
      </c>
      <c r="BA226" s="1">
        <f t="shared" si="528"/>
        <v>170</v>
      </c>
      <c r="BB226" s="1">
        <f t="shared" si="529"/>
        <v>0</v>
      </c>
      <c r="BC226" s="1">
        <f t="shared" si="530"/>
        <v>137</v>
      </c>
      <c r="BD226" s="1">
        <f t="shared" si="531"/>
        <v>0</v>
      </c>
      <c r="BE226" s="1">
        <f t="shared" si="532"/>
        <v>0</v>
      </c>
      <c r="BG226" s="1">
        <f t="shared" si="534"/>
        <v>0</v>
      </c>
      <c r="BH226" s="1">
        <f t="shared" si="534"/>
        <v>0</v>
      </c>
      <c r="BI226" s="1">
        <f t="shared" si="535"/>
        <v>1488</v>
      </c>
      <c r="BJ226" s="1">
        <f t="shared" si="536"/>
        <v>3664</v>
      </c>
      <c r="BK226" s="1">
        <f t="shared" si="537"/>
        <v>3656</v>
      </c>
      <c r="BL226" s="1">
        <f t="shared" si="538"/>
        <v>1360</v>
      </c>
      <c r="BM226" s="1">
        <f t="shared" si="539"/>
        <v>0</v>
      </c>
      <c r="BN226" s="1">
        <f t="shared" si="540"/>
        <v>1096</v>
      </c>
      <c r="BO226" s="1">
        <f t="shared" si="541"/>
        <v>0</v>
      </c>
      <c r="BP226" s="1">
        <f t="shared" si="542"/>
        <v>0</v>
      </c>
      <c r="BQ226" s="1">
        <f t="shared" si="522"/>
        <v>11264</v>
      </c>
    </row>
    <row r="227" spans="2:69" s="10" customFormat="1" ht="15" customHeight="1" x14ac:dyDescent="0.25">
      <c r="B227" s="2"/>
      <c r="C227" t="s">
        <v>191</v>
      </c>
      <c r="D227" s="1"/>
      <c r="E227" s="1"/>
      <c r="F227" s="1"/>
      <c r="G227" s="1"/>
      <c r="H227" s="1"/>
      <c r="I227" s="1"/>
      <c r="J227" s="1"/>
      <c r="K227" s="1">
        <v>660</v>
      </c>
      <c r="L227" s="1"/>
      <c r="M227" s="1">
        <v>300</v>
      </c>
      <c r="N227" s="1">
        <v>23</v>
      </c>
      <c r="O227" s="1">
        <v>71</v>
      </c>
      <c r="P227" s="1">
        <v>17</v>
      </c>
      <c r="Q227" s="1">
        <v>198</v>
      </c>
      <c r="R227" s="1"/>
      <c r="S227" s="1"/>
      <c r="T227" s="1"/>
      <c r="U227" s="1"/>
      <c r="V227" s="1"/>
      <c r="W227" s="1"/>
      <c r="X227" s="1"/>
      <c r="Y227" s="1">
        <v>43</v>
      </c>
      <c r="Z227" s="1">
        <v>1</v>
      </c>
      <c r="AA227" s="1">
        <v>301</v>
      </c>
      <c r="AB227" s="1">
        <v>18</v>
      </c>
      <c r="AC227" s="1">
        <v>38</v>
      </c>
      <c r="AD227" s="1"/>
      <c r="AE227" s="1"/>
      <c r="AF227" s="1"/>
      <c r="AG227" s="1"/>
      <c r="AH227" s="117"/>
      <c r="AI227" s="1"/>
      <c r="AJ227" s="1"/>
      <c r="AK227" s="1"/>
      <c r="AL227" s="117">
        <v>6</v>
      </c>
      <c r="AM227" s="1">
        <v>33</v>
      </c>
      <c r="AN227" s="1">
        <v>18</v>
      </c>
      <c r="AO227" s="1"/>
      <c r="AP227" s="1">
        <v>19</v>
      </c>
      <c r="AQ227" s="1"/>
      <c r="AR227" s="3">
        <f t="shared" si="533"/>
        <v>1746</v>
      </c>
      <c r="AS227" s="11"/>
      <c r="AT227" s="1">
        <f>+[1]PassVol!$AU227</f>
        <v>1459</v>
      </c>
      <c r="AU227" s="1">
        <f t="shared" si="520"/>
        <v>287</v>
      </c>
      <c r="AV227" s="1">
        <f t="shared" si="523"/>
        <v>0</v>
      </c>
      <c r="AW227" s="1">
        <f t="shared" si="524"/>
        <v>660</v>
      </c>
      <c r="AX227" s="1">
        <f t="shared" si="525"/>
        <v>411</v>
      </c>
      <c r="AY227" s="1">
        <f t="shared" si="526"/>
        <v>198</v>
      </c>
      <c r="AZ227" s="1">
        <f t="shared" si="527"/>
        <v>0</v>
      </c>
      <c r="BA227" s="1">
        <f t="shared" si="528"/>
        <v>401</v>
      </c>
      <c r="BB227" s="1">
        <f t="shared" si="529"/>
        <v>0</v>
      </c>
      <c r="BC227" s="1">
        <f t="shared" si="530"/>
        <v>0</v>
      </c>
      <c r="BD227" s="1">
        <f t="shared" si="531"/>
        <v>76</v>
      </c>
      <c r="BE227" s="1">
        <f t="shared" si="532"/>
        <v>0</v>
      </c>
      <c r="BG227" s="1">
        <f t="shared" si="534"/>
        <v>0</v>
      </c>
      <c r="BH227" s="1">
        <f t="shared" si="534"/>
        <v>5280</v>
      </c>
      <c r="BI227" s="1">
        <f t="shared" si="535"/>
        <v>3288</v>
      </c>
      <c r="BJ227" s="1">
        <f t="shared" si="536"/>
        <v>1584</v>
      </c>
      <c r="BK227" s="1">
        <f t="shared" si="537"/>
        <v>0</v>
      </c>
      <c r="BL227" s="1">
        <f t="shared" si="538"/>
        <v>3208</v>
      </c>
      <c r="BM227" s="1">
        <f t="shared" si="539"/>
        <v>0</v>
      </c>
      <c r="BN227" s="1">
        <f t="shared" si="540"/>
        <v>0</v>
      </c>
      <c r="BO227" s="1">
        <f t="shared" si="541"/>
        <v>608</v>
      </c>
      <c r="BP227" s="1">
        <f t="shared" si="542"/>
        <v>0</v>
      </c>
      <c r="BQ227" s="1">
        <f t="shared" si="522"/>
        <v>13968</v>
      </c>
    </row>
    <row r="228" spans="2:69" s="10" customFormat="1" ht="15" customHeight="1" x14ac:dyDescent="0.25">
      <c r="B228" s="2"/>
      <c r="C228" t="s">
        <v>549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17"/>
      <c r="AI228" s="1"/>
      <c r="AJ228" s="1"/>
      <c r="AK228" s="1"/>
      <c r="AL228" s="117"/>
      <c r="AM228" s="1"/>
      <c r="AN228" s="1"/>
      <c r="AO228" s="1"/>
      <c r="AP228" s="1"/>
      <c r="AQ228" s="1"/>
      <c r="AR228" s="3">
        <f t="shared" si="533"/>
        <v>0</v>
      </c>
      <c r="AS228" s="11"/>
      <c r="AT228" s="1">
        <f>+[1]PassVol!$AU228</f>
        <v>0</v>
      </c>
      <c r="AU228" s="1">
        <f t="shared" si="520"/>
        <v>0</v>
      </c>
      <c r="AV228" s="1">
        <f t="shared" si="523"/>
        <v>0</v>
      </c>
      <c r="AW228" s="1">
        <f t="shared" si="524"/>
        <v>0</v>
      </c>
      <c r="AX228" s="1">
        <f t="shared" si="525"/>
        <v>0</v>
      </c>
      <c r="AY228" s="1">
        <f t="shared" si="526"/>
        <v>0</v>
      </c>
      <c r="AZ228" s="1">
        <f t="shared" si="527"/>
        <v>0</v>
      </c>
      <c r="BA228" s="1">
        <f t="shared" si="528"/>
        <v>0</v>
      </c>
      <c r="BB228" s="1">
        <f t="shared" si="529"/>
        <v>0</v>
      </c>
      <c r="BC228" s="1">
        <f t="shared" si="530"/>
        <v>0</v>
      </c>
      <c r="BD228" s="1">
        <f t="shared" si="531"/>
        <v>0</v>
      </c>
      <c r="BE228" s="1">
        <f t="shared" si="532"/>
        <v>0</v>
      </c>
      <c r="BG228" s="1">
        <f t="shared" si="534"/>
        <v>0</v>
      </c>
      <c r="BH228" s="1">
        <f t="shared" si="534"/>
        <v>0</v>
      </c>
      <c r="BI228" s="1">
        <f t="shared" si="535"/>
        <v>0</v>
      </c>
      <c r="BJ228" s="1">
        <f t="shared" si="536"/>
        <v>0</v>
      </c>
      <c r="BK228" s="1">
        <f t="shared" si="537"/>
        <v>0</v>
      </c>
      <c r="BL228" s="1">
        <f t="shared" si="538"/>
        <v>0</v>
      </c>
      <c r="BM228" s="1">
        <f t="shared" si="539"/>
        <v>0</v>
      </c>
      <c r="BN228" s="1">
        <f t="shared" si="540"/>
        <v>0</v>
      </c>
      <c r="BO228" s="1">
        <f t="shared" si="541"/>
        <v>0</v>
      </c>
      <c r="BP228" s="1">
        <f t="shared" si="542"/>
        <v>0</v>
      </c>
      <c r="BQ228" s="1">
        <f t="shared" si="522"/>
        <v>0</v>
      </c>
    </row>
    <row r="229" spans="2:69" s="10" customFormat="1" ht="15" customHeight="1" x14ac:dyDescent="0.25">
      <c r="B229" s="2"/>
      <c r="C229" t="s">
        <v>550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>
        <v>18</v>
      </c>
      <c r="P229" s="1"/>
      <c r="Q229" s="1">
        <v>13</v>
      </c>
      <c r="R229" s="1"/>
      <c r="S229" s="1"/>
      <c r="T229" s="1">
        <v>120</v>
      </c>
      <c r="U229" s="1"/>
      <c r="V229" s="1">
        <v>34</v>
      </c>
      <c r="W229" s="1">
        <v>65</v>
      </c>
      <c r="X229" s="1">
        <v>49</v>
      </c>
      <c r="Y229" s="1">
        <v>318</v>
      </c>
      <c r="Z229" s="1">
        <v>64</v>
      </c>
      <c r="AA229" s="1">
        <v>104</v>
      </c>
      <c r="AB229" s="1">
        <v>18</v>
      </c>
      <c r="AC229" s="1">
        <v>89</v>
      </c>
      <c r="AD229" s="1">
        <v>68</v>
      </c>
      <c r="AE229" s="1">
        <v>133</v>
      </c>
      <c r="AF229" s="1">
        <v>16</v>
      </c>
      <c r="AG229" s="1">
        <v>63</v>
      </c>
      <c r="AH229" s="117">
        <v>37</v>
      </c>
      <c r="AI229" s="1">
        <v>23</v>
      </c>
      <c r="AJ229" s="1">
        <v>32</v>
      </c>
      <c r="AK229" s="1">
        <v>38</v>
      </c>
      <c r="AL229" s="117">
        <v>23</v>
      </c>
      <c r="AM229" s="1">
        <v>40</v>
      </c>
      <c r="AN229" s="1">
        <v>43</v>
      </c>
      <c r="AO229" s="1"/>
      <c r="AP229" s="1"/>
      <c r="AQ229" s="1"/>
      <c r="AR229" s="3">
        <f t="shared" si="533"/>
        <v>1408</v>
      </c>
      <c r="AS229" s="11"/>
      <c r="AT229" s="1">
        <f>+[1]PassVol!$AU229</f>
        <v>0</v>
      </c>
      <c r="AU229" s="1">
        <f t="shared" si="520"/>
        <v>1408</v>
      </c>
      <c r="AV229" s="1">
        <f t="shared" si="523"/>
        <v>0</v>
      </c>
      <c r="AW229" s="1">
        <f t="shared" si="524"/>
        <v>0</v>
      </c>
      <c r="AX229" s="1">
        <f t="shared" si="525"/>
        <v>18</v>
      </c>
      <c r="AY229" s="1">
        <f t="shared" si="526"/>
        <v>133</v>
      </c>
      <c r="AZ229" s="1">
        <f t="shared" si="527"/>
        <v>148</v>
      </c>
      <c r="BA229" s="1">
        <f t="shared" si="528"/>
        <v>593</v>
      </c>
      <c r="BB229" s="1">
        <f t="shared" si="529"/>
        <v>280</v>
      </c>
      <c r="BC229" s="1">
        <f t="shared" si="530"/>
        <v>130</v>
      </c>
      <c r="BD229" s="1">
        <f t="shared" si="531"/>
        <v>106</v>
      </c>
      <c r="BE229" s="1">
        <f t="shared" si="532"/>
        <v>0</v>
      </c>
      <c r="BG229" s="1">
        <f t="shared" si="534"/>
        <v>0</v>
      </c>
      <c r="BH229" s="1">
        <f t="shared" si="534"/>
        <v>0</v>
      </c>
      <c r="BI229" s="1">
        <f t="shared" si="535"/>
        <v>144</v>
      </c>
      <c r="BJ229" s="1">
        <f t="shared" si="536"/>
        <v>1064</v>
      </c>
      <c r="BK229" s="1">
        <f t="shared" si="537"/>
        <v>1184</v>
      </c>
      <c r="BL229" s="1">
        <f t="shared" si="538"/>
        <v>4744</v>
      </c>
      <c r="BM229" s="1">
        <f t="shared" si="539"/>
        <v>2240</v>
      </c>
      <c r="BN229" s="1">
        <f t="shared" si="540"/>
        <v>1040</v>
      </c>
      <c r="BO229" s="1">
        <f t="shared" si="541"/>
        <v>848</v>
      </c>
      <c r="BP229" s="1">
        <f t="shared" si="542"/>
        <v>0</v>
      </c>
      <c r="BQ229" s="1">
        <f t="shared" si="522"/>
        <v>11264</v>
      </c>
    </row>
    <row r="230" spans="2:69" s="10" customFormat="1" ht="15" customHeight="1" x14ac:dyDescent="0.25">
      <c r="B230" s="2"/>
      <c r="C230" t="s">
        <v>6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17"/>
      <c r="AI230" s="1"/>
      <c r="AJ230" s="1"/>
      <c r="AK230" s="1"/>
      <c r="AL230" s="117"/>
      <c r="AM230" s="1"/>
      <c r="AN230" s="1"/>
      <c r="AO230" s="1"/>
      <c r="AP230" s="1"/>
      <c r="AQ230" s="1"/>
      <c r="AR230" s="3">
        <f t="shared" si="533"/>
        <v>0</v>
      </c>
      <c r="AS230" s="11"/>
      <c r="AT230" s="1">
        <f>+[1]PassVol!$AU230</f>
        <v>4677</v>
      </c>
      <c r="AU230" s="1">
        <f t="shared" si="520"/>
        <v>-4677</v>
      </c>
      <c r="AV230" s="1">
        <f t="shared" si="523"/>
        <v>0</v>
      </c>
      <c r="AW230" s="1">
        <f t="shared" si="524"/>
        <v>0</v>
      </c>
      <c r="AX230" s="1">
        <f t="shared" si="525"/>
        <v>0</v>
      </c>
      <c r="AY230" s="1">
        <f t="shared" si="526"/>
        <v>0</v>
      </c>
      <c r="AZ230" s="1">
        <f t="shared" si="527"/>
        <v>0</v>
      </c>
      <c r="BA230" s="1">
        <f t="shared" si="528"/>
        <v>0</v>
      </c>
      <c r="BB230" s="1">
        <f t="shared" si="529"/>
        <v>0</v>
      </c>
      <c r="BC230" s="1">
        <f t="shared" si="530"/>
        <v>0</v>
      </c>
      <c r="BD230" s="1">
        <f t="shared" si="531"/>
        <v>0</v>
      </c>
      <c r="BE230" s="1">
        <f t="shared" si="532"/>
        <v>0</v>
      </c>
      <c r="BG230" s="1">
        <f t="shared" si="534"/>
        <v>0</v>
      </c>
      <c r="BH230" s="1">
        <f t="shared" si="534"/>
        <v>0</v>
      </c>
      <c r="BI230" s="1">
        <f t="shared" si="535"/>
        <v>0</v>
      </c>
      <c r="BJ230" s="1">
        <f t="shared" si="536"/>
        <v>0</v>
      </c>
      <c r="BK230" s="1">
        <f t="shared" si="537"/>
        <v>0</v>
      </c>
      <c r="BL230" s="1">
        <f t="shared" si="538"/>
        <v>0</v>
      </c>
      <c r="BM230" s="1">
        <f t="shared" si="539"/>
        <v>0</v>
      </c>
      <c r="BN230" s="1">
        <f t="shared" si="540"/>
        <v>0</v>
      </c>
      <c r="BO230" s="1">
        <f t="shared" si="541"/>
        <v>0</v>
      </c>
      <c r="BP230" s="1">
        <f t="shared" si="542"/>
        <v>0</v>
      </c>
      <c r="BQ230" s="1">
        <f t="shared" si="522"/>
        <v>0</v>
      </c>
    </row>
    <row r="231" spans="2:69" s="10" customFormat="1" ht="15" customHeight="1" x14ac:dyDescent="0.25">
      <c r="B231" s="2"/>
      <c r="C231" t="s">
        <v>262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17"/>
      <c r="AI231" s="1"/>
      <c r="AJ231" s="1"/>
      <c r="AK231" s="1"/>
      <c r="AL231" s="117"/>
      <c r="AM231" s="1"/>
      <c r="AN231" s="1"/>
      <c r="AO231" s="1"/>
      <c r="AP231" s="1"/>
      <c r="AQ231" s="1"/>
      <c r="AR231" s="3">
        <f t="shared" si="533"/>
        <v>0</v>
      </c>
      <c r="AS231" s="11"/>
      <c r="AT231" s="1">
        <f>+[1]PassVol!$AU231</f>
        <v>0</v>
      </c>
      <c r="AU231" s="1">
        <f t="shared" si="520"/>
        <v>0</v>
      </c>
      <c r="AV231" s="1">
        <f t="shared" si="523"/>
        <v>0</v>
      </c>
      <c r="AW231" s="1">
        <f t="shared" si="524"/>
        <v>0</v>
      </c>
      <c r="AX231" s="1">
        <f t="shared" si="525"/>
        <v>0</v>
      </c>
      <c r="AY231" s="1">
        <f t="shared" si="526"/>
        <v>0</v>
      </c>
      <c r="AZ231" s="1">
        <f t="shared" si="527"/>
        <v>0</v>
      </c>
      <c r="BA231" s="1">
        <f t="shared" si="528"/>
        <v>0</v>
      </c>
      <c r="BB231" s="1">
        <f t="shared" si="529"/>
        <v>0</v>
      </c>
      <c r="BC231" s="1">
        <f t="shared" si="530"/>
        <v>0</v>
      </c>
      <c r="BD231" s="1">
        <f t="shared" si="531"/>
        <v>0</v>
      </c>
      <c r="BE231" s="1">
        <f t="shared" si="532"/>
        <v>0</v>
      </c>
      <c r="BG231" s="1">
        <f t="shared" si="534"/>
        <v>0</v>
      </c>
      <c r="BH231" s="1">
        <f t="shared" si="534"/>
        <v>0</v>
      </c>
      <c r="BI231" s="1">
        <f t="shared" si="535"/>
        <v>0</v>
      </c>
      <c r="BJ231" s="1">
        <f t="shared" si="536"/>
        <v>0</v>
      </c>
      <c r="BK231" s="1">
        <f t="shared" si="537"/>
        <v>0</v>
      </c>
      <c r="BL231" s="1">
        <f t="shared" si="538"/>
        <v>0</v>
      </c>
      <c r="BM231" s="1">
        <f t="shared" si="539"/>
        <v>0</v>
      </c>
      <c r="BN231" s="1">
        <f t="shared" si="540"/>
        <v>0</v>
      </c>
      <c r="BO231" s="1">
        <f t="shared" si="541"/>
        <v>0</v>
      </c>
      <c r="BP231" s="1">
        <f t="shared" si="542"/>
        <v>0</v>
      </c>
      <c r="BQ231" s="1">
        <f t="shared" si="522"/>
        <v>0</v>
      </c>
    </row>
    <row r="232" spans="2:69" s="10" customFormat="1" ht="15" customHeight="1" x14ac:dyDescent="0.25">
      <c r="B232" s="2"/>
      <c r="C232" t="s">
        <v>42</v>
      </c>
      <c r="D232" s="1"/>
      <c r="E232" s="1"/>
      <c r="F232" s="1"/>
      <c r="G232" s="1"/>
      <c r="H232" s="1"/>
      <c r="I232" s="1"/>
      <c r="J232" s="1"/>
      <c r="K232" s="1">
        <v>25</v>
      </c>
      <c r="L232" s="1">
        <v>180</v>
      </c>
      <c r="M232" s="1"/>
      <c r="N232" s="1">
        <v>9</v>
      </c>
      <c r="O232" s="1">
        <v>30</v>
      </c>
      <c r="P232" s="1">
        <v>6</v>
      </c>
      <c r="Q232" s="1">
        <v>78</v>
      </c>
      <c r="R232" s="1"/>
      <c r="S232" s="1">
        <v>45</v>
      </c>
      <c r="T232" s="1">
        <v>41</v>
      </c>
      <c r="U232" s="1">
        <v>21</v>
      </c>
      <c r="V232" s="1">
        <v>7</v>
      </c>
      <c r="W232" s="1">
        <v>36</v>
      </c>
      <c r="X232" s="1">
        <v>10</v>
      </c>
      <c r="Y232" s="1"/>
      <c r="Z232" s="1">
        <v>1</v>
      </c>
      <c r="AA232" s="1">
        <v>33</v>
      </c>
      <c r="AB232" s="1"/>
      <c r="AC232" s="1">
        <v>4</v>
      </c>
      <c r="AD232" s="1"/>
      <c r="AE232" s="1">
        <v>5</v>
      </c>
      <c r="AF232" s="1">
        <v>2</v>
      </c>
      <c r="AG232" s="1">
        <v>30</v>
      </c>
      <c r="AH232" s="117">
        <v>14</v>
      </c>
      <c r="AI232" s="1">
        <v>8</v>
      </c>
      <c r="AJ232" s="1">
        <v>11</v>
      </c>
      <c r="AK232" s="1"/>
      <c r="AL232" s="117"/>
      <c r="AM232" s="1"/>
      <c r="AN232" s="1">
        <v>10</v>
      </c>
      <c r="AO232" s="1"/>
      <c r="AP232" s="1"/>
      <c r="AQ232" s="1"/>
      <c r="AR232" s="3">
        <f t="shared" si="533"/>
        <v>606</v>
      </c>
      <c r="AS232" s="11"/>
      <c r="AT232" s="1">
        <f>+[1]PassVol!$AU232</f>
        <v>828</v>
      </c>
      <c r="AU232" s="1">
        <f t="shared" si="520"/>
        <v>-222</v>
      </c>
      <c r="AV232" s="1">
        <f t="shared" si="523"/>
        <v>0</v>
      </c>
      <c r="AW232" s="1">
        <f t="shared" si="524"/>
        <v>25</v>
      </c>
      <c r="AX232" s="1">
        <f t="shared" si="525"/>
        <v>225</v>
      </c>
      <c r="AY232" s="1">
        <f t="shared" si="526"/>
        <v>164</v>
      </c>
      <c r="AZ232" s="1">
        <f t="shared" si="527"/>
        <v>74</v>
      </c>
      <c r="BA232" s="1">
        <f t="shared" si="528"/>
        <v>38</v>
      </c>
      <c r="BB232" s="1">
        <f t="shared" si="529"/>
        <v>37</v>
      </c>
      <c r="BC232" s="1">
        <f t="shared" si="530"/>
        <v>33</v>
      </c>
      <c r="BD232" s="1">
        <f t="shared" si="531"/>
        <v>10</v>
      </c>
      <c r="BE232" s="1">
        <f t="shared" si="532"/>
        <v>0</v>
      </c>
      <c r="BG232" s="1">
        <f t="shared" si="534"/>
        <v>0</v>
      </c>
      <c r="BH232" s="1">
        <f t="shared" si="534"/>
        <v>200</v>
      </c>
      <c r="BI232" s="1">
        <f t="shared" si="535"/>
        <v>1800</v>
      </c>
      <c r="BJ232" s="1">
        <f t="shared" si="536"/>
        <v>1312</v>
      </c>
      <c r="BK232" s="1">
        <f t="shared" si="537"/>
        <v>592</v>
      </c>
      <c r="BL232" s="1">
        <f t="shared" si="538"/>
        <v>304</v>
      </c>
      <c r="BM232" s="1">
        <f t="shared" si="539"/>
        <v>296</v>
      </c>
      <c r="BN232" s="1">
        <f t="shared" si="540"/>
        <v>264</v>
      </c>
      <c r="BO232" s="1">
        <f t="shared" si="541"/>
        <v>80</v>
      </c>
      <c r="BP232" s="1">
        <f t="shared" si="542"/>
        <v>0</v>
      </c>
      <c r="BQ232" s="1">
        <f t="shared" si="522"/>
        <v>4848</v>
      </c>
    </row>
    <row r="233" spans="2:69" s="10" customFormat="1" ht="15" customHeight="1" x14ac:dyDescent="0.25">
      <c r="B233" s="2"/>
      <c r="C233" t="s">
        <v>192</v>
      </c>
      <c r="D233" s="1"/>
      <c r="E233" s="1"/>
      <c r="F233" s="1"/>
      <c r="G233" s="1">
        <v>49</v>
      </c>
      <c r="H233" s="1"/>
      <c r="I233" s="1">
        <v>21</v>
      </c>
      <c r="J233" s="1">
        <v>50</v>
      </c>
      <c r="K233" s="1"/>
      <c r="L233" s="1"/>
      <c r="M233" s="1"/>
      <c r="N233" s="1">
        <v>6</v>
      </c>
      <c r="O233" s="1">
        <v>9</v>
      </c>
      <c r="P233" s="1">
        <v>20</v>
      </c>
      <c r="Q233" s="1">
        <v>73</v>
      </c>
      <c r="R233" s="1">
        <v>28</v>
      </c>
      <c r="S233" s="1">
        <v>65</v>
      </c>
      <c r="T233" s="1">
        <v>22</v>
      </c>
      <c r="U233" s="1">
        <v>58</v>
      </c>
      <c r="V233" s="1">
        <v>59</v>
      </c>
      <c r="W233" s="1">
        <v>41</v>
      </c>
      <c r="X233" s="1">
        <v>66</v>
      </c>
      <c r="Y233" s="1">
        <v>4</v>
      </c>
      <c r="Z233" s="1">
        <v>8</v>
      </c>
      <c r="AA233" s="1">
        <v>24</v>
      </c>
      <c r="AB233" s="1">
        <v>49</v>
      </c>
      <c r="AC233" s="1">
        <v>28</v>
      </c>
      <c r="AD233" s="1">
        <v>18</v>
      </c>
      <c r="AE233" s="1"/>
      <c r="AF233" s="1"/>
      <c r="AG233" s="1"/>
      <c r="AH233" s="117">
        <v>14</v>
      </c>
      <c r="AI233" s="1">
        <v>6</v>
      </c>
      <c r="AJ233" s="1">
        <v>25</v>
      </c>
      <c r="AK233" s="1"/>
      <c r="AL233" s="117"/>
      <c r="AM233" s="1"/>
      <c r="AN233" s="1"/>
      <c r="AO233" s="1"/>
      <c r="AP233" s="1"/>
      <c r="AQ233" s="1"/>
      <c r="AR233" s="3">
        <f t="shared" si="533"/>
        <v>743</v>
      </c>
      <c r="AS233" s="11"/>
      <c r="AT233" s="1">
        <f>+[1]PassVol!$AU233</f>
        <v>796</v>
      </c>
      <c r="AU233" s="1">
        <f t="shared" si="520"/>
        <v>-53</v>
      </c>
      <c r="AV233" s="1">
        <f t="shared" si="523"/>
        <v>49</v>
      </c>
      <c r="AW233" s="1">
        <f t="shared" si="524"/>
        <v>71</v>
      </c>
      <c r="AX233" s="1">
        <f t="shared" si="525"/>
        <v>35</v>
      </c>
      <c r="AY233" s="1">
        <f t="shared" si="526"/>
        <v>188</v>
      </c>
      <c r="AZ233" s="1">
        <f t="shared" si="527"/>
        <v>224</v>
      </c>
      <c r="BA233" s="1">
        <f t="shared" si="528"/>
        <v>113</v>
      </c>
      <c r="BB233" s="1">
        <f t="shared" si="529"/>
        <v>18</v>
      </c>
      <c r="BC233" s="1">
        <f t="shared" si="530"/>
        <v>45</v>
      </c>
      <c r="BD233" s="1">
        <f t="shared" si="531"/>
        <v>0</v>
      </c>
      <c r="BE233" s="1">
        <f t="shared" si="532"/>
        <v>0</v>
      </c>
      <c r="BG233" s="1">
        <f t="shared" si="534"/>
        <v>392</v>
      </c>
      <c r="BH233" s="1">
        <f t="shared" si="534"/>
        <v>568</v>
      </c>
      <c r="BI233" s="1">
        <f t="shared" si="535"/>
        <v>280</v>
      </c>
      <c r="BJ233" s="1">
        <f t="shared" si="536"/>
        <v>1504</v>
      </c>
      <c r="BK233" s="1">
        <f t="shared" si="537"/>
        <v>1792</v>
      </c>
      <c r="BL233" s="1">
        <f t="shared" si="538"/>
        <v>904</v>
      </c>
      <c r="BM233" s="1">
        <f t="shared" si="539"/>
        <v>144</v>
      </c>
      <c r="BN233" s="1">
        <f t="shared" si="540"/>
        <v>360</v>
      </c>
      <c r="BO233" s="1">
        <f t="shared" si="541"/>
        <v>0</v>
      </c>
      <c r="BP233" s="1">
        <f t="shared" si="542"/>
        <v>0</v>
      </c>
      <c r="BQ233" s="1">
        <f t="shared" si="522"/>
        <v>5552</v>
      </c>
    </row>
    <row r="234" spans="2:69" s="10" customFormat="1" ht="15" customHeight="1" x14ac:dyDescent="0.25">
      <c r="B234" s="2"/>
      <c r="C234" t="s">
        <v>133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>
        <v>7</v>
      </c>
      <c r="S234" s="1">
        <v>2</v>
      </c>
      <c r="T234" s="1"/>
      <c r="U234" s="1">
        <v>1</v>
      </c>
      <c r="V234" s="1">
        <v>1</v>
      </c>
      <c r="W234" s="1"/>
      <c r="X234" s="1"/>
      <c r="Y234" s="1"/>
      <c r="Z234" s="1">
        <v>2</v>
      </c>
      <c r="AA234" s="1">
        <v>2</v>
      </c>
      <c r="AB234" s="1"/>
      <c r="AC234" s="1"/>
      <c r="AD234" s="1">
        <v>3</v>
      </c>
      <c r="AE234" s="1"/>
      <c r="AF234" s="1">
        <v>24</v>
      </c>
      <c r="AG234" s="1"/>
      <c r="AH234" s="117"/>
      <c r="AI234" s="1"/>
      <c r="AJ234" s="1"/>
      <c r="AK234" s="1"/>
      <c r="AL234" s="117"/>
      <c r="AM234" s="1"/>
      <c r="AN234" s="1"/>
      <c r="AO234" s="1"/>
      <c r="AP234" s="1"/>
      <c r="AQ234" s="1"/>
      <c r="AR234" s="3">
        <f t="shared" si="533"/>
        <v>42</v>
      </c>
      <c r="AS234" s="11"/>
      <c r="AT234" s="1">
        <f>+[1]PassVol!$AU234</f>
        <v>150</v>
      </c>
      <c r="AU234" s="1">
        <f t="shared" si="520"/>
        <v>-108</v>
      </c>
      <c r="AV234" s="1">
        <f t="shared" si="523"/>
        <v>0</v>
      </c>
      <c r="AW234" s="1">
        <f t="shared" si="524"/>
        <v>0</v>
      </c>
      <c r="AX234" s="1">
        <f t="shared" si="525"/>
        <v>0</v>
      </c>
      <c r="AY234" s="1">
        <f t="shared" si="526"/>
        <v>9</v>
      </c>
      <c r="AZ234" s="1">
        <f t="shared" si="527"/>
        <v>2</v>
      </c>
      <c r="BA234" s="1">
        <f t="shared" si="528"/>
        <v>4</v>
      </c>
      <c r="BB234" s="1">
        <f t="shared" si="529"/>
        <v>27</v>
      </c>
      <c r="BC234" s="1">
        <f t="shared" si="530"/>
        <v>0</v>
      </c>
      <c r="BD234" s="1">
        <f t="shared" si="531"/>
        <v>0</v>
      </c>
      <c r="BE234" s="1">
        <f t="shared" si="532"/>
        <v>0</v>
      </c>
      <c r="BG234" s="1">
        <f t="shared" si="534"/>
        <v>0</v>
      </c>
      <c r="BH234" s="1">
        <f t="shared" si="534"/>
        <v>0</v>
      </c>
      <c r="BI234" s="1">
        <f t="shared" si="535"/>
        <v>0</v>
      </c>
      <c r="BJ234" s="1">
        <f t="shared" si="536"/>
        <v>72</v>
      </c>
      <c r="BK234" s="1">
        <f t="shared" si="537"/>
        <v>16</v>
      </c>
      <c r="BL234" s="1">
        <f t="shared" si="538"/>
        <v>32</v>
      </c>
      <c r="BM234" s="1">
        <f t="shared" si="539"/>
        <v>216</v>
      </c>
      <c r="BN234" s="1">
        <f t="shared" si="540"/>
        <v>0</v>
      </c>
      <c r="BO234" s="1">
        <f t="shared" si="541"/>
        <v>0</v>
      </c>
      <c r="BP234" s="1">
        <f t="shared" si="542"/>
        <v>0</v>
      </c>
      <c r="BQ234" s="1">
        <f t="shared" si="522"/>
        <v>336</v>
      </c>
    </row>
    <row r="235" spans="2:69" s="10" customFormat="1" ht="15" customHeight="1" x14ac:dyDescent="0.25">
      <c r="B235" s="2"/>
      <c r="C235" t="s">
        <v>41</v>
      </c>
      <c r="D235" s="1"/>
      <c r="E235" s="1"/>
      <c r="F235" s="1"/>
      <c r="G235" s="1"/>
      <c r="H235" s="1">
        <v>495</v>
      </c>
      <c r="I235" s="1"/>
      <c r="J235" s="1"/>
      <c r="K235" s="1">
        <v>24</v>
      </c>
      <c r="L235" s="1">
        <v>503</v>
      </c>
      <c r="M235" s="1">
        <v>43</v>
      </c>
      <c r="N235" s="1">
        <v>484</v>
      </c>
      <c r="O235" s="1">
        <v>40</v>
      </c>
      <c r="P235" s="1">
        <v>547</v>
      </c>
      <c r="Q235" s="1">
        <v>29</v>
      </c>
      <c r="R235" s="1">
        <v>478</v>
      </c>
      <c r="S235" s="1">
        <v>157</v>
      </c>
      <c r="T235" s="1">
        <v>438</v>
      </c>
      <c r="U235" s="1">
        <v>269</v>
      </c>
      <c r="V235" s="1">
        <v>533</v>
      </c>
      <c r="W235" s="1">
        <v>95</v>
      </c>
      <c r="X235" s="1">
        <v>525</v>
      </c>
      <c r="Y235" s="1">
        <v>556</v>
      </c>
      <c r="Z235" s="1">
        <v>66</v>
      </c>
      <c r="AA235" s="1">
        <v>37</v>
      </c>
      <c r="AB235" s="1">
        <v>57</v>
      </c>
      <c r="AC235" s="1">
        <v>10</v>
      </c>
      <c r="AD235" s="1">
        <v>53</v>
      </c>
      <c r="AE235" s="1">
        <v>42</v>
      </c>
      <c r="AF235" s="1">
        <v>52</v>
      </c>
      <c r="AG235" s="1">
        <v>24</v>
      </c>
      <c r="AH235" s="117">
        <v>35</v>
      </c>
      <c r="AI235" s="1">
        <v>77</v>
      </c>
      <c r="AJ235" s="1">
        <v>46</v>
      </c>
      <c r="AK235" s="1">
        <v>30</v>
      </c>
      <c r="AL235" s="117">
        <v>11</v>
      </c>
      <c r="AM235" s="1">
        <v>16</v>
      </c>
      <c r="AN235" s="1">
        <v>6</v>
      </c>
      <c r="AO235" s="1">
        <v>51</v>
      </c>
      <c r="AP235" s="1"/>
      <c r="AQ235" s="1"/>
      <c r="AR235" s="3">
        <f t="shared" si="533"/>
        <v>5829</v>
      </c>
      <c r="AS235" s="11"/>
      <c r="AT235" s="1">
        <f>+[1]PassVol!$AU235</f>
        <v>330</v>
      </c>
      <c r="AU235" s="1">
        <f t="shared" si="520"/>
        <v>5499</v>
      </c>
      <c r="AV235" s="1">
        <f t="shared" si="523"/>
        <v>0</v>
      </c>
      <c r="AW235" s="1">
        <f t="shared" si="524"/>
        <v>519</v>
      </c>
      <c r="AX235" s="1">
        <f t="shared" si="525"/>
        <v>1617</v>
      </c>
      <c r="AY235" s="1">
        <f t="shared" si="526"/>
        <v>1102</v>
      </c>
      <c r="AZ235" s="1">
        <f t="shared" si="527"/>
        <v>1422</v>
      </c>
      <c r="BA235" s="1">
        <f t="shared" si="528"/>
        <v>726</v>
      </c>
      <c r="BB235" s="1">
        <f t="shared" si="529"/>
        <v>171</v>
      </c>
      <c r="BC235" s="1">
        <f t="shared" si="530"/>
        <v>188</v>
      </c>
      <c r="BD235" s="1">
        <f t="shared" si="531"/>
        <v>84</v>
      </c>
      <c r="BE235" s="1">
        <f t="shared" si="532"/>
        <v>0</v>
      </c>
      <c r="BG235" s="1">
        <f t="shared" si="534"/>
        <v>0</v>
      </c>
      <c r="BH235" s="1">
        <f t="shared" si="534"/>
        <v>4152</v>
      </c>
      <c r="BI235" s="1">
        <f t="shared" si="535"/>
        <v>12936</v>
      </c>
      <c r="BJ235" s="1">
        <f t="shared" si="536"/>
        <v>8816</v>
      </c>
      <c r="BK235" s="1">
        <f t="shared" si="537"/>
        <v>11376</v>
      </c>
      <c r="BL235" s="1">
        <f t="shared" si="538"/>
        <v>5808</v>
      </c>
      <c r="BM235" s="1">
        <f t="shared" si="539"/>
        <v>1368</v>
      </c>
      <c r="BN235" s="1">
        <f t="shared" si="540"/>
        <v>1504</v>
      </c>
      <c r="BO235" s="1">
        <f t="shared" si="541"/>
        <v>672</v>
      </c>
      <c r="BP235" s="1">
        <f t="shared" si="542"/>
        <v>0</v>
      </c>
      <c r="BQ235" s="1">
        <f t="shared" si="522"/>
        <v>46632</v>
      </c>
    </row>
    <row r="236" spans="2:69" s="10" customFormat="1" ht="15" customHeight="1" x14ac:dyDescent="0.25">
      <c r="B236" s="2"/>
      <c r="C236" t="s">
        <v>193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17"/>
      <c r="AI236" s="1"/>
      <c r="AJ236" s="1"/>
      <c r="AK236" s="1"/>
      <c r="AL236" s="117"/>
      <c r="AM236" s="1"/>
      <c r="AN236" s="1"/>
      <c r="AO236" s="1"/>
      <c r="AP236" s="1"/>
      <c r="AQ236" s="1"/>
      <c r="AR236" s="3">
        <f t="shared" si="533"/>
        <v>0</v>
      </c>
      <c r="AS236" s="11"/>
      <c r="AT236" s="1">
        <f>+[1]PassVol!$AU236</f>
        <v>0</v>
      </c>
      <c r="AU236" s="1">
        <f t="shared" si="520"/>
        <v>0</v>
      </c>
      <c r="AV236" s="1">
        <f t="shared" si="523"/>
        <v>0</v>
      </c>
      <c r="AW236" s="1">
        <f t="shared" si="524"/>
        <v>0</v>
      </c>
      <c r="AX236" s="1">
        <f t="shared" si="525"/>
        <v>0</v>
      </c>
      <c r="AY236" s="1">
        <f t="shared" si="526"/>
        <v>0</v>
      </c>
      <c r="AZ236" s="1">
        <f t="shared" si="527"/>
        <v>0</v>
      </c>
      <c r="BA236" s="1">
        <f t="shared" si="528"/>
        <v>0</v>
      </c>
      <c r="BB236" s="1">
        <f t="shared" si="529"/>
        <v>0</v>
      </c>
      <c r="BC236" s="1">
        <f t="shared" si="530"/>
        <v>0</v>
      </c>
      <c r="BD236" s="1">
        <f t="shared" si="531"/>
        <v>0</v>
      </c>
      <c r="BE236" s="1">
        <f t="shared" si="532"/>
        <v>0</v>
      </c>
      <c r="BG236" s="1">
        <f t="shared" si="534"/>
        <v>0</v>
      </c>
      <c r="BH236" s="1">
        <f t="shared" si="534"/>
        <v>0</v>
      </c>
      <c r="BI236" s="1">
        <f t="shared" si="535"/>
        <v>0</v>
      </c>
      <c r="BJ236" s="1">
        <f t="shared" si="536"/>
        <v>0</v>
      </c>
      <c r="BK236" s="1">
        <f t="shared" si="537"/>
        <v>0</v>
      </c>
      <c r="BL236" s="1">
        <f t="shared" si="538"/>
        <v>0</v>
      </c>
      <c r="BM236" s="1">
        <f t="shared" si="539"/>
        <v>0</v>
      </c>
      <c r="BN236" s="1">
        <f t="shared" si="540"/>
        <v>0</v>
      </c>
      <c r="BO236" s="1">
        <f t="shared" si="541"/>
        <v>0</v>
      </c>
      <c r="BP236" s="1">
        <f t="shared" si="542"/>
        <v>0</v>
      </c>
      <c r="BQ236" s="1">
        <f t="shared" si="522"/>
        <v>0</v>
      </c>
    </row>
    <row r="237" spans="2:69" s="10" customFormat="1" ht="15" customHeight="1" x14ac:dyDescent="0.25">
      <c r="B237" s="2"/>
      <c r="C237" t="s">
        <v>297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17"/>
      <c r="AI237" s="1"/>
      <c r="AJ237" s="1"/>
      <c r="AK237" s="1"/>
      <c r="AL237" s="117"/>
      <c r="AM237" s="1"/>
      <c r="AN237" s="1"/>
      <c r="AO237" s="1"/>
      <c r="AP237" s="1"/>
      <c r="AQ237" s="1"/>
      <c r="AR237" s="3">
        <f t="shared" si="533"/>
        <v>0</v>
      </c>
      <c r="AS237" s="11"/>
      <c r="AT237" s="1">
        <f>+[1]PassVol!$AU237</f>
        <v>0</v>
      </c>
      <c r="AU237" s="1">
        <f t="shared" si="520"/>
        <v>0</v>
      </c>
      <c r="AV237" s="1">
        <f t="shared" si="523"/>
        <v>0</v>
      </c>
      <c r="AW237" s="1">
        <f t="shared" si="524"/>
        <v>0</v>
      </c>
      <c r="AX237" s="1">
        <f t="shared" si="525"/>
        <v>0</v>
      </c>
      <c r="AY237" s="1">
        <f t="shared" si="526"/>
        <v>0</v>
      </c>
      <c r="AZ237" s="1">
        <f t="shared" si="527"/>
        <v>0</v>
      </c>
      <c r="BA237" s="1">
        <f t="shared" si="528"/>
        <v>0</v>
      </c>
      <c r="BB237" s="1">
        <f t="shared" si="529"/>
        <v>0</v>
      </c>
      <c r="BC237" s="1">
        <f t="shared" si="530"/>
        <v>0</v>
      </c>
      <c r="BD237" s="1">
        <f t="shared" si="531"/>
        <v>0</v>
      </c>
      <c r="BE237" s="1">
        <f t="shared" si="532"/>
        <v>0</v>
      </c>
      <c r="BG237" s="1">
        <f t="shared" si="534"/>
        <v>0</v>
      </c>
      <c r="BH237" s="1">
        <f t="shared" si="534"/>
        <v>0</v>
      </c>
      <c r="BI237" s="1">
        <f t="shared" si="535"/>
        <v>0</v>
      </c>
      <c r="BJ237" s="1">
        <f t="shared" si="536"/>
        <v>0</v>
      </c>
      <c r="BK237" s="1">
        <f t="shared" si="537"/>
        <v>0</v>
      </c>
      <c r="BL237" s="1">
        <f t="shared" si="538"/>
        <v>0</v>
      </c>
      <c r="BM237" s="1">
        <f t="shared" si="539"/>
        <v>0</v>
      </c>
      <c r="BN237" s="1">
        <f t="shared" si="540"/>
        <v>0</v>
      </c>
      <c r="BO237" s="1">
        <f t="shared" si="541"/>
        <v>0</v>
      </c>
      <c r="BP237" s="1">
        <f t="shared" si="542"/>
        <v>0</v>
      </c>
      <c r="BQ237" s="1">
        <f t="shared" si="522"/>
        <v>0</v>
      </c>
    </row>
    <row r="238" spans="2:69" s="10" customFormat="1" ht="15" customHeight="1" x14ac:dyDescent="0.25">
      <c r="B238" s="2"/>
      <c r="C238" t="s">
        <v>296</v>
      </c>
      <c r="D238" s="1"/>
      <c r="E238" s="1"/>
      <c r="F238" s="1"/>
      <c r="G238" s="1">
        <v>24</v>
      </c>
      <c r="H238" s="1"/>
      <c r="I238" s="1"/>
      <c r="J238" s="1"/>
      <c r="K238" s="1"/>
      <c r="L238" s="1">
        <v>16</v>
      </c>
      <c r="M238" s="1">
        <v>7</v>
      </c>
      <c r="N238" s="1">
        <v>9</v>
      </c>
      <c r="O238" s="1">
        <v>9</v>
      </c>
      <c r="P238" s="1">
        <v>9</v>
      </c>
      <c r="Q238" s="1">
        <v>21</v>
      </c>
      <c r="R238" s="1">
        <v>14</v>
      </c>
      <c r="S238" s="1">
        <v>18</v>
      </c>
      <c r="T238" s="1">
        <v>26</v>
      </c>
      <c r="U238" s="1">
        <v>17</v>
      </c>
      <c r="V238" s="1">
        <v>15</v>
      </c>
      <c r="W238" s="1">
        <v>5</v>
      </c>
      <c r="X238" s="1">
        <v>7</v>
      </c>
      <c r="Y238" s="1">
        <v>13</v>
      </c>
      <c r="Z238" s="1">
        <v>10</v>
      </c>
      <c r="AA238" s="1">
        <v>19</v>
      </c>
      <c r="AB238" s="1">
        <v>18</v>
      </c>
      <c r="AC238" s="1">
        <v>6</v>
      </c>
      <c r="AD238" s="1"/>
      <c r="AE238" s="1">
        <v>20</v>
      </c>
      <c r="AF238" s="1"/>
      <c r="AG238" s="1"/>
      <c r="AH238" s="117">
        <v>4</v>
      </c>
      <c r="AI238" s="1"/>
      <c r="AJ238" s="1">
        <v>7</v>
      </c>
      <c r="AK238" s="1"/>
      <c r="AL238" s="117"/>
      <c r="AM238" s="1">
        <v>6</v>
      </c>
      <c r="AN238" s="1"/>
      <c r="AO238" s="1"/>
      <c r="AP238" s="1"/>
      <c r="AQ238" s="1"/>
      <c r="AR238" s="3">
        <f t="shared" si="533"/>
        <v>300</v>
      </c>
      <c r="AS238" s="11"/>
      <c r="AT238" s="1">
        <f>+[1]PassVol!$AU238</f>
        <v>67</v>
      </c>
      <c r="AU238" s="1">
        <f t="shared" si="520"/>
        <v>233</v>
      </c>
      <c r="AV238" s="1">
        <f t="shared" si="523"/>
        <v>24</v>
      </c>
      <c r="AW238" s="1">
        <f t="shared" si="524"/>
        <v>0</v>
      </c>
      <c r="AX238" s="1">
        <f t="shared" si="525"/>
        <v>50</v>
      </c>
      <c r="AY238" s="1">
        <f t="shared" si="526"/>
        <v>79</v>
      </c>
      <c r="AZ238" s="1">
        <f t="shared" si="527"/>
        <v>44</v>
      </c>
      <c r="BA238" s="1">
        <f t="shared" si="528"/>
        <v>66</v>
      </c>
      <c r="BB238" s="1">
        <f t="shared" si="529"/>
        <v>20</v>
      </c>
      <c r="BC238" s="1">
        <f t="shared" si="530"/>
        <v>11</v>
      </c>
      <c r="BD238" s="1">
        <f t="shared" si="531"/>
        <v>6</v>
      </c>
      <c r="BE238" s="1">
        <f t="shared" si="532"/>
        <v>0</v>
      </c>
      <c r="BG238" s="1">
        <f t="shared" si="534"/>
        <v>192</v>
      </c>
      <c r="BH238" s="1">
        <f t="shared" si="534"/>
        <v>0</v>
      </c>
      <c r="BI238" s="1">
        <f t="shared" si="535"/>
        <v>400</v>
      </c>
      <c r="BJ238" s="1">
        <f t="shared" si="536"/>
        <v>632</v>
      </c>
      <c r="BK238" s="1">
        <f t="shared" si="537"/>
        <v>352</v>
      </c>
      <c r="BL238" s="1">
        <f t="shared" si="538"/>
        <v>528</v>
      </c>
      <c r="BM238" s="1">
        <f t="shared" si="539"/>
        <v>160</v>
      </c>
      <c r="BN238" s="1">
        <f t="shared" si="540"/>
        <v>88</v>
      </c>
      <c r="BO238" s="1">
        <f t="shared" si="541"/>
        <v>48</v>
      </c>
      <c r="BP238" s="1">
        <f t="shared" si="542"/>
        <v>0</v>
      </c>
      <c r="BQ238" s="1">
        <f t="shared" si="522"/>
        <v>2208</v>
      </c>
    </row>
    <row r="239" spans="2:69" s="10" customFormat="1" ht="15" customHeight="1" x14ac:dyDescent="0.25">
      <c r="B239" s="2"/>
      <c r="C239" t="s">
        <v>44</v>
      </c>
      <c r="D239" s="1"/>
      <c r="E239" s="1"/>
      <c r="F239" s="1"/>
      <c r="G239" s="1">
        <f>2686-2496</f>
        <v>190</v>
      </c>
      <c r="H239" s="1">
        <f>751-503</f>
        <v>248</v>
      </c>
      <c r="I239" s="1">
        <f>134-41</f>
        <v>93</v>
      </c>
      <c r="J239" s="1">
        <f>725-607</f>
        <v>118</v>
      </c>
      <c r="K239" s="1">
        <f>1941-1663</f>
        <v>278</v>
      </c>
      <c r="L239" s="1">
        <f>1748-1236</f>
        <v>512</v>
      </c>
      <c r="M239" s="1">
        <f>1886-1403</f>
        <v>483</v>
      </c>
      <c r="N239" s="1">
        <f>1808-1290</f>
        <v>518</v>
      </c>
      <c r="O239" s="1">
        <f>1421-904</f>
        <v>517</v>
      </c>
      <c r="P239" s="1">
        <f>2316-1367+5</f>
        <v>954</v>
      </c>
      <c r="Q239" s="1">
        <f>2285-1582</f>
        <v>703</v>
      </c>
      <c r="R239" s="1">
        <f>1914-1116-7</f>
        <v>791</v>
      </c>
      <c r="S239" s="1">
        <f>2762-1516</f>
        <v>1246</v>
      </c>
      <c r="T239" s="1">
        <f>2723-1684</f>
        <v>1039</v>
      </c>
      <c r="U239" s="1">
        <f>3014-1931</f>
        <v>1083</v>
      </c>
      <c r="V239" s="1">
        <f>2219-1461</f>
        <v>758</v>
      </c>
      <c r="W239" s="1">
        <f>2259-1295</f>
        <v>964</v>
      </c>
      <c r="X239" s="1">
        <f>2698-1944</f>
        <v>754</v>
      </c>
      <c r="Y239" s="1">
        <f>2438-1724</f>
        <v>714</v>
      </c>
      <c r="Z239" s="1">
        <f>1557-911</f>
        <v>646</v>
      </c>
      <c r="AA239" s="1">
        <f>1703-1237</f>
        <v>466</v>
      </c>
      <c r="AB239" s="1">
        <f>1281-994</f>
        <v>287</v>
      </c>
      <c r="AC239" s="1">
        <f>976-684</f>
        <v>292</v>
      </c>
      <c r="AD239" s="1">
        <f>1010-853</f>
        <v>157</v>
      </c>
      <c r="AE239" s="1">
        <f>614-413</f>
        <v>201</v>
      </c>
      <c r="AF239" s="1">
        <f>362-237</f>
        <v>125</v>
      </c>
      <c r="AG239" s="1">
        <f>475-383</f>
        <v>92</v>
      </c>
      <c r="AH239" s="117">
        <f>724-478</f>
        <v>246</v>
      </c>
      <c r="AI239" s="1">
        <f>583-532</f>
        <v>51</v>
      </c>
      <c r="AJ239" s="1">
        <f>1464-1165</f>
        <v>299</v>
      </c>
      <c r="AK239" s="1">
        <f>319-176</f>
        <v>143</v>
      </c>
      <c r="AL239" s="117">
        <f>351-299</f>
        <v>52</v>
      </c>
      <c r="AM239" s="1">
        <f>233-198</f>
        <v>35</v>
      </c>
      <c r="AN239" s="1">
        <f>231-182</f>
        <v>49</v>
      </c>
      <c r="AO239" s="1">
        <v>0</v>
      </c>
      <c r="AP239" s="1">
        <f>36-19</f>
        <v>17</v>
      </c>
      <c r="AQ239" s="1"/>
      <c r="AR239" s="3">
        <f t="shared" si="533"/>
        <v>15121</v>
      </c>
      <c r="AS239" s="11"/>
      <c r="AT239" s="1">
        <f>+[1]PassVol!$AU239</f>
        <v>8523</v>
      </c>
      <c r="AU239" s="1">
        <f t="shared" si="520"/>
        <v>6598</v>
      </c>
      <c r="AV239" s="1">
        <f t="shared" si="523"/>
        <v>190</v>
      </c>
      <c r="AW239" s="1">
        <f t="shared" si="524"/>
        <v>737</v>
      </c>
      <c r="AX239" s="1">
        <f t="shared" si="525"/>
        <v>2984</v>
      </c>
      <c r="AY239" s="1">
        <f t="shared" si="526"/>
        <v>3779</v>
      </c>
      <c r="AZ239" s="1">
        <f t="shared" si="527"/>
        <v>3559</v>
      </c>
      <c r="BA239" s="1">
        <f t="shared" si="528"/>
        <v>2405</v>
      </c>
      <c r="BB239" s="1">
        <f t="shared" si="529"/>
        <v>575</v>
      </c>
      <c r="BC239" s="1">
        <f t="shared" si="530"/>
        <v>739</v>
      </c>
      <c r="BD239" s="1">
        <f t="shared" si="531"/>
        <v>153</v>
      </c>
      <c r="BE239" s="1">
        <f t="shared" si="532"/>
        <v>0</v>
      </c>
      <c r="BG239" s="1">
        <f t="shared" si="534"/>
        <v>1520</v>
      </c>
      <c r="BH239" s="1">
        <f t="shared" si="534"/>
        <v>5896</v>
      </c>
      <c r="BI239" s="1">
        <f t="shared" si="535"/>
        <v>23872</v>
      </c>
      <c r="BJ239" s="1">
        <f t="shared" si="536"/>
        <v>30232</v>
      </c>
      <c r="BK239" s="1">
        <f t="shared" si="537"/>
        <v>28472</v>
      </c>
      <c r="BL239" s="1">
        <f t="shared" si="538"/>
        <v>19240</v>
      </c>
      <c r="BM239" s="1">
        <f t="shared" si="539"/>
        <v>4600</v>
      </c>
      <c r="BN239" s="1">
        <f t="shared" si="540"/>
        <v>5912</v>
      </c>
      <c r="BO239" s="1">
        <f t="shared" si="541"/>
        <v>1224</v>
      </c>
      <c r="BP239" s="1">
        <f t="shared" si="542"/>
        <v>0</v>
      </c>
      <c r="BQ239" s="1">
        <f t="shared" si="522"/>
        <v>119448</v>
      </c>
    </row>
    <row r="240" spans="2:69" s="36" customFormat="1" ht="15" customHeight="1" x14ac:dyDescent="0.25">
      <c r="B240" s="2" t="s">
        <v>267</v>
      </c>
      <c r="C240" s="2"/>
      <c r="D240" s="3">
        <f t="shared" ref="D240:AQ240" si="543">SUM(D221:D239)</f>
        <v>0</v>
      </c>
      <c r="E240" s="3">
        <f t="shared" si="543"/>
        <v>0</v>
      </c>
      <c r="F240" s="3">
        <f t="shared" si="543"/>
        <v>0</v>
      </c>
      <c r="G240" s="3">
        <f t="shared" si="543"/>
        <v>2686</v>
      </c>
      <c r="H240" s="3">
        <f t="shared" si="543"/>
        <v>751</v>
      </c>
      <c r="I240" s="3">
        <f t="shared" si="543"/>
        <v>134</v>
      </c>
      <c r="J240" s="3">
        <f t="shared" si="543"/>
        <v>725</v>
      </c>
      <c r="K240" s="3">
        <f t="shared" si="543"/>
        <v>1941</v>
      </c>
      <c r="L240" s="3">
        <f t="shared" si="543"/>
        <v>1748</v>
      </c>
      <c r="M240" s="3">
        <f t="shared" si="543"/>
        <v>1886</v>
      </c>
      <c r="N240" s="3">
        <f t="shared" si="543"/>
        <v>1808</v>
      </c>
      <c r="O240" s="3">
        <f t="shared" si="543"/>
        <v>1421</v>
      </c>
      <c r="P240" s="3">
        <f t="shared" si="543"/>
        <v>2321</v>
      </c>
      <c r="Q240" s="3">
        <f t="shared" si="543"/>
        <v>2285</v>
      </c>
      <c r="R240" s="3">
        <f t="shared" si="543"/>
        <v>1914</v>
      </c>
      <c r="S240" s="3">
        <f t="shared" si="543"/>
        <v>2762</v>
      </c>
      <c r="T240" s="3">
        <f t="shared" si="543"/>
        <v>2723</v>
      </c>
      <c r="U240" s="3">
        <f t="shared" si="543"/>
        <v>3014</v>
      </c>
      <c r="V240" s="3">
        <f t="shared" si="543"/>
        <v>2219</v>
      </c>
      <c r="W240" s="3">
        <f t="shared" si="543"/>
        <v>2259</v>
      </c>
      <c r="X240" s="3">
        <f t="shared" si="543"/>
        <v>2698</v>
      </c>
      <c r="Y240" s="3">
        <f t="shared" si="543"/>
        <v>2437</v>
      </c>
      <c r="Z240" s="3">
        <f t="shared" si="543"/>
        <v>1557</v>
      </c>
      <c r="AA240" s="3">
        <f t="shared" si="543"/>
        <v>1703</v>
      </c>
      <c r="AB240" s="3">
        <f t="shared" si="543"/>
        <v>1281</v>
      </c>
      <c r="AC240" s="3">
        <f t="shared" si="543"/>
        <v>982</v>
      </c>
      <c r="AD240" s="3">
        <f t="shared" si="543"/>
        <v>1010</v>
      </c>
      <c r="AE240" s="3">
        <f t="shared" si="543"/>
        <v>614</v>
      </c>
      <c r="AF240" s="3">
        <f t="shared" si="543"/>
        <v>362</v>
      </c>
      <c r="AG240" s="3">
        <f t="shared" si="543"/>
        <v>475</v>
      </c>
      <c r="AH240" s="150">
        <f t="shared" si="543"/>
        <v>724</v>
      </c>
      <c r="AI240" s="3">
        <f t="shared" si="543"/>
        <v>583</v>
      </c>
      <c r="AJ240" s="3">
        <f t="shared" si="543"/>
        <v>1464</v>
      </c>
      <c r="AK240" s="3">
        <f t="shared" si="543"/>
        <v>319</v>
      </c>
      <c r="AL240" s="150">
        <f t="shared" si="543"/>
        <v>351</v>
      </c>
      <c r="AM240" s="3">
        <f t="shared" si="543"/>
        <v>233</v>
      </c>
      <c r="AN240" s="3">
        <f t="shared" si="543"/>
        <v>231</v>
      </c>
      <c r="AO240" s="3">
        <f t="shared" si="543"/>
        <v>51</v>
      </c>
      <c r="AP240" s="3">
        <f t="shared" si="543"/>
        <v>36</v>
      </c>
      <c r="AQ240" s="3">
        <f t="shared" si="543"/>
        <v>0</v>
      </c>
      <c r="AR240" s="3">
        <f t="shared" ref="AR240" si="544">SUM(AR221:AR239)</f>
        <v>49708</v>
      </c>
      <c r="AS240" s="35"/>
      <c r="AT240" s="1">
        <f>SUM(AT221:AT239)</f>
        <v>29873</v>
      </c>
      <c r="AU240" s="1">
        <f>SUM(AU221:AU239)</f>
        <v>19835</v>
      </c>
      <c r="AV240" s="3">
        <f>SUM(AV221:AV239)</f>
        <v>2686</v>
      </c>
      <c r="AW240" s="3">
        <f>SUM(AW221:AW239)</f>
        <v>3551</v>
      </c>
      <c r="AX240" s="3">
        <f t="shared" ref="AX240:BE240" si="545">SUM(AX221:AX239)</f>
        <v>9184</v>
      </c>
      <c r="AY240" s="3">
        <f t="shared" si="545"/>
        <v>9684</v>
      </c>
      <c r="AZ240" s="3">
        <f t="shared" si="545"/>
        <v>10190</v>
      </c>
      <c r="BA240" s="3">
        <f t="shared" si="545"/>
        <v>7960</v>
      </c>
      <c r="BB240" s="3">
        <f t="shared" si="545"/>
        <v>2461</v>
      </c>
      <c r="BC240" s="3">
        <f t="shared" si="545"/>
        <v>3090</v>
      </c>
      <c r="BD240" s="3">
        <f t="shared" si="545"/>
        <v>902</v>
      </c>
      <c r="BE240" s="3">
        <f t="shared" si="545"/>
        <v>0</v>
      </c>
      <c r="BG240" s="35">
        <f>SUM(BG221:BG239)</f>
        <v>21488</v>
      </c>
      <c r="BH240" s="35">
        <f>SUM(BH221:BH239)</f>
        <v>28408</v>
      </c>
      <c r="BI240" s="35">
        <f t="shared" ref="BI240:BQ240" si="546">SUM(BI221:BI239)</f>
        <v>73472</v>
      </c>
      <c r="BJ240" s="35">
        <f t="shared" si="546"/>
        <v>77472</v>
      </c>
      <c r="BK240" s="35">
        <f t="shared" si="546"/>
        <v>81520</v>
      </c>
      <c r="BL240" s="35">
        <f t="shared" si="546"/>
        <v>63680</v>
      </c>
      <c r="BM240" s="35">
        <f t="shared" si="546"/>
        <v>19688</v>
      </c>
      <c r="BN240" s="35">
        <f t="shared" si="546"/>
        <v>24720</v>
      </c>
      <c r="BO240" s="35">
        <f t="shared" si="546"/>
        <v>7216</v>
      </c>
      <c r="BP240" s="35">
        <f t="shared" si="546"/>
        <v>0</v>
      </c>
      <c r="BQ240" s="35">
        <f t="shared" si="546"/>
        <v>376176</v>
      </c>
    </row>
    <row r="241" spans="2:69" s="10" customFormat="1" ht="15" customHeight="1" x14ac:dyDescent="0.25">
      <c r="C241" s="38" t="s">
        <v>97</v>
      </c>
      <c r="D241" s="11">
        <f>+D240</f>
        <v>0</v>
      </c>
      <c r="E241" s="11">
        <f>+D241+E240</f>
        <v>0</v>
      </c>
      <c r="F241" s="11">
        <f t="shared" ref="F241:AQ241" si="547">+E241+F240</f>
        <v>0</v>
      </c>
      <c r="G241" s="11">
        <f t="shared" si="547"/>
        <v>2686</v>
      </c>
      <c r="H241" s="11">
        <f t="shared" si="547"/>
        <v>3437</v>
      </c>
      <c r="I241" s="11">
        <f t="shared" si="547"/>
        <v>3571</v>
      </c>
      <c r="J241" s="11">
        <f t="shared" si="547"/>
        <v>4296</v>
      </c>
      <c r="K241" s="11">
        <f t="shared" si="547"/>
        <v>6237</v>
      </c>
      <c r="L241" s="11">
        <f t="shared" si="547"/>
        <v>7985</v>
      </c>
      <c r="M241" s="11">
        <f t="shared" si="547"/>
        <v>9871</v>
      </c>
      <c r="N241" s="11">
        <f t="shared" si="547"/>
        <v>11679</v>
      </c>
      <c r="O241" s="11">
        <f t="shared" si="547"/>
        <v>13100</v>
      </c>
      <c r="P241" s="11">
        <f t="shared" si="547"/>
        <v>15421</v>
      </c>
      <c r="Q241" s="11">
        <f t="shared" si="547"/>
        <v>17706</v>
      </c>
      <c r="R241" s="11">
        <f t="shared" si="547"/>
        <v>19620</v>
      </c>
      <c r="S241" s="11">
        <f t="shared" si="547"/>
        <v>22382</v>
      </c>
      <c r="T241" s="11">
        <f t="shared" si="547"/>
        <v>25105</v>
      </c>
      <c r="U241" s="11">
        <f t="shared" si="547"/>
        <v>28119</v>
      </c>
      <c r="V241" s="11">
        <f t="shared" si="547"/>
        <v>30338</v>
      </c>
      <c r="W241" s="11">
        <f t="shared" si="547"/>
        <v>32597</v>
      </c>
      <c r="X241" s="11">
        <f t="shared" si="547"/>
        <v>35295</v>
      </c>
      <c r="Y241" s="11">
        <f t="shared" si="547"/>
        <v>37732</v>
      </c>
      <c r="Z241" s="11">
        <f t="shared" si="547"/>
        <v>39289</v>
      </c>
      <c r="AA241" s="11">
        <f t="shared" si="547"/>
        <v>40992</v>
      </c>
      <c r="AB241" s="11">
        <f t="shared" si="547"/>
        <v>42273</v>
      </c>
      <c r="AC241" s="11">
        <f t="shared" si="547"/>
        <v>43255</v>
      </c>
      <c r="AD241" s="11">
        <f t="shared" si="547"/>
        <v>44265</v>
      </c>
      <c r="AE241" s="11">
        <f t="shared" si="547"/>
        <v>44879</v>
      </c>
      <c r="AF241" s="11">
        <f t="shared" si="547"/>
        <v>45241</v>
      </c>
      <c r="AG241" s="11">
        <f t="shared" si="547"/>
        <v>45716</v>
      </c>
      <c r="AH241" s="147">
        <f t="shared" si="547"/>
        <v>46440</v>
      </c>
      <c r="AI241" s="11">
        <f t="shared" si="547"/>
        <v>47023</v>
      </c>
      <c r="AJ241" s="11">
        <f t="shared" si="547"/>
        <v>48487</v>
      </c>
      <c r="AK241" s="11">
        <f t="shared" si="547"/>
        <v>48806</v>
      </c>
      <c r="AL241" s="147">
        <f t="shared" si="547"/>
        <v>49157</v>
      </c>
      <c r="AM241" s="11">
        <f t="shared" si="547"/>
        <v>49390</v>
      </c>
      <c r="AN241" s="11">
        <f t="shared" si="547"/>
        <v>49621</v>
      </c>
      <c r="AO241" s="11">
        <f t="shared" si="547"/>
        <v>49672</v>
      </c>
      <c r="AP241" s="11">
        <f t="shared" si="547"/>
        <v>49708</v>
      </c>
      <c r="AQ241" s="11">
        <f t="shared" si="547"/>
        <v>49708</v>
      </c>
      <c r="AR241" s="40"/>
      <c r="AS241" s="11"/>
      <c r="AT241" s="11"/>
      <c r="AU241" s="11"/>
      <c r="AV241" s="11">
        <f>+AV240</f>
        <v>2686</v>
      </c>
      <c r="AW241" s="1">
        <f>+AV241+AW240</f>
        <v>6237</v>
      </c>
      <c r="AX241" s="1">
        <f t="shared" ref="AX241" si="548">+AW241+AX240</f>
        <v>15421</v>
      </c>
      <c r="AY241" s="1">
        <f t="shared" ref="AY241" si="549">+AX241+AY240</f>
        <v>25105</v>
      </c>
      <c r="AZ241" s="1">
        <f t="shared" ref="AZ241" si="550">+AY241+AZ240</f>
        <v>35295</v>
      </c>
      <c r="BA241" s="1">
        <f t="shared" ref="BA241" si="551">+AZ241+BA240</f>
        <v>43255</v>
      </c>
      <c r="BB241" s="1">
        <f t="shared" ref="BB241" si="552">+BA241+BB240</f>
        <v>45716</v>
      </c>
      <c r="BC241" s="1">
        <f t="shared" ref="BC241" si="553">+BB241+BC240</f>
        <v>48806</v>
      </c>
      <c r="BD241" s="1">
        <f t="shared" ref="BD241" si="554">+BC241+BD240</f>
        <v>49708</v>
      </c>
      <c r="BE241" s="1">
        <f t="shared" ref="BE241" si="555">+BD241+BE240</f>
        <v>49708</v>
      </c>
    </row>
    <row r="242" spans="2:69" s="10" customFormat="1" ht="15" customHeight="1" x14ac:dyDescent="0.25">
      <c r="C242" s="38" t="s">
        <v>220</v>
      </c>
      <c r="D242" s="11">
        <f>+D240*8</f>
        <v>0</v>
      </c>
      <c r="E242" s="11">
        <f t="shared" ref="E242:AQ242" si="556">+E240*8</f>
        <v>0</v>
      </c>
      <c r="F242" s="11">
        <f t="shared" si="556"/>
        <v>0</v>
      </c>
      <c r="G242" s="11">
        <f t="shared" si="556"/>
        <v>21488</v>
      </c>
      <c r="H242" s="11">
        <f t="shared" si="556"/>
        <v>6008</v>
      </c>
      <c r="I242" s="11">
        <f t="shared" si="556"/>
        <v>1072</v>
      </c>
      <c r="J242" s="11">
        <f t="shared" si="556"/>
        <v>5800</v>
      </c>
      <c r="K242" s="11">
        <f t="shared" si="556"/>
        <v>15528</v>
      </c>
      <c r="L242" s="11">
        <f t="shared" si="556"/>
        <v>13984</v>
      </c>
      <c r="M242" s="11">
        <f t="shared" si="556"/>
        <v>15088</v>
      </c>
      <c r="N242" s="11">
        <f t="shared" si="556"/>
        <v>14464</v>
      </c>
      <c r="O242" s="11">
        <f t="shared" si="556"/>
        <v>11368</v>
      </c>
      <c r="P242" s="11">
        <f t="shared" si="556"/>
        <v>18568</v>
      </c>
      <c r="Q242" s="11">
        <f t="shared" si="556"/>
        <v>18280</v>
      </c>
      <c r="R242" s="11">
        <f t="shared" si="556"/>
        <v>15312</v>
      </c>
      <c r="S242" s="11">
        <f t="shared" si="556"/>
        <v>22096</v>
      </c>
      <c r="T242" s="11">
        <f t="shared" si="556"/>
        <v>21784</v>
      </c>
      <c r="U242" s="11">
        <f t="shared" si="556"/>
        <v>24112</v>
      </c>
      <c r="V242" s="11">
        <f t="shared" si="556"/>
        <v>17752</v>
      </c>
      <c r="W242" s="11">
        <f t="shared" si="556"/>
        <v>18072</v>
      </c>
      <c r="X242" s="11">
        <f t="shared" si="556"/>
        <v>21584</v>
      </c>
      <c r="Y242" s="11">
        <f t="shared" si="556"/>
        <v>19496</v>
      </c>
      <c r="Z242" s="11">
        <f t="shared" si="556"/>
        <v>12456</v>
      </c>
      <c r="AA242" s="11">
        <f t="shared" si="556"/>
        <v>13624</v>
      </c>
      <c r="AB242" s="11">
        <f t="shared" si="556"/>
        <v>10248</v>
      </c>
      <c r="AC242" s="11">
        <f t="shared" si="556"/>
        <v>7856</v>
      </c>
      <c r="AD242" s="11">
        <f t="shared" si="556"/>
        <v>8080</v>
      </c>
      <c r="AE242" s="11">
        <f t="shared" si="556"/>
        <v>4912</v>
      </c>
      <c r="AF242" s="11">
        <f t="shared" si="556"/>
        <v>2896</v>
      </c>
      <c r="AG242" s="11">
        <f t="shared" si="556"/>
        <v>3800</v>
      </c>
      <c r="AH242" s="147">
        <f t="shared" si="556"/>
        <v>5792</v>
      </c>
      <c r="AI242" s="11">
        <f t="shared" si="556"/>
        <v>4664</v>
      </c>
      <c r="AJ242" s="11">
        <f t="shared" si="556"/>
        <v>11712</v>
      </c>
      <c r="AK242" s="11">
        <f t="shared" si="556"/>
        <v>2552</v>
      </c>
      <c r="AL242" s="147">
        <f t="shared" si="556"/>
        <v>2808</v>
      </c>
      <c r="AM242" s="11">
        <f t="shared" si="556"/>
        <v>1864</v>
      </c>
      <c r="AN242" s="11">
        <f t="shared" si="556"/>
        <v>1848</v>
      </c>
      <c r="AO242" s="11">
        <f t="shared" si="556"/>
        <v>408</v>
      </c>
      <c r="AP242" s="11">
        <f t="shared" si="556"/>
        <v>288</v>
      </c>
      <c r="AQ242" s="11">
        <f t="shared" si="556"/>
        <v>0</v>
      </c>
      <c r="AR242" s="3">
        <f>SUM(D242:AQ242)</f>
        <v>397664</v>
      </c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</row>
    <row r="243" spans="2:69" s="10" customFormat="1" ht="15" customHeight="1" x14ac:dyDescent="0.2">
      <c r="C243" s="38" t="s">
        <v>286</v>
      </c>
      <c r="D243" s="11">
        <f>+(D240-D230-D236)/2</f>
        <v>0</v>
      </c>
      <c r="E243" s="11">
        <f t="shared" ref="E243:AQ243" si="557">+(E240-E230-E236)/2</f>
        <v>0</v>
      </c>
      <c r="F243" s="11">
        <f t="shared" si="557"/>
        <v>0</v>
      </c>
      <c r="G243" s="11">
        <f t="shared" si="557"/>
        <v>1343</v>
      </c>
      <c r="H243" s="11">
        <f t="shared" si="557"/>
        <v>375.5</v>
      </c>
      <c r="I243" s="11">
        <f t="shared" si="557"/>
        <v>67</v>
      </c>
      <c r="J243" s="11">
        <f t="shared" si="557"/>
        <v>362.5</v>
      </c>
      <c r="K243" s="11">
        <f t="shared" si="557"/>
        <v>970.5</v>
      </c>
      <c r="L243" s="11">
        <f t="shared" si="557"/>
        <v>874</v>
      </c>
      <c r="M243" s="11">
        <f t="shared" si="557"/>
        <v>943</v>
      </c>
      <c r="N243" s="11">
        <f t="shared" si="557"/>
        <v>904</v>
      </c>
      <c r="O243" s="11">
        <f t="shared" si="557"/>
        <v>710.5</v>
      </c>
      <c r="P243" s="11">
        <f t="shared" si="557"/>
        <v>1160.5</v>
      </c>
      <c r="Q243" s="11">
        <f t="shared" si="557"/>
        <v>1142.5</v>
      </c>
      <c r="R243" s="11">
        <f t="shared" si="557"/>
        <v>957</v>
      </c>
      <c r="S243" s="11">
        <f t="shared" si="557"/>
        <v>1381</v>
      </c>
      <c r="T243" s="11">
        <f t="shared" si="557"/>
        <v>1361.5</v>
      </c>
      <c r="U243" s="11">
        <f t="shared" si="557"/>
        <v>1507</v>
      </c>
      <c r="V243" s="11">
        <f t="shared" si="557"/>
        <v>1109.5</v>
      </c>
      <c r="W243" s="11">
        <f t="shared" si="557"/>
        <v>1129.5</v>
      </c>
      <c r="X243" s="11">
        <f t="shared" si="557"/>
        <v>1349</v>
      </c>
      <c r="Y243" s="11">
        <f t="shared" si="557"/>
        <v>1218.5</v>
      </c>
      <c r="Z243" s="11">
        <f t="shared" si="557"/>
        <v>778.5</v>
      </c>
      <c r="AA243" s="11">
        <f t="shared" si="557"/>
        <v>851.5</v>
      </c>
      <c r="AB243" s="11">
        <f t="shared" si="557"/>
        <v>640.5</v>
      </c>
      <c r="AC243" s="11">
        <f t="shared" si="557"/>
        <v>491</v>
      </c>
      <c r="AD243" s="11">
        <f t="shared" si="557"/>
        <v>505</v>
      </c>
      <c r="AE243" s="11">
        <f t="shared" si="557"/>
        <v>307</v>
      </c>
      <c r="AF243" s="11">
        <f t="shared" si="557"/>
        <v>181</v>
      </c>
      <c r="AG243" s="11">
        <f t="shared" si="557"/>
        <v>237.5</v>
      </c>
      <c r="AH243" s="147">
        <f t="shared" si="557"/>
        <v>362</v>
      </c>
      <c r="AI243" s="11">
        <f t="shared" si="557"/>
        <v>291.5</v>
      </c>
      <c r="AJ243" s="11">
        <f t="shared" si="557"/>
        <v>732</v>
      </c>
      <c r="AK243" s="11">
        <f t="shared" si="557"/>
        <v>159.5</v>
      </c>
      <c r="AL243" s="147">
        <f t="shared" si="557"/>
        <v>175.5</v>
      </c>
      <c r="AM243" s="11">
        <f t="shared" si="557"/>
        <v>116.5</v>
      </c>
      <c r="AN243" s="11">
        <f t="shared" si="557"/>
        <v>115.5</v>
      </c>
      <c r="AO243" s="11">
        <f t="shared" si="557"/>
        <v>25.5</v>
      </c>
      <c r="AP243" s="11">
        <f t="shared" si="557"/>
        <v>18</v>
      </c>
      <c r="AQ243" s="11">
        <f t="shared" si="557"/>
        <v>0</v>
      </c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</row>
    <row r="244" spans="2:69" s="10" customFormat="1" ht="15" customHeight="1" x14ac:dyDescent="0.25">
      <c r="B244" s="2" t="s">
        <v>196</v>
      </c>
      <c r="C244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47"/>
      <c r="AI244" s="11"/>
      <c r="AJ244" s="11"/>
      <c r="AK244" s="11"/>
      <c r="AL244" s="147"/>
      <c r="AM244" s="11"/>
      <c r="AN244" s="11"/>
      <c r="AO244" s="11"/>
      <c r="AP244" s="11"/>
      <c r="AQ244" s="11"/>
      <c r="AR244" s="40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</row>
    <row r="245" spans="2:69" s="10" customFormat="1" ht="15" customHeight="1" x14ac:dyDescent="0.25">
      <c r="B245" s="2"/>
      <c r="C245" t="s">
        <v>190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>
        <v>17</v>
      </c>
      <c r="P245" s="1"/>
      <c r="Q245" s="1"/>
      <c r="R245" s="1"/>
      <c r="S245" s="1">
        <v>18</v>
      </c>
      <c r="T245" s="1"/>
      <c r="U245" s="1">
        <v>2</v>
      </c>
      <c r="V245" s="1">
        <v>5</v>
      </c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17"/>
      <c r="AI245" s="1"/>
      <c r="AJ245" s="1"/>
      <c r="AK245" s="1"/>
      <c r="AL245" s="117"/>
      <c r="AM245" s="1"/>
      <c r="AN245" s="1"/>
      <c r="AO245" s="1"/>
      <c r="AP245" s="1"/>
      <c r="AQ245" s="1"/>
      <c r="AR245" s="3">
        <f>SUM(D245:AQ245)</f>
        <v>42</v>
      </c>
      <c r="AS245" s="11"/>
      <c r="AT245" s="1">
        <f>+AR245-[2]PassVol!$AN245</f>
        <v>-306</v>
      </c>
      <c r="AU245" s="11"/>
      <c r="AV245" s="1">
        <f>SUM(D245:G245)</f>
        <v>0</v>
      </c>
      <c r="AW245" s="1">
        <f>SUM(H245:K245)</f>
        <v>0</v>
      </c>
      <c r="AX245" s="1">
        <f>SUM(L245:P245)</f>
        <v>17</v>
      </c>
      <c r="AY245" s="1">
        <f>SUM(Q245:T245)</f>
        <v>18</v>
      </c>
      <c r="AZ245" s="1">
        <f>SUM(U245:X245)</f>
        <v>7</v>
      </c>
      <c r="BA245" s="1">
        <f>SUM(Y245:AC245)</f>
        <v>0</v>
      </c>
      <c r="BB245" s="1">
        <f>SUM(AD245:AG245)</f>
        <v>0</v>
      </c>
      <c r="BC245" s="1">
        <f>SUM(AH245:AK245)</f>
        <v>0</v>
      </c>
      <c r="BD245" s="1">
        <f>SUM(AL245:AP245)</f>
        <v>0</v>
      </c>
      <c r="BE245" s="1">
        <f>+AQ245</f>
        <v>0</v>
      </c>
      <c r="BG245" s="1">
        <f t="shared" ref="BG245:BP246" si="558">+AV245*18</f>
        <v>0</v>
      </c>
      <c r="BH245" s="1">
        <f t="shared" si="558"/>
        <v>0</v>
      </c>
      <c r="BI245" s="1">
        <f t="shared" si="558"/>
        <v>306</v>
      </c>
      <c r="BJ245" s="1">
        <f t="shared" si="558"/>
        <v>324</v>
      </c>
      <c r="BK245" s="1">
        <f t="shared" si="558"/>
        <v>126</v>
      </c>
      <c r="BL245" s="1">
        <f t="shared" si="558"/>
        <v>0</v>
      </c>
      <c r="BM245" s="1">
        <f t="shared" si="558"/>
        <v>0</v>
      </c>
      <c r="BN245" s="1">
        <f t="shared" si="558"/>
        <v>0</v>
      </c>
      <c r="BO245" s="1">
        <f t="shared" si="558"/>
        <v>0</v>
      </c>
      <c r="BP245" s="1">
        <f t="shared" si="558"/>
        <v>0</v>
      </c>
      <c r="BQ245" s="1">
        <f t="shared" ref="BQ245:BQ263" si="559">SUM(BH245:BP245)</f>
        <v>756</v>
      </c>
    </row>
    <row r="246" spans="2:69" s="10" customFormat="1" ht="15" customHeight="1" x14ac:dyDescent="0.25">
      <c r="B246" s="2"/>
      <c r="C246" t="s">
        <v>424</v>
      </c>
      <c r="D246" s="1"/>
      <c r="E246" s="1"/>
      <c r="F246" s="1"/>
      <c r="G246" s="1"/>
      <c r="H246" s="1"/>
      <c r="I246" s="1"/>
      <c r="J246" s="1"/>
      <c r="K246" s="1"/>
      <c r="L246" s="1"/>
      <c r="M246" s="1">
        <v>82</v>
      </c>
      <c r="N246" s="1"/>
      <c r="O246" s="1">
        <v>39</v>
      </c>
      <c r="P246" s="1">
        <v>16</v>
      </c>
      <c r="Q246" s="1">
        <v>62</v>
      </c>
      <c r="R246" s="1">
        <v>48</v>
      </c>
      <c r="S246" s="1">
        <v>45</v>
      </c>
      <c r="T246" s="1">
        <v>22</v>
      </c>
      <c r="U246" s="1">
        <v>23</v>
      </c>
      <c r="V246" s="1">
        <v>23</v>
      </c>
      <c r="W246" s="1">
        <v>4</v>
      </c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17"/>
      <c r="AI246" s="1"/>
      <c r="AJ246" s="1"/>
      <c r="AK246" s="1"/>
      <c r="AL246" s="117"/>
      <c r="AM246" s="1"/>
      <c r="AN246" s="1"/>
      <c r="AO246" s="1"/>
      <c r="AP246" s="1"/>
      <c r="AQ246" s="1"/>
      <c r="AR246" s="3">
        <f>SUM(D246:AQ246)</f>
        <v>364</v>
      </c>
      <c r="AS246" s="11"/>
      <c r="AT246" s="1">
        <f>+AR246-[2]PassVol!$AN246</f>
        <v>358</v>
      </c>
      <c r="AU246" s="11"/>
      <c r="AV246" s="1">
        <f t="shared" ref="AV246:AV263" si="560">SUM(D246:G246)</f>
        <v>0</v>
      </c>
      <c r="AW246" s="1">
        <f t="shared" ref="AW246:AW263" si="561">SUM(H246:K246)</f>
        <v>0</v>
      </c>
      <c r="AX246" s="1">
        <f t="shared" ref="AX246:AX263" si="562">SUM(L246:P246)</f>
        <v>137</v>
      </c>
      <c r="AY246" s="1">
        <f t="shared" ref="AY246:AY263" si="563">SUM(Q246:T246)</f>
        <v>177</v>
      </c>
      <c r="AZ246" s="1">
        <f t="shared" ref="AZ246:AZ263" si="564">SUM(U246:X246)</f>
        <v>50</v>
      </c>
      <c r="BA246" s="1">
        <f t="shared" ref="BA246:BA263" si="565">SUM(Y246:AC246)</f>
        <v>0</v>
      </c>
      <c r="BB246" s="1">
        <f t="shared" ref="BB246:BB263" si="566">SUM(AD246:AG246)</f>
        <v>0</v>
      </c>
      <c r="BC246" s="1">
        <f t="shared" ref="BC246:BC263" si="567">SUM(AH246:AK246)</f>
        <v>0</v>
      </c>
      <c r="BD246" s="1">
        <f t="shared" ref="BD246:BD263" si="568">SUM(AL246:AP246)</f>
        <v>0</v>
      </c>
      <c r="BE246" s="1">
        <f t="shared" ref="BE246:BE263" si="569">+AQ246</f>
        <v>0</v>
      </c>
      <c r="BG246" s="1">
        <f t="shared" si="558"/>
        <v>0</v>
      </c>
      <c r="BH246" s="1">
        <f t="shared" si="558"/>
        <v>0</v>
      </c>
      <c r="BI246" s="1">
        <f t="shared" si="558"/>
        <v>2466</v>
      </c>
      <c r="BJ246" s="1">
        <f t="shared" si="558"/>
        <v>3186</v>
      </c>
      <c r="BK246" s="1">
        <f t="shared" si="558"/>
        <v>900</v>
      </c>
      <c r="BL246" s="1">
        <f t="shared" si="558"/>
        <v>0</v>
      </c>
      <c r="BM246" s="1">
        <f t="shared" si="558"/>
        <v>0</v>
      </c>
      <c r="BN246" s="1">
        <f t="shared" si="558"/>
        <v>0</v>
      </c>
      <c r="BO246" s="1">
        <f t="shared" si="558"/>
        <v>0</v>
      </c>
      <c r="BP246" s="1">
        <f t="shared" si="558"/>
        <v>0</v>
      </c>
      <c r="BQ246" s="1">
        <f>SUM(BH246:BP246)</f>
        <v>6552</v>
      </c>
    </row>
    <row r="247" spans="2:69" s="10" customFormat="1" ht="15" customHeight="1" x14ac:dyDescent="0.25">
      <c r="B247" s="2"/>
      <c r="C247" t="s">
        <v>347</v>
      </c>
      <c r="D247" s="1"/>
      <c r="E247" s="1"/>
      <c r="F247" s="1"/>
      <c r="G247" s="1"/>
      <c r="H247" s="1"/>
      <c r="I247" s="1"/>
      <c r="J247" s="1"/>
      <c r="K247" s="1"/>
      <c r="L247" s="1"/>
      <c r="M247" s="1">
        <v>62</v>
      </c>
      <c r="N247" s="1">
        <v>32</v>
      </c>
      <c r="O247" s="1">
        <v>48</v>
      </c>
      <c r="P247" s="1">
        <v>62</v>
      </c>
      <c r="Q247" s="1"/>
      <c r="R247" s="1">
        <v>24</v>
      </c>
      <c r="S247" s="1">
        <v>22</v>
      </c>
      <c r="T247" s="1">
        <v>34</v>
      </c>
      <c r="U247" s="1"/>
      <c r="V247" s="1">
        <v>21</v>
      </c>
      <c r="W247" s="1">
        <v>24</v>
      </c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17"/>
      <c r="AI247" s="1"/>
      <c r="AJ247" s="1"/>
      <c r="AK247" s="1"/>
      <c r="AL247" s="117"/>
      <c r="AM247" s="1"/>
      <c r="AN247" s="1"/>
      <c r="AO247" s="1"/>
      <c r="AP247" s="1"/>
      <c r="AQ247" s="1"/>
      <c r="AR247" s="3">
        <f t="shared" ref="AR247:AR263" si="570">SUM(D247:AQ247)</f>
        <v>329</v>
      </c>
      <c r="AS247" s="11"/>
      <c r="AT247" s="1">
        <f>+AR247-[2]PassVol!$AN247</f>
        <v>295</v>
      </c>
      <c r="AU247" s="11"/>
      <c r="AV247" s="1">
        <f t="shared" si="560"/>
        <v>0</v>
      </c>
      <c r="AW247" s="1">
        <f t="shared" si="561"/>
        <v>0</v>
      </c>
      <c r="AX247" s="1">
        <f t="shared" si="562"/>
        <v>204</v>
      </c>
      <c r="AY247" s="1">
        <f t="shared" si="563"/>
        <v>80</v>
      </c>
      <c r="AZ247" s="1">
        <f t="shared" si="564"/>
        <v>45</v>
      </c>
      <c r="BA247" s="1">
        <f t="shared" si="565"/>
        <v>0</v>
      </c>
      <c r="BB247" s="1">
        <f t="shared" si="566"/>
        <v>0</v>
      </c>
      <c r="BC247" s="1">
        <f t="shared" si="567"/>
        <v>0</v>
      </c>
      <c r="BD247" s="1">
        <f t="shared" si="568"/>
        <v>0</v>
      </c>
      <c r="BE247" s="1">
        <f t="shared" si="569"/>
        <v>0</v>
      </c>
      <c r="BG247" s="1">
        <f t="shared" ref="BG247:BH263" si="571">+AV247*18</f>
        <v>0</v>
      </c>
      <c r="BH247" s="1">
        <f t="shared" si="571"/>
        <v>0</v>
      </c>
      <c r="BI247" s="1">
        <f t="shared" ref="BI247:BI263" si="572">+AX247*18</f>
        <v>3672</v>
      </c>
      <c r="BJ247" s="1">
        <f t="shared" ref="BJ247:BJ263" si="573">+AY247*18</f>
        <v>1440</v>
      </c>
      <c r="BK247" s="1">
        <f t="shared" ref="BK247:BK263" si="574">+AZ247*18</f>
        <v>810</v>
      </c>
      <c r="BL247" s="1">
        <f t="shared" ref="BL247:BL263" si="575">+BA247*18</f>
        <v>0</v>
      </c>
      <c r="BM247" s="1">
        <f t="shared" ref="BM247:BM263" si="576">+BB247*18</f>
        <v>0</v>
      </c>
      <c r="BN247" s="1">
        <f t="shared" ref="BN247:BN263" si="577">+BC247*18</f>
        <v>0</v>
      </c>
      <c r="BO247" s="1">
        <f t="shared" ref="BO247:BO263" si="578">+BD247*18</f>
        <v>0</v>
      </c>
      <c r="BP247" s="1">
        <f t="shared" ref="BP247:BP263" si="579">+BE247*18</f>
        <v>0</v>
      </c>
      <c r="BQ247" s="1">
        <f t="shared" si="559"/>
        <v>5922</v>
      </c>
    </row>
    <row r="248" spans="2:69" s="10" customFormat="1" ht="15" customHeight="1" x14ac:dyDescent="0.25">
      <c r="B248" s="2"/>
      <c r="C248" t="s">
        <v>0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17"/>
      <c r="AI248" s="1"/>
      <c r="AJ248" s="1"/>
      <c r="AK248" s="1"/>
      <c r="AL248" s="117"/>
      <c r="AM248" s="1"/>
      <c r="AN248" s="1"/>
      <c r="AO248" s="1"/>
      <c r="AP248" s="1"/>
      <c r="AQ248" s="1"/>
      <c r="AR248" s="3">
        <f t="shared" si="570"/>
        <v>0</v>
      </c>
      <c r="AS248" s="11"/>
      <c r="AT248" s="1">
        <f>+AR248-[2]PassVol!$AN248</f>
        <v>-344</v>
      </c>
      <c r="AU248" s="11"/>
      <c r="AV248" s="1">
        <f t="shared" si="560"/>
        <v>0</v>
      </c>
      <c r="AW248" s="1">
        <f t="shared" si="561"/>
        <v>0</v>
      </c>
      <c r="AX248" s="1">
        <f t="shared" si="562"/>
        <v>0</v>
      </c>
      <c r="AY248" s="1">
        <f t="shared" si="563"/>
        <v>0</v>
      </c>
      <c r="AZ248" s="1">
        <f t="shared" si="564"/>
        <v>0</v>
      </c>
      <c r="BA248" s="1">
        <f t="shared" si="565"/>
        <v>0</v>
      </c>
      <c r="BB248" s="1">
        <f t="shared" si="566"/>
        <v>0</v>
      </c>
      <c r="BC248" s="1">
        <f t="shared" si="567"/>
        <v>0</v>
      </c>
      <c r="BD248" s="1">
        <f t="shared" si="568"/>
        <v>0</v>
      </c>
      <c r="BE248" s="1">
        <f t="shared" si="569"/>
        <v>0</v>
      </c>
      <c r="BG248" s="1">
        <f t="shared" si="571"/>
        <v>0</v>
      </c>
      <c r="BH248" s="1">
        <f t="shared" si="571"/>
        <v>0</v>
      </c>
      <c r="BI248" s="1">
        <f t="shared" si="572"/>
        <v>0</v>
      </c>
      <c r="BJ248" s="1">
        <f t="shared" si="573"/>
        <v>0</v>
      </c>
      <c r="BK248" s="1">
        <f t="shared" si="574"/>
        <v>0</v>
      </c>
      <c r="BL248" s="1">
        <f t="shared" si="575"/>
        <v>0</v>
      </c>
      <c r="BM248" s="1">
        <f t="shared" si="576"/>
        <v>0</v>
      </c>
      <c r="BN248" s="1">
        <f t="shared" si="577"/>
        <v>0</v>
      </c>
      <c r="BO248" s="1">
        <f t="shared" si="578"/>
        <v>0</v>
      </c>
      <c r="BP248" s="1">
        <f t="shared" si="579"/>
        <v>0</v>
      </c>
      <c r="BQ248" s="1">
        <f t="shared" si="559"/>
        <v>0</v>
      </c>
    </row>
    <row r="249" spans="2:69" s="10" customFormat="1" ht="15" customHeight="1" x14ac:dyDescent="0.25">
      <c r="B249" s="2"/>
      <c r="C249" t="s">
        <v>354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>
        <v>64</v>
      </c>
      <c r="P249" s="1"/>
      <c r="Q249" s="1"/>
      <c r="R249" s="1"/>
      <c r="S249" s="1">
        <v>7</v>
      </c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17"/>
      <c r="AI249" s="1"/>
      <c r="AJ249" s="1"/>
      <c r="AK249" s="1"/>
      <c r="AL249" s="117"/>
      <c r="AM249" s="1"/>
      <c r="AN249" s="1"/>
      <c r="AO249" s="1"/>
      <c r="AP249" s="1"/>
      <c r="AQ249" s="1"/>
      <c r="AR249" s="3">
        <f t="shared" si="570"/>
        <v>71</v>
      </c>
      <c r="AS249" s="11"/>
      <c r="AT249" s="1">
        <f>+AR249-[2]PassVol!$AN249</f>
        <v>71</v>
      </c>
      <c r="AU249" s="11"/>
      <c r="AV249" s="1">
        <f t="shared" si="560"/>
        <v>0</v>
      </c>
      <c r="AW249" s="1">
        <f t="shared" si="561"/>
        <v>0</v>
      </c>
      <c r="AX249" s="1">
        <f t="shared" si="562"/>
        <v>64</v>
      </c>
      <c r="AY249" s="1">
        <f t="shared" si="563"/>
        <v>7</v>
      </c>
      <c r="AZ249" s="1">
        <f t="shared" si="564"/>
        <v>0</v>
      </c>
      <c r="BA249" s="1">
        <f t="shared" si="565"/>
        <v>0</v>
      </c>
      <c r="BB249" s="1">
        <f t="shared" si="566"/>
        <v>0</v>
      </c>
      <c r="BC249" s="1">
        <f t="shared" si="567"/>
        <v>0</v>
      </c>
      <c r="BD249" s="1">
        <f t="shared" si="568"/>
        <v>0</v>
      </c>
      <c r="BE249" s="1">
        <f t="shared" si="569"/>
        <v>0</v>
      </c>
      <c r="BG249" s="1">
        <f t="shared" si="571"/>
        <v>0</v>
      </c>
      <c r="BH249" s="1">
        <f t="shared" si="571"/>
        <v>0</v>
      </c>
      <c r="BI249" s="1">
        <f t="shared" si="572"/>
        <v>1152</v>
      </c>
      <c r="BJ249" s="1">
        <f t="shared" si="573"/>
        <v>126</v>
      </c>
      <c r="BK249" s="1">
        <f t="shared" si="574"/>
        <v>0</v>
      </c>
      <c r="BL249" s="1">
        <f t="shared" si="575"/>
        <v>0</v>
      </c>
      <c r="BM249" s="1">
        <f t="shared" si="576"/>
        <v>0</v>
      </c>
      <c r="BN249" s="1">
        <f t="shared" si="577"/>
        <v>0</v>
      </c>
      <c r="BO249" s="1">
        <f t="shared" si="578"/>
        <v>0</v>
      </c>
      <c r="BP249" s="1">
        <f t="shared" si="579"/>
        <v>0</v>
      </c>
      <c r="BQ249" s="1">
        <f t="shared" si="559"/>
        <v>1278</v>
      </c>
    </row>
    <row r="250" spans="2:69" s="10" customFormat="1" ht="15" customHeight="1" x14ac:dyDescent="0.25">
      <c r="B250" s="2"/>
      <c r="C250" t="s">
        <v>265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>
        <v>40</v>
      </c>
      <c r="O250" s="1"/>
      <c r="P250" s="1"/>
      <c r="Q250" s="1"/>
      <c r="R250" s="1">
        <v>80</v>
      </c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17"/>
      <c r="AI250" s="1"/>
      <c r="AJ250" s="1"/>
      <c r="AK250" s="1"/>
      <c r="AL250" s="117"/>
      <c r="AM250" s="1"/>
      <c r="AN250" s="1"/>
      <c r="AO250" s="1"/>
      <c r="AP250" s="1"/>
      <c r="AQ250" s="1"/>
      <c r="AR250" s="3">
        <f t="shared" si="570"/>
        <v>120</v>
      </c>
      <c r="AS250" s="11"/>
      <c r="AT250" s="1">
        <f>+AR250-[2]PassVol!$AN250</f>
        <v>72</v>
      </c>
      <c r="AU250" s="11"/>
      <c r="AV250" s="1">
        <f t="shared" si="560"/>
        <v>0</v>
      </c>
      <c r="AW250" s="1">
        <f t="shared" si="561"/>
        <v>0</v>
      </c>
      <c r="AX250" s="1">
        <f t="shared" si="562"/>
        <v>40</v>
      </c>
      <c r="AY250" s="1">
        <f t="shared" si="563"/>
        <v>80</v>
      </c>
      <c r="AZ250" s="1">
        <f t="shared" si="564"/>
        <v>0</v>
      </c>
      <c r="BA250" s="1">
        <f t="shared" si="565"/>
        <v>0</v>
      </c>
      <c r="BB250" s="1">
        <f t="shared" si="566"/>
        <v>0</v>
      </c>
      <c r="BC250" s="1">
        <f t="shared" si="567"/>
        <v>0</v>
      </c>
      <c r="BD250" s="1">
        <f t="shared" si="568"/>
        <v>0</v>
      </c>
      <c r="BE250" s="1">
        <f t="shared" si="569"/>
        <v>0</v>
      </c>
      <c r="BG250" s="1">
        <f t="shared" si="571"/>
        <v>0</v>
      </c>
      <c r="BH250" s="1">
        <f t="shared" si="571"/>
        <v>0</v>
      </c>
      <c r="BI250" s="1">
        <f t="shared" si="572"/>
        <v>720</v>
      </c>
      <c r="BJ250" s="1">
        <f t="shared" si="573"/>
        <v>1440</v>
      </c>
      <c r="BK250" s="1">
        <f t="shared" si="574"/>
        <v>0</v>
      </c>
      <c r="BL250" s="1">
        <f t="shared" si="575"/>
        <v>0</v>
      </c>
      <c r="BM250" s="1">
        <f t="shared" si="576"/>
        <v>0</v>
      </c>
      <c r="BN250" s="1">
        <f t="shared" si="577"/>
        <v>0</v>
      </c>
      <c r="BO250" s="1">
        <f t="shared" si="578"/>
        <v>0</v>
      </c>
      <c r="BP250" s="1">
        <f t="shared" si="579"/>
        <v>0</v>
      </c>
      <c r="BQ250" s="1">
        <f t="shared" si="559"/>
        <v>2160</v>
      </c>
    </row>
    <row r="251" spans="2:69" s="10" customFormat="1" ht="15" customHeight="1" x14ac:dyDescent="0.25">
      <c r="B251" s="2"/>
      <c r="C251" t="s">
        <v>191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>
        <v>32</v>
      </c>
      <c r="O251" s="1"/>
      <c r="P251" s="1"/>
      <c r="Q251" s="1"/>
      <c r="R251" s="1">
        <v>336</v>
      </c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17"/>
      <c r="AI251" s="1"/>
      <c r="AJ251" s="1"/>
      <c r="AK251" s="1"/>
      <c r="AL251" s="117"/>
      <c r="AM251" s="1"/>
      <c r="AN251" s="1"/>
      <c r="AO251" s="1"/>
      <c r="AP251" s="1"/>
      <c r="AQ251" s="1"/>
      <c r="AR251" s="3">
        <f t="shared" si="570"/>
        <v>368</v>
      </c>
      <c r="AS251" s="11"/>
      <c r="AT251" s="1">
        <f>+AR251-[2]PassVol!$AN251</f>
        <v>368</v>
      </c>
      <c r="AU251" s="11"/>
      <c r="AV251" s="1">
        <f t="shared" si="560"/>
        <v>0</v>
      </c>
      <c r="AW251" s="1">
        <f t="shared" si="561"/>
        <v>0</v>
      </c>
      <c r="AX251" s="1">
        <f t="shared" si="562"/>
        <v>32</v>
      </c>
      <c r="AY251" s="1">
        <f t="shared" si="563"/>
        <v>336</v>
      </c>
      <c r="AZ251" s="1">
        <f t="shared" si="564"/>
        <v>0</v>
      </c>
      <c r="BA251" s="1">
        <f t="shared" si="565"/>
        <v>0</v>
      </c>
      <c r="BB251" s="1">
        <f t="shared" si="566"/>
        <v>0</v>
      </c>
      <c r="BC251" s="1">
        <f t="shared" si="567"/>
        <v>0</v>
      </c>
      <c r="BD251" s="1">
        <f t="shared" si="568"/>
        <v>0</v>
      </c>
      <c r="BE251" s="1">
        <f t="shared" si="569"/>
        <v>0</v>
      </c>
      <c r="BG251" s="1">
        <f t="shared" si="571"/>
        <v>0</v>
      </c>
      <c r="BH251" s="1">
        <f t="shared" si="571"/>
        <v>0</v>
      </c>
      <c r="BI251" s="1">
        <f t="shared" si="572"/>
        <v>576</v>
      </c>
      <c r="BJ251" s="1">
        <f t="shared" si="573"/>
        <v>6048</v>
      </c>
      <c r="BK251" s="1">
        <f t="shared" si="574"/>
        <v>0</v>
      </c>
      <c r="BL251" s="1">
        <f t="shared" si="575"/>
        <v>0</v>
      </c>
      <c r="BM251" s="1">
        <f t="shared" si="576"/>
        <v>0</v>
      </c>
      <c r="BN251" s="1">
        <f t="shared" si="577"/>
        <v>0</v>
      </c>
      <c r="BO251" s="1">
        <f t="shared" si="578"/>
        <v>0</v>
      </c>
      <c r="BP251" s="1">
        <f t="shared" si="579"/>
        <v>0</v>
      </c>
      <c r="BQ251" s="1">
        <f t="shared" si="559"/>
        <v>6624</v>
      </c>
    </row>
    <row r="252" spans="2:69" s="10" customFormat="1" ht="15" customHeight="1" x14ac:dyDescent="0.25">
      <c r="B252" s="2"/>
      <c r="C252" t="s">
        <v>549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17"/>
      <c r="AI252" s="1"/>
      <c r="AJ252" s="1"/>
      <c r="AK252" s="1"/>
      <c r="AL252" s="117"/>
      <c r="AM252" s="1"/>
      <c r="AN252" s="1"/>
      <c r="AO252" s="1"/>
      <c r="AP252" s="1"/>
      <c r="AQ252" s="1"/>
      <c r="AR252" s="3">
        <f t="shared" si="570"/>
        <v>0</v>
      </c>
      <c r="AS252" s="11"/>
      <c r="AT252" s="1">
        <f>+AR252-[2]PassVol!$AN252</f>
        <v>0</v>
      </c>
      <c r="AU252" s="11"/>
      <c r="AV252" s="1">
        <f t="shared" si="560"/>
        <v>0</v>
      </c>
      <c r="AW252" s="1">
        <f t="shared" si="561"/>
        <v>0</v>
      </c>
      <c r="AX252" s="1">
        <f t="shared" si="562"/>
        <v>0</v>
      </c>
      <c r="AY252" s="1">
        <f t="shared" si="563"/>
        <v>0</v>
      </c>
      <c r="AZ252" s="1">
        <f t="shared" si="564"/>
        <v>0</v>
      </c>
      <c r="BA252" s="1">
        <f t="shared" si="565"/>
        <v>0</v>
      </c>
      <c r="BB252" s="1">
        <f t="shared" si="566"/>
        <v>0</v>
      </c>
      <c r="BC252" s="1">
        <f t="shared" si="567"/>
        <v>0</v>
      </c>
      <c r="BD252" s="1">
        <f t="shared" si="568"/>
        <v>0</v>
      </c>
      <c r="BE252" s="1">
        <f t="shared" si="569"/>
        <v>0</v>
      </c>
      <c r="BG252" s="1">
        <f t="shared" si="571"/>
        <v>0</v>
      </c>
      <c r="BH252" s="1">
        <f t="shared" si="571"/>
        <v>0</v>
      </c>
      <c r="BI252" s="1">
        <f t="shared" si="572"/>
        <v>0</v>
      </c>
      <c r="BJ252" s="1">
        <f t="shared" si="573"/>
        <v>0</v>
      </c>
      <c r="BK252" s="1">
        <f t="shared" si="574"/>
        <v>0</v>
      </c>
      <c r="BL252" s="1">
        <f t="shared" si="575"/>
        <v>0</v>
      </c>
      <c r="BM252" s="1">
        <f t="shared" si="576"/>
        <v>0</v>
      </c>
      <c r="BN252" s="1">
        <f t="shared" si="577"/>
        <v>0</v>
      </c>
      <c r="BO252" s="1">
        <f t="shared" si="578"/>
        <v>0</v>
      </c>
      <c r="BP252" s="1">
        <f t="shared" si="579"/>
        <v>0</v>
      </c>
      <c r="BQ252" s="1">
        <f t="shared" si="559"/>
        <v>0</v>
      </c>
    </row>
    <row r="253" spans="2:69" s="10" customFormat="1" ht="15" customHeight="1" x14ac:dyDescent="0.25">
      <c r="B253" s="2"/>
      <c r="C253" t="s">
        <v>550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17"/>
      <c r="AI253" s="1"/>
      <c r="AJ253" s="1"/>
      <c r="AK253" s="1"/>
      <c r="AL253" s="117"/>
      <c r="AM253" s="1"/>
      <c r="AN253" s="1"/>
      <c r="AO253" s="1"/>
      <c r="AP253" s="1"/>
      <c r="AQ253" s="1"/>
      <c r="AR253" s="3">
        <f t="shared" si="570"/>
        <v>0</v>
      </c>
      <c r="AS253" s="11"/>
      <c r="AT253" s="1">
        <f>+AR253-[2]PassVol!$AN253</f>
        <v>0</v>
      </c>
      <c r="AU253" s="11"/>
      <c r="AV253" s="1">
        <f t="shared" si="560"/>
        <v>0</v>
      </c>
      <c r="AW253" s="1">
        <f t="shared" si="561"/>
        <v>0</v>
      </c>
      <c r="AX253" s="1">
        <f t="shared" si="562"/>
        <v>0</v>
      </c>
      <c r="AY253" s="1">
        <f t="shared" si="563"/>
        <v>0</v>
      </c>
      <c r="AZ253" s="1">
        <f t="shared" si="564"/>
        <v>0</v>
      </c>
      <c r="BA253" s="1">
        <f t="shared" si="565"/>
        <v>0</v>
      </c>
      <c r="BB253" s="1">
        <f t="shared" si="566"/>
        <v>0</v>
      </c>
      <c r="BC253" s="1">
        <f t="shared" si="567"/>
        <v>0</v>
      </c>
      <c r="BD253" s="1">
        <f t="shared" si="568"/>
        <v>0</v>
      </c>
      <c r="BE253" s="1">
        <f t="shared" si="569"/>
        <v>0</v>
      </c>
      <c r="BG253" s="1">
        <f t="shared" si="571"/>
        <v>0</v>
      </c>
      <c r="BH253" s="1">
        <f t="shared" si="571"/>
        <v>0</v>
      </c>
      <c r="BI253" s="1">
        <f t="shared" si="572"/>
        <v>0</v>
      </c>
      <c r="BJ253" s="1">
        <f t="shared" si="573"/>
        <v>0</v>
      </c>
      <c r="BK253" s="1">
        <f t="shared" si="574"/>
        <v>0</v>
      </c>
      <c r="BL253" s="1">
        <f t="shared" si="575"/>
        <v>0</v>
      </c>
      <c r="BM253" s="1">
        <f t="shared" si="576"/>
        <v>0</v>
      </c>
      <c r="BN253" s="1">
        <f t="shared" si="577"/>
        <v>0</v>
      </c>
      <c r="BO253" s="1">
        <f t="shared" si="578"/>
        <v>0</v>
      </c>
      <c r="BP253" s="1">
        <f t="shared" si="579"/>
        <v>0</v>
      </c>
      <c r="BQ253" s="1">
        <f t="shared" si="559"/>
        <v>0</v>
      </c>
    </row>
    <row r="254" spans="2:69" ht="15" customHeight="1" x14ac:dyDescent="0.25">
      <c r="C254" t="s">
        <v>6</v>
      </c>
      <c r="AR254" s="3">
        <f t="shared" si="570"/>
        <v>0</v>
      </c>
      <c r="AT254" s="1">
        <f>+AR254-[2]PassVol!$AN254</f>
        <v>0</v>
      </c>
      <c r="AV254" s="1">
        <f t="shared" si="560"/>
        <v>0</v>
      </c>
      <c r="AW254" s="1">
        <f t="shared" si="561"/>
        <v>0</v>
      </c>
      <c r="AX254" s="1">
        <f t="shared" si="562"/>
        <v>0</v>
      </c>
      <c r="AY254" s="1">
        <f t="shared" si="563"/>
        <v>0</v>
      </c>
      <c r="AZ254" s="1">
        <f t="shared" si="564"/>
        <v>0</v>
      </c>
      <c r="BA254" s="1">
        <f t="shared" si="565"/>
        <v>0</v>
      </c>
      <c r="BB254" s="1">
        <f t="shared" si="566"/>
        <v>0</v>
      </c>
      <c r="BC254" s="1">
        <f t="shared" si="567"/>
        <v>0</v>
      </c>
      <c r="BD254" s="1">
        <f t="shared" si="568"/>
        <v>0</v>
      </c>
      <c r="BE254" s="1">
        <f t="shared" si="569"/>
        <v>0</v>
      </c>
      <c r="BG254" s="1">
        <f t="shared" si="571"/>
        <v>0</v>
      </c>
      <c r="BH254" s="1">
        <f t="shared" si="571"/>
        <v>0</v>
      </c>
      <c r="BI254" s="1">
        <f t="shared" si="572"/>
        <v>0</v>
      </c>
      <c r="BJ254" s="1">
        <f t="shared" si="573"/>
        <v>0</v>
      </c>
      <c r="BK254" s="1">
        <f t="shared" si="574"/>
        <v>0</v>
      </c>
      <c r="BL254" s="1">
        <f t="shared" si="575"/>
        <v>0</v>
      </c>
      <c r="BM254" s="1">
        <f t="shared" si="576"/>
        <v>0</v>
      </c>
      <c r="BN254" s="1">
        <f t="shared" si="577"/>
        <v>0</v>
      </c>
      <c r="BO254" s="1">
        <f t="shared" si="578"/>
        <v>0</v>
      </c>
      <c r="BP254" s="1">
        <f t="shared" si="579"/>
        <v>0</v>
      </c>
      <c r="BQ254" s="1">
        <f t="shared" si="559"/>
        <v>0</v>
      </c>
    </row>
    <row r="255" spans="2:69" ht="15" customHeight="1" x14ac:dyDescent="0.25">
      <c r="C255" t="s">
        <v>262</v>
      </c>
      <c r="M255" s="1">
        <v>275</v>
      </c>
      <c r="O255" s="1">
        <v>9</v>
      </c>
      <c r="S255" s="1">
        <v>19</v>
      </c>
      <c r="T255" s="1">
        <v>41</v>
      </c>
      <c r="U255" s="1">
        <v>16</v>
      </c>
      <c r="V255" s="1">
        <v>16</v>
      </c>
      <c r="W255" s="1">
        <v>4</v>
      </c>
      <c r="AR255" s="3">
        <f t="shared" si="570"/>
        <v>380</v>
      </c>
      <c r="AT255" s="1">
        <f>+AR255-[2]PassVol!$AN255</f>
        <v>252</v>
      </c>
      <c r="AV255" s="1">
        <f t="shared" si="560"/>
        <v>0</v>
      </c>
      <c r="AW255" s="1">
        <f t="shared" si="561"/>
        <v>0</v>
      </c>
      <c r="AX255" s="1">
        <f t="shared" si="562"/>
        <v>284</v>
      </c>
      <c r="AY255" s="1">
        <f t="shared" si="563"/>
        <v>60</v>
      </c>
      <c r="AZ255" s="1">
        <f t="shared" si="564"/>
        <v>36</v>
      </c>
      <c r="BA255" s="1">
        <f t="shared" si="565"/>
        <v>0</v>
      </c>
      <c r="BB255" s="1">
        <f t="shared" si="566"/>
        <v>0</v>
      </c>
      <c r="BC255" s="1">
        <f t="shared" si="567"/>
        <v>0</v>
      </c>
      <c r="BD255" s="1">
        <f t="shared" si="568"/>
        <v>0</v>
      </c>
      <c r="BE255" s="1">
        <f t="shared" si="569"/>
        <v>0</v>
      </c>
      <c r="BG255" s="1">
        <f t="shared" si="571"/>
        <v>0</v>
      </c>
      <c r="BH255" s="1">
        <f t="shared" si="571"/>
        <v>0</v>
      </c>
      <c r="BI255" s="1">
        <f t="shared" si="572"/>
        <v>5112</v>
      </c>
      <c r="BJ255" s="1">
        <f t="shared" si="573"/>
        <v>1080</v>
      </c>
      <c r="BK255" s="1">
        <f t="shared" si="574"/>
        <v>648</v>
      </c>
      <c r="BL255" s="1">
        <f t="shared" si="575"/>
        <v>0</v>
      </c>
      <c r="BM255" s="1">
        <f t="shared" si="576"/>
        <v>0</v>
      </c>
      <c r="BN255" s="1">
        <f t="shared" si="577"/>
        <v>0</v>
      </c>
      <c r="BO255" s="1">
        <f t="shared" si="578"/>
        <v>0</v>
      </c>
      <c r="BP255" s="1">
        <f t="shared" si="579"/>
        <v>0</v>
      </c>
      <c r="BQ255" s="1">
        <f t="shared" si="559"/>
        <v>6840</v>
      </c>
    </row>
    <row r="256" spans="2:69" ht="15" customHeight="1" x14ac:dyDescent="0.25">
      <c r="C256" t="s">
        <v>42</v>
      </c>
      <c r="N256" s="1">
        <v>240</v>
      </c>
      <c r="Q256" s="1">
        <v>16</v>
      </c>
      <c r="S256" s="1">
        <v>13</v>
      </c>
      <c r="V256" s="1">
        <v>12</v>
      </c>
      <c r="AR256" s="3">
        <f t="shared" si="570"/>
        <v>281</v>
      </c>
      <c r="AT256" s="1">
        <f>+AR256-[2]PassVol!$AN256</f>
        <v>281</v>
      </c>
      <c r="AV256" s="1">
        <f t="shared" si="560"/>
        <v>0</v>
      </c>
      <c r="AW256" s="1">
        <f t="shared" si="561"/>
        <v>0</v>
      </c>
      <c r="AX256" s="1">
        <f t="shared" si="562"/>
        <v>240</v>
      </c>
      <c r="AY256" s="1">
        <f t="shared" si="563"/>
        <v>29</v>
      </c>
      <c r="AZ256" s="1">
        <f t="shared" si="564"/>
        <v>12</v>
      </c>
      <c r="BA256" s="1">
        <f t="shared" si="565"/>
        <v>0</v>
      </c>
      <c r="BB256" s="1">
        <f t="shared" si="566"/>
        <v>0</v>
      </c>
      <c r="BC256" s="1">
        <f t="shared" si="567"/>
        <v>0</v>
      </c>
      <c r="BD256" s="1">
        <f t="shared" si="568"/>
        <v>0</v>
      </c>
      <c r="BE256" s="1">
        <f t="shared" si="569"/>
        <v>0</v>
      </c>
      <c r="BG256" s="1">
        <f t="shared" si="571"/>
        <v>0</v>
      </c>
      <c r="BH256" s="1">
        <f t="shared" si="571"/>
        <v>0</v>
      </c>
      <c r="BI256" s="1">
        <f t="shared" si="572"/>
        <v>4320</v>
      </c>
      <c r="BJ256" s="1">
        <f t="shared" si="573"/>
        <v>522</v>
      </c>
      <c r="BK256" s="1">
        <f t="shared" si="574"/>
        <v>216</v>
      </c>
      <c r="BL256" s="1">
        <f t="shared" si="575"/>
        <v>0</v>
      </c>
      <c r="BM256" s="1">
        <f t="shared" si="576"/>
        <v>0</v>
      </c>
      <c r="BN256" s="1">
        <f t="shared" si="577"/>
        <v>0</v>
      </c>
      <c r="BO256" s="1">
        <f t="shared" si="578"/>
        <v>0</v>
      </c>
      <c r="BP256" s="1">
        <f t="shared" si="579"/>
        <v>0</v>
      </c>
      <c r="BQ256" s="1">
        <f t="shared" si="559"/>
        <v>5058</v>
      </c>
    </row>
    <row r="257" spans="2:69" ht="15" customHeight="1" x14ac:dyDescent="0.25">
      <c r="C257" t="s">
        <v>192</v>
      </c>
      <c r="R257" s="1">
        <v>336</v>
      </c>
      <c r="W257" s="1">
        <v>8</v>
      </c>
      <c r="AR257" s="3">
        <f t="shared" si="570"/>
        <v>344</v>
      </c>
      <c r="AT257" s="1">
        <f>+AR257-[2]PassVol!$AN257</f>
        <v>344</v>
      </c>
      <c r="AV257" s="1">
        <f t="shared" si="560"/>
        <v>0</v>
      </c>
      <c r="AW257" s="1">
        <f t="shared" si="561"/>
        <v>0</v>
      </c>
      <c r="AX257" s="1">
        <f t="shared" si="562"/>
        <v>0</v>
      </c>
      <c r="AY257" s="1">
        <f t="shared" si="563"/>
        <v>336</v>
      </c>
      <c r="AZ257" s="1">
        <f t="shared" si="564"/>
        <v>8</v>
      </c>
      <c r="BA257" s="1">
        <f t="shared" si="565"/>
        <v>0</v>
      </c>
      <c r="BB257" s="1">
        <f t="shared" si="566"/>
        <v>0</v>
      </c>
      <c r="BC257" s="1">
        <f t="shared" si="567"/>
        <v>0</v>
      </c>
      <c r="BD257" s="1">
        <f t="shared" si="568"/>
        <v>0</v>
      </c>
      <c r="BE257" s="1">
        <f t="shared" si="569"/>
        <v>0</v>
      </c>
      <c r="BG257" s="1">
        <f t="shared" si="571"/>
        <v>0</v>
      </c>
      <c r="BH257" s="1">
        <f t="shared" si="571"/>
        <v>0</v>
      </c>
      <c r="BI257" s="1">
        <f t="shared" si="572"/>
        <v>0</v>
      </c>
      <c r="BJ257" s="1">
        <f t="shared" si="573"/>
        <v>6048</v>
      </c>
      <c r="BK257" s="1">
        <f t="shared" si="574"/>
        <v>144</v>
      </c>
      <c r="BL257" s="1">
        <f t="shared" si="575"/>
        <v>0</v>
      </c>
      <c r="BM257" s="1">
        <f t="shared" si="576"/>
        <v>0</v>
      </c>
      <c r="BN257" s="1">
        <f t="shared" si="577"/>
        <v>0</v>
      </c>
      <c r="BO257" s="1">
        <f t="shared" si="578"/>
        <v>0</v>
      </c>
      <c r="BP257" s="1">
        <f t="shared" si="579"/>
        <v>0</v>
      </c>
      <c r="BQ257" s="1">
        <f t="shared" si="559"/>
        <v>6192</v>
      </c>
    </row>
    <row r="258" spans="2:69" ht="15" customHeight="1" x14ac:dyDescent="0.25">
      <c r="C258" t="s">
        <v>133</v>
      </c>
      <c r="U258" s="1">
        <v>10</v>
      </c>
      <c r="V258" s="1">
        <v>6</v>
      </c>
      <c r="AR258" s="3">
        <f t="shared" si="570"/>
        <v>16</v>
      </c>
      <c r="AT258" s="1">
        <f>+AR258-[2]PassVol!$AN258</f>
        <v>16</v>
      </c>
      <c r="AV258" s="1">
        <f t="shared" si="560"/>
        <v>0</v>
      </c>
      <c r="AW258" s="1">
        <f t="shared" si="561"/>
        <v>0</v>
      </c>
      <c r="AX258" s="1">
        <f t="shared" si="562"/>
        <v>0</v>
      </c>
      <c r="AY258" s="1">
        <f t="shared" si="563"/>
        <v>0</v>
      </c>
      <c r="AZ258" s="1">
        <f t="shared" si="564"/>
        <v>16</v>
      </c>
      <c r="BA258" s="1">
        <f t="shared" si="565"/>
        <v>0</v>
      </c>
      <c r="BB258" s="1">
        <f t="shared" si="566"/>
        <v>0</v>
      </c>
      <c r="BC258" s="1">
        <f t="shared" si="567"/>
        <v>0</v>
      </c>
      <c r="BD258" s="1">
        <f t="shared" si="568"/>
        <v>0</v>
      </c>
      <c r="BE258" s="1">
        <f t="shared" si="569"/>
        <v>0</v>
      </c>
      <c r="BG258" s="1">
        <f t="shared" si="571"/>
        <v>0</v>
      </c>
      <c r="BH258" s="1">
        <f t="shared" si="571"/>
        <v>0</v>
      </c>
      <c r="BI258" s="1">
        <f t="shared" si="572"/>
        <v>0</v>
      </c>
      <c r="BJ258" s="1">
        <f t="shared" si="573"/>
        <v>0</v>
      </c>
      <c r="BK258" s="1">
        <f t="shared" si="574"/>
        <v>288</v>
      </c>
      <c r="BL258" s="1">
        <f t="shared" si="575"/>
        <v>0</v>
      </c>
      <c r="BM258" s="1">
        <f t="shared" si="576"/>
        <v>0</v>
      </c>
      <c r="BN258" s="1">
        <f t="shared" si="577"/>
        <v>0</v>
      </c>
      <c r="BO258" s="1">
        <f t="shared" si="578"/>
        <v>0</v>
      </c>
      <c r="BP258" s="1">
        <f t="shared" si="579"/>
        <v>0</v>
      </c>
      <c r="BQ258" s="1">
        <f t="shared" si="559"/>
        <v>288</v>
      </c>
    </row>
    <row r="259" spans="2:69" ht="15" customHeight="1" x14ac:dyDescent="0.25">
      <c r="C259" t="s">
        <v>41</v>
      </c>
      <c r="M259" s="1">
        <v>64</v>
      </c>
      <c r="N259" s="1">
        <v>71</v>
      </c>
      <c r="O259" s="1">
        <v>36</v>
      </c>
      <c r="P259" s="1">
        <v>64</v>
      </c>
      <c r="Q259" s="1">
        <v>96</v>
      </c>
      <c r="R259" s="1">
        <v>16</v>
      </c>
      <c r="S259" s="1">
        <v>62</v>
      </c>
      <c r="T259" s="1">
        <v>34</v>
      </c>
      <c r="U259" s="1">
        <v>36</v>
      </c>
      <c r="V259" s="1">
        <v>25</v>
      </c>
      <c r="AR259" s="3">
        <f t="shared" si="570"/>
        <v>504</v>
      </c>
      <c r="AT259" s="1">
        <f>+AR259-[2]PassVol!$AN259</f>
        <v>454</v>
      </c>
      <c r="AV259" s="1">
        <f t="shared" si="560"/>
        <v>0</v>
      </c>
      <c r="AW259" s="1">
        <f t="shared" si="561"/>
        <v>0</v>
      </c>
      <c r="AX259" s="1">
        <f t="shared" si="562"/>
        <v>235</v>
      </c>
      <c r="AY259" s="1">
        <f t="shared" si="563"/>
        <v>208</v>
      </c>
      <c r="AZ259" s="1">
        <f t="shared" si="564"/>
        <v>61</v>
      </c>
      <c r="BA259" s="1">
        <f t="shared" si="565"/>
        <v>0</v>
      </c>
      <c r="BB259" s="1">
        <f t="shared" si="566"/>
        <v>0</v>
      </c>
      <c r="BC259" s="1">
        <f t="shared" si="567"/>
        <v>0</v>
      </c>
      <c r="BD259" s="1">
        <f t="shared" si="568"/>
        <v>0</v>
      </c>
      <c r="BE259" s="1">
        <f t="shared" si="569"/>
        <v>0</v>
      </c>
      <c r="BG259" s="1">
        <f t="shared" si="571"/>
        <v>0</v>
      </c>
      <c r="BH259" s="1">
        <f t="shared" si="571"/>
        <v>0</v>
      </c>
      <c r="BI259" s="1">
        <f t="shared" si="572"/>
        <v>4230</v>
      </c>
      <c r="BJ259" s="1">
        <f t="shared" si="573"/>
        <v>3744</v>
      </c>
      <c r="BK259" s="1">
        <f t="shared" si="574"/>
        <v>1098</v>
      </c>
      <c r="BL259" s="1">
        <f t="shared" si="575"/>
        <v>0</v>
      </c>
      <c r="BM259" s="1">
        <f t="shared" si="576"/>
        <v>0</v>
      </c>
      <c r="BN259" s="1">
        <f t="shared" si="577"/>
        <v>0</v>
      </c>
      <c r="BO259" s="1">
        <f t="shared" si="578"/>
        <v>0</v>
      </c>
      <c r="BP259" s="1">
        <f t="shared" si="579"/>
        <v>0</v>
      </c>
      <c r="BQ259" s="1">
        <f t="shared" si="559"/>
        <v>9072</v>
      </c>
    </row>
    <row r="260" spans="2:69" ht="15" customHeight="1" x14ac:dyDescent="0.25">
      <c r="C260" t="s">
        <v>193</v>
      </c>
      <c r="AR260" s="3">
        <f t="shared" si="570"/>
        <v>0</v>
      </c>
      <c r="AT260" s="1">
        <f>+AR260-[2]PassVol!$AN260</f>
        <v>0</v>
      </c>
      <c r="AV260" s="1">
        <f t="shared" si="560"/>
        <v>0</v>
      </c>
      <c r="AW260" s="1">
        <f t="shared" si="561"/>
        <v>0</v>
      </c>
      <c r="AX260" s="1">
        <f t="shared" si="562"/>
        <v>0</v>
      </c>
      <c r="AY260" s="1">
        <f t="shared" si="563"/>
        <v>0</v>
      </c>
      <c r="AZ260" s="1">
        <f t="shared" si="564"/>
        <v>0</v>
      </c>
      <c r="BA260" s="1">
        <f t="shared" si="565"/>
        <v>0</v>
      </c>
      <c r="BB260" s="1">
        <f t="shared" si="566"/>
        <v>0</v>
      </c>
      <c r="BC260" s="1">
        <f t="shared" si="567"/>
        <v>0</v>
      </c>
      <c r="BD260" s="1">
        <f t="shared" si="568"/>
        <v>0</v>
      </c>
      <c r="BE260" s="1">
        <f t="shared" si="569"/>
        <v>0</v>
      </c>
      <c r="BG260" s="1">
        <f t="shared" si="571"/>
        <v>0</v>
      </c>
      <c r="BH260" s="1">
        <f t="shared" si="571"/>
        <v>0</v>
      </c>
      <c r="BI260" s="1">
        <f t="shared" si="572"/>
        <v>0</v>
      </c>
      <c r="BJ260" s="1">
        <f t="shared" si="573"/>
        <v>0</v>
      </c>
      <c r="BK260" s="1">
        <f t="shared" si="574"/>
        <v>0</v>
      </c>
      <c r="BL260" s="1">
        <f t="shared" si="575"/>
        <v>0</v>
      </c>
      <c r="BM260" s="1">
        <f t="shared" si="576"/>
        <v>0</v>
      </c>
      <c r="BN260" s="1">
        <f t="shared" si="577"/>
        <v>0</v>
      </c>
      <c r="BO260" s="1">
        <f t="shared" si="578"/>
        <v>0</v>
      </c>
      <c r="BP260" s="1">
        <f t="shared" si="579"/>
        <v>0</v>
      </c>
      <c r="BQ260" s="1">
        <f t="shared" si="559"/>
        <v>0</v>
      </c>
    </row>
    <row r="261" spans="2:69" ht="15" customHeight="1" x14ac:dyDescent="0.25">
      <c r="C261" t="s">
        <v>297</v>
      </c>
      <c r="AR261" s="3">
        <f t="shared" si="570"/>
        <v>0</v>
      </c>
      <c r="AT261" s="1">
        <f>+AR261-[2]PassVol!$AN261</f>
        <v>0</v>
      </c>
      <c r="AV261" s="1">
        <f t="shared" si="560"/>
        <v>0</v>
      </c>
      <c r="AW261" s="1">
        <f t="shared" si="561"/>
        <v>0</v>
      </c>
      <c r="AX261" s="1">
        <f t="shared" si="562"/>
        <v>0</v>
      </c>
      <c r="AY261" s="1">
        <f t="shared" si="563"/>
        <v>0</v>
      </c>
      <c r="AZ261" s="1">
        <f t="shared" si="564"/>
        <v>0</v>
      </c>
      <c r="BA261" s="1">
        <f t="shared" si="565"/>
        <v>0</v>
      </c>
      <c r="BB261" s="1">
        <f t="shared" si="566"/>
        <v>0</v>
      </c>
      <c r="BC261" s="1">
        <f t="shared" si="567"/>
        <v>0</v>
      </c>
      <c r="BD261" s="1">
        <f t="shared" si="568"/>
        <v>0</v>
      </c>
      <c r="BE261" s="1">
        <f t="shared" si="569"/>
        <v>0</v>
      </c>
      <c r="BG261" s="1">
        <f t="shared" si="571"/>
        <v>0</v>
      </c>
      <c r="BH261" s="1">
        <f t="shared" si="571"/>
        <v>0</v>
      </c>
      <c r="BI261" s="1">
        <f t="shared" si="572"/>
        <v>0</v>
      </c>
      <c r="BJ261" s="1">
        <f t="shared" si="573"/>
        <v>0</v>
      </c>
      <c r="BK261" s="1">
        <f t="shared" si="574"/>
        <v>0</v>
      </c>
      <c r="BL261" s="1">
        <f t="shared" si="575"/>
        <v>0</v>
      </c>
      <c r="BM261" s="1">
        <f t="shared" si="576"/>
        <v>0</v>
      </c>
      <c r="BN261" s="1">
        <f t="shared" si="577"/>
        <v>0</v>
      </c>
      <c r="BO261" s="1">
        <f t="shared" si="578"/>
        <v>0</v>
      </c>
      <c r="BP261" s="1">
        <f t="shared" si="579"/>
        <v>0</v>
      </c>
      <c r="BQ261" s="1">
        <f t="shared" si="559"/>
        <v>0</v>
      </c>
    </row>
    <row r="262" spans="2:69" ht="15" customHeight="1" x14ac:dyDescent="0.25">
      <c r="C262" t="s">
        <v>296</v>
      </c>
      <c r="N262" s="1">
        <v>16</v>
      </c>
      <c r="O262" s="1">
        <v>16</v>
      </c>
      <c r="S262" s="1">
        <v>5</v>
      </c>
      <c r="T262" s="1">
        <v>26</v>
      </c>
      <c r="V262" s="1">
        <v>13</v>
      </c>
      <c r="W262" s="1">
        <v>2</v>
      </c>
      <c r="AR262" s="3">
        <f t="shared" si="570"/>
        <v>78</v>
      </c>
      <c r="AT262" s="1">
        <f>+AR262-[2]PassVol!$AN262</f>
        <v>66</v>
      </c>
      <c r="AV262" s="1">
        <f t="shared" si="560"/>
        <v>0</v>
      </c>
      <c r="AW262" s="1">
        <f t="shared" si="561"/>
        <v>0</v>
      </c>
      <c r="AX262" s="1">
        <f t="shared" si="562"/>
        <v>32</v>
      </c>
      <c r="AY262" s="1">
        <f t="shared" si="563"/>
        <v>31</v>
      </c>
      <c r="AZ262" s="1">
        <f t="shared" si="564"/>
        <v>15</v>
      </c>
      <c r="BA262" s="1">
        <f t="shared" si="565"/>
        <v>0</v>
      </c>
      <c r="BB262" s="1">
        <f t="shared" si="566"/>
        <v>0</v>
      </c>
      <c r="BC262" s="1">
        <f t="shared" si="567"/>
        <v>0</v>
      </c>
      <c r="BD262" s="1">
        <f t="shared" si="568"/>
        <v>0</v>
      </c>
      <c r="BE262" s="1">
        <f t="shared" si="569"/>
        <v>0</v>
      </c>
      <c r="BG262" s="1">
        <f t="shared" si="571"/>
        <v>0</v>
      </c>
      <c r="BH262" s="1">
        <f t="shared" si="571"/>
        <v>0</v>
      </c>
      <c r="BI262" s="1">
        <f t="shared" si="572"/>
        <v>576</v>
      </c>
      <c r="BJ262" s="1">
        <f t="shared" si="573"/>
        <v>558</v>
      </c>
      <c r="BK262" s="1">
        <f t="shared" si="574"/>
        <v>270</v>
      </c>
      <c r="BL262" s="1">
        <f t="shared" si="575"/>
        <v>0</v>
      </c>
      <c r="BM262" s="1">
        <f t="shared" si="576"/>
        <v>0</v>
      </c>
      <c r="BN262" s="1">
        <f t="shared" si="577"/>
        <v>0</v>
      </c>
      <c r="BO262" s="1">
        <f t="shared" si="578"/>
        <v>0</v>
      </c>
      <c r="BP262" s="1">
        <f t="shared" si="579"/>
        <v>0</v>
      </c>
      <c r="BQ262" s="1">
        <f t="shared" si="559"/>
        <v>1404</v>
      </c>
    </row>
    <row r="263" spans="2:69" s="10" customFormat="1" ht="15" customHeight="1" x14ac:dyDescent="0.25">
      <c r="B263" s="2"/>
      <c r="C263" t="s">
        <v>44</v>
      </c>
      <c r="D263" s="1"/>
      <c r="E263" s="1"/>
      <c r="F263" s="1"/>
      <c r="G263" s="1"/>
      <c r="H263" s="1"/>
      <c r="I263" s="1"/>
      <c r="J263" s="1"/>
      <c r="K263" s="1"/>
      <c r="L263" s="1"/>
      <c r="M263" s="1">
        <f>928-483-5</f>
        <v>440</v>
      </c>
      <c r="N263" s="1">
        <f>556-431</f>
        <v>125</v>
      </c>
      <c r="O263" s="1">
        <f>827-229</f>
        <v>598</v>
      </c>
      <c r="P263" s="1">
        <f>410-142</f>
        <v>268</v>
      </c>
      <c r="Q263" s="1">
        <f>286-174</f>
        <v>112</v>
      </c>
      <c r="R263" s="1">
        <f>1017-840</f>
        <v>177</v>
      </c>
      <c r="S263" s="1">
        <f>603-191</f>
        <v>412</v>
      </c>
      <c r="T263" s="1">
        <f>462-157</f>
        <v>305</v>
      </c>
      <c r="U263" s="1">
        <f>275-87</f>
        <v>188</v>
      </c>
      <c r="V263" s="1">
        <f>421-121</f>
        <v>300</v>
      </c>
      <c r="W263" s="1">
        <f>158-42</f>
        <v>116</v>
      </c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17"/>
      <c r="AI263" s="1"/>
      <c r="AJ263" s="1"/>
      <c r="AK263" s="1"/>
      <c r="AL263" s="117"/>
      <c r="AM263" s="1"/>
      <c r="AN263" s="1"/>
      <c r="AO263" s="1"/>
      <c r="AP263" s="1"/>
      <c r="AQ263" s="1"/>
      <c r="AR263" s="3">
        <f t="shared" si="570"/>
        <v>3041</v>
      </c>
      <c r="AS263" s="11"/>
      <c r="AT263" s="1">
        <f>+AR263-[2]PassVol!$AN263</f>
        <v>2941</v>
      </c>
      <c r="AU263" s="11"/>
      <c r="AV263" s="1">
        <f t="shared" si="560"/>
        <v>0</v>
      </c>
      <c r="AW263" s="1">
        <f t="shared" si="561"/>
        <v>0</v>
      </c>
      <c r="AX263" s="1">
        <f t="shared" si="562"/>
        <v>1431</v>
      </c>
      <c r="AY263" s="1">
        <f t="shared" si="563"/>
        <v>1006</v>
      </c>
      <c r="AZ263" s="1">
        <f t="shared" si="564"/>
        <v>604</v>
      </c>
      <c r="BA263" s="1">
        <f t="shared" si="565"/>
        <v>0</v>
      </c>
      <c r="BB263" s="1">
        <f t="shared" si="566"/>
        <v>0</v>
      </c>
      <c r="BC263" s="1">
        <f t="shared" si="567"/>
        <v>0</v>
      </c>
      <c r="BD263" s="1">
        <f t="shared" si="568"/>
        <v>0</v>
      </c>
      <c r="BE263" s="1">
        <f t="shared" si="569"/>
        <v>0</v>
      </c>
      <c r="BG263" s="1">
        <f t="shared" si="571"/>
        <v>0</v>
      </c>
      <c r="BH263" s="1">
        <f t="shared" si="571"/>
        <v>0</v>
      </c>
      <c r="BI263" s="1">
        <f t="shared" si="572"/>
        <v>25758</v>
      </c>
      <c r="BJ263" s="1">
        <f t="shared" si="573"/>
        <v>18108</v>
      </c>
      <c r="BK263" s="1">
        <f t="shared" si="574"/>
        <v>10872</v>
      </c>
      <c r="BL263" s="1">
        <f t="shared" si="575"/>
        <v>0</v>
      </c>
      <c r="BM263" s="1">
        <f t="shared" si="576"/>
        <v>0</v>
      </c>
      <c r="BN263" s="1">
        <f t="shared" si="577"/>
        <v>0</v>
      </c>
      <c r="BO263" s="1">
        <f t="shared" si="578"/>
        <v>0</v>
      </c>
      <c r="BP263" s="1">
        <f t="shared" si="579"/>
        <v>0</v>
      </c>
      <c r="BQ263" s="1">
        <f t="shared" si="559"/>
        <v>54738</v>
      </c>
    </row>
    <row r="264" spans="2:69" s="36" customFormat="1" ht="15" customHeight="1" x14ac:dyDescent="0.25">
      <c r="B264" s="2" t="s">
        <v>197</v>
      </c>
      <c r="C264" s="2"/>
      <c r="D264" s="3">
        <f t="shared" ref="D264:AQ264" si="580">SUM(D245:D263)</f>
        <v>0</v>
      </c>
      <c r="E264" s="3">
        <f t="shared" si="580"/>
        <v>0</v>
      </c>
      <c r="F264" s="3">
        <f t="shared" si="580"/>
        <v>0</v>
      </c>
      <c r="G264" s="3">
        <f t="shared" si="580"/>
        <v>0</v>
      </c>
      <c r="H264" s="3">
        <f t="shared" si="580"/>
        <v>0</v>
      </c>
      <c r="I264" s="3">
        <f t="shared" si="580"/>
        <v>0</v>
      </c>
      <c r="J264" s="3">
        <f t="shared" si="580"/>
        <v>0</v>
      </c>
      <c r="K264" s="3">
        <f t="shared" si="580"/>
        <v>0</v>
      </c>
      <c r="L264" s="3">
        <f t="shared" si="580"/>
        <v>0</v>
      </c>
      <c r="M264" s="3">
        <f t="shared" si="580"/>
        <v>923</v>
      </c>
      <c r="N264" s="3">
        <f t="shared" si="580"/>
        <v>556</v>
      </c>
      <c r="O264" s="3">
        <f t="shared" si="580"/>
        <v>827</v>
      </c>
      <c r="P264" s="3">
        <f t="shared" si="580"/>
        <v>410</v>
      </c>
      <c r="Q264" s="3">
        <f t="shared" si="580"/>
        <v>286</v>
      </c>
      <c r="R264" s="3">
        <f t="shared" si="580"/>
        <v>1017</v>
      </c>
      <c r="S264" s="3">
        <f t="shared" si="580"/>
        <v>603</v>
      </c>
      <c r="T264" s="3">
        <f t="shared" si="580"/>
        <v>462</v>
      </c>
      <c r="U264" s="3">
        <f t="shared" si="580"/>
        <v>275</v>
      </c>
      <c r="V264" s="3">
        <f t="shared" si="580"/>
        <v>421</v>
      </c>
      <c r="W264" s="3">
        <f t="shared" si="580"/>
        <v>158</v>
      </c>
      <c r="X264" s="3">
        <f t="shared" si="580"/>
        <v>0</v>
      </c>
      <c r="Y264" s="3">
        <f t="shared" si="580"/>
        <v>0</v>
      </c>
      <c r="Z264" s="3">
        <f t="shared" si="580"/>
        <v>0</v>
      </c>
      <c r="AA264" s="3">
        <f t="shared" si="580"/>
        <v>0</v>
      </c>
      <c r="AB264" s="3">
        <f t="shared" si="580"/>
        <v>0</v>
      </c>
      <c r="AC264" s="3">
        <f t="shared" si="580"/>
        <v>0</v>
      </c>
      <c r="AD264" s="3">
        <f t="shared" si="580"/>
        <v>0</v>
      </c>
      <c r="AE264" s="3">
        <f t="shared" si="580"/>
        <v>0</v>
      </c>
      <c r="AF264" s="3">
        <f t="shared" si="580"/>
        <v>0</v>
      </c>
      <c r="AG264" s="3">
        <f t="shared" si="580"/>
        <v>0</v>
      </c>
      <c r="AH264" s="150">
        <f t="shared" si="580"/>
        <v>0</v>
      </c>
      <c r="AI264" s="3">
        <f t="shared" si="580"/>
        <v>0</v>
      </c>
      <c r="AJ264" s="3">
        <f t="shared" si="580"/>
        <v>0</v>
      </c>
      <c r="AK264" s="3">
        <f t="shared" si="580"/>
        <v>0</v>
      </c>
      <c r="AL264" s="150">
        <f t="shared" si="580"/>
        <v>0</v>
      </c>
      <c r="AM264" s="3">
        <f t="shared" si="580"/>
        <v>0</v>
      </c>
      <c r="AN264" s="3">
        <f t="shared" si="580"/>
        <v>0</v>
      </c>
      <c r="AO264" s="3">
        <f t="shared" si="580"/>
        <v>0</v>
      </c>
      <c r="AP264" s="3">
        <f t="shared" si="580"/>
        <v>0</v>
      </c>
      <c r="AQ264" s="3">
        <f t="shared" si="580"/>
        <v>0</v>
      </c>
      <c r="AR264" s="3">
        <f t="shared" ref="AR264" si="581">SUM(AR245:AR263)</f>
        <v>5938</v>
      </c>
      <c r="AS264" s="35"/>
      <c r="AT264" s="1">
        <f>+AR264-[2]PassVol!$AN264</f>
        <v>4868</v>
      </c>
      <c r="AU264" s="35"/>
      <c r="AV264" s="3">
        <f>SUM(AV245:AV263)</f>
        <v>0</v>
      </c>
      <c r="AW264" s="3">
        <f>SUM(AW245:AW263)</f>
        <v>0</v>
      </c>
      <c r="AX264" s="3">
        <f t="shared" ref="AX264:BE264" si="582">SUM(AX245:AX263)</f>
        <v>2716</v>
      </c>
      <c r="AY264" s="3">
        <f t="shared" si="582"/>
        <v>2368</v>
      </c>
      <c r="AZ264" s="3">
        <f t="shared" si="582"/>
        <v>854</v>
      </c>
      <c r="BA264" s="3">
        <f t="shared" si="582"/>
        <v>0</v>
      </c>
      <c r="BB264" s="3">
        <f t="shared" si="582"/>
        <v>0</v>
      </c>
      <c r="BC264" s="3">
        <f t="shared" si="582"/>
        <v>0</v>
      </c>
      <c r="BD264" s="3">
        <f t="shared" si="582"/>
        <v>0</v>
      </c>
      <c r="BE264" s="3">
        <f t="shared" si="582"/>
        <v>0</v>
      </c>
      <c r="BG264" s="3">
        <f t="shared" ref="BG264" si="583">SUM(BG245:BG263)</f>
        <v>0</v>
      </c>
      <c r="BH264" s="3">
        <f t="shared" ref="BH264:BQ264" si="584">SUM(BH245:BH263)</f>
        <v>0</v>
      </c>
      <c r="BI264" s="3">
        <f t="shared" si="584"/>
        <v>48888</v>
      </c>
      <c r="BJ264" s="3">
        <f t="shared" si="584"/>
        <v>42624</v>
      </c>
      <c r="BK264" s="3">
        <f t="shared" si="584"/>
        <v>15372</v>
      </c>
      <c r="BL264" s="3">
        <f t="shared" si="584"/>
        <v>0</v>
      </c>
      <c r="BM264" s="3">
        <f t="shared" si="584"/>
        <v>0</v>
      </c>
      <c r="BN264" s="3">
        <f t="shared" si="584"/>
        <v>0</v>
      </c>
      <c r="BO264" s="3">
        <f t="shared" si="584"/>
        <v>0</v>
      </c>
      <c r="BP264" s="3">
        <f t="shared" si="584"/>
        <v>0</v>
      </c>
      <c r="BQ264" s="3">
        <f t="shared" si="584"/>
        <v>106884</v>
      </c>
    </row>
    <row r="265" spans="2:69" s="10" customFormat="1" ht="15" customHeight="1" x14ac:dyDescent="0.25">
      <c r="C265" s="38" t="s">
        <v>97</v>
      </c>
      <c r="D265" s="11">
        <f>+D264</f>
        <v>0</v>
      </c>
      <c r="E265" s="11">
        <f>+D265+E264</f>
        <v>0</v>
      </c>
      <c r="F265" s="11">
        <f t="shared" ref="F265:AQ265" si="585">+E265+F264</f>
        <v>0</v>
      </c>
      <c r="G265" s="11">
        <f t="shared" si="585"/>
        <v>0</v>
      </c>
      <c r="H265" s="11">
        <f t="shared" si="585"/>
        <v>0</v>
      </c>
      <c r="I265" s="11">
        <f t="shared" si="585"/>
        <v>0</v>
      </c>
      <c r="J265" s="11">
        <f t="shared" si="585"/>
        <v>0</v>
      </c>
      <c r="K265" s="11">
        <f t="shared" si="585"/>
        <v>0</v>
      </c>
      <c r="L265" s="11">
        <f t="shared" si="585"/>
        <v>0</v>
      </c>
      <c r="M265" s="11">
        <f t="shared" si="585"/>
        <v>923</v>
      </c>
      <c r="N265" s="11">
        <f t="shared" si="585"/>
        <v>1479</v>
      </c>
      <c r="O265" s="11">
        <f t="shared" si="585"/>
        <v>2306</v>
      </c>
      <c r="P265" s="11">
        <f t="shared" si="585"/>
        <v>2716</v>
      </c>
      <c r="Q265" s="11">
        <f t="shared" si="585"/>
        <v>3002</v>
      </c>
      <c r="R265" s="11">
        <f t="shared" si="585"/>
        <v>4019</v>
      </c>
      <c r="S265" s="11">
        <f t="shared" si="585"/>
        <v>4622</v>
      </c>
      <c r="T265" s="11">
        <f t="shared" si="585"/>
        <v>5084</v>
      </c>
      <c r="U265" s="11">
        <f t="shared" si="585"/>
        <v>5359</v>
      </c>
      <c r="V265" s="11">
        <f t="shared" si="585"/>
        <v>5780</v>
      </c>
      <c r="W265" s="11">
        <f t="shared" si="585"/>
        <v>5938</v>
      </c>
      <c r="X265" s="11">
        <f t="shared" si="585"/>
        <v>5938</v>
      </c>
      <c r="Y265" s="11">
        <f t="shared" si="585"/>
        <v>5938</v>
      </c>
      <c r="Z265" s="11">
        <f t="shared" si="585"/>
        <v>5938</v>
      </c>
      <c r="AA265" s="11">
        <f t="shared" si="585"/>
        <v>5938</v>
      </c>
      <c r="AB265" s="11">
        <f t="shared" si="585"/>
        <v>5938</v>
      </c>
      <c r="AC265" s="11">
        <f t="shared" si="585"/>
        <v>5938</v>
      </c>
      <c r="AD265" s="11">
        <f t="shared" si="585"/>
        <v>5938</v>
      </c>
      <c r="AE265" s="11">
        <f t="shared" si="585"/>
        <v>5938</v>
      </c>
      <c r="AF265" s="11">
        <f t="shared" si="585"/>
        <v>5938</v>
      </c>
      <c r="AG265" s="11">
        <f t="shared" si="585"/>
        <v>5938</v>
      </c>
      <c r="AH265" s="147">
        <f t="shared" si="585"/>
        <v>5938</v>
      </c>
      <c r="AI265" s="11">
        <f t="shared" si="585"/>
        <v>5938</v>
      </c>
      <c r="AJ265" s="11">
        <f t="shared" si="585"/>
        <v>5938</v>
      </c>
      <c r="AK265" s="11">
        <f t="shared" si="585"/>
        <v>5938</v>
      </c>
      <c r="AL265" s="147">
        <f t="shared" si="585"/>
        <v>5938</v>
      </c>
      <c r="AM265" s="11">
        <f t="shared" si="585"/>
        <v>5938</v>
      </c>
      <c r="AN265" s="11">
        <f t="shared" si="585"/>
        <v>5938</v>
      </c>
      <c r="AO265" s="11">
        <f t="shared" si="585"/>
        <v>5938</v>
      </c>
      <c r="AP265" s="11">
        <f t="shared" si="585"/>
        <v>5938</v>
      </c>
      <c r="AQ265" s="11">
        <f t="shared" si="585"/>
        <v>5938</v>
      </c>
      <c r="AR265" s="40"/>
      <c r="AS265" s="11"/>
      <c r="AT265" s="11"/>
      <c r="AU265" s="11"/>
      <c r="AV265" s="11">
        <f>+AV264</f>
        <v>0</v>
      </c>
      <c r="AW265" s="1">
        <f>+AV265+AW264</f>
        <v>0</v>
      </c>
      <c r="AX265" s="1">
        <f t="shared" ref="AX265" si="586">+AW265+AX264</f>
        <v>2716</v>
      </c>
      <c r="AY265" s="1">
        <f t="shared" ref="AY265" si="587">+AX265+AY264</f>
        <v>5084</v>
      </c>
      <c r="AZ265" s="1">
        <f t="shared" ref="AZ265" si="588">+AY265+AZ264</f>
        <v>5938</v>
      </c>
      <c r="BA265" s="1">
        <f t="shared" ref="BA265" si="589">+AZ265+BA264</f>
        <v>5938</v>
      </c>
      <c r="BB265" s="1">
        <f t="shared" ref="BB265" si="590">+BA265+BB264</f>
        <v>5938</v>
      </c>
      <c r="BC265" s="1">
        <f t="shared" ref="BC265" si="591">+BB265+BC264</f>
        <v>5938</v>
      </c>
      <c r="BD265" s="1">
        <f t="shared" ref="BD265" si="592">+BC265+BD264</f>
        <v>5938</v>
      </c>
      <c r="BE265" s="1">
        <f t="shared" ref="BE265" si="593">+BD265+BE264</f>
        <v>5938</v>
      </c>
    </row>
    <row r="266" spans="2:69" s="10" customFormat="1" ht="15" customHeight="1" x14ac:dyDescent="0.2">
      <c r="C266" s="38" t="s">
        <v>220</v>
      </c>
      <c r="D266" s="11">
        <f>+D264*18</f>
        <v>0</v>
      </c>
      <c r="E266" s="11">
        <f t="shared" ref="E266:AQ266" si="594">+E264*18</f>
        <v>0</v>
      </c>
      <c r="F266" s="11">
        <f t="shared" si="594"/>
        <v>0</v>
      </c>
      <c r="G266" s="11">
        <f t="shared" si="594"/>
        <v>0</v>
      </c>
      <c r="H266" s="11">
        <f t="shared" si="594"/>
        <v>0</v>
      </c>
      <c r="I266" s="11">
        <f t="shared" si="594"/>
        <v>0</v>
      </c>
      <c r="J266" s="11">
        <f t="shared" si="594"/>
        <v>0</v>
      </c>
      <c r="K266" s="11">
        <f t="shared" si="594"/>
        <v>0</v>
      </c>
      <c r="L266" s="11">
        <f t="shared" si="594"/>
        <v>0</v>
      </c>
      <c r="M266" s="11">
        <f t="shared" si="594"/>
        <v>16614</v>
      </c>
      <c r="N266" s="11">
        <f t="shared" si="594"/>
        <v>10008</v>
      </c>
      <c r="O266" s="11">
        <f t="shared" si="594"/>
        <v>14886</v>
      </c>
      <c r="P266" s="11">
        <f t="shared" si="594"/>
        <v>7380</v>
      </c>
      <c r="Q266" s="11">
        <f t="shared" si="594"/>
        <v>5148</v>
      </c>
      <c r="R266" s="11">
        <f t="shared" si="594"/>
        <v>18306</v>
      </c>
      <c r="S266" s="11">
        <f t="shared" si="594"/>
        <v>10854</v>
      </c>
      <c r="T266" s="11">
        <f t="shared" si="594"/>
        <v>8316</v>
      </c>
      <c r="U266" s="11">
        <f t="shared" si="594"/>
        <v>4950</v>
      </c>
      <c r="V266" s="11">
        <f t="shared" si="594"/>
        <v>7578</v>
      </c>
      <c r="W266" s="11">
        <f t="shared" si="594"/>
        <v>2844</v>
      </c>
      <c r="X266" s="11">
        <f t="shared" si="594"/>
        <v>0</v>
      </c>
      <c r="Y266" s="11">
        <f t="shared" si="594"/>
        <v>0</v>
      </c>
      <c r="Z266" s="11">
        <f t="shared" si="594"/>
        <v>0</v>
      </c>
      <c r="AA266" s="11">
        <f t="shared" si="594"/>
        <v>0</v>
      </c>
      <c r="AB266" s="11">
        <f t="shared" si="594"/>
        <v>0</v>
      </c>
      <c r="AC266" s="11">
        <f t="shared" si="594"/>
        <v>0</v>
      </c>
      <c r="AD266" s="11">
        <f t="shared" si="594"/>
        <v>0</v>
      </c>
      <c r="AE266" s="11">
        <f t="shared" si="594"/>
        <v>0</v>
      </c>
      <c r="AF266" s="11">
        <f t="shared" si="594"/>
        <v>0</v>
      </c>
      <c r="AG266" s="11">
        <f t="shared" si="594"/>
        <v>0</v>
      </c>
      <c r="AH266" s="147">
        <f t="shared" si="594"/>
        <v>0</v>
      </c>
      <c r="AI266" s="11">
        <f t="shared" si="594"/>
        <v>0</v>
      </c>
      <c r="AJ266" s="11">
        <f t="shared" si="594"/>
        <v>0</v>
      </c>
      <c r="AK266" s="11">
        <f t="shared" si="594"/>
        <v>0</v>
      </c>
      <c r="AL266" s="147">
        <f t="shared" si="594"/>
        <v>0</v>
      </c>
      <c r="AM266" s="11">
        <f t="shared" si="594"/>
        <v>0</v>
      </c>
      <c r="AN266" s="11">
        <f t="shared" si="594"/>
        <v>0</v>
      </c>
      <c r="AO266" s="11">
        <f t="shared" si="594"/>
        <v>0</v>
      </c>
      <c r="AP266" s="11">
        <f t="shared" si="594"/>
        <v>0</v>
      </c>
      <c r="AQ266" s="11">
        <f t="shared" si="594"/>
        <v>0</v>
      </c>
      <c r="AR266" s="40">
        <f>SUM(D266:AC266)</f>
        <v>106884</v>
      </c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</row>
    <row r="267" spans="2:69" s="10" customFormat="1" ht="15" customHeight="1" x14ac:dyDescent="0.2">
      <c r="C267" s="38" t="s">
        <v>286</v>
      </c>
      <c r="D267" s="11">
        <f>+(D264-D254-D260)/2</f>
        <v>0</v>
      </c>
      <c r="E267" s="11">
        <f t="shared" ref="E267:AQ267" si="595">+(E264-E254-E260)/2</f>
        <v>0</v>
      </c>
      <c r="F267" s="11">
        <f t="shared" si="595"/>
        <v>0</v>
      </c>
      <c r="G267" s="11">
        <f t="shared" si="595"/>
        <v>0</v>
      </c>
      <c r="H267" s="11">
        <f t="shared" si="595"/>
        <v>0</v>
      </c>
      <c r="I267" s="11">
        <f t="shared" si="595"/>
        <v>0</v>
      </c>
      <c r="J267" s="11">
        <f t="shared" si="595"/>
        <v>0</v>
      </c>
      <c r="K267" s="11">
        <f t="shared" si="595"/>
        <v>0</v>
      </c>
      <c r="L267" s="11">
        <f t="shared" si="595"/>
        <v>0</v>
      </c>
      <c r="M267" s="11">
        <f t="shared" si="595"/>
        <v>461.5</v>
      </c>
      <c r="N267" s="11">
        <f t="shared" si="595"/>
        <v>278</v>
      </c>
      <c r="O267" s="11">
        <f t="shared" si="595"/>
        <v>413.5</v>
      </c>
      <c r="P267" s="11">
        <f t="shared" si="595"/>
        <v>205</v>
      </c>
      <c r="Q267" s="11">
        <f t="shared" si="595"/>
        <v>143</v>
      </c>
      <c r="R267" s="11">
        <f t="shared" si="595"/>
        <v>508.5</v>
      </c>
      <c r="S267" s="11">
        <f t="shared" si="595"/>
        <v>301.5</v>
      </c>
      <c r="T267" s="11">
        <f t="shared" si="595"/>
        <v>231</v>
      </c>
      <c r="U267" s="11">
        <f t="shared" si="595"/>
        <v>137.5</v>
      </c>
      <c r="V267" s="11">
        <f t="shared" si="595"/>
        <v>210.5</v>
      </c>
      <c r="W267" s="11">
        <f t="shared" si="595"/>
        <v>79</v>
      </c>
      <c r="X267" s="11">
        <f t="shared" si="595"/>
        <v>0</v>
      </c>
      <c r="Y267" s="11">
        <f t="shared" si="595"/>
        <v>0</v>
      </c>
      <c r="Z267" s="11">
        <f t="shared" si="595"/>
        <v>0</v>
      </c>
      <c r="AA267" s="11">
        <f t="shared" si="595"/>
        <v>0</v>
      </c>
      <c r="AB267" s="11">
        <f t="shared" si="595"/>
        <v>0</v>
      </c>
      <c r="AC267" s="11">
        <f t="shared" si="595"/>
        <v>0</v>
      </c>
      <c r="AD267" s="11">
        <f t="shared" si="595"/>
        <v>0</v>
      </c>
      <c r="AE267" s="11">
        <f t="shared" si="595"/>
        <v>0</v>
      </c>
      <c r="AF267" s="11">
        <f t="shared" si="595"/>
        <v>0</v>
      </c>
      <c r="AG267" s="11">
        <f t="shared" si="595"/>
        <v>0</v>
      </c>
      <c r="AH267" s="147">
        <f t="shared" si="595"/>
        <v>0</v>
      </c>
      <c r="AI267" s="11">
        <f t="shared" si="595"/>
        <v>0</v>
      </c>
      <c r="AJ267" s="11">
        <f t="shared" si="595"/>
        <v>0</v>
      </c>
      <c r="AK267" s="11">
        <f t="shared" si="595"/>
        <v>0</v>
      </c>
      <c r="AL267" s="147">
        <f t="shared" si="595"/>
        <v>0</v>
      </c>
      <c r="AM267" s="11">
        <f t="shared" si="595"/>
        <v>0</v>
      </c>
      <c r="AN267" s="11">
        <f t="shared" si="595"/>
        <v>0</v>
      </c>
      <c r="AO267" s="11">
        <f t="shared" si="595"/>
        <v>0</v>
      </c>
      <c r="AP267" s="11">
        <f t="shared" si="595"/>
        <v>0</v>
      </c>
      <c r="AQ267" s="11">
        <f t="shared" si="595"/>
        <v>0</v>
      </c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</row>
    <row r="268" spans="2:69" s="10" customFormat="1" ht="15" customHeight="1" x14ac:dyDescent="0.25">
      <c r="B268" s="2" t="s">
        <v>195</v>
      </c>
      <c r="C268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47"/>
      <c r="AI268" s="11"/>
      <c r="AJ268" s="11"/>
      <c r="AK268" s="11"/>
      <c r="AL268" s="147"/>
      <c r="AM268" s="11"/>
      <c r="AN268" s="11"/>
      <c r="AO268" s="11"/>
      <c r="AP268" s="11"/>
      <c r="AQ268" s="11"/>
      <c r="AR268" s="40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</row>
    <row r="269" spans="2:69" s="10" customFormat="1" ht="15" customHeight="1" x14ac:dyDescent="0.25">
      <c r="B269" s="2"/>
      <c r="C269" t="s">
        <v>190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>
        <v>292</v>
      </c>
      <c r="U269" s="1"/>
      <c r="V269" s="1">
        <v>2</v>
      </c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17"/>
      <c r="AI269" s="1"/>
      <c r="AJ269" s="1"/>
      <c r="AK269" s="1"/>
      <c r="AL269" s="117"/>
      <c r="AM269" s="1"/>
      <c r="AN269" s="1"/>
      <c r="AO269" s="1"/>
      <c r="AP269" s="1"/>
      <c r="AQ269" s="1"/>
      <c r="AR269" s="3">
        <f>SUM(D269:AQ269)</f>
        <v>294</v>
      </c>
      <c r="AS269" s="11"/>
      <c r="AT269" s="1">
        <f>+AR269-[2]PassVol!$AN269</f>
        <v>294</v>
      </c>
      <c r="AU269" s="11"/>
      <c r="AV269" s="1">
        <f>SUM(D269:G269)</f>
        <v>0</v>
      </c>
      <c r="AW269" s="1">
        <f>SUM(H269:K269)</f>
        <v>0</v>
      </c>
      <c r="AX269" s="1">
        <f>SUM(L269:P269)</f>
        <v>0</v>
      </c>
      <c r="AY269" s="1">
        <f>SUM(Q269:T269)</f>
        <v>292</v>
      </c>
      <c r="AZ269" s="1">
        <f>SUM(U269:X269)</f>
        <v>2</v>
      </c>
      <c r="BA269" s="1">
        <f>SUM(Y269:AC269)</f>
        <v>0</v>
      </c>
      <c r="BB269" s="1">
        <f>SUM(AD269:AG269)</f>
        <v>0</v>
      </c>
      <c r="BC269" s="1">
        <f>SUM(AH269:AK269)</f>
        <v>0</v>
      </c>
      <c r="BD269" s="1">
        <f>SUM(AL269:AP269)</f>
        <v>0</v>
      </c>
      <c r="BE269" s="1">
        <f>+AQ269</f>
        <v>0</v>
      </c>
      <c r="BG269" s="1">
        <f t="shared" ref="BG269:BP270" si="596">+AV269*10</f>
        <v>0</v>
      </c>
      <c r="BH269" s="1">
        <f t="shared" si="596"/>
        <v>0</v>
      </c>
      <c r="BI269" s="1">
        <f t="shared" si="596"/>
        <v>0</v>
      </c>
      <c r="BJ269" s="1">
        <f t="shared" si="596"/>
        <v>2920</v>
      </c>
      <c r="BK269" s="1">
        <f t="shared" si="596"/>
        <v>20</v>
      </c>
      <c r="BL269" s="1">
        <f t="shared" si="596"/>
        <v>0</v>
      </c>
      <c r="BM269" s="1">
        <f t="shared" si="596"/>
        <v>0</v>
      </c>
      <c r="BN269" s="1">
        <f t="shared" si="596"/>
        <v>0</v>
      </c>
      <c r="BO269" s="1">
        <f t="shared" si="596"/>
        <v>0</v>
      </c>
      <c r="BP269" s="1">
        <f t="shared" si="596"/>
        <v>0</v>
      </c>
      <c r="BQ269" s="1">
        <f t="shared" ref="BQ269:BQ287" si="597">SUM(BH269:BP269)</f>
        <v>2940</v>
      </c>
    </row>
    <row r="270" spans="2:69" s="10" customFormat="1" ht="15" customHeight="1" x14ac:dyDescent="0.25">
      <c r="B270" s="2"/>
      <c r="C270" t="s">
        <v>424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>
        <v>74</v>
      </c>
      <c r="U270" s="1">
        <v>6</v>
      </c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17"/>
      <c r="AI270" s="1"/>
      <c r="AJ270" s="1"/>
      <c r="AK270" s="1"/>
      <c r="AL270" s="117"/>
      <c r="AM270" s="1"/>
      <c r="AN270" s="1"/>
      <c r="AO270" s="1"/>
      <c r="AP270" s="1"/>
      <c r="AQ270" s="1"/>
      <c r="AR270" s="3">
        <f>SUM(D270:AQ270)</f>
        <v>80</v>
      </c>
      <c r="AS270" s="11"/>
      <c r="AT270" s="1">
        <f>+AR270-[2]PassVol!$AN270</f>
        <v>80</v>
      </c>
      <c r="AU270" s="11"/>
      <c r="AV270" s="1">
        <f t="shared" ref="AV270:AV287" si="598">SUM(D270:G270)</f>
        <v>0</v>
      </c>
      <c r="AW270" s="1">
        <f t="shared" ref="AW270:AW287" si="599">SUM(H270:K270)</f>
        <v>0</v>
      </c>
      <c r="AX270" s="1">
        <f t="shared" ref="AX270:AX287" si="600">SUM(L270:P270)</f>
        <v>0</v>
      </c>
      <c r="AY270" s="1">
        <f t="shared" ref="AY270:AY287" si="601">SUM(Q270:T270)</f>
        <v>74</v>
      </c>
      <c r="AZ270" s="1">
        <f t="shared" ref="AZ270:AZ287" si="602">SUM(U270:X270)</f>
        <v>6</v>
      </c>
      <c r="BA270" s="1">
        <f t="shared" ref="BA270:BA287" si="603">SUM(Y270:AC270)</f>
        <v>0</v>
      </c>
      <c r="BB270" s="1">
        <f t="shared" ref="BB270:BB287" si="604">SUM(AD270:AG270)</f>
        <v>0</v>
      </c>
      <c r="BC270" s="1">
        <f t="shared" ref="BC270:BC287" si="605">SUM(AH270:AK270)</f>
        <v>0</v>
      </c>
      <c r="BD270" s="1">
        <f t="shared" ref="BD270:BD287" si="606">SUM(AL270:AP270)</f>
        <v>0</v>
      </c>
      <c r="BE270" s="1">
        <f t="shared" ref="BE270:BE287" si="607">+AQ270</f>
        <v>0</v>
      </c>
      <c r="BG270" s="1">
        <f t="shared" si="596"/>
        <v>0</v>
      </c>
      <c r="BH270" s="1">
        <f t="shared" si="596"/>
        <v>0</v>
      </c>
      <c r="BI270" s="1">
        <f t="shared" si="596"/>
        <v>0</v>
      </c>
      <c r="BJ270" s="1">
        <f t="shared" si="596"/>
        <v>740</v>
      </c>
      <c r="BK270" s="1">
        <f t="shared" si="596"/>
        <v>60</v>
      </c>
      <c r="BL270" s="1">
        <f t="shared" si="596"/>
        <v>0</v>
      </c>
      <c r="BM270" s="1">
        <f t="shared" si="596"/>
        <v>0</v>
      </c>
      <c r="BN270" s="1">
        <f t="shared" si="596"/>
        <v>0</v>
      </c>
      <c r="BO270" s="1">
        <f t="shared" si="596"/>
        <v>0</v>
      </c>
      <c r="BP270" s="1">
        <f t="shared" si="596"/>
        <v>0</v>
      </c>
      <c r="BQ270" s="1">
        <f>SUM(BH270:BP270)</f>
        <v>800</v>
      </c>
    </row>
    <row r="271" spans="2:69" s="10" customFormat="1" ht="15" customHeight="1" x14ac:dyDescent="0.25">
      <c r="B271" s="2"/>
      <c r="C271" t="s">
        <v>347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>
        <v>144</v>
      </c>
      <c r="U271" s="1">
        <v>10</v>
      </c>
      <c r="V271" s="1">
        <v>2</v>
      </c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17"/>
      <c r="AI271" s="1"/>
      <c r="AJ271" s="1"/>
      <c r="AK271" s="1"/>
      <c r="AL271" s="117"/>
      <c r="AM271" s="1"/>
      <c r="AN271" s="1"/>
      <c r="AO271" s="1"/>
      <c r="AP271" s="1"/>
      <c r="AQ271" s="1"/>
      <c r="AR271" s="3">
        <f t="shared" ref="AR271:AR287" si="608">SUM(D271:AQ271)</f>
        <v>156</v>
      </c>
      <c r="AS271" s="11"/>
      <c r="AT271" s="1">
        <f>+AR271-[2]PassVol!$AN271</f>
        <v>156</v>
      </c>
      <c r="AU271" s="11"/>
      <c r="AV271" s="1">
        <f t="shared" si="598"/>
        <v>0</v>
      </c>
      <c r="AW271" s="1">
        <f t="shared" si="599"/>
        <v>0</v>
      </c>
      <c r="AX271" s="1">
        <f t="shared" si="600"/>
        <v>0</v>
      </c>
      <c r="AY271" s="1">
        <f t="shared" si="601"/>
        <v>144</v>
      </c>
      <c r="AZ271" s="1">
        <f t="shared" si="602"/>
        <v>12</v>
      </c>
      <c r="BA271" s="1">
        <f t="shared" si="603"/>
        <v>0</v>
      </c>
      <c r="BB271" s="1">
        <f t="shared" si="604"/>
        <v>0</v>
      </c>
      <c r="BC271" s="1">
        <f t="shared" si="605"/>
        <v>0</v>
      </c>
      <c r="BD271" s="1">
        <f t="shared" si="606"/>
        <v>0</v>
      </c>
      <c r="BE271" s="1">
        <f t="shared" si="607"/>
        <v>0</v>
      </c>
      <c r="BG271" s="1">
        <f t="shared" ref="BG271:BH287" si="609">+AV271*10</f>
        <v>0</v>
      </c>
      <c r="BH271" s="1">
        <f t="shared" si="609"/>
        <v>0</v>
      </c>
      <c r="BI271" s="1">
        <f t="shared" ref="BI271:BI287" si="610">+AX271*10</f>
        <v>0</v>
      </c>
      <c r="BJ271" s="1">
        <f t="shared" ref="BJ271:BJ287" si="611">+AY271*10</f>
        <v>1440</v>
      </c>
      <c r="BK271" s="1">
        <f t="shared" ref="BK271:BK287" si="612">+AZ271*10</f>
        <v>120</v>
      </c>
      <c r="BL271" s="1">
        <f t="shared" ref="BL271:BL287" si="613">+BA271*10</f>
        <v>0</v>
      </c>
      <c r="BM271" s="1">
        <f t="shared" ref="BM271:BM287" si="614">+BB271*10</f>
        <v>0</v>
      </c>
      <c r="BN271" s="1">
        <f t="shared" ref="BN271:BN287" si="615">+BC271*10</f>
        <v>0</v>
      </c>
      <c r="BO271" s="1">
        <f t="shared" ref="BO271:BO287" si="616">+BD271*10</f>
        <v>0</v>
      </c>
      <c r="BP271" s="1">
        <f t="shared" ref="BP271:BP287" si="617">+BE271*10</f>
        <v>0</v>
      </c>
      <c r="BQ271" s="1">
        <f t="shared" si="597"/>
        <v>1560</v>
      </c>
    </row>
    <row r="272" spans="2:69" s="10" customFormat="1" ht="15" customHeight="1" x14ac:dyDescent="0.25">
      <c r="B272" s="2"/>
      <c r="C272" t="s">
        <v>0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17"/>
      <c r="AI272" s="1"/>
      <c r="AJ272" s="1"/>
      <c r="AK272" s="1"/>
      <c r="AL272" s="117"/>
      <c r="AM272" s="1"/>
      <c r="AN272" s="1"/>
      <c r="AO272" s="1"/>
      <c r="AP272" s="1"/>
      <c r="AQ272" s="1"/>
      <c r="AR272" s="3">
        <f t="shared" si="608"/>
        <v>0</v>
      </c>
      <c r="AS272" s="11"/>
      <c r="AT272" s="1">
        <f>+AR272-[2]PassVol!$AN272</f>
        <v>0</v>
      </c>
      <c r="AU272" s="11"/>
      <c r="AV272" s="1">
        <f t="shared" si="598"/>
        <v>0</v>
      </c>
      <c r="AW272" s="1">
        <f t="shared" si="599"/>
        <v>0</v>
      </c>
      <c r="AX272" s="1">
        <f t="shared" si="600"/>
        <v>0</v>
      </c>
      <c r="AY272" s="1">
        <f t="shared" si="601"/>
        <v>0</v>
      </c>
      <c r="AZ272" s="1">
        <f t="shared" si="602"/>
        <v>0</v>
      </c>
      <c r="BA272" s="1">
        <f t="shared" si="603"/>
        <v>0</v>
      </c>
      <c r="BB272" s="1">
        <f t="shared" si="604"/>
        <v>0</v>
      </c>
      <c r="BC272" s="1">
        <f t="shared" si="605"/>
        <v>0</v>
      </c>
      <c r="BD272" s="1">
        <f t="shared" si="606"/>
        <v>0</v>
      </c>
      <c r="BE272" s="1">
        <f t="shared" si="607"/>
        <v>0</v>
      </c>
      <c r="BG272" s="1">
        <f t="shared" si="609"/>
        <v>0</v>
      </c>
      <c r="BH272" s="1">
        <f t="shared" si="609"/>
        <v>0</v>
      </c>
      <c r="BI272" s="1">
        <f t="shared" si="610"/>
        <v>0</v>
      </c>
      <c r="BJ272" s="1">
        <f t="shared" si="611"/>
        <v>0</v>
      </c>
      <c r="BK272" s="1">
        <f t="shared" si="612"/>
        <v>0</v>
      </c>
      <c r="BL272" s="1">
        <f t="shared" si="613"/>
        <v>0</v>
      </c>
      <c r="BM272" s="1">
        <f t="shared" si="614"/>
        <v>0</v>
      </c>
      <c r="BN272" s="1">
        <f t="shared" si="615"/>
        <v>0</v>
      </c>
      <c r="BO272" s="1">
        <f t="shared" si="616"/>
        <v>0</v>
      </c>
      <c r="BP272" s="1">
        <f t="shared" si="617"/>
        <v>0</v>
      </c>
      <c r="BQ272" s="1">
        <f t="shared" si="597"/>
        <v>0</v>
      </c>
    </row>
    <row r="273" spans="2:73" s="10" customFormat="1" ht="15" customHeight="1" x14ac:dyDescent="0.25">
      <c r="B273" s="2"/>
      <c r="C273" t="s">
        <v>354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>
        <v>3</v>
      </c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17"/>
      <c r="AI273" s="1"/>
      <c r="AJ273" s="1"/>
      <c r="AK273" s="1"/>
      <c r="AL273" s="117"/>
      <c r="AM273" s="1"/>
      <c r="AN273" s="1"/>
      <c r="AO273" s="1"/>
      <c r="AP273" s="1"/>
      <c r="AQ273" s="1"/>
      <c r="AR273" s="3">
        <f t="shared" si="608"/>
        <v>3</v>
      </c>
      <c r="AS273" s="11"/>
      <c r="AT273" s="1">
        <f>+AR273-[2]PassVol!$AN273</f>
        <v>3</v>
      </c>
      <c r="AU273" s="11"/>
      <c r="AV273" s="1">
        <f t="shared" si="598"/>
        <v>0</v>
      </c>
      <c r="AW273" s="1">
        <f t="shared" si="599"/>
        <v>0</v>
      </c>
      <c r="AX273" s="1">
        <f t="shared" si="600"/>
        <v>0</v>
      </c>
      <c r="AY273" s="1">
        <f t="shared" si="601"/>
        <v>0</v>
      </c>
      <c r="AZ273" s="1">
        <f t="shared" si="602"/>
        <v>3</v>
      </c>
      <c r="BA273" s="1">
        <f t="shared" si="603"/>
        <v>0</v>
      </c>
      <c r="BB273" s="1">
        <f t="shared" si="604"/>
        <v>0</v>
      </c>
      <c r="BC273" s="1">
        <f t="shared" si="605"/>
        <v>0</v>
      </c>
      <c r="BD273" s="1">
        <f t="shared" si="606"/>
        <v>0</v>
      </c>
      <c r="BE273" s="1">
        <f t="shared" si="607"/>
        <v>0</v>
      </c>
      <c r="BG273" s="1">
        <f t="shared" si="609"/>
        <v>0</v>
      </c>
      <c r="BH273" s="1">
        <f t="shared" si="609"/>
        <v>0</v>
      </c>
      <c r="BI273" s="1">
        <f t="shared" si="610"/>
        <v>0</v>
      </c>
      <c r="BJ273" s="1">
        <f t="shared" si="611"/>
        <v>0</v>
      </c>
      <c r="BK273" s="1">
        <f t="shared" si="612"/>
        <v>30</v>
      </c>
      <c r="BL273" s="1">
        <f t="shared" si="613"/>
        <v>0</v>
      </c>
      <c r="BM273" s="1">
        <f t="shared" si="614"/>
        <v>0</v>
      </c>
      <c r="BN273" s="1">
        <f t="shared" si="615"/>
        <v>0</v>
      </c>
      <c r="BO273" s="1">
        <f t="shared" si="616"/>
        <v>0</v>
      </c>
      <c r="BP273" s="1">
        <f t="shared" si="617"/>
        <v>0</v>
      </c>
      <c r="BQ273" s="1">
        <f t="shared" si="597"/>
        <v>30</v>
      </c>
    </row>
    <row r="274" spans="2:73" s="10" customFormat="1" ht="15" customHeight="1" x14ac:dyDescent="0.25">
      <c r="B274" s="2"/>
      <c r="C274" t="s">
        <v>265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>
        <v>116</v>
      </c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17"/>
      <c r="AI274" s="1"/>
      <c r="AJ274" s="1"/>
      <c r="AK274" s="1"/>
      <c r="AL274" s="117"/>
      <c r="AM274" s="1"/>
      <c r="AN274" s="1"/>
      <c r="AO274" s="1"/>
      <c r="AP274" s="1"/>
      <c r="AQ274" s="1"/>
      <c r="AR274" s="3">
        <f t="shared" si="608"/>
        <v>116</v>
      </c>
      <c r="AS274" s="11"/>
      <c r="AT274" s="1">
        <f>+AR274-[2]PassVol!$AN274</f>
        <v>116</v>
      </c>
      <c r="AU274" s="11"/>
      <c r="AV274" s="1">
        <f t="shared" si="598"/>
        <v>0</v>
      </c>
      <c r="AW274" s="1">
        <f t="shared" si="599"/>
        <v>0</v>
      </c>
      <c r="AX274" s="1">
        <f t="shared" si="600"/>
        <v>0</v>
      </c>
      <c r="AY274" s="1">
        <f t="shared" si="601"/>
        <v>116</v>
      </c>
      <c r="AZ274" s="1">
        <f t="shared" si="602"/>
        <v>0</v>
      </c>
      <c r="BA274" s="1">
        <f t="shared" si="603"/>
        <v>0</v>
      </c>
      <c r="BB274" s="1">
        <f t="shared" si="604"/>
        <v>0</v>
      </c>
      <c r="BC274" s="1">
        <f t="shared" si="605"/>
        <v>0</v>
      </c>
      <c r="BD274" s="1">
        <f t="shared" si="606"/>
        <v>0</v>
      </c>
      <c r="BE274" s="1">
        <f t="shared" si="607"/>
        <v>0</v>
      </c>
      <c r="BG274" s="1">
        <f t="shared" si="609"/>
        <v>0</v>
      </c>
      <c r="BH274" s="1">
        <f t="shared" si="609"/>
        <v>0</v>
      </c>
      <c r="BI274" s="1">
        <f t="shared" si="610"/>
        <v>0</v>
      </c>
      <c r="BJ274" s="1">
        <f t="shared" si="611"/>
        <v>1160</v>
      </c>
      <c r="BK274" s="1">
        <f t="shared" si="612"/>
        <v>0</v>
      </c>
      <c r="BL274" s="1">
        <f t="shared" si="613"/>
        <v>0</v>
      </c>
      <c r="BM274" s="1">
        <f t="shared" si="614"/>
        <v>0</v>
      </c>
      <c r="BN274" s="1">
        <f t="shared" si="615"/>
        <v>0</v>
      </c>
      <c r="BO274" s="1">
        <f t="shared" si="616"/>
        <v>0</v>
      </c>
      <c r="BP274" s="1">
        <f t="shared" si="617"/>
        <v>0</v>
      </c>
      <c r="BQ274" s="1">
        <f t="shared" si="597"/>
        <v>1160</v>
      </c>
    </row>
    <row r="275" spans="2:73" s="10" customFormat="1" ht="15" customHeight="1" x14ac:dyDescent="0.25">
      <c r="B275" s="2"/>
      <c r="C275" t="s">
        <v>191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17">
        <v>186</v>
      </c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17"/>
      <c r="AI275" s="1"/>
      <c r="AJ275" s="1"/>
      <c r="AK275" s="1"/>
      <c r="AL275" s="117"/>
      <c r="AM275" s="1"/>
      <c r="AN275" s="1"/>
      <c r="AO275" s="1"/>
      <c r="AP275" s="1"/>
      <c r="AQ275" s="1"/>
      <c r="AR275" s="3">
        <f t="shared" si="608"/>
        <v>186</v>
      </c>
      <c r="AS275" s="11"/>
      <c r="AT275" s="1">
        <f>+AR275-[2]PassVol!$AN275</f>
        <v>186</v>
      </c>
      <c r="AU275" s="11"/>
      <c r="AV275" s="1">
        <f t="shared" si="598"/>
        <v>0</v>
      </c>
      <c r="AW275" s="1">
        <f t="shared" si="599"/>
        <v>0</v>
      </c>
      <c r="AX275" s="1">
        <f t="shared" si="600"/>
        <v>0</v>
      </c>
      <c r="AY275" s="1">
        <f t="shared" si="601"/>
        <v>186</v>
      </c>
      <c r="AZ275" s="1">
        <f t="shared" si="602"/>
        <v>0</v>
      </c>
      <c r="BA275" s="1">
        <f t="shared" si="603"/>
        <v>0</v>
      </c>
      <c r="BB275" s="1">
        <f t="shared" si="604"/>
        <v>0</v>
      </c>
      <c r="BC275" s="1">
        <f t="shared" si="605"/>
        <v>0</v>
      </c>
      <c r="BD275" s="1">
        <f t="shared" si="606"/>
        <v>0</v>
      </c>
      <c r="BE275" s="1">
        <f t="shared" si="607"/>
        <v>0</v>
      </c>
      <c r="BG275" s="1">
        <f t="shared" si="609"/>
        <v>0</v>
      </c>
      <c r="BH275" s="1">
        <f t="shared" si="609"/>
        <v>0</v>
      </c>
      <c r="BI275" s="1">
        <f t="shared" si="610"/>
        <v>0</v>
      </c>
      <c r="BJ275" s="1">
        <f t="shared" si="611"/>
        <v>1860</v>
      </c>
      <c r="BK275" s="1">
        <f t="shared" si="612"/>
        <v>0</v>
      </c>
      <c r="BL275" s="1">
        <f t="shared" si="613"/>
        <v>0</v>
      </c>
      <c r="BM275" s="1">
        <f t="shared" si="614"/>
        <v>0</v>
      </c>
      <c r="BN275" s="1">
        <f t="shared" si="615"/>
        <v>0</v>
      </c>
      <c r="BO275" s="1">
        <f t="shared" si="616"/>
        <v>0</v>
      </c>
      <c r="BP275" s="1">
        <f t="shared" si="617"/>
        <v>0</v>
      </c>
      <c r="BQ275" s="1">
        <f t="shared" si="597"/>
        <v>1860</v>
      </c>
    </row>
    <row r="276" spans="2:73" s="10" customFormat="1" ht="15" customHeight="1" x14ac:dyDescent="0.25">
      <c r="B276" s="2"/>
      <c r="C276" t="s">
        <v>549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17"/>
      <c r="AI276" s="1"/>
      <c r="AJ276" s="1"/>
      <c r="AK276" s="1"/>
      <c r="AL276" s="117"/>
      <c r="AM276" s="1"/>
      <c r="AN276" s="1"/>
      <c r="AO276" s="1"/>
      <c r="AP276" s="1"/>
      <c r="AQ276" s="1"/>
      <c r="AR276" s="3">
        <f t="shared" si="608"/>
        <v>0</v>
      </c>
      <c r="AS276" s="11"/>
      <c r="AT276" s="1">
        <f>+AR276-[2]PassVol!$AN276</f>
        <v>0</v>
      </c>
      <c r="AU276" s="11"/>
      <c r="AV276" s="1">
        <f t="shared" si="598"/>
        <v>0</v>
      </c>
      <c r="AW276" s="1">
        <f t="shared" si="599"/>
        <v>0</v>
      </c>
      <c r="AX276" s="1">
        <f t="shared" si="600"/>
        <v>0</v>
      </c>
      <c r="AY276" s="1">
        <f t="shared" si="601"/>
        <v>0</v>
      </c>
      <c r="AZ276" s="1">
        <f t="shared" si="602"/>
        <v>0</v>
      </c>
      <c r="BA276" s="1">
        <f t="shared" si="603"/>
        <v>0</v>
      </c>
      <c r="BB276" s="1">
        <f t="shared" si="604"/>
        <v>0</v>
      </c>
      <c r="BC276" s="1">
        <f t="shared" si="605"/>
        <v>0</v>
      </c>
      <c r="BD276" s="1">
        <f t="shared" si="606"/>
        <v>0</v>
      </c>
      <c r="BE276" s="1">
        <f t="shared" si="607"/>
        <v>0</v>
      </c>
      <c r="BG276" s="1">
        <f t="shared" si="609"/>
        <v>0</v>
      </c>
      <c r="BH276" s="1">
        <f t="shared" si="609"/>
        <v>0</v>
      </c>
      <c r="BI276" s="1">
        <f t="shared" si="610"/>
        <v>0</v>
      </c>
      <c r="BJ276" s="1">
        <f t="shared" si="611"/>
        <v>0</v>
      </c>
      <c r="BK276" s="1">
        <f t="shared" si="612"/>
        <v>0</v>
      </c>
      <c r="BL276" s="1">
        <f t="shared" si="613"/>
        <v>0</v>
      </c>
      <c r="BM276" s="1">
        <f t="shared" si="614"/>
        <v>0</v>
      </c>
      <c r="BN276" s="1">
        <f t="shared" si="615"/>
        <v>0</v>
      </c>
      <c r="BO276" s="1">
        <f t="shared" si="616"/>
        <v>0</v>
      </c>
      <c r="BP276" s="1">
        <f t="shared" si="617"/>
        <v>0</v>
      </c>
      <c r="BQ276" s="1">
        <f t="shared" si="597"/>
        <v>0</v>
      </c>
    </row>
    <row r="277" spans="2:73" s="10" customFormat="1" ht="15" customHeight="1" x14ac:dyDescent="0.25">
      <c r="B277" s="2"/>
      <c r="C277" t="s">
        <v>550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>
        <v>156</v>
      </c>
      <c r="U277" s="1">
        <v>10</v>
      </c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17"/>
      <c r="AI277" s="1"/>
      <c r="AJ277" s="1"/>
      <c r="AK277" s="1"/>
      <c r="AL277" s="117"/>
      <c r="AM277" s="1"/>
      <c r="AN277" s="1"/>
      <c r="AO277" s="1"/>
      <c r="AP277" s="1"/>
      <c r="AQ277" s="1"/>
      <c r="AR277" s="3">
        <f t="shared" si="608"/>
        <v>166</v>
      </c>
      <c r="AS277" s="11"/>
      <c r="AT277" s="1">
        <f>+AR277-[2]PassVol!$AN277</f>
        <v>166</v>
      </c>
      <c r="AU277" s="11"/>
      <c r="AV277" s="1">
        <f t="shared" si="598"/>
        <v>0</v>
      </c>
      <c r="AW277" s="1">
        <f t="shared" si="599"/>
        <v>0</v>
      </c>
      <c r="AX277" s="1">
        <f t="shared" si="600"/>
        <v>0</v>
      </c>
      <c r="AY277" s="1">
        <f t="shared" si="601"/>
        <v>156</v>
      </c>
      <c r="AZ277" s="1">
        <f t="shared" si="602"/>
        <v>10</v>
      </c>
      <c r="BA277" s="1">
        <f t="shared" si="603"/>
        <v>0</v>
      </c>
      <c r="BB277" s="1">
        <f t="shared" si="604"/>
        <v>0</v>
      </c>
      <c r="BC277" s="1">
        <f t="shared" si="605"/>
        <v>0</v>
      </c>
      <c r="BD277" s="1">
        <f t="shared" si="606"/>
        <v>0</v>
      </c>
      <c r="BE277" s="1">
        <f t="shared" si="607"/>
        <v>0</v>
      </c>
      <c r="BG277" s="1">
        <f t="shared" si="609"/>
        <v>0</v>
      </c>
      <c r="BH277" s="1">
        <f t="shared" si="609"/>
        <v>0</v>
      </c>
      <c r="BI277" s="1">
        <f t="shared" si="610"/>
        <v>0</v>
      </c>
      <c r="BJ277" s="1">
        <f t="shared" si="611"/>
        <v>1560</v>
      </c>
      <c r="BK277" s="1">
        <f t="shared" si="612"/>
        <v>100</v>
      </c>
      <c r="BL277" s="1">
        <f t="shared" si="613"/>
        <v>0</v>
      </c>
      <c r="BM277" s="1">
        <f t="shared" si="614"/>
        <v>0</v>
      </c>
      <c r="BN277" s="1">
        <f t="shared" si="615"/>
        <v>0</v>
      </c>
      <c r="BO277" s="1">
        <f t="shared" si="616"/>
        <v>0</v>
      </c>
      <c r="BP277" s="1">
        <f t="shared" si="617"/>
        <v>0</v>
      </c>
      <c r="BQ277" s="1">
        <f t="shared" si="597"/>
        <v>1660</v>
      </c>
    </row>
    <row r="278" spans="2:73" ht="15" customHeight="1" x14ac:dyDescent="0.25">
      <c r="C278" t="s">
        <v>6</v>
      </c>
      <c r="R278" s="1">
        <v>60</v>
      </c>
      <c r="T278" s="1">
        <v>45</v>
      </c>
      <c r="U278" s="1">
        <v>240</v>
      </c>
      <c r="V278" s="1">
        <v>40</v>
      </c>
      <c r="AR278" s="3">
        <f t="shared" si="608"/>
        <v>385</v>
      </c>
      <c r="AT278" s="1">
        <f>+AR278-[2]PassVol!$AN278</f>
        <v>385</v>
      </c>
      <c r="AV278" s="1">
        <f t="shared" si="598"/>
        <v>0</v>
      </c>
      <c r="AW278" s="1">
        <f t="shared" si="599"/>
        <v>0</v>
      </c>
      <c r="AX278" s="1">
        <f t="shared" si="600"/>
        <v>0</v>
      </c>
      <c r="AY278" s="1">
        <f t="shared" si="601"/>
        <v>105</v>
      </c>
      <c r="AZ278" s="1">
        <f t="shared" si="602"/>
        <v>280</v>
      </c>
      <c r="BA278" s="1">
        <f t="shared" si="603"/>
        <v>0</v>
      </c>
      <c r="BB278" s="1">
        <f t="shared" si="604"/>
        <v>0</v>
      </c>
      <c r="BC278" s="1">
        <f t="shared" si="605"/>
        <v>0</v>
      </c>
      <c r="BD278" s="1">
        <f t="shared" si="606"/>
        <v>0</v>
      </c>
      <c r="BE278" s="1">
        <f t="shared" si="607"/>
        <v>0</v>
      </c>
      <c r="BG278" s="1">
        <f t="shared" si="609"/>
        <v>0</v>
      </c>
      <c r="BH278" s="1">
        <f t="shared" si="609"/>
        <v>0</v>
      </c>
      <c r="BI278" s="1">
        <f t="shared" si="610"/>
        <v>0</v>
      </c>
      <c r="BJ278" s="1">
        <f t="shared" si="611"/>
        <v>1050</v>
      </c>
      <c r="BK278" s="1">
        <f t="shared" si="612"/>
        <v>2800</v>
      </c>
      <c r="BL278" s="1">
        <f t="shared" si="613"/>
        <v>0</v>
      </c>
      <c r="BM278" s="1">
        <f t="shared" si="614"/>
        <v>0</v>
      </c>
      <c r="BN278" s="1">
        <f t="shared" si="615"/>
        <v>0</v>
      </c>
      <c r="BO278" s="1">
        <f t="shared" si="616"/>
        <v>0</v>
      </c>
      <c r="BP278" s="1">
        <f t="shared" si="617"/>
        <v>0</v>
      </c>
      <c r="BQ278" s="1">
        <f t="shared" si="597"/>
        <v>3850</v>
      </c>
    </row>
    <row r="279" spans="2:73" ht="15" customHeight="1" x14ac:dyDescent="0.25">
      <c r="C279" t="s">
        <v>262</v>
      </c>
      <c r="T279" s="1">
        <v>78</v>
      </c>
      <c r="U279" s="1">
        <v>2</v>
      </c>
      <c r="AR279" s="3">
        <f t="shared" si="608"/>
        <v>80</v>
      </c>
      <c r="AT279" s="1">
        <f>+AR279-[2]PassVol!$AN279</f>
        <v>80</v>
      </c>
      <c r="AV279" s="1">
        <f t="shared" si="598"/>
        <v>0</v>
      </c>
      <c r="AW279" s="1">
        <f t="shared" si="599"/>
        <v>0</v>
      </c>
      <c r="AX279" s="1">
        <f t="shared" si="600"/>
        <v>0</v>
      </c>
      <c r="AY279" s="1">
        <f t="shared" si="601"/>
        <v>78</v>
      </c>
      <c r="AZ279" s="1">
        <f t="shared" si="602"/>
        <v>2</v>
      </c>
      <c r="BA279" s="1">
        <f t="shared" si="603"/>
        <v>0</v>
      </c>
      <c r="BB279" s="1">
        <f t="shared" si="604"/>
        <v>0</v>
      </c>
      <c r="BC279" s="1">
        <f t="shared" si="605"/>
        <v>0</v>
      </c>
      <c r="BD279" s="1">
        <f t="shared" si="606"/>
        <v>0</v>
      </c>
      <c r="BE279" s="1">
        <f t="shared" si="607"/>
        <v>0</v>
      </c>
      <c r="BG279" s="1">
        <f t="shared" si="609"/>
        <v>0</v>
      </c>
      <c r="BH279" s="1">
        <f t="shared" si="609"/>
        <v>0</v>
      </c>
      <c r="BI279" s="1">
        <f t="shared" si="610"/>
        <v>0</v>
      </c>
      <c r="BJ279" s="1">
        <f t="shared" si="611"/>
        <v>780</v>
      </c>
      <c r="BK279" s="1">
        <f t="shared" si="612"/>
        <v>20</v>
      </c>
      <c r="BL279" s="1">
        <f t="shared" si="613"/>
        <v>0</v>
      </c>
      <c r="BM279" s="1">
        <f t="shared" si="614"/>
        <v>0</v>
      </c>
      <c r="BN279" s="1">
        <f t="shared" si="615"/>
        <v>0</v>
      </c>
      <c r="BO279" s="1">
        <f t="shared" si="616"/>
        <v>0</v>
      </c>
      <c r="BP279" s="1">
        <f t="shared" si="617"/>
        <v>0</v>
      </c>
      <c r="BQ279" s="1">
        <f t="shared" si="597"/>
        <v>800</v>
      </c>
    </row>
    <row r="280" spans="2:73" ht="15" customHeight="1" x14ac:dyDescent="0.25">
      <c r="C280" t="s">
        <v>42</v>
      </c>
      <c r="T280" s="1">
        <v>120</v>
      </c>
      <c r="U280" s="1">
        <v>24</v>
      </c>
      <c r="AR280" s="3">
        <f t="shared" si="608"/>
        <v>144</v>
      </c>
      <c r="AT280" s="1">
        <f>+AR280-[2]PassVol!$AN280</f>
        <v>144</v>
      </c>
      <c r="AV280" s="1">
        <f t="shared" si="598"/>
        <v>0</v>
      </c>
      <c r="AW280" s="1">
        <f t="shared" si="599"/>
        <v>0</v>
      </c>
      <c r="AX280" s="1">
        <f t="shared" si="600"/>
        <v>0</v>
      </c>
      <c r="AY280" s="1">
        <f t="shared" si="601"/>
        <v>120</v>
      </c>
      <c r="AZ280" s="1">
        <f t="shared" si="602"/>
        <v>24</v>
      </c>
      <c r="BA280" s="1">
        <f t="shared" si="603"/>
        <v>0</v>
      </c>
      <c r="BB280" s="1">
        <f t="shared" si="604"/>
        <v>0</v>
      </c>
      <c r="BC280" s="1">
        <f t="shared" si="605"/>
        <v>0</v>
      </c>
      <c r="BD280" s="1">
        <f t="shared" si="606"/>
        <v>0</v>
      </c>
      <c r="BE280" s="1">
        <f t="shared" si="607"/>
        <v>0</v>
      </c>
      <c r="BG280" s="1">
        <f t="shared" si="609"/>
        <v>0</v>
      </c>
      <c r="BH280" s="1">
        <f t="shared" si="609"/>
        <v>0</v>
      </c>
      <c r="BI280" s="1">
        <f t="shared" si="610"/>
        <v>0</v>
      </c>
      <c r="BJ280" s="1">
        <f t="shared" si="611"/>
        <v>1200</v>
      </c>
      <c r="BK280" s="1">
        <f t="shared" si="612"/>
        <v>240</v>
      </c>
      <c r="BL280" s="1">
        <f t="shared" si="613"/>
        <v>0</v>
      </c>
      <c r="BM280" s="1">
        <f t="shared" si="614"/>
        <v>0</v>
      </c>
      <c r="BN280" s="1">
        <f t="shared" si="615"/>
        <v>0</v>
      </c>
      <c r="BO280" s="1">
        <f t="shared" si="616"/>
        <v>0</v>
      </c>
      <c r="BP280" s="1">
        <f t="shared" si="617"/>
        <v>0</v>
      </c>
      <c r="BQ280" s="1">
        <f t="shared" si="597"/>
        <v>1440</v>
      </c>
    </row>
    <row r="281" spans="2:73" ht="15" customHeight="1" x14ac:dyDescent="0.25">
      <c r="C281" t="s">
        <v>192</v>
      </c>
      <c r="U281" s="1">
        <v>19</v>
      </c>
      <c r="AR281" s="3">
        <f t="shared" si="608"/>
        <v>19</v>
      </c>
      <c r="AT281" s="1">
        <f>+AR281-[2]PassVol!$AN281</f>
        <v>19</v>
      </c>
      <c r="AV281" s="1">
        <f t="shared" si="598"/>
        <v>0</v>
      </c>
      <c r="AW281" s="1">
        <f t="shared" si="599"/>
        <v>0</v>
      </c>
      <c r="AX281" s="1">
        <f t="shared" si="600"/>
        <v>0</v>
      </c>
      <c r="AY281" s="1">
        <f t="shared" si="601"/>
        <v>0</v>
      </c>
      <c r="AZ281" s="1">
        <f t="shared" si="602"/>
        <v>19</v>
      </c>
      <c r="BA281" s="1">
        <f t="shared" si="603"/>
        <v>0</v>
      </c>
      <c r="BB281" s="1">
        <f t="shared" si="604"/>
        <v>0</v>
      </c>
      <c r="BC281" s="1">
        <f t="shared" si="605"/>
        <v>0</v>
      </c>
      <c r="BD281" s="1">
        <f t="shared" si="606"/>
        <v>0</v>
      </c>
      <c r="BE281" s="1">
        <f t="shared" si="607"/>
        <v>0</v>
      </c>
      <c r="BG281" s="1">
        <f t="shared" si="609"/>
        <v>0</v>
      </c>
      <c r="BH281" s="1">
        <f t="shared" si="609"/>
        <v>0</v>
      </c>
      <c r="BI281" s="1">
        <f t="shared" si="610"/>
        <v>0</v>
      </c>
      <c r="BJ281" s="1">
        <f t="shared" si="611"/>
        <v>0</v>
      </c>
      <c r="BK281" s="1">
        <f t="shared" si="612"/>
        <v>190</v>
      </c>
      <c r="BL281" s="1">
        <f t="shared" si="613"/>
        <v>0</v>
      </c>
      <c r="BM281" s="1">
        <f t="shared" si="614"/>
        <v>0</v>
      </c>
      <c r="BN281" s="1">
        <f t="shared" si="615"/>
        <v>0</v>
      </c>
      <c r="BO281" s="1">
        <f t="shared" si="616"/>
        <v>0</v>
      </c>
      <c r="BP281" s="1">
        <f t="shared" si="617"/>
        <v>0</v>
      </c>
      <c r="BQ281" s="1">
        <f t="shared" si="597"/>
        <v>190</v>
      </c>
    </row>
    <row r="282" spans="2:73" ht="15" customHeight="1" x14ac:dyDescent="0.25">
      <c r="C282" t="s">
        <v>133</v>
      </c>
      <c r="AR282" s="3">
        <f t="shared" si="608"/>
        <v>0</v>
      </c>
      <c r="AT282" s="1">
        <f>+AR282-[2]PassVol!$AN282</f>
        <v>0</v>
      </c>
      <c r="AV282" s="1">
        <f t="shared" si="598"/>
        <v>0</v>
      </c>
      <c r="AW282" s="1">
        <f t="shared" si="599"/>
        <v>0</v>
      </c>
      <c r="AX282" s="1">
        <f t="shared" si="600"/>
        <v>0</v>
      </c>
      <c r="AY282" s="1">
        <f t="shared" si="601"/>
        <v>0</v>
      </c>
      <c r="AZ282" s="1">
        <f t="shared" si="602"/>
        <v>0</v>
      </c>
      <c r="BA282" s="1">
        <f t="shared" si="603"/>
        <v>0</v>
      </c>
      <c r="BB282" s="1">
        <f t="shared" si="604"/>
        <v>0</v>
      </c>
      <c r="BC282" s="1">
        <f t="shared" si="605"/>
        <v>0</v>
      </c>
      <c r="BD282" s="1">
        <f t="shared" si="606"/>
        <v>0</v>
      </c>
      <c r="BE282" s="1">
        <f t="shared" si="607"/>
        <v>0</v>
      </c>
      <c r="BG282" s="1">
        <f t="shared" si="609"/>
        <v>0</v>
      </c>
      <c r="BH282" s="1">
        <f t="shared" si="609"/>
        <v>0</v>
      </c>
      <c r="BI282" s="1">
        <f t="shared" si="610"/>
        <v>0</v>
      </c>
      <c r="BJ282" s="1">
        <f t="shared" si="611"/>
        <v>0</v>
      </c>
      <c r="BK282" s="1">
        <f t="shared" si="612"/>
        <v>0</v>
      </c>
      <c r="BL282" s="1">
        <f t="shared" si="613"/>
        <v>0</v>
      </c>
      <c r="BM282" s="1">
        <f t="shared" si="614"/>
        <v>0</v>
      </c>
      <c r="BN282" s="1">
        <f t="shared" si="615"/>
        <v>0</v>
      </c>
      <c r="BO282" s="1">
        <f t="shared" si="616"/>
        <v>0</v>
      </c>
      <c r="BP282" s="1">
        <f t="shared" si="617"/>
        <v>0</v>
      </c>
      <c r="BQ282" s="1">
        <f t="shared" si="597"/>
        <v>0</v>
      </c>
    </row>
    <row r="283" spans="2:73" ht="15" customHeight="1" x14ac:dyDescent="0.25">
      <c r="C283" t="s">
        <v>41</v>
      </c>
      <c r="T283" s="1">
        <v>340</v>
      </c>
      <c r="U283" s="1">
        <v>9</v>
      </c>
      <c r="V283" s="1">
        <v>2</v>
      </c>
      <c r="AR283" s="3">
        <f t="shared" si="608"/>
        <v>351</v>
      </c>
      <c r="AT283" s="1">
        <f>+AR283-[2]PassVol!$AN283</f>
        <v>351</v>
      </c>
      <c r="AV283" s="1">
        <f t="shared" si="598"/>
        <v>0</v>
      </c>
      <c r="AW283" s="1">
        <f t="shared" si="599"/>
        <v>0</v>
      </c>
      <c r="AX283" s="1">
        <f t="shared" si="600"/>
        <v>0</v>
      </c>
      <c r="AY283" s="1">
        <f t="shared" si="601"/>
        <v>340</v>
      </c>
      <c r="AZ283" s="1">
        <f t="shared" si="602"/>
        <v>11</v>
      </c>
      <c r="BA283" s="1">
        <f t="shared" si="603"/>
        <v>0</v>
      </c>
      <c r="BB283" s="1">
        <f t="shared" si="604"/>
        <v>0</v>
      </c>
      <c r="BC283" s="1">
        <f t="shared" si="605"/>
        <v>0</v>
      </c>
      <c r="BD283" s="1">
        <f t="shared" si="606"/>
        <v>0</v>
      </c>
      <c r="BE283" s="1">
        <f t="shared" si="607"/>
        <v>0</v>
      </c>
      <c r="BG283" s="1">
        <f t="shared" si="609"/>
        <v>0</v>
      </c>
      <c r="BH283" s="1">
        <f t="shared" si="609"/>
        <v>0</v>
      </c>
      <c r="BI283" s="1">
        <f t="shared" si="610"/>
        <v>0</v>
      </c>
      <c r="BJ283" s="1">
        <f t="shared" si="611"/>
        <v>3400</v>
      </c>
      <c r="BK283" s="1">
        <f t="shared" si="612"/>
        <v>110</v>
      </c>
      <c r="BL283" s="1">
        <f t="shared" si="613"/>
        <v>0</v>
      </c>
      <c r="BM283" s="1">
        <f t="shared" si="614"/>
        <v>0</v>
      </c>
      <c r="BN283" s="1">
        <f t="shared" si="615"/>
        <v>0</v>
      </c>
      <c r="BO283" s="1">
        <f t="shared" si="616"/>
        <v>0</v>
      </c>
      <c r="BP283" s="1">
        <f t="shared" si="617"/>
        <v>0</v>
      </c>
      <c r="BQ283" s="1">
        <f t="shared" si="597"/>
        <v>3510</v>
      </c>
    </row>
    <row r="284" spans="2:73" ht="15" customHeight="1" x14ac:dyDescent="0.25">
      <c r="C284" t="s">
        <v>193</v>
      </c>
      <c r="AR284" s="3">
        <f t="shared" si="608"/>
        <v>0</v>
      </c>
      <c r="AT284" s="1">
        <f>+AR284-[2]PassVol!$AN284</f>
        <v>0</v>
      </c>
      <c r="AV284" s="1">
        <f t="shared" si="598"/>
        <v>0</v>
      </c>
      <c r="AW284" s="1">
        <f t="shared" si="599"/>
        <v>0</v>
      </c>
      <c r="AX284" s="1">
        <f t="shared" si="600"/>
        <v>0</v>
      </c>
      <c r="AY284" s="1">
        <f t="shared" si="601"/>
        <v>0</v>
      </c>
      <c r="AZ284" s="1">
        <f t="shared" si="602"/>
        <v>0</v>
      </c>
      <c r="BA284" s="1">
        <f t="shared" si="603"/>
        <v>0</v>
      </c>
      <c r="BB284" s="1">
        <f t="shared" si="604"/>
        <v>0</v>
      </c>
      <c r="BC284" s="1">
        <f t="shared" si="605"/>
        <v>0</v>
      </c>
      <c r="BD284" s="1">
        <f t="shared" si="606"/>
        <v>0</v>
      </c>
      <c r="BE284" s="1">
        <f t="shared" si="607"/>
        <v>0</v>
      </c>
      <c r="BG284" s="1">
        <f t="shared" si="609"/>
        <v>0</v>
      </c>
      <c r="BH284" s="1">
        <f t="shared" si="609"/>
        <v>0</v>
      </c>
      <c r="BI284" s="1">
        <f t="shared" si="610"/>
        <v>0</v>
      </c>
      <c r="BJ284" s="1">
        <f t="shared" si="611"/>
        <v>0</v>
      </c>
      <c r="BK284" s="1">
        <f t="shared" si="612"/>
        <v>0</v>
      </c>
      <c r="BL284" s="1">
        <f t="shared" si="613"/>
        <v>0</v>
      </c>
      <c r="BM284" s="1">
        <f t="shared" si="614"/>
        <v>0</v>
      </c>
      <c r="BN284" s="1">
        <f t="shared" si="615"/>
        <v>0</v>
      </c>
      <c r="BO284" s="1">
        <f t="shared" si="616"/>
        <v>0</v>
      </c>
      <c r="BP284" s="1">
        <f t="shared" si="617"/>
        <v>0</v>
      </c>
      <c r="BQ284" s="1">
        <f t="shared" si="597"/>
        <v>0</v>
      </c>
    </row>
    <row r="285" spans="2:73" ht="15" customHeight="1" x14ac:dyDescent="0.25">
      <c r="C285" t="s">
        <v>297</v>
      </c>
      <c r="AR285" s="3">
        <f t="shared" si="608"/>
        <v>0</v>
      </c>
      <c r="AT285" s="1">
        <f>+AR285-[2]PassVol!$AN285</f>
        <v>0</v>
      </c>
      <c r="AV285" s="1">
        <f t="shared" si="598"/>
        <v>0</v>
      </c>
      <c r="AW285" s="1">
        <f t="shared" si="599"/>
        <v>0</v>
      </c>
      <c r="AX285" s="1">
        <f t="shared" si="600"/>
        <v>0</v>
      </c>
      <c r="AY285" s="1">
        <f t="shared" si="601"/>
        <v>0</v>
      </c>
      <c r="AZ285" s="1">
        <f t="shared" si="602"/>
        <v>0</v>
      </c>
      <c r="BA285" s="1">
        <f t="shared" si="603"/>
        <v>0</v>
      </c>
      <c r="BB285" s="1">
        <f t="shared" si="604"/>
        <v>0</v>
      </c>
      <c r="BC285" s="1">
        <f t="shared" si="605"/>
        <v>0</v>
      </c>
      <c r="BD285" s="1">
        <f t="shared" si="606"/>
        <v>0</v>
      </c>
      <c r="BE285" s="1">
        <f t="shared" si="607"/>
        <v>0</v>
      </c>
      <c r="BG285" s="1">
        <f t="shared" si="609"/>
        <v>0</v>
      </c>
      <c r="BH285" s="1">
        <f t="shared" si="609"/>
        <v>0</v>
      </c>
      <c r="BI285" s="1">
        <f t="shared" si="610"/>
        <v>0</v>
      </c>
      <c r="BJ285" s="1">
        <f t="shared" si="611"/>
        <v>0</v>
      </c>
      <c r="BK285" s="1">
        <f t="shared" si="612"/>
        <v>0</v>
      </c>
      <c r="BL285" s="1">
        <f t="shared" si="613"/>
        <v>0</v>
      </c>
      <c r="BM285" s="1">
        <f t="shared" si="614"/>
        <v>0</v>
      </c>
      <c r="BN285" s="1">
        <f t="shared" si="615"/>
        <v>0</v>
      </c>
      <c r="BO285" s="1">
        <f t="shared" si="616"/>
        <v>0</v>
      </c>
      <c r="BP285" s="1">
        <f t="shared" si="617"/>
        <v>0</v>
      </c>
      <c r="BQ285" s="1">
        <f t="shared" si="597"/>
        <v>0</v>
      </c>
    </row>
    <row r="286" spans="2:73" ht="15" customHeight="1" x14ac:dyDescent="0.25">
      <c r="C286" t="s">
        <v>296</v>
      </c>
      <c r="T286" s="1">
        <v>28</v>
      </c>
      <c r="U286" s="1">
        <v>3</v>
      </c>
      <c r="AR286" s="3">
        <f t="shared" si="608"/>
        <v>31</v>
      </c>
      <c r="AT286" s="1">
        <f>+AR286-[2]PassVol!$AN286</f>
        <v>31</v>
      </c>
      <c r="AV286" s="1">
        <f t="shared" si="598"/>
        <v>0</v>
      </c>
      <c r="AW286" s="1">
        <f t="shared" si="599"/>
        <v>0</v>
      </c>
      <c r="AX286" s="1">
        <f t="shared" si="600"/>
        <v>0</v>
      </c>
      <c r="AY286" s="1">
        <f t="shared" si="601"/>
        <v>28</v>
      </c>
      <c r="AZ286" s="1">
        <f t="shared" si="602"/>
        <v>3</v>
      </c>
      <c r="BA286" s="1">
        <f t="shared" si="603"/>
        <v>0</v>
      </c>
      <c r="BB286" s="1">
        <f t="shared" si="604"/>
        <v>0</v>
      </c>
      <c r="BC286" s="1">
        <f t="shared" si="605"/>
        <v>0</v>
      </c>
      <c r="BD286" s="1">
        <f t="shared" si="606"/>
        <v>0</v>
      </c>
      <c r="BE286" s="1">
        <f t="shared" si="607"/>
        <v>0</v>
      </c>
      <c r="BG286" s="1">
        <f t="shared" si="609"/>
        <v>0</v>
      </c>
      <c r="BH286" s="1">
        <f t="shared" si="609"/>
        <v>0</v>
      </c>
      <c r="BI286" s="1">
        <f t="shared" si="610"/>
        <v>0</v>
      </c>
      <c r="BJ286" s="1">
        <f t="shared" si="611"/>
        <v>280</v>
      </c>
      <c r="BK286" s="1">
        <f t="shared" si="612"/>
        <v>30</v>
      </c>
      <c r="BL286" s="1">
        <f t="shared" si="613"/>
        <v>0</v>
      </c>
      <c r="BM286" s="1">
        <f t="shared" si="614"/>
        <v>0</v>
      </c>
      <c r="BN286" s="1">
        <f t="shared" si="615"/>
        <v>0</v>
      </c>
      <c r="BO286" s="1">
        <f t="shared" si="616"/>
        <v>0</v>
      </c>
      <c r="BP286" s="1">
        <f t="shared" si="617"/>
        <v>0</v>
      </c>
      <c r="BQ286" s="1">
        <f t="shared" si="597"/>
        <v>310</v>
      </c>
    </row>
    <row r="287" spans="2:73" s="10" customFormat="1" ht="15" customHeight="1" x14ac:dyDescent="0.25">
      <c r="B287" s="2"/>
      <c r="C287" t="s">
        <v>44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>
        <f>2068-1393</f>
        <v>675</v>
      </c>
      <c r="U287" s="1">
        <f>426-326</f>
        <v>100</v>
      </c>
      <c r="V287" s="1">
        <f>156-46</f>
        <v>110</v>
      </c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17"/>
      <c r="AI287" s="1"/>
      <c r="AJ287" s="1"/>
      <c r="AK287" s="1"/>
      <c r="AL287" s="117"/>
      <c r="AM287" s="1"/>
      <c r="AN287" s="1"/>
      <c r="AO287" s="1"/>
      <c r="AP287" s="1"/>
      <c r="AQ287" s="1"/>
      <c r="AR287" s="3">
        <f t="shared" si="608"/>
        <v>885</v>
      </c>
      <c r="AS287" s="11"/>
      <c r="AT287" s="1">
        <f>+AR287-[2]PassVol!$AN287</f>
        <v>885</v>
      </c>
      <c r="AU287" s="11"/>
      <c r="AV287" s="1">
        <f t="shared" si="598"/>
        <v>0</v>
      </c>
      <c r="AW287" s="1">
        <f t="shared" si="599"/>
        <v>0</v>
      </c>
      <c r="AX287" s="1">
        <f t="shared" si="600"/>
        <v>0</v>
      </c>
      <c r="AY287" s="1">
        <f t="shared" si="601"/>
        <v>675</v>
      </c>
      <c r="AZ287" s="1">
        <f t="shared" si="602"/>
        <v>210</v>
      </c>
      <c r="BA287" s="1">
        <f t="shared" si="603"/>
        <v>0</v>
      </c>
      <c r="BB287" s="1">
        <f t="shared" si="604"/>
        <v>0</v>
      </c>
      <c r="BC287" s="1">
        <f t="shared" si="605"/>
        <v>0</v>
      </c>
      <c r="BD287" s="1">
        <f t="shared" si="606"/>
        <v>0</v>
      </c>
      <c r="BE287" s="1">
        <f t="shared" si="607"/>
        <v>0</v>
      </c>
      <c r="BG287" s="1">
        <f t="shared" si="609"/>
        <v>0</v>
      </c>
      <c r="BH287" s="1">
        <f t="shared" si="609"/>
        <v>0</v>
      </c>
      <c r="BI287" s="1">
        <f t="shared" si="610"/>
        <v>0</v>
      </c>
      <c r="BJ287" s="1">
        <f t="shared" si="611"/>
        <v>6750</v>
      </c>
      <c r="BK287" s="1">
        <f t="shared" si="612"/>
        <v>2100</v>
      </c>
      <c r="BL287" s="1">
        <f t="shared" si="613"/>
        <v>0</v>
      </c>
      <c r="BM287" s="1">
        <f t="shared" si="614"/>
        <v>0</v>
      </c>
      <c r="BN287" s="1">
        <f t="shared" si="615"/>
        <v>0</v>
      </c>
      <c r="BO287" s="1">
        <f t="shared" si="616"/>
        <v>0</v>
      </c>
      <c r="BP287" s="1">
        <f t="shared" si="617"/>
        <v>0</v>
      </c>
      <c r="BQ287" s="1">
        <f t="shared" si="597"/>
        <v>8850</v>
      </c>
    </row>
    <row r="288" spans="2:73" s="36" customFormat="1" ht="15" customHeight="1" x14ac:dyDescent="0.25">
      <c r="B288" s="2" t="s">
        <v>199</v>
      </c>
      <c r="C288" s="2"/>
      <c r="D288" s="3">
        <f t="shared" ref="D288:AQ288" si="618">SUM(D269:D287)</f>
        <v>0</v>
      </c>
      <c r="E288" s="3">
        <f t="shared" si="618"/>
        <v>0</v>
      </c>
      <c r="F288" s="3">
        <f t="shared" si="618"/>
        <v>0</v>
      </c>
      <c r="G288" s="3">
        <f t="shared" si="618"/>
        <v>0</v>
      </c>
      <c r="H288" s="3">
        <f t="shared" si="618"/>
        <v>0</v>
      </c>
      <c r="I288" s="3">
        <f t="shared" si="618"/>
        <v>0</v>
      </c>
      <c r="J288" s="3">
        <f t="shared" si="618"/>
        <v>0</v>
      </c>
      <c r="K288" s="3">
        <f t="shared" si="618"/>
        <v>0</v>
      </c>
      <c r="L288" s="3">
        <f t="shared" si="618"/>
        <v>0</v>
      </c>
      <c r="M288" s="3">
        <f t="shared" si="618"/>
        <v>0</v>
      </c>
      <c r="N288" s="3">
        <f t="shared" si="618"/>
        <v>0</v>
      </c>
      <c r="O288" s="3">
        <f t="shared" si="618"/>
        <v>0</v>
      </c>
      <c r="P288" s="3">
        <f t="shared" si="618"/>
        <v>0</v>
      </c>
      <c r="Q288" s="3">
        <f t="shared" si="618"/>
        <v>0</v>
      </c>
      <c r="R288" s="3">
        <f t="shared" si="618"/>
        <v>60</v>
      </c>
      <c r="S288" s="3">
        <f t="shared" si="618"/>
        <v>186</v>
      </c>
      <c r="T288" s="3">
        <f t="shared" si="618"/>
        <v>2068</v>
      </c>
      <c r="U288" s="3">
        <f t="shared" si="618"/>
        <v>426</v>
      </c>
      <c r="V288" s="3">
        <f t="shared" si="618"/>
        <v>156</v>
      </c>
      <c r="W288" s="3">
        <f t="shared" si="618"/>
        <v>0</v>
      </c>
      <c r="X288" s="3">
        <f t="shared" si="618"/>
        <v>0</v>
      </c>
      <c r="Y288" s="3">
        <f t="shared" si="618"/>
        <v>0</v>
      </c>
      <c r="Z288" s="3">
        <f t="shared" si="618"/>
        <v>0</v>
      </c>
      <c r="AA288" s="3">
        <f t="shared" si="618"/>
        <v>0</v>
      </c>
      <c r="AB288" s="3">
        <f t="shared" si="618"/>
        <v>0</v>
      </c>
      <c r="AC288" s="3">
        <f t="shared" si="618"/>
        <v>0</v>
      </c>
      <c r="AD288" s="3">
        <f t="shared" si="618"/>
        <v>0</v>
      </c>
      <c r="AE288" s="3">
        <f t="shared" si="618"/>
        <v>0</v>
      </c>
      <c r="AF288" s="3">
        <f t="shared" si="618"/>
        <v>0</v>
      </c>
      <c r="AG288" s="3">
        <f t="shared" si="618"/>
        <v>0</v>
      </c>
      <c r="AH288" s="150">
        <f t="shared" si="618"/>
        <v>0</v>
      </c>
      <c r="AI288" s="3">
        <f t="shared" si="618"/>
        <v>0</v>
      </c>
      <c r="AJ288" s="3">
        <f t="shared" si="618"/>
        <v>0</v>
      </c>
      <c r="AK288" s="3">
        <f t="shared" si="618"/>
        <v>0</v>
      </c>
      <c r="AL288" s="150">
        <f t="shared" si="618"/>
        <v>0</v>
      </c>
      <c r="AM288" s="3">
        <f t="shared" si="618"/>
        <v>0</v>
      </c>
      <c r="AN288" s="3">
        <f t="shared" si="618"/>
        <v>0</v>
      </c>
      <c r="AO288" s="3">
        <f t="shared" si="618"/>
        <v>0</v>
      </c>
      <c r="AP288" s="3">
        <f t="shared" si="618"/>
        <v>0</v>
      </c>
      <c r="AQ288" s="3">
        <f t="shared" si="618"/>
        <v>0</v>
      </c>
      <c r="AR288" s="3">
        <f t="shared" ref="AR288" si="619">SUM(AR269:AR287)</f>
        <v>2896</v>
      </c>
      <c r="AS288" s="3"/>
      <c r="AT288" s="1">
        <f>+AR288-[2]PassVol!$AN288</f>
        <v>2896</v>
      </c>
      <c r="AU288" s="3"/>
      <c r="AV288" s="3">
        <f>SUM(AV269:AV287)</f>
        <v>0</v>
      </c>
      <c r="AW288" s="3">
        <f>SUM(AW269:AW287)</f>
        <v>0</v>
      </c>
      <c r="AX288" s="3">
        <f t="shared" ref="AX288:BE288" si="620">SUM(AX269:AX287)</f>
        <v>0</v>
      </c>
      <c r="AY288" s="3">
        <f t="shared" si="620"/>
        <v>2314</v>
      </c>
      <c r="AZ288" s="3">
        <f t="shared" si="620"/>
        <v>582</v>
      </c>
      <c r="BA288" s="3">
        <f t="shared" si="620"/>
        <v>0</v>
      </c>
      <c r="BB288" s="3">
        <f t="shared" si="620"/>
        <v>0</v>
      </c>
      <c r="BC288" s="3">
        <f t="shared" si="620"/>
        <v>0</v>
      </c>
      <c r="BD288" s="3">
        <f t="shared" si="620"/>
        <v>0</v>
      </c>
      <c r="BE288" s="3">
        <f t="shared" si="620"/>
        <v>0</v>
      </c>
      <c r="BF288" s="3"/>
      <c r="BG288" s="3">
        <f>SUM(BG269:BG287)</f>
        <v>0</v>
      </c>
      <c r="BH288" s="3">
        <f>SUM(BH269:BH287)</f>
        <v>0</v>
      </c>
      <c r="BI288" s="3">
        <f t="shared" ref="BI288:BQ288" si="621">SUM(BI269:BI287)</f>
        <v>0</v>
      </c>
      <c r="BJ288" s="3">
        <f t="shared" si="621"/>
        <v>23140</v>
      </c>
      <c r="BK288" s="3">
        <f t="shared" si="621"/>
        <v>5820</v>
      </c>
      <c r="BL288" s="3">
        <f t="shared" si="621"/>
        <v>0</v>
      </c>
      <c r="BM288" s="3">
        <f t="shared" si="621"/>
        <v>0</v>
      </c>
      <c r="BN288" s="3">
        <f t="shared" si="621"/>
        <v>0</v>
      </c>
      <c r="BO288" s="3">
        <f t="shared" si="621"/>
        <v>0</v>
      </c>
      <c r="BP288" s="3">
        <f t="shared" si="621"/>
        <v>0</v>
      </c>
      <c r="BQ288" s="3">
        <f t="shared" si="621"/>
        <v>28960</v>
      </c>
      <c r="BR288" s="3"/>
      <c r="BS288" s="3"/>
      <c r="BT288" s="3"/>
      <c r="BU288" s="3"/>
    </row>
    <row r="289" spans="2:69" s="10" customFormat="1" ht="15" customHeight="1" x14ac:dyDescent="0.25">
      <c r="C289" s="38" t="s">
        <v>97</v>
      </c>
      <c r="D289" s="11">
        <f>+D288</f>
        <v>0</v>
      </c>
      <c r="E289" s="11">
        <f>+D289+E288</f>
        <v>0</v>
      </c>
      <c r="F289" s="11">
        <f t="shared" ref="F289:AQ289" si="622">+E289+F288</f>
        <v>0</v>
      </c>
      <c r="G289" s="11">
        <f t="shared" si="622"/>
        <v>0</v>
      </c>
      <c r="H289" s="11">
        <f t="shared" si="622"/>
        <v>0</v>
      </c>
      <c r="I289" s="11">
        <f t="shared" si="622"/>
        <v>0</v>
      </c>
      <c r="J289" s="11">
        <f t="shared" si="622"/>
        <v>0</v>
      </c>
      <c r="K289" s="11">
        <f t="shared" si="622"/>
        <v>0</v>
      </c>
      <c r="L289" s="11">
        <f t="shared" si="622"/>
        <v>0</v>
      </c>
      <c r="M289" s="11">
        <f t="shared" si="622"/>
        <v>0</v>
      </c>
      <c r="N289" s="11">
        <f t="shared" si="622"/>
        <v>0</v>
      </c>
      <c r="O289" s="11">
        <f t="shared" si="622"/>
        <v>0</v>
      </c>
      <c r="P289" s="11">
        <f t="shared" si="622"/>
        <v>0</v>
      </c>
      <c r="Q289" s="11">
        <f t="shared" si="622"/>
        <v>0</v>
      </c>
      <c r="R289" s="11">
        <f t="shared" si="622"/>
        <v>60</v>
      </c>
      <c r="S289" s="11">
        <f t="shared" si="622"/>
        <v>246</v>
      </c>
      <c r="T289" s="11">
        <f t="shared" si="622"/>
        <v>2314</v>
      </c>
      <c r="U289" s="11">
        <f t="shared" si="622"/>
        <v>2740</v>
      </c>
      <c r="V289" s="11">
        <f t="shared" si="622"/>
        <v>2896</v>
      </c>
      <c r="W289" s="11">
        <f t="shared" si="622"/>
        <v>2896</v>
      </c>
      <c r="X289" s="11">
        <f t="shared" si="622"/>
        <v>2896</v>
      </c>
      <c r="Y289" s="11">
        <f t="shared" si="622"/>
        <v>2896</v>
      </c>
      <c r="Z289" s="11">
        <f t="shared" si="622"/>
        <v>2896</v>
      </c>
      <c r="AA289" s="11">
        <f t="shared" si="622"/>
        <v>2896</v>
      </c>
      <c r="AB289" s="11">
        <f t="shared" si="622"/>
        <v>2896</v>
      </c>
      <c r="AC289" s="11">
        <f t="shared" si="622"/>
        <v>2896</v>
      </c>
      <c r="AD289" s="11">
        <f t="shared" si="622"/>
        <v>2896</v>
      </c>
      <c r="AE289" s="11">
        <f t="shared" si="622"/>
        <v>2896</v>
      </c>
      <c r="AF289" s="11">
        <f t="shared" si="622"/>
        <v>2896</v>
      </c>
      <c r="AG289" s="11">
        <f t="shared" si="622"/>
        <v>2896</v>
      </c>
      <c r="AH289" s="147">
        <f t="shared" si="622"/>
        <v>2896</v>
      </c>
      <c r="AI289" s="11">
        <f t="shared" si="622"/>
        <v>2896</v>
      </c>
      <c r="AJ289" s="11">
        <f t="shared" si="622"/>
        <v>2896</v>
      </c>
      <c r="AK289" s="11">
        <f t="shared" si="622"/>
        <v>2896</v>
      </c>
      <c r="AL289" s="147">
        <f t="shared" si="622"/>
        <v>2896</v>
      </c>
      <c r="AM289" s="11">
        <f t="shared" si="622"/>
        <v>2896</v>
      </c>
      <c r="AN289" s="11">
        <f t="shared" si="622"/>
        <v>2896</v>
      </c>
      <c r="AO289" s="11">
        <f t="shared" si="622"/>
        <v>2896</v>
      </c>
      <c r="AP289" s="11">
        <f t="shared" si="622"/>
        <v>2896</v>
      </c>
      <c r="AQ289" s="11">
        <f t="shared" si="622"/>
        <v>2896</v>
      </c>
      <c r="AR289" s="40"/>
      <c r="AS289" s="11"/>
      <c r="AT289" s="11"/>
      <c r="AU289" s="11"/>
      <c r="AV289" s="11">
        <f>+AV288</f>
        <v>0</v>
      </c>
      <c r="AW289" s="1">
        <f>+AV289+AW288</f>
        <v>0</v>
      </c>
      <c r="AX289" s="1">
        <f t="shared" ref="AX289" si="623">+AW289+AX288</f>
        <v>0</v>
      </c>
      <c r="AY289" s="1">
        <f t="shared" ref="AY289" si="624">+AX289+AY288</f>
        <v>2314</v>
      </c>
      <c r="AZ289" s="1">
        <f t="shared" ref="AZ289" si="625">+AY289+AZ288</f>
        <v>2896</v>
      </c>
      <c r="BA289" s="1">
        <f t="shared" ref="BA289" si="626">+AZ289+BA288</f>
        <v>2896</v>
      </c>
      <c r="BB289" s="1">
        <f t="shared" ref="BB289" si="627">+BA289+BB288</f>
        <v>2896</v>
      </c>
      <c r="BC289" s="1">
        <f t="shared" ref="BC289" si="628">+BB289+BC288</f>
        <v>2896</v>
      </c>
      <c r="BD289" s="1">
        <f t="shared" ref="BD289" si="629">+BC289+BD288</f>
        <v>2896</v>
      </c>
      <c r="BE289" s="1">
        <f t="shared" ref="BE289" si="630">+BD289+BE288</f>
        <v>2896</v>
      </c>
    </row>
    <row r="290" spans="2:69" s="10" customFormat="1" ht="15" customHeight="1" x14ac:dyDescent="0.2">
      <c r="C290" s="38" t="s">
        <v>220</v>
      </c>
      <c r="D290" s="11">
        <f>+D288*10</f>
        <v>0</v>
      </c>
      <c r="E290" s="11">
        <f t="shared" ref="E290:AQ290" si="631">+E288*10</f>
        <v>0</v>
      </c>
      <c r="F290" s="11">
        <f t="shared" si="631"/>
        <v>0</v>
      </c>
      <c r="G290" s="11">
        <f t="shared" si="631"/>
        <v>0</v>
      </c>
      <c r="H290" s="11">
        <f t="shared" si="631"/>
        <v>0</v>
      </c>
      <c r="I290" s="11">
        <f t="shared" si="631"/>
        <v>0</v>
      </c>
      <c r="J290" s="11">
        <f t="shared" si="631"/>
        <v>0</v>
      </c>
      <c r="K290" s="11">
        <f t="shared" si="631"/>
        <v>0</v>
      </c>
      <c r="L290" s="11">
        <f t="shared" si="631"/>
        <v>0</v>
      </c>
      <c r="M290" s="11">
        <f t="shared" si="631"/>
        <v>0</v>
      </c>
      <c r="N290" s="11">
        <f t="shared" si="631"/>
        <v>0</v>
      </c>
      <c r="O290" s="11">
        <f t="shared" si="631"/>
        <v>0</v>
      </c>
      <c r="P290" s="11">
        <f t="shared" si="631"/>
        <v>0</v>
      </c>
      <c r="Q290" s="11">
        <f t="shared" si="631"/>
        <v>0</v>
      </c>
      <c r="R290" s="11">
        <f t="shared" si="631"/>
        <v>600</v>
      </c>
      <c r="S290" s="11">
        <f t="shared" si="631"/>
        <v>1860</v>
      </c>
      <c r="T290" s="11">
        <f t="shared" si="631"/>
        <v>20680</v>
      </c>
      <c r="U290" s="11">
        <f t="shared" si="631"/>
        <v>4260</v>
      </c>
      <c r="V290" s="11">
        <f t="shared" si="631"/>
        <v>1560</v>
      </c>
      <c r="W290" s="11">
        <f t="shared" si="631"/>
        <v>0</v>
      </c>
      <c r="X290" s="11">
        <f t="shared" si="631"/>
        <v>0</v>
      </c>
      <c r="Y290" s="11">
        <f t="shared" si="631"/>
        <v>0</v>
      </c>
      <c r="Z290" s="11">
        <f t="shared" si="631"/>
        <v>0</v>
      </c>
      <c r="AA290" s="11">
        <f t="shared" si="631"/>
        <v>0</v>
      </c>
      <c r="AB290" s="11">
        <f t="shared" si="631"/>
        <v>0</v>
      </c>
      <c r="AC290" s="11">
        <f t="shared" si="631"/>
        <v>0</v>
      </c>
      <c r="AD290" s="11">
        <f t="shared" si="631"/>
        <v>0</v>
      </c>
      <c r="AE290" s="11">
        <f t="shared" si="631"/>
        <v>0</v>
      </c>
      <c r="AF290" s="11">
        <f t="shared" si="631"/>
        <v>0</v>
      </c>
      <c r="AG290" s="11">
        <f t="shared" si="631"/>
        <v>0</v>
      </c>
      <c r="AH290" s="147">
        <f t="shared" si="631"/>
        <v>0</v>
      </c>
      <c r="AI290" s="11">
        <f t="shared" si="631"/>
        <v>0</v>
      </c>
      <c r="AJ290" s="11">
        <f t="shared" si="631"/>
        <v>0</v>
      </c>
      <c r="AK290" s="11">
        <f t="shared" si="631"/>
        <v>0</v>
      </c>
      <c r="AL290" s="147">
        <f t="shared" si="631"/>
        <v>0</v>
      </c>
      <c r="AM290" s="11">
        <f t="shared" si="631"/>
        <v>0</v>
      </c>
      <c r="AN290" s="11">
        <f t="shared" si="631"/>
        <v>0</v>
      </c>
      <c r="AO290" s="11">
        <f t="shared" si="631"/>
        <v>0</v>
      </c>
      <c r="AP290" s="11">
        <f t="shared" si="631"/>
        <v>0</v>
      </c>
      <c r="AQ290" s="11">
        <f t="shared" si="631"/>
        <v>0</v>
      </c>
      <c r="AR290" s="40">
        <f>SUM(D290:AC290)</f>
        <v>28960</v>
      </c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</row>
    <row r="291" spans="2:69" s="10" customFormat="1" ht="15" customHeight="1" x14ac:dyDescent="0.2">
      <c r="C291" s="38" t="s">
        <v>286</v>
      </c>
      <c r="D291" s="11">
        <f>+(D288-D278-D284)/2</f>
        <v>0</v>
      </c>
      <c r="E291" s="11">
        <f t="shared" ref="E291:AQ291" si="632">+(E288-E278-E284)/2</f>
        <v>0</v>
      </c>
      <c r="F291" s="11">
        <f t="shared" si="632"/>
        <v>0</v>
      </c>
      <c r="G291" s="11">
        <f t="shared" si="632"/>
        <v>0</v>
      </c>
      <c r="H291" s="11">
        <f t="shared" si="632"/>
        <v>0</v>
      </c>
      <c r="I291" s="11">
        <f t="shared" si="632"/>
        <v>0</v>
      </c>
      <c r="J291" s="11">
        <f t="shared" si="632"/>
        <v>0</v>
      </c>
      <c r="K291" s="11">
        <f t="shared" si="632"/>
        <v>0</v>
      </c>
      <c r="L291" s="11">
        <f t="shared" si="632"/>
        <v>0</v>
      </c>
      <c r="M291" s="11">
        <f t="shared" si="632"/>
        <v>0</v>
      </c>
      <c r="N291" s="11">
        <f t="shared" si="632"/>
        <v>0</v>
      </c>
      <c r="O291" s="11">
        <f t="shared" si="632"/>
        <v>0</v>
      </c>
      <c r="P291" s="11">
        <f t="shared" si="632"/>
        <v>0</v>
      </c>
      <c r="Q291" s="11">
        <f t="shared" si="632"/>
        <v>0</v>
      </c>
      <c r="R291" s="11">
        <f t="shared" si="632"/>
        <v>0</v>
      </c>
      <c r="S291" s="11">
        <f t="shared" si="632"/>
        <v>93</v>
      </c>
      <c r="T291" s="11">
        <f t="shared" si="632"/>
        <v>1011.5</v>
      </c>
      <c r="U291" s="11">
        <f t="shared" si="632"/>
        <v>93</v>
      </c>
      <c r="V291" s="11">
        <f t="shared" si="632"/>
        <v>58</v>
      </c>
      <c r="W291" s="11">
        <f t="shared" si="632"/>
        <v>0</v>
      </c>
      <c r="X291" s="11">
        <f t="shared" si="632"/>
        <v>0</v>
      </c>
      <c r="Y291" s="11">
        <f t="shared" si="632"/>
        <v>0</v>
      </c>
      <c r="Z291" s="11">
        <f t="shared" si="632"/>
        <v>0</v>
      </c>
      <c r="AA291" s="11">
        <f t="shared" si="632"/>
        <v>0</v>
      </c>
      <c r="AB291" s="11">
        <f t="shared" si="632"/>
        <v>0</v>
      </c>
      <c r="AC291" s="11">
        <f t="shared" si="632"/>
        <v>0</v>
      </c>
      <c r="AD291" s="11">
        <f t="shared" si="632"/>
        <v>0</v>
      </c>
      <c r="AE291" s="11">
        <f t="shared" si="632"/>
        <v>0</v>
      </c>
      <c r="AF291" s="11">
        <f t="shared" si="632"/>
        <v>0</v>
      </c>
      <c r="AG291" s="11">
        <f t="shared" si="632"/>
        <v>0</v>
      </c>
      <c r="AH291" s="147">
        <f t="shared" si="632"/>
        <v>0</v>
      </c>
      <c r="AI291" s="11">
        <f t="shared" si="632"/>
        <v>0</v>
      </c>
      <c r="AJ291" s="11">
        <f t="shared" si="632"/>
        <v>0</v>
      </c>
      <c r="AK291" s="11">
        <f t="shared" si="632"/>
        <v>0</v>
      </c>
      <c r="AL291" s="147">
        <f t="shared" si="632"/>
        <v>0</v>
      </c>
      <c r="AM291" s="11">
        <f t="shared" si="632"/>
        <v>0</v>
      </c>
      <c r="AN291" s="11">
        <f t="shared" si="632"/>
        <v>0</v>
      </c>
      <c r="AO291" s="11">
        <f t="shared" si="632"/>
        <v>0</v>
      </c>
      <c r="AP291" s="11">
        <f t="shared" si="632"/>
        <v>0</v>
      </c>
      <c r="AQ291" s="11">
        <f t="shared" si="632"/>
        <v>0</v>
      </c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</row>
    <row r="292" spans="2:69" s="10" customFormat="1" ht="15" customHeight="1" x14ac:dyDescent="0.25">
      <c r="B292" s="2" t="s">
        <v>268</v>
      </c>
      <c r="C292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47" t="s">
        <v>760</v>
      </c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47"/>
      <c r="AI292" s="11"/>
      <c r="AJ292" s="11"/>
      <c r="AK292" s="11"/>
      <c r="AL292" s="147"/>
      <c r="AM292" s="11"/>
      <c r="AN292" s="11"/>
      <c r="AO292" s="11"/>
      <c r="AP292" s="11"/>
      <c r="AQ292" s="11"/>
      <c r="AR292" s="40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</row>
    <row r="293" spans="2:69" s="10" customFormat="1" ht="15" customHeight="1" x14ac:dyDescent="0.25">
      <c r="B293" s="2"/>
      <c r="C293" t="s">
        <v>190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>
        <v>180</v>
      </c>
      <c r="S293" s="1"/>
      <c r="T293" s="1">
        <v>30</v>
      </c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17"/>
      <c r="AI293" s="1"/>
      <c r="AJ293" s="1"/>
      <c r="AK293" s="1"/>
      <c r="AL293" s="117"/>
      <c r="AM293" s="1"/>
      <c r="AN293" s="1"/>
      <c r="AO293" s="1"/>
      <c r="AP293" s="1"/>
      <c r="AQ293" s="1"/>
      <c r="AR293" s="3">
        <f>SUM(D293:AQ293)</f>
        <v>210</v>
      </c>
      <c r="AS293" s="11"/>
      <c r="AT293" s="1">
        <f>+AR293-[2]PassVol!$AN293</f>
        <v>210</v>
      </c>
      <c r="AU293" s="11"/>
      <c r="AV293" s="1">
        <f>SUM(D293:G293)</f>
        <v>0</v>
      </c>
      <c r="AW293" s="1">
        <f>SUM(H293:K293)</f>
        <v>0</v>
      </c>
      <c r="AX293" s="1">
        <f>SUM(L293:P293)</f>
        <v>0</v>
      </c>
      <c r="AY293" s="1">
        <f>SUM(Q293:T293)</f>
        <v>210</v>
      </c>
      <c r="AZ293" s="1">
        <f>SUM(U293:X293)</f>
        <v>0</v>
      </c>
      <c r="BA293" s="1">
        <f>SUM(Y293:AC293)</f>
        <v>0</v>
      </c>
      <c r="BB293" s="1">
        <f>SUM(AD293:AG293)</f>
        <v>0</v>
      </c>
      <c r="BC293" s="1">
        <f>SUM(AH293:AK293)</f>
        <v>0</v>
      </c>
      <c r="BD293" s="1">
        <f>SUM(AL293:AP293)</f>
        <v>0</v>
      </c>
      <c r="BE293" s="1">
        <f>+AQ293</f>
        <v>0</v>
      </c>
      <c r="BG293" s="1">
        <f>+AV293*10</f>
        <v>0</v>
      </c>
      <c r="BH293" s="1">
        <f>+AW293*10</f>
        <v>0</v>
      </c>
      <c r="BI293" s="1">
        <f t="shared" ref="BI293:BI311" si="633">+AX293*10</f>
        <v>0</v>
      </c>
      <c r="BJ293" s="1">
        <f t="shared" ref="BJ293:BJ311" si="634">+AY293*10</f>
        <v>2100</v>
      </c>
      <c r="BK293" s="1">
        <f t="shared" ref="BK293:BK311" si="635">+AZ293*10</f>
        <v>0</v>
      </c>
      <c r="BL293" s="1">
        <f t="shared" ref="BL293:BL311" si="636">+BA293*10</f>
        <v>0</v>
      </c>
      <c r="BM293" s="1">
        <f t="shared" ref="BM293:BM311" si="637">+BB293*10</f>
        <v>0</v>
      </c>
      <c r="BN293" s="1">
        <f t="shared" ref="BN293:BN311" si="638">+BC293*10</f>
        <v>0</v>
      </c>
      <c r="BO293" s="1">
        <f t="shared" ref="BO293:BO311" si="639">+BD293*10</f>
        <v>0</v>
      </c>
      <c r="BP293" s="1">
        <f t="shared" ref="BP293:BP311" si="640">+BE293*10</f>
        <v>0</v>
      </c>
      <c r="BQ293" s="1">
        <f t="shared" ref="BQ293:BQ311" si="641">SUM(BH293:BP293)</f>
        <v>2100</v>
      </c>
    </row>
    <row r="294" spans="2:69" s="10" customFormat="1" ht="15" customHeight="1" x14ac:dyDescent="0.25">
      <c r="B294" s="2"/>
      <c r="C294" t="s">
        <v>424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>
        <v>174</v>
      </c>
      <c r="S294" s="1"/>
      <c r="T294" s="1">
        <v>80</v>
      </c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17"/>
      <c r="AI294" s="1"/>
      <c r="AJ294" s="1"/>
      <c r="AK294" s="1"/>
      <c r="AL294" s="117"/>
      <c r="AM294" s="1"/>
      <c r="AN294" s="1"/>
      <c r="AO294" s="1"/>
      <c r="AP294" s="1"/>
      <c r="AQ294" s="1"/>
      <c r="AR294" s="3">
        <f>SUM(D294:AQ294)</f>
        <v>254</v>
      </c>
      <c r="AS294" s="11"/>
      <c r="AT294" s="1">
        <f>+AR294-[2]PassVol!$AN294</f>
        <v>254</v>
      </c>
      <c r="AU294" s="11"/>
      <c r="AV294" s="1">
        <f t="shared" ref="AV294:AV311" si="642">SUM(D294:G294)</f>
        <v>0</v>
      </c>
      <c r="AW294" s="1">
        <f t="shared" ref="AW294:AW311" si="643">SUM(H294:K294)</f>
        <v>0</v>
      </c>
      <c r="AX294" s="1">
        <f t="shared" ref="AX294:AX311" si="644">SUM(L294:P294)</f>
        <v>0</v>
      </c>
      <c r="AY294" s="1">
        <f t="shared" ref="AY294:AY311" si="645">SUM(Q294:T294)</f>
        <v>254</v>
      </c>
      <c r="AZ294" s="1">
        <f t="shared" ref="AZ294:AZ311" si="646">SUM(U294:X294)</f>
        <v>0</v>
      </c>
      <c r="BA294" s="1">
        <f t="shared" ref="BA294:BA311" si="647">SUM(Y294:AC294)</f>
        <v>0</v>
      </c>
      <c r="BB294" s="1">
        <f t="shared" ref="BB294:BB311" si="648">SUM(AD294:AG294)</f>
        <v>0</v>
      </c>
      <c r="BC294" s="1">
        <f t="shared" ref="BC294:BC311" si="649">SUM(AH294:AK294)</f>
        <v>0</v>
      </c>
      <c r="BD294" s="1">
        <f t="shared" ref="BD294:BD311" si="650">SUM(AL294:AP294)</f>
        <v>0</v>
      </c>
      <c r="BE294" s="1">
        <f t="shared" ref="BE294:BE311" si="651">+AQ294</f>
        <v>0</v>
      </c>
      <c r="BG294" s="1">
        <f>+AV294*10</f>
        <v>0</v>
      </c>
      <c r="BH294" s="1">
        <f>+AW294*10</f>
        <v>0</v>
      </c>
      <c r="BI294" s="1">
        <f t="shared" ref="BI294:BP294" si="652">+AX294*10</f>
        <v>0</v>
      </c>
      <c r="BJ294" s="1">
        <f t="shared" si="652"/>
        <v>2540</v>
      </c>
      <c r="BK294" s="1">
        <f t="shared" si="652"/>
        <v>0</v>
      </c>
      <c r="BL294" s="1">
        <f t="shared" si="652"/>
        <v>0</v>
      </c>
      <c r="BM294" s="1">
        <f t="shared" si="652"/>
        <v>0</v>
      </c>
      <c r="BN294" s="1">
        <f t="shared" si="652"/>
        <v>0</v>
      </c>
      <c r="BO294" s="1">
        <f t="shared" si="652"/>
        <v>0</v>
      </c>
      <c r="BP294" s="1">
        <f t="shared" si="652"/>
        <v>0</v>
      </c>
      <c r="BQ294" s="1">
        <f>SUM(BH294:BP294)</f>
        <v>2540</v>
      </c>
    </row>
    <row r="295" spans="2:69" s="10" customFormat="1" ht="15" customHeight="1" x14ac:dyDescent="0.25">
      <c r="B295" s="2"/>
      <c r="C295" t="s">
        <v>347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>
        <v>212</v>
      </c>
      <c r="S295" s="1"/>
      <c r="T295" s="1">
        <v>64</v>
      </c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17"/>
      <c r="AI295" s="1"/>
      <c r="AJ295" s="1"/>
      <c r="AK295" s="1"/>
      <c r="AL295" s="117"/>
      <c r="AM295" s="1"/>
      <c r="AN295" s="1"/>
      <c r="AO295" s="1"/>
      <c r="AP295" s="1"/>
      <c r="AQ295" s="1"/>
      <c r="AR295" s="3">
        <f t="shared" ref="AR295:AR311" si="653">SUM(D295:AQ295)</f>
        <v>276</v>
      </c>
      <c r="AS295" s="11"/>
      <c r="AT295" s="1">
        <f>+AR295-[2]PassVol!$AN295</f>
        <v>276</v>
      </c>
      <c r="AU295" s="11"/>
      <c r="AV295" s="1">
        <f t="shared" si="642"/>
        <v>0</v>
      </c>
      <c r="AW295" s="1">
        <f t="shared" si="643"/>
        <v>0</v>
      </c>
      <c r="AX295" s="1">
        <f t="shared" si="644"/>
        <v>0</v>
      </c>
      <c r="AY295" s="1">
        <f t="shared" si="645"/>
        <v>276</v>
      </c>
      <c r="AZ295" s="1">
        <f t="shared" si="646"/>
        <v>0</v>
      </c>
      <c r="BA295" s="1">
        <f t="shared" si="647"/>
        <v>0</v>
      </c>
      <c r="BB295" s="1">
        <f t="shared" si="648"/>
        <v>0</v>
      </c>
      <c r="BC295" s="1">
        <f t="shared" si="649"/>
        <v>0</v>
      </c>
      <c r="BD295" s="1">
        <f t="shared" si="650"/>
        <v>0</v>
      </c>
      <c r="BE295" s="1">
        <f t="shared" si="651"/>
        <v>0</v>
      </c>
      <c r="BG295" s="1">
        <f t="shared" ref="BG295:BH311" si="654">+AV295*10</f>
        <v>0</v>
      </c>
      <c r="BH295" s="1">
        <f t="shared" si="654"/>
        <v>0</v>
      </c>
      <c r="BI295" s="1">
        <f t="shared" si="633"/>
        <v>0</v>
      </c>
      <c r="BJ295" s="1">
        <f t="shared" si="634"/>
        <v>2760</v>
      </c>
      <c r="BK295" s="1">
        <f t="shared" si="635"/>
        <v>0</v>
      </c>
      <c r="BL295" s="1">
        <f t="shared" si="636"/>
        <v>0</v>
      </c>
      <c r="BM295" s="1">
        <f t="shared" si="637"/>
        <v>0</v>
      </c>
      <c r="BN295" s="1">
        <f t="shared" si="638"/>
        <v>0</v>
      </c>
      <c r="BO295" s="1">
        <f t="shared" si="639"/>
        <v>0</v>
      </c>
      <c r="BP295" s="1">
        <f t="shared" si="640"/>
        <v>0</v>
      </c>
      <c r="BQ295" s="1">
        <f t="shared" si="641"/>
        <v>2760</v>
      </c>
    </row>
    <row r="296" spans="2:69" s="10" customFormat="1" ht="15" customHeight="1" x14ac:dyDescent="0.25">
      <c r="B296" s="2"/>
      <c r="C296" t="s">
        <v>0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>
        <v>863</v>
      </c>
      <c r="S296" s="1"/>
      <c r="T296" s="1">
        <v>622</v>
      </c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17"/>
      <c r="AI296" s="1"/>
      <c r="AJ296" s="1"/>
      <c r="AK296" s="1"/>
      <c r="AL296" s="117"/>
      <c r="AM296" s="1"/>
      <c r="AN296" s="1"/>
      <c r="AO296" s="1"/>
      <c r="AP296" s="1"/>
      <c r="AQ296" s="1"/>
      <c r="AR296" s="3">
        <f t="shared" si="653"/>
        <v>1485</v>
      </c>
      <c r="AS296" s="11"/>
      <c r="AT296" s="1">
        <f>+AR296-[2]PassVol!$AN296</f>
        <v>1485</v>
      </c>
      <c r="AU296" s="11"/>
      <c r="AV296" s="1">
        <f t="shared" si="642"/>
        <v>0</v>
      </c>
      <c r="AW296" s="1">
        <f t="shared" si="643"/>
        <v>0</v>
      </c>
      <c r="AX296" s="1">
        <f t="shared" si="644"/>
        <v>0</v>
      </c>
      <c r="AY296" s="1">
        <f t="shared" si="645"/>
        <v>1485</v>
      </c>
      <c r="AZ296" s="1">
        <f t="shared" si="646"/>
        <v>0</v>
      </c>
      <c r="BA296" s="1">
        <f t="shared" si="647"/>
        <v>0</v>
      </c>
      <c r="BB296" s="1">
        <f t="shared" si="648"/>
        <v>0</v>
      </c>
      <c r="BC296" s="1">
        <f t="shared" si="649"/>
        <v>0</v>
      </c>
      <c r="BD296" s="1">
        <f t="shared" si="650"/>
        <v>0</v>
      </c>
      <c r="BE296" s="1">
        <f t="shared" si="651"/>
        <v>0</v>
      </c>
      <c r="BG296" s="1">
        <f t="shared" si="654"/>
        <v>0</v>
      </c>
      <c r="BH296" s="1">
        <f t="shared" si="654"/>
        <v>0</v>
      </c>
      <c r="BI296" s="1">
        <f t="shared" si="633"/>
        <v>0</v>
      </c>
      <c r="BJ296" s="1">
        <f t="shared" si="634"/>
        <v>14850</v>
      </c>
      <c r="BK296" s="1">
        <f t="shared" si="635"/>
        <v>0</v>
      </c>
      <c r="BL296" s="1">
        <f t="shared" si="636"/>
        <v>0</v>
      </c>
      <c r="BM296" s="1">
        <f t="shared" si="637"/>
        <v>0</v>
      </c>
      <c r="BN296" s="1">
        <f t="shared" si="638"/>
        <v>0</v>
      </c>
      <c r="BO296" s="1">
        <f t="shared" si="639"/>
        <v>0</v>
      </c>
      <c r="BP296" s="1">
        <f t="shared" si="640"/>
        <v>0</v>
      </c>
      <c r="BQ296" s="1">
        <f t="shared" si="641"/>
        <v>14850</v>
      </c>
    </row>
    <row r="297" spans="2:69" s="10" customFormat="1" ht="15" customHeight="1" x14ac:dyDescent="0.25">
      <c r="B297" s="2"/>
      <c r="C297" t="s">
        <v>354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17"/>
      <c r="AI297" s="1"/>
      <c r="AJ297" s="1"/>
      <c r="AK297" s="1"/>
      <c r="AL297" s="117"/>
      <c r="AM297" s="1"/>
      <c r="AN297" s="1"/>
      <c r="AO297" s="1"/>
      <c r="AP297" s="1"/>
      <c r="AQ297" s="1"/>
      <c r="AR297" s="3">
        <f t="shared" si="653"/>
        <v>0</v>
      </c>
      <c r="AS297" s="11"/>
      <c r="AT297" s="1">
        <f>+AR297-[2]PassVol!$AN297</f>
        <v>0</v>
      </c>
      <c r="AU297" s="11"/>
      <c r="AV297" s="1">
        <f t="shared" si="642"/>
        <v>0</v>
      </c>
      <c r="AW297" s="1">
        <f t="shared" si="643"/>
        <v>0</v>
      </c>
      <c r="AX297" s="1">
        <f t="shared" si="644"/>
        <v>0</v>
      </c>
      <c r="AY297" s="1">
        <f t="shared" si="645"/>
        <v>0</v>
      </c>
      <c r="AZ297" s="1">
        <f t="shared" si="646"/>
        <v>0</v>
      </c>
      <c r="BA297" s="1">
        <f t="shared" si="647"/>
        <v>0</v>
      </c>
      <c r="BB297" s="1">
        <f t="shared" si="648"/>
        <v>0</v>
      </c>
      <c r="BC297" s="1">
        <f t="shared" si="649"/>
        <v>0</v>
      </c>
      <c r="BD297" s="1">
        <f t="shared" si="650"/>
        <v>0</v>
      </c>
      <c r="BE297" s="1">
        <f t="shared" si="651"/>
        <v>0</v>
      </c>
      <c r="BG297" s="1">
        <f t="shared" si="654"/>
        <v>0</v>
      </c>
      <c r="BH297" s="1">
        <f t="shared" si="654"/>
        <v>0</v>
      </c>
      <c r="BI297" s="1">
        <f t="shared" si="633"/>
        <v>0</v>
      </c>
      <c r="BJ297" s="1">
        <f t="shared" si="634"/>
        <v>0</v>
      </c>
      <c r="BK297" s="1">
        <f t="shared" si="635"/>
        <v>0</v>
      </c>
      <c r="BL297" s="1">
        <f t="shared" si="636"/>
        <v>0</v>
      </c>
      <c r="BM297" s="1">
        <f t="shared" si="637"/>
        <v>0</v>
      </c>
      <c r="BN297" s="1">
        <f t="shared" si="638"/>
        <v>0</v>
      </c>
      <c r="BO297" s="1">
        <f t="shared" si="639"/>
        <v>0</v>
      </c>
      <c r="BP297" s="1">
        <f t="shared" si="640"/>
        <v>0</v>
      </c>
      <c r="BQ297" s="1">
        <f t="shared" si="641"/>
        <v>0</v>
      </c>
    </row>
    <row r="298" spans="2:69" s="10" customFormat="1" ht="15" customHeight="1" x14ac:dyDescent="0.25">
      <c r="B298" s="2"/>
      <c r="C298" t="s">
        <v>265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>
        <v>120</v>
      </c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17"/>
      <c r="AI298" s="1"/>
      <c r="AJ298" s="1"/>
      <c r="AK298" s="1"/>
      <c r="AL298" s="117"/>
      <c r="AM298" s="1"/>
      <c r="AN298" s="1"/>
      <c r="AO298" s="1"/>
      <c r="AP298" s="1"/>
      <c r="AQ298" s="1"/>
      <c r="AR298" s="3">
        <f t="shared" si="653"/>
        <v>120</v>
      </c>
      <c r="AS298" s="11"/>
      <c r="AT298" s="1">
        <f>+AR298-[2]PassVol!$AN298</f>
        <v>120</v>
      </c>
      <c r="AU298" s="11"/>
      <c r="AV298" s="1">
        <f t="shared" si="642"/>
        <v>0</v>
      </c>
      <c r="AW298" s="1">
        <f t="shared" si="643"/>
        <v>0</v>
      </c>
      <c r="AX298" s="1">
        <f t="shared" si="644"/>
        <v>0</v>
      </c>
      <c r="AY298" s="1">
        <f t="shared" si="645"/>
        <v>120</v>
      </c>
      <c r="AZ298" s="1">
        <f t="shared" si="646"/>
        <v>0</v>
      </c>
      <c r="BA298" s="1">
        <f t="shared" si="647"/>
        <v>0</v>
      </c>
      <c r="BB298" s="1">
        <f t="shared" si="648"/>
        <v>0</v>
      </c>
      <c r="BC298" s="1">
        <f t="shared" si="649"/>
        <v>0</v>
      </c>
      <c r="BD298" s="1">
        <f t="shared" si="650"/>
        <v>0</v>
      </c>
      <c r="BE298" s="1">
        <f t="shared" si="651"/>
        <v>0</v>
      </c>
      <c r="BG298" s="1">
        <f t="shared" si="654"/>
        <v>0</v>
      </c>
      <c r="BH298" s="1">
        <f t="shared" si="654"/>
        <v>0</v>
      </c>
      <c r="BI298" s="1">
        <f t="shared" si="633"/>
        <v>0</v>
      </c>
      <c r="BJ298" s="1">
        <f t="shared" si="634"/>
        <v>1200</v>
      </c>
      <c r="BK298" s="1">
        <f t="shared" si="635"/>
        <v>0</v>
      </c>
      <c r="BL298" s="1">
        <f t="shared" si="636"/>
        <v>0</v>
      </c>
      <c r="BM298" s="1">
        <f t="shared" si="637"/>
        <v>0</v>
      </c>
      <c r="BN298" s="1">
        <f t="shared" si="638"/>
        <v>0</v>
      </c>
      <c r="BO298" s="1">
        <f t="shared" si="639"/>
        <v>0</v>
      </c>
      <c r="BP298" s="1">
        <f t="shared" si="640"/>
        <v>0</v>
      </c>
      <c r="BQ298" s="1">
        <f t="shared" si="641"/>
        <v>1200</v>
      </c>
    </row>
    <row r="299" spans="2:69" s="10" customFormat="1" ht="15" customHeight="1" x14ac:dyDescent="0.25">
      <c r="B299" s="2"/>
      <c r="C299" t="s">
        <v>191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>
        <v>336</v>
      </c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17"/>
      <c r="AI299" s="1"/>
      <c r="AJ299" s="1"/>
      <c r="AK299" s="1"/>
      <c r="AL299" s="117"/>
      <c r="AM299" s="1"/>
      <c r="AN299" s="1"/>
      <c r="AO299" s="1"/>
      <c r="AP299" s="1"/>
      <c r="AQ299" s="1"/>
      <c r="AR299" s="3">
        <f t="shared" si="653"/>
        <v>336</v>
      </c>
      <c r="AS299" s="11"/>
      <c r="AT299" s="1">
        <f>+AR299-[2]PassVol!$AN299</f>
        <v>336</v>
      </c>
      <c r="AU299" s="11"/>
      <c r="AV299" s="1">
        <f t="shared" si="642"/>
        <v>0</v>
      </c>
      <c r="AW299" s="1">
        <f t="shared" si="643"/>
        <v>0</v>
      </c>
      <c r="AX299" s="1">
        <f t="shared" si="644"/>
        <v>0</v>
      </c>
      <c r="AY299" s="1">
        <f t="shared" si="645"/>
        <v>336</v>
      </c>
      <c r="AZ299" s="1">
        <f t="shared" si="646"/>
        <v>0</v>
      </c>
      <c r="BA299" s="1">
        <f t="shared" si="647"/>
        <v>0</v>
      </c>
      <c r="BB299" s="1">
        <f t="shared" si="648"/>
        <v>0</v>
      </c>
      <c r="BC299" s="1">
        <f t="shared" si="649"/>
        <v>0</v>
      </c>
      <c r="BD299" s="1">
        <f t="shared" si="650"/>
        <v>0</v>
      </c>
      <c r="BE299" s="1">
        <f t="shared" si="651"/>
        <v>0</v>
      </c>
      <c r="BG299" s="1">
        <f t="shared" si="654"/>
        <v>0</v>
      </c>
      <c r="BH299" s="1">
        <f t="shared" si="654"/>
        <v>0</v>
      </c>
      <c r="BI299" s="1">
        <f t="shared" si="633"/>
        <v>0</v>
      </c>
      <c r="BJ299" s="1">
        <f t="shared" si="634"/>
        <v>3360</v>
      </c>
      <c r="BK299" s="1">
        <f t="shared" si="635"/>
        <v>0</v>
      </c>
      <c r="BL299" s="1">
        <f t="shared" si="636"/>
        <v>0</v>
      </c>
      <c r="BM299" s="1">
        <f t="shared" si="637"/>
        <v>0</v>
      </c>
      <c r="BN299" s="1">
        <f t="shared" si="638"/>
        <v>0</v>
      </c>
      <c r="BO299" s="1">
        <f t="shared" si="639"/>
        <v>0</v>
      </c>
      <c r="BP299" s="1">
        <f t="shared" si="640"/>
        <v>0</v>
      </c>
      <c r="BQ299" s="1">
        <f t="shared" si="641"/>
        <v>3360</v>
      </c>
    </row>
    <row r="300" spans="2:69" s="10" customFormat="1" ht="15" customHeight="1" x14ac:dyDescent="0.25">
      <c r="B300" s="2"/>
      <c r="C300" t="s">
        <v>549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17"/>
      <c r="AI300" s="1"/>
      <c r="AJ300" s="1"/>
      <c r="AK300" s="1"/>
      <c r="AL300" s="117"/>
      <c r="AM300" s="1"/>
      <c r="AN300" s="1"/>
      <c r="AO300" s="1"/>
      <c r="AP300" s="1"/>
      <c r="AQ300" s="1"/>
      <c r="AR300" s="3">
        <f t="shared" si="653"/>
        <v>0</v>
      </c>
      <c r="AS300" s="11"/>
      <c r="AT300" s="1">
        <f>+AR300-[2]PassVol!$AN300</f>
        <v>0</v>
      </c>
      <c r="AU300" s="11"/>
      <c r="AV300" s="1">
        <f t="shared" si="642"/>
        <v>0</v>
      </c>
      <c r="AW300" s="1">
        <f t="shared" si="643"/>
        <v>0</v>
      </c>
      <c r="AX300" s="1">
        <f t="shared" si="644"/>
        <v>0</v>
      </c>
      <c r="AY300" s="1">
        <f t="shared" si="645"/>
        <v>0</v>
      </c>
      <c r="AZ300" s="1">
        <f t="shared" si="646"/>
        <v>0</v>
      </c>
      <c r="BA300" s="1">
        <f t="shared" si="647"/>
        <v>0</v>
      </c>
      <c r="BB300" s="1">
        <f t="shared" si="648"/>
        <v>0</v>
      </c>
      <c r="BC300" s="1">
        <f t="shared" si="649"/>
        <v>0</v>
      </c>
      <c r="BD300" s="1">
        <f t="shared" si="650"/>
        <v>0</v>
      </c>
      <c r="BE300" s="1">
        <f t="shared" si="651"/>
        <v>0</v>
      </c>
      <c r="BG300" s="1">
        <f t="shared" si="654"/>
        <v>0</v>
      </c>
      <c r="BH300" s="1">
        <f t="shared" si="654"/>
        <v>0</v>
      </c>
      <c r="BI300" s="1">
        <f t="shared" si="633"/>
        <v>0</v>
      </c>
      <c r="BJ300" s="1">
        <f t="shared" si="634"/>
        <v>0</v>
      </c>
      <c r="BK300" s="1">
        <f t="shared" si="635"/>
        <v>0</v>
      </c>
      <c r="BL300" s="1">
        <f t="shared" si="636"/>
        <v>0</v>
      </c>
      <c r="BM300" s="1">
        <f t="shared" si="637"/>
        <v>0</v>
      </c>
      <c r="BN300" s="1">
        <f t="shared" si="638"/>
        <v>0</v>
      </c>
      <c r="BO300" s="1">
        <f t="shared" si="639"/>
        <v>0</v>
      </c>
      <c r="BP300" s="1">
        <f t="shared" si="640"/>
        <v>0</v>
      </c>
      <c r="BQ300" s="1">
        <f t="shared" si="641"/>
        <v>0</v>
      </c>
    </row>
    <row r="301" spans="2:69" s="10" customFormat="1" ht="15" customHeight="1" x14ac:dyDescent="0.25">
      <c r="B301" s="2"/>
      <c r="C301" t="s">
        <v>550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>
        <v>224</v>
      </c>
      <c r="S301" s="1"/>
      <c r="T301" s="1">
        <v>831</v>
      </c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17"/>
      <c r="AI301" s="1"/>
      <c r="AJ301" s="1"/>
      <c r="AK301" s="1"/>
      <c r="AL301" s="117"/>
      <c r="AM301" s="1"/>
      <c r="AN301" s="1"/>
      <c r="AO301" s="1"/>
      <c r="AP301" s="1"/>
      <c r="AQ301" s="1"/>
      <c r="AR301" s="3">
        <f t="shared" si="653"/>
        <v>1055</v>
      </c>
      <c r="AS301" s="11"/>
      <c r="AT301" s="1">
        <f>+AR301-[2]PassVol!$AN301</f>
        <v>1055</v>
      </c>
      <c r="AU301" s="11"/>
      <c r="AV301" s="1">
        <f t="shared" si="642"/>
        <v>0</v>
      </c>
      <c r="AW301" s="1">
        <f t="shared" si="643"/>
        <v>0</v>
      </c>
      <c r="AX301" s="1">
        <f t="shared" si="644"/>
        <v>0</v>
      </c>
      <c r="AY301" s="1">
        <f t="shared" si="645"/>
        <v>1055</v>
      </c>
      <c r="AZ301" s="1">
        <f t="shared" si="646"/>
        <v>0</v>
      </c>
      <c r="BA301" s="1">
        <f t="shared" si="647"/>
        <v>0</v>
      </c>
      <c r="BB301" s="1">
        <f t="shared" si="648"/>
        <v>0</v>
      </c>
      <c r="BC301" s="1">
        <f t="shared" si="649"/>
        <v>0</v>
      </c>
      <c r="BD301" s="1">
        <f t="shared" si="650"/>
        <v>0</v>
      </c>
      <c r="BE301" s="1">
        <f t="shared" si="651"/>
        <v>0</v>
      </c>
      <c r="BG301" s="1">
        <f t="shared" si="654"/>
        <v>0</v>
      </c>
      <c r="BH301" s="1">
        <f t="shared" si="654"/>
        <v>0</v>
      </c>
      <c r="BI301" s="1">
        <f t="shared" si="633"/>
        <v>0</v>
      </c>
      <c r="BJ301" s="1">
        <f t="shared" si="634"/>
        <v>10550</v>
      </c>
      <c r="BK301" s="1">
        <f t="shared" si="635"/>
        <v>0</v>
      </c>
      <c r="BL301" s="1">
        <f t="shared" si="636"/>
        <v>0</v>
      </c>
      <c r="BM301" s="1">
        <f t="shared" si="637"/>
        <v>0</v>
      </c>
      <c r="BN301" s="1">
        <f t="shared" si="638"/>
        <v>0</v>
      </c>
      <c r="BO301" s="1">
        <f t="shared" si="639"/>
        <v>0</v>
      </c>
      <c r="BP301" s="1">
        <f t="shared" si="640"/>
        <v>0</v>
      </c>
      <c r="BQ301" s="1">
        <f t="shared" si="641"/>
        <v>10550</v>
      </c>
    </row>
    <row r="302" spans="2:69" s="10" customFormat="1" ht="15" customHeight="1" x14ac:dyDescent="0.25">
      <c r="B302" s="2"/>
      <c r="C302" t="s">
        <v>6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>
        <v>360</v>
      </c>
      <c r="S302" s="1"/>
      <c r="T302" s="1">
        <v>300</v>
      </c>
      <c r="U302" s="1"/>
      <c r="V302" s="1">
        <v>252</v>
      </c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17"/>
      <c r="AI302" s="1"/>
      <c r="AJ302" s="1"/>
      <c r="AK302" s="1"/>
      <c r="AL302" s="117"/>
      <c r="AM302" s="1"/>
      <c r="AN302" s="1"/>
      <c r="AO302" s="1"/>
      <c r="AP302" s="1"/>
      <c r="AQ302" s="1"/>
      <c r="AR302" s="3">
        <f t="shared" si="653"/>
        <v>912</v>
      </c>
      <c r="AS302" s="11"/>
      <c r="AT302" s="1">
        <f>+AR302-[2]PassVol!$AN302</f>
        <v>912</v>
      </c>
      <c r="AU302" s="11"/>
      <c r="AV302" s="1">
        <f t="shared" si="642"/>
        <v>0</v>
      </c>
      <c r="AW302" s="1">
        <f t="shared" si="643"/>
        <v>0</v>
      </c>
      <c r="AX302" s="1">
        <f t="shared" si="644"/>
        <v>0</v>
      </c>
      <c r="AY302" s="1">
        <f t="shared" si="645"/>
        <v>660</v>
      </c>
      <c r="AZ302" s="1">
        <f t="shared" si="646"/>
        <v>252</v>
      </c>
      <c r="BA302" s="1">
        <f t="shared" si="647"/>
        <v>0</v>
      </c>
      <c r="BB302" s="1">
        <f t="shared" si="648"/>
        <v>0</v>
      </c>
      <c r="BC302" s="1">
        <f t="shared" si="649"/>
        <v>0</v>
      </c>
      <c r="BD302" s="1">
        <f t="shared" si="650"/>
        <v>0</v>
      </c>
      <c r="BE302" s="1">
        <f t="shared" si="651"/>
        <v>0</v>
      </c>
      <c r="BG302" s="1">
        <f t="shared" si="654"/>
        <v>0</v>
      </c>
      <c r="BH302" s="1">
        <f t="shared" si="654"/>
        <v>0</v>
      </c>
      <c r="BI302" s="1">
        <f t="shared" si="633"/>
        <v>0</v>
      </c>
      <c r="BJ302" s="1">
        <f t="shared" si="634"/>
        <v>6600</v>
      </c>
      <c r="BK302" s="1">
        <f t="shared" si="635"/>
        <v>2520</v>
      </c>
      <c r="BL302" s="1">
        <f t="shared" si="636"/>
        <v>0</v>
      </c>
      <c r="BM302" s="1">
        <f t="shared" si="637"/>
        <v>0</v>
      </c>
      <c r="BN302" s="1">
        <f t="shared" si="638"/>
        <v>0</v>
      </c>
      <c r="BO302" s="1">
        <f t="shared" si="639"/>
        <v>0</v>
      </c>
      <c r="BP302" s="1">
        <f t="shared" si="640"/>
        <v>0</v>
      </c>
      <c r="BQ302" s="1">
        <f t="shared" si="641"/>
        <v>9120</v>
      </c>
    </row>
    <row r="303" spans="2:69" s="10" customFormat="1" ht="15" customHeight="1" x14ac:dyDescent="0.25">
      <c r="B303" s="2"/>
      <c r="C303" t="s">
        <v>262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>
        <v>250</v>
      </c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17"/>
      <c r="AI303" s="1"/>
      <c r="AJ303" s="1"/>
      <c r="AK303" s="1"/>
      <c r="AL303" s="117"/>
      <c r="AM303" s="1"/>
      <c r="AN303" s="1"/>
      <c r="AO303" s="1"/>
      <c r="AP303" s="1"/>
      <c r="AQ303" s="1"/>
      <c r="AR303" s="3">
        <f t="shared" si="653"/>
        <v>250</v>
      </c>
      <c r="AS303" s="11"/>
      <c r="AT303" s="1">
        <f>+AR303-[2]PassVol!$AN303</f>
        <v>250</v>
      </c>
      <c r="AU303" s="11"/>
      <c r="AV303" s="1">
        <f t="shared" si="642"/>
        <v>0</v>
      </c>
      <c r="AW303" s="1">
        <f t="shared" si="643"/>
        <v>0</v>
      </c>
      <c r="AX303" s="1">
        <f t="shared" si="644"/>
        <v>0</v>
      </c>
      <c r="AY303" s="1">
        <f t="shared" si="645"/>
        <v>250</v>
      </c>
      <c r="AZ303" s="1">
        <f t="shared" si="646"/>
        <v>0</v>
      </c>
      <c r="BA303" s="1">
        <f t="shared" si="647"/>
        <v>0</v>
      </c>
      <c r="BB303" s="1">
        <f t="shared" si="648"/>
        <v>0</v>
      </c>
      <c r="BC303" s="1">
        <f t="shared" si="649"/>
        <v>0</v>
      </c>
      <c r="BD303" s="1">
        <f t="shared" si="650"/>
        <v>0</v>
      </c>
      <c r="BE303" s="1">
        <f t="shared" si="651"/>
        <v>0</v>
      </c>
      <c r="BG303" s="1">
        <f t="shared" si="654"/>
        <v>0</v>
      </c>
      <c r="BH303" s="1">
        <f t="shared" si="654"/>
        <v>0</v>
      </c>
      <c r="BI303" s="1">
        <f t="shared" si="633"/>
        <v>0</v>
      </c>
      <c r="BJ303" s="1">
        <f t="shared" si="634"/>
        <v>2500</v>
      </c>
      <c r="BK303" s="1">
        <f t="shared" si="635"/>
        <v>0</v>
      </c>
      <c r="BL303" s="1">
        <f t="shared" si="636"/>
        <v>0</v>
      </c>
      <c r="BM303" s="1">
        <f t="shared" si="637"/>
        <v>0</v>
      </c>
      <c r="BN303" s="1">
        <f t="shared" si="638"/>
        <v>0</v>
      </c>
      <c r="BO303" s="1">
        <f t="shared" si="639"/>
        <v>0</v>
      </c>
      <c r="BP303" s="1">
        <f t="shared" si="640"/>
        <v>0</v>
      </c>
      <c r="BQ303" s="1">
        <f t="shared" si="641"/>
        <v>2500</v>
      </c>
    </row>
    <row r="304" spans="2:69" s="10" customFormat="1" ht="15" customHeight="1" x14ac:dyDescent="0.25">
      <c r="B304" s="2"/>
      <c r="C304" t="s">
        <v>42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17"/>
      <c r="AI304" s="1"/>
      <c r="AJ304" s="1"/>
      <c r="AK304" s="1"/>
      <c r="AL304" s="117"/>
      <c r="AM304" s="1"/>
      <c r="AN304" s="1"/>
      <c r="AO304" s="1"/>
      <c r="AP304" s="1"/>
      <c r="AQ304" s="1"/>
      <c r="AR304" s="3">
        <f t="shared" si="653"/>
        <v>0</v>
      </c>
      <c r="AS304" s="11"/>
      <c r="AT304" s="1">
        <f>+AR304-[2]PassVol!$AN304</f>
        <v>0</v>
      </c>
      <c r="AU304" s="11"/>
      <c r="AV304" s="1">
        <f t="shared" si="642"/>
        <v>0</v>
      </c>
      <c r="AW304" s="1">
        <f t="shared" si="643"/>
        <v>0</v>
      </c>
      <c r="AX304" s="1">
        <f t="shared" si="644"/>
        <v>0</v>
      </c>
      <c r="AY304" s="1">
        <f t="shared" si="645"/>
        <v>0</v>
      </c>
      <c r="AZ304" s="1">
        <f t="shared" si="646"/>
        <v>0</v>
      </c>
      <c r="BA304" s="1">
        <f t="shared" si="647"/>
        <v>0</v>
      </c>
      <c r="BB304" s="1">
        <f t="shared" si="648"/>
        <v>0</v>
      </c>
      <c r="BC304" s="1">
        <f t="shared" si="649"/>
        <v>0</v>
      </c>
      <c r="BD304" s="1">
        <f t="shared" si="650"/>
        <v>0</v>
      </c>
      <c r="BE304" s="1">
        <f t="shared" si="651"/>
        <v>0</v>
      </c>
      <c r="BG304" s="1">
        <f t="shared" si="654"/>
        <v>0</v>
      </c>
      <c r="BH304" s="1">
        <f t="shared" si="654"/>
        <v>0</v>
      </c>
      <c r="BI304" s="1">
        <f t="shared" si="633"/>
        <v>0</v>
      </c>
      <c r="BJ304" s="1">
        <f t="shared" si="634"/>
        <v>0</v>
      </c>
      <c r="BK304" s="1">
        <f t="shared" si="635"/>
        <v>0</v>
      </c>
      <c r="BL304" s="1">
        <f t="shared" si="636"/>
        <v>0</v>
      </c>
      <c r="BM304" s="1">
        <f t="shared" si="637"/>
        <v>0</v>
      </c>
      <c r="BN304" s="1">
        <f t="shared" si="638"/>
        <v>0</v>
      </c>
      <c r="BO304" s="1">
        <f t="shared" si="639"/>
        <v>0</v>
      </c>
      <c r="BP304" s="1">
        <f t="shared" si="640"/>
        <v>0</v>
      </c>
      <c r="BQ304" s="1">
        <f t="shared" si="641"/>
        <v>0</v>
      </c>
    </row>
    <row r="305" spans="2:69" s="10" customFormat="1" ht="15" customHeight="1" x14ac:dyDescent="0.25">
      <c r="B305" s="2"/>
      <c r="C305" t="s">
        <v>192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>
        <v>320</v>
      </c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17"/>
      <c r="AI305" s="1"/>
      <c r="AJ305" s="1"/>
      <c r="AK305" s="1"/>
      <c r="AL305" s="117"/>
      <c r="AM305" s="1"/>
      <c r="AN305" s="1"/>
      <c r="AO305" s="1"/>
      <c r="AP305" s="1"/>
      <c r="AQ305" s="1"/>
      <c r="AR305" s="3">
        <f t="shared" si="653"/>
        <v>320</v>
      </c>
      <c r="AS305" s="11"/>
      <c r="AT305" s="1">
        <f>+AR305-[2]PassVol!$AN305</f>
        <v>320</v>
      </c>
      <c r="AU305" s="11"/>
      <c r="AV305" s="1">
        <f t="shared" si="642"/>
        <v>0</v>
      </c>
      <c r="AW305" s="1">
        <f t="shared" si="643"/>
        <v>0</v>
      </c>
      <c r="AX305" s="1">
        <f t="shared" si="644"/>
        <v>0</v>
      </c>
      <c r="AY305" s="1">
        <f t="shared" si="645"/>
        <v>320</v>
      </c>
      <c r="AZ305" s="1">
        <f t="shared" si="646"/>
        <v>0</v>
      </c>
      <c r="BA305" s="1">
        <f t="shared" si="647"/>
        <v>0</v>
      </c>
      <c r="BB305" s="1">
        <f t="shared" si="648"/>
        <v>0</v>
      </c>
      <c r="BC305" s="1">
        <f t="shared" si="649"/>
        <v>0</v>
      </c>
      <c r="BD305" s="1">
        <f t="shared" si="650"/>
        <v>0</v>
      </c>
      <c r="BE305" s="1">
        <f t="shared" si="651"/>
        <v>0</v>
      </c>
      <c r="BG305" s="1">
        <f t="shared" si="654"/>
        <v>0</v>
      </c>
      <c r="BH305" s="1">
        <f t="shared" si="654"/>
        <v>0</v>
      </c>
      <c r="BI305" s="1">
        <f t="shared" si="633"/>
        <v>0</v>
      </c>
      <c r="BJ305" s="1">
        <f t="shared" si="634"/>
        <v>3200</v>
      </c>
      <c r="BK305" s="1">
        <f t="shared" si="635"/>
        <v>0</v>
      </c>
      <c r="BL305" s="1">
        <f t="shared" si="636"/>
        <v>0</v>
      </c>
      <c r="BM305" s="1">
        <f t="shared" si="637"/>
        <v>0</v>
      </c>
      <c r="BN305" s="1">
        <f t="shared" si="638"/>
        <v>0</v>
      </c>
      <c r="BO305" s="1">
        <f t="shared" si="639"/>
        <v>0</v>
      </c>
      <c r="BP305" s="1">
        <f t="shared" si="640"/>
        <v>0</v>
      </c>
      <c r="BQ305" s="1">
        <f t="shared" si="641"/>
        <v>3200</v>
      </c>
    </row>
    <row r="306" spans="2:69" s="10" customFormat="1" ht="15" customHeight="1" x14ac:dyDescent="0.25">
      <c r="B306" s="2"/>
      <c r="C306" t="s">
        <v>133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>
        <v>46</v>
      </c>
      <c r="S306" s="1"/>
      <c r="T306" s="1">
        <v>30</v>
      </c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17"/>
      <c r="AI306" s="1"/>
      <c r="AJ306" s="1"/>
      <c r="AK306" s="1"/>
      <c r="AL306" s="117"/>
      <c r="AM306" s="1"/>
      <c r="AN306" s="1"/>
      <c r="AO306" s="1"/>
      <c r="AP306" s="1"/>
      <c r="AQ306" s="1"/>
      <c r="AR306" s="3">
        <f t="shared" si="653"/>
        <v>76</v>
      </c>
      <c r="AS306" s="11"/>
      <c r="AT306" s="1">
        <f>+AR306-[2]PassVol!$AN306</f>
        <v>76</v>
      </c>
      <c r="AU306" s="11"/>
      <c r="AV306" s="1">
        <f t="shared" si="642"/>
        <v>0</v>
      </c>
      <c r="AW306" s="1">
        <f t="shared" si="643"/>
        <v>0</v>
      </c>
      <c r="AX306" s="1">
        <f t="shared" si="644"/>
        <v>0</v>
      </c>
      <c r="AY306" s="1">
        <f t="shared" si="645"/>
        <v>76</v>
      </c>
      <c r="AZ306" s="1">
        <f t="shared" si="646"/>
        <v>0</v>
      </c>
      <c r="BA306" s="1">
        <f t="shared" si="647"/>
        <v>0</v>
      </c>
      <c r="BB306" s="1">
        <f t="shared" si="648"/>
        <v>0</v>
      </c>
      <c r="BC306" s="1">
        <f t="shared" si="649"/>
        <v>0</v>
      </c>
      <c r="BD306" s="1">
        <f t="shared" si="650"/>
        <v>0</v>
      </c>
      <c r="BE306" s="1">
        <f t="shared" si="651"/>
        <v>0</v>
      </c>
      <c r="BG306" s="1">
        <f t="shared" si="654"/>
        <v>0</v>
      </c>
      <c r="BH306" s="1">
        <f t="shared" si="654"/>
        <v>0</v>
      </c>
      <c r="BI306" s="1">
        <f t="shared" si="633"/>
        <v>0</v>
      </c>
      <c r="BJ306" s="1">
        <f t="shared" si="634"/>
        <v>760</v>
      </c>
      <c r="BK306" s="1">
        <f t="shared" si="635"/>
        <v>0</v>
      </c>
      <c r="BL306" s="1">
        <f t="shared" si="636"/>
        <v>0</v>
      </c>
      <c r="BM306" s="1">
        <f t="shared" si="637"/>
        <v>0</v>
      </c>
      <c r="BN306" s="1">
        <f t="shared" si="638"/>
        <v>0</v>
      </c>
      <c r="BO306" s="1">
        <f t="shared" si="639"/>
        <v>0</v>
      </c>
      <c r="BP306" s="1">
        <f t="shared" si="640"/>
        <v>0</v>
      </c>
      <c r="BQ306" s="1">
        <f t="shared" si="641"/>
        <v>760</v>
      </c>
    </row>
    <row r="307" spans="2:69" s="10" customFormat="1" ht="15" customHeight="1" x14ac:dyDescent="0.25">
      <c r="B307" s="2"/>
      <c r="C307" t="s">
        <v>41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>
        <v>602</v>
      </c>
      <c r="S307" s="1">
        <v>16</v>
      </c>
      <c r="T307" s="1">
        <v>174</v>
      </c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17"/>
      <c r="AI307" s="1"/>
      <c r="AJ307" s="1"/>
      <c r="AK307" s="1"/>
      <c r="AL307" s="117"/>
      <c r="AM307" s="1"/>
      <c r="AN307" s="1"/>
      <c r="AO307" s="1"/>
      <c r="AP307" s="1"/>
      <c r="AQ307" s="1"/>
      <c r="AR307" s="3">
        <f t="shared" si="653"/>
        <v>792</v>
      </c>
      <c r="AS307" s="11"/>
      <c r="AT307" s="1">
        <f>+AR307-[2]PassVol!$AN307</f>
        <v>792</v>
      </c>
      <c r="AU307" s="11"/>
      <c r="AV307" s="1">
        <f t="shared" si="642"/>
        <v>0</v>
      </c>
      <c r="AW307" s="1">
        <f t="shared" si="643"/>
        <v>0</v>
      </c>
      <c r="AX307" s="1">
        <f t="shared" si="644"/>
        <v>0</v>
      </c>
      <c r="AY307" s="1">
        <f t="shared" si="645"/>
        <v>792</v>
      </c>
      <c r="AZ307" s="1">
        <f t="shared" si="646"/>
        <v>0</v>
      </c>
      <c r="BA307" s="1">
        <f t="shared" si="647"/>
        <v>0</v>
      </c>
      <c r="BB307" s="1">
        <f t="shared" si="648"/>
        <v>0</v>
      </c>
      <c r="BC307" s="1">
        <f t="shared" si="649"/>
        <v>0</v>
      </c>
      <c r="BD307" s="1">
        <f t="shared" si="650"/>
        <v>0</v>
      </c>
      <c r="BE307" s="1">
        <f t="shared" si="651"/>
        <v>0</v>
      </c>
      <c r="BG307" s="1">
        <f t="shared" si="654"/>
        <v>0</v>
      </c>
      <c r="BH307" s="1">
        <f t="shared" si="654"/>
        <v>0</v>
      </c>
      <c r="BI307" s="1">
        <f t="shared" si="633"/>
        <v>0</v>
      </c>
      <c r="BJ307" s="1">
        <f t="shared" si="634"/>
        <v>7920</v>
      </c>
      <c r="BK307" s="1">
        <f t="shared" si="635"/>
        <v>0</v>
      </c>
      <c r="BL307" s="1">
        <f t="shared" si="636"/>
        <v>0</v>
      </c>
      <c r="BM307" s="1">
        <f t="shared" si="637"/>
        <v>0</v>
      </c>
      <c r="BN307" s="1">
        <f t="shared" si="638"/>
        <v>0</v>
      </c>
      <c r="BO307" s="1">
        <f t="shared" si="639"/>
        <v>0</v>
      </c>
      <c r="BP307" s="1">
        <f t="shared" si="640"/>
        <v>0</v>
      </c>
      <c r="BQ307" s="1">
        <f t="shared" si="641"/>
        <v>7920</v>
      </c>
    </row>
    <row r="308" spans="2:69" s="10" customFormat="1" ht="15" customHeight="1" x14ac:dyDescent="0.25">
      <c r="B308" s="2"/>
      <c r="C308" t="s">
        <v>193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17"/>
      <c r="AI308" s="1"/>
      <c r="AJ308" s="1"/>
      <c r="AK308" s="1"/>
      <c r="AL308" s="117"/>
      <c r="AM308" s="1"/>
      <c r="AN308" s="1"/>
      <c r="AO308" s="1"/>
      <c r="AP308" s="1"/>
      <c r="AQ308" s="1"/>
      <c r="AR308" s="3">
        <f t="shared" si="653"/>
        <v>0</v>
      </c>
      <c r="AS308" s="11"/>
      <c r="AT308" s="1">
        <f>+AR308-[2]PassVol!$AN308</f>
        <v>0</v>
      </c>
      <c r="AU308" s="11"/>
      <c r="AV308" s="1">
        <f t="shared" si="642"/>
        <v>0</v>
      </c>
      <c r="AW308" s="1">
        <f t="shared" si="643"/>
        <v>0</v>
      </c>
      <c r="AX308" s="1">
        <f t="shared" si="644"/>
        <v>0</v>
      </c>
      <c r="AY308" s="1">
        <f t="shared" si="645"/>
        <v>0</v>
      </c>
      <c r="AZ308" s="1">
        <f t="shared" si="646"/>
        <v>0</v>
      </c>
      <c r="BA308" s="1">
        <f t="shared" si="647"/>
        <v>0</v>
      </c>
      <c r="BB308" s="1">
        <f t="shared" si="648"/>
        <v>0</v>
      </c>
      <c r="BC308" s="1">
        <f t="shared" si="649"/>
        <v>0</v>
      </c>
      <c r="BD308" s="1">
        <f t="shared" si="650"/>
        <v>0</v>
      </c>
      <c r="BE308" s="1">
        <f t="shared" si="651"/>
        <v>0</v>
      </c>
      <c r="BG308" s="1">
        <f t="shared" si="654"/>
        <v>0</v>
      </c>
      <c r="BH308" s="1">
        <f t="shared" si="654"/>
        <v>0</v>
      </c>
      <c r="BI308" s="1">
        <f t="shared" si="633"/>
        <v>0</v>
      </c>
      <c r="BJ308" s="1">
        <f t="shared" si="634"/>
        <v>0</v>
      </c>
      <c r="BK308" s="1">
        <f t="shared" si="635"/>
        <v>0</v>
      </c>
      <c r="BL308" s="1">
        <f t="shared" si="636"/>
        <v>0</v>
      </c>
      <c r="BM308" s="1">
        <f t="shared" si="637"/>
        <v>0</v>
      </c>
      <c r="BN308" s="1">
        <f t="shared" si="638"/>
        <v>0</v>
      </c>
      <c r="BO308" s="1">
        <f t="shared" si="639"/>
        <v>0</v>
      </c>
      <c r="BP308" s="1">
        <f t="shared" si="640"/>
        <v>0</v>
      </c>
      <c r="BQ308" s="1">
        <f t="shared" si="641"/>
        <v>0</v>
      </c>
    </row>
    <row r="309" spans="2:69" s="10" customFormat="1" ht="15" customHeight="1" x14ac:dyDescent="0.25">
      <c r="B309" s="2"/>
      <c r="C309" t="s">
        <v>297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17"/>
      <c r="AI309" s="1"/>
      <c r="AJ309" s="1"/>
      <c r="AK309" s="1"/>
      <c r="AL309" s="117"/>
      <c r="AM309" s="1"/>
      <c r="AN309" s="1"/>
      <c r="AO309" s="1"/>
      <c r="AP309" s="1"/>
      <c r="AQ309" s="1"/>
      <c r="AR309" s="3">
        <f t="shared" si="653"/>
        <v>0</v>
      </c>
      <c r="AS309" s="11"/>
      <c r="AT309" s="1">
        <f>+AR309-[2]PassVol!$AN309</f>
        <v>0</v>
      </c>
      <c r="AU309" s="11"/>
      <c r="AV309" s="1">
        <f t="shared" si="642"/>
        <v>0</v>
      </c>
      <c r="AW309" s="1">
        <f t="shared" si="643"/>
        <v>0</v>
      </c>
      <c r="AX309" s="1">
        <f t="shared" si="644"/>
        <v>0</v>
      </c>
      <c r="AY309" s="1">
        <f t="shared" si="645"/>
        <v>0</v>
      </c>
      <c r="AZ309" s="1">
        <f t="shared" si="646"/>
        <v>0</v>
      </c>
      <c r="BA309" s="1">
        <f t="shared" si="647"/>
        <v>0</v>
      </c>
      <c r="BB309" s="1">
        <f t="shared" si="648"/>
        <v>0</v>
      </c>
      <c r="BC309" s="1">
        <f t="shared" si="649"/>
        <v>0</v>
      </c>
      <c r="BD309" s="1">
        <f t="shared" si="650"/>
        <v>0</v>
      </c>
      <c r="BE309" s="1">
        <f t="shared" si="651"/>
        <v>0</v>
      </c>
      <c r="BG309" s="1">
        <f t="shared" si="654"/>
        <v>0</v>
      </c>
      <c r="BH309" s="1">
        <f t="shared" si="654"/>
        <v>0</v>
      </c>
      <c r="BI309" s="1">
        <f t="shared" si="633"/>
        <v>0</v>
      </c>
      <c r="BJ309" s="1">
        <f t="shared" si="634"/>
        <v>0</v>
      </c>
      <c r="BK309" s="1">
        <f t="shared" si="635"/>
        <v>0</v>
      </c>
      <c r="BL309" s="1">
        <f t="shared" si="636"/>
        <v>0</v>
      </c>
      <c r="BM309" s="1">
        <f t="shared" si="637"/>
        <v>0</v>
      </c>
      <c r="BN309" s="1">
        <f t="shared" si="638"/>
        <v>0</v>
      </c>
      <c r="BO309" s="1">
        <f t="shared" si="639"/>
        <v>0</v>
      </c>
      <c r="BP309" s="1">
        <f t="shared" si="640"/>
        <v>0</v>
      </c>
      <c r="BQ309" s="1">
        <f t="shared" si="641"/>
        <v>0</v>
      </c>
    </row>
    <row r="310" spans="2:69" s="10" customFormat="1" ht="15" customHeight="1" x14ac:dyDescent="0.25">
      <c r="B310" s="2"/>
      <c r="C310" t="s">
        <v>296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>
        <v>48</v>
      </c>
      <c r="S310" s="1"/>
      <c r="T310" s="1">
        <v>16</v>
      </c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17"/>
      <c r="AI310" s="1"/>
      <c r="AJ310" s="1"/>
      <c r="AK310" s="1"/>
      <c r="AL310" s="117"/>
      <c r="AM310" s="1"/>
      <c r="AN310" s="1"/>
      <c r="AO310" s="1"/>
      <c r="AP310" s="1"/>
      <c r="AQ310" s="1"/>
      <c r="AR310" s="3">
        <f t="shared" si="653"/>
        <v>64</v>
      </c>
      <c r="AS310" s="11"/>
      <c r="AT310" s="1">
        <f>+AR310-[2]PassVol!$AN310</f>
        <v>64</v>
      </c>
      <c r="AU310" s="11"/>
      <c r="AV310" s="1">
        <f t="shared" si="642"/>
        <v>0</v>
      </c>
      <c r="AW310" s="1">
        <f t="shared" si="643"/>
        <v>0</v>
      </c>
      <c r="AX310" s="1">
        <f t="shared" si="644"/>
        <v>0</v>
      </c>
      <c r="AY310" s="1">
        <f t="shared" si="645"/>
        <v>64</v>
      </c>
      <c r="AZ310" s="1">
        <f t="shared" si="646"/>
        <v>0</v>
      </c>
      <c r="BA310" s="1">
        <f t="shared" si="647"/>
        <v>0</v>
      </c>
      <c r="BB310" s="1">
        <f t="shared" si="648"/>
        <v>0</v>
      </c>
      <c r="BC310" s="1">
        <f t="shared" si="649"/>
        <v>0</v>
      </c>
      <c r="BD310" s="1">
        <f t="shared" si="650"/>
        <v>0</v>
      </c>
      <c r="BE310" s="1">
        <f t="shared" si="651"/>
        <v>0</v>
      </c>
      <c r="BG310" s="1">
        <f t="shared" si="654"/>
        <v>0</v>
      </c>
      <c r="BH310" s="1">
        <f t="shared" si="654"/>
        <v>0</v>
      </c>
      <c r="BI310" s="1">
        <f t="shared" si="633"/>
        <v>0</v>
      </c>
      <c r="BJ310" s="1">
        <f t="shared" si="634"/>
        <v>640</v>
      </c>
      <c r="BK310" s="1">
        <f t="shared" si="635"/>
        <v>0</v>
      </c>
      <c r="BL310" s="1">
        <f t="shared" si="636"/>
        <v>0</v>
      </c>
      <c r="BM310" s="1">
        <f t="shared" si="637"/>
        <v>0</v>
      </c>
      <c r="BN310" s="1">
        <f t="shared" si="638"/>
        <v>0</v>
      </c>
      <c r="BO310" s="1">
        <f t="shared" si="639"/>
        <v>0</v>
      </c>
      <c r="BP310" s="1">
        <f t="shared" si="640"/>
        <v>0</v>
      </c>
      <c r="BQ310" s="1">
        <f t="shared" si="641"/>
        <v>640</v>
      </c>
    </row>
    <row r="311" spans="2:69" s="10" customFormat="1" ht="15" customHeight="1" x14ac:dyDescent="0.25">
      <c r="B311" s="2"/>
      <c r="C311" t="s">
        <v>44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>
        <f>4865-3735-16</f>
        <v>1114</v>
      </c>
      <c r="S311" s="1">
        <f>34-16</f>
        <v>18</v>
      </c>
      <c r="T311" s="1">
        <f>2852-2147</f>
        <v>705</v>
      </c>
      <c r="U311" s="1">
        <v>11</v>
      </c>
      <c r="V311" s="1">
        <v>0</v>
      </c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17"/>
      <c r="AI311" s="1"/>
      <c r="AJ311" s="1"/>
      <c r="AK311" s="1"/>
      <c r="AL311" s="117"/>
      <c r="AM311" s="1"/>
      <c r="AN311" s="1"/>
      <c r="AO311" s="1"/>
      <c r="AP311" s="1"/>
      <c r="AQ311" s="1"/>
      <c r="AR311" s="3">
        <f t="shared" si="653"/>
        <v>1848</v>
      </c>
      <c r="AS311" s="11"/>
      <c r="AT311" s="1">
        <f>+AR311-[2]PassVol!$AN311</f>
        <v>1848</v>
      </c>
      <c r="AU311" s="11"/>
      <c r="AV311" s="1">
        <f t="shared" si="642"/>
        <v>0</v>
      </c>
      <c r="AW311" s="1">
        <f t="shared" si="643"/>
        <v>0</v>
      </c>
      <c r="AX311" s="1">
        <f t="shared" si="644"/>
        <v>0</v>
      </c>
      <c r="AY311" s="1">
        <f t="shared" si="645"/>
        <v>1837</v>
      </c>
      <c r="AZ311" s="1">
        <f t="shared" si="646"/>
        <v>11</v>
      </c>
      <c r="BA311" s="1">
        <f t="shared" si="647"/>
        <v>0</v>
      </c>
      <c r="BB311" s="1">
        <f t="shared" si="648"/>
        <v>0</v>
      </c>
      <c r="BC311" s="1">
        <f t="shared" si="649"/>
        <v>0</v>
      </c>
      <c r="BD311" s="1">
        <f t="shared" si="650"/>
        <v>0</v>
      </c>
      <c r="BE311" s="1">
        <f t="shared" si="651"/>
        <v>0</v>
      </c>
      <c r="BG311" s="1">
        <f t="shared" si="654"/>
        <v>0</v>
      </c>
      <c r="BH311" s="1">
        <f t="shared" si="654"/>
        <v>0</v>
      </c>
      <c r="BI311" s="1">
        <f t="shared" si="633"/>
        <v>0</v>
      </c>
      <c r="BJ311" s="1">
        <f t="shared" si="634"/>
        <v>18370</v>
      </c>
      <c r="BK311" s="1">
        <f t="shared" si="635"/>
        <v>110</v>
      </c>
      <c r="BL311" s="1">
        <f t="shared" si="636"/>
        <v>0</v>
      </c>
      <c r="BM311" s="1">
        <f t="shared" si="637"/>
        <v>0</v>
      </c>
      <c r="BN311" s="1">
        <f t="shared" si="638"/>
        <v>0</v>
      </c>
      <c r="BO311" s="1">
        <f t="shared" si="639"/>
        <v>0</v>
      </c>
      <c r="BP311" s="1">
        <f t="shared" si="640"/>
        <v>0</v>
      </c>
      <c r="BQ311" s="1">
        <f t="shared" si="641"/>
        <v>18480</v>
      </c>
    </row>
    <row r="312" spans="2:69" s="10" customFormat="1" ht="15" customHeight="1" x14ac:dyDescent="0.25">
      <c r="B312" s="2" t="s">
        <v>269</v>
      </c>
      <c r="C312" s="2"/>
      <c r="D312" s="3">
        <f t="shared" ref="D312:AQ312" si="655">SUM(D293:D311)</f>
        <v>0</v>
      </c>
      <c r="E312" s="3">
        <f t="shared" si="655"/>
        <v>0</v>
      </c>
      <c r="F312" s="3">
        <f t="shared" si="655"/>
        <v>0</v>
      </c>
      <c r="G312" s="3">
        <f t="shared" si="655"/>
        <v>0</v>
      </c>
      <c r="H312" s="3">
        <f t="shared" si="655"/>
        <v>0</v>
      </c>
      <c r="I312" s="3">
        <f t="shared" si="655"/>
        <v>0</v>
      </c>
      <c r="J312" s="3">
        <f t="shared" si="655"/>
        <v>0</v>
      </c>
      <c r="K312" s="3">
        <f t="shared" si="655"/>
        <v>0</v>
      </c>
      <c r="L312" s="3">
        <f t="shared" si="655"/>
        <v>0</v>
      </c>
      <c r="M312" s="3">
        <f t="shared" si="655"/>
        <v>0</v>
      </c>
      <c r="N312" s="3">
        <f t="shared" si="655"/>
        <v>0</v>
      </c>
      <c r="O312" s="3">
        <f t="shared" si="655"/>
        <v>0</v>
      </c>
      <c r="P312" s="3">
        <f t="shared" si="655"/>
        <v>0</v>
      </c>
      <c r="Q312" s="3">
        <f t="shared" si="655"/>
        <v>0</v>
      </c>
      <c r="R312" s="3">
        <f t="shared" si="655"/>
        <v>4849</v>
      </c>
      <c r="S312" s="3">
        <f t="shared" si="655"/>
        <v>34</v>
      </c>
      <c r="T312" s="3">
        <f t="shared" si="655"/>
        <v>2852</v>
      </c>
      <c r="U312" s="3">
        <f t="shared" si="655"/>
        <v>11</v>
      </c>
      <c r="V312" s="3">
        <f t="shared" si="655"/>
        <v>252</v>
      </c>
      <c r="W312" s="3">
        <f t="shared" si="655"/>
        <v>0</v>
      </c>
      <c r="X312" s="3">
        <f t="shared" si="655"/>
        <v>0</v>
      </c>
      <c r="Y312" s="3">
        <f t="shared" si="655"/>
        <v>0</v>
      </c>
      <c r="Z312" s="3">
        <f t="shared" si="655"/>
        <v>0</v>
      </c>
      <c r="AA312" s="3">
        <f t="shared" si="655"/>
        <v>0</v>
      </c>
      <c r="AB312" s="3">
        <f t="shared" si="655"/>
        <v>0</v>
      </c>
      <c r="AC312" s="3">
        <f t="shared" si="655"/>
        <v>0</v>
      </c>
      <c r="AD312" s="3">
        <f t="shared" si="655"/>
        <v>0</v>
      </c>
      <c r="AE312" s="3">
        <f t="shared" si="655"/>
        <v>0</v>
      </c>
      <c r="AF312" s="3">
        <f t="shared" si="655"/>
        <v>0</v>
      </c>
      <c r="AG312" s="3">
        <f t="shared" si="655"/>
        <v>0</v>
      </c>
      <c r="AH312" s="150">
        <f t="shared" si="655"/>
        <v>0</v>
      </c>
      <c r="AI312" s="3">
        <f t="shared" si="655"/>
        <v>0</v>
      </c>
      <c r="AJ312" s="3">
        <f t="shared" si="655"/>
        <v>0</v>
      </c>
      <c r="AK312" s="3">
        <f t="shared" si="655"/>
        <v>0</v>
      </c>
      <c r="AL312" s="150">
        <f t="shared" si="655"/>
        <v>0</v>
      </c>
      <c r="AM312" s="3">
        <f t="shared" si="655"/>
        <v>0</v>
      </c>
      <c r="AN312" s="3">
        <f t="shared" si="655"/>
        <v>0</v>
      </c>
      <c r="AO312" s="3">
        <f t="shared" si="655"/>
        <v>0</v>
      </c>
      <c r="AP312" s="3">
        <f t="shared" si="655"/>
        <v>0</v>
      </c>
      <c r="AQ312" s="3">
        <f t="shared" si="655"/>
        <v>0</v>
      </c>
      <c r="AR312" s="3">
        <f t="shared" ref="AR312" si="656">SUM(AR293:AR311)</f>
        <v>7998</v>
      </c>
      <c r="AS312" s="11"/>
      <c r="AT312" s="1">
        <f>+AR312-[2]PassVol!$AN312</f>
        <v>7998</v>
      </c>
      <c r="AU312" s="11"/>
      <c r="AV312" s="3">
        <f>SUM(AV293:AV311)</f>
        <v>0</v>
      </c>
      <c r="AW312" s="3">
        <f>SUM(AW293:AW311)</f>
        <v>0</v>
      </c>
      <c r="AX312" s="3">
        <f t="shared" ref="AX312:BE312" si="657">SUM(AX293:AX311)</f>
        <v>0</v>
      </c>
      <c r="AY312" s="3">
        <f t="shared" si="657"/>
        <v>7735</v>
      </c>
      <c r="AZ312" s="3">
        <f t="shared" si="657"/>
        <v>263</v>
      </c>
      <c r="BA312" s="3">
        <f t="shared" si="657"/>
        <v>0</v>
      </c>
      <c r="BB312" s="3">
        <f t="shared" si="657"/>
        <v>0</v>
      </c>
      <c r="BC312" s="3">
        <f t="shared" si="657"/>
        <v>0</v>
      </c>
      <c r="BD312" s="3">
        <f t="shared" si="657"/>
        <v>0</v>
      </c>
      <c r="BE312" s="3">
        <f t="shared" si="657"/>
        <v>0</v>
      </c>
      <c r="BG312" s="3">
        <f t="shared" ref="BG312" si="658">SUM(BG293:BG311)</f>
        <v>0</v>
      </c>
      <c r="BH312" s="3">
        <f t="shared" ref="BH312:BQ312" si="659">SUM(BH293:BH311)</f>
        <v>0</v>
      </c>
      <c r="BI312" s="3">
        <f t="shared" si="659"/>
        <v>0</v>
      </c>
      <c r="BJ312" s="3">
        <f t="shared" si="659"/>
        <v>77350</v>
      </c>
      <c r="BK312" s="3">
        <f t="shared" si="659"/>
        <v>2630</v>
      </c>
      <c r="BL312" s="3">
        <f t="shared" si="659"/>
        <v>0</v>
      </c>
      <c r="BM312" s="3">
        <f t="shared" si="659"/>
        <v>0</v>
      </c>
      <c r="BN312" s="3">
        <f t="shared" si="659"/>
        <v>0</v>
      </c>
      <c r="BO312" s="3">
        <f t="shared" si="659"/>
        <v>0</v>
      </c>
      <c r="BP312" s="3">
        <f t="shared" si="659"/>
        <v>0</v>
      </c>
      <c r="BQ312" s="3">
        <f t="shared" si="659"/>
        <v>79980</v>
      </c>
    </row>
    <row r="313" spans="2:69" s="10" customFormat="1" ht="15" customHeight="1" x14ac:dyDescent="0.25">
      <c r="B313" s="2"/>
      <c r="C313" s="38" t="s">
        <v>97</v>
      </c>
      <c r="D313" s="11">
        <f>+D312</f>
        <v>0</v>
      </c>
      <c r="E313" s="11">
        <f>+D313+E312</f>
        <v>0</v>
      </c>
      <c r="F313" s="11">
        <f t="shared" ref="F313:AQ313" si="660">+E313+F312</f>
        <v>0</v>
      </c>
      <c r="G313" s="11">
        <f t="shared" si="660"/>
        <v>0</v>
      </c>
      <c r="H313" s="11">
        <f t="shared" si="660"/>
        <v>0</v>
      </c>
      <c r="I313" s="11">
        <f t="shared" si="660"/>
        <v>0</v>
      </c>
      <c r="J313" s="11">
        <f t="shared" si="660"/>
        <v>0</v>
      </c>
      <c r="K313" s="11">
        <f t="shared" si="660"/>
        <v>0</v>
      </c>
      <c r="L313" s="11">
        <f t="shared" si="660"/>
        <v>0</v>
      </c>
      <c r="M313" s="11">
        <f t="shared" si="660"/>
        <v>0</v>
      </c>
      <c r="N313" s="11">
        <f t="shared" si="660"/>
        <v>0</v>
      </c>
      <c r="O313" s="11">
        <f t="shared" si="660"/>
        <v>0</v>
      </c>
      <c r="P313" s="11">
        <f t="shared" si="660"/>
        <v>0</v>
      </c>
      <c r="Q313" s="11">
        <f t="shared" si="660"/>
        <v>0</v>
      </c>
      <c r="R313" s="11">
        <f t="shared" si="660"/>
        <v>4849</v>
      </c>
      <c r="S313" s="11">
        <f t="shared" si="660"/>
        <v>4883</v>
      </c>
      <c r="T313" s="11">
        <f t="shared" si="660"/>
        <v>7735</v>
      </c>
      <c r="U313" s="11">
        <f t="shared" si="660"/>
        <v>7746</v>
      </c>
      <c r="V313" s="11">
        <f t="shared" si="660"/>
        <v>7998</v>
      </c>
      <c r="W313" s="11">
        <f t="shared" si="660"/>
        <v>7998</v>
      </c>
      <c r="X313" s="11">
        <f t="shared" si="660"/>
        <v>7998</v>
      </c>
      <c r="Y313" s="11">
        <f t="shared" si="660"/>
        <v>7998</v>
      </c>
      <c r="Z313" s="11">
        <f t="shared" si="660"/>
        <v>7998</v>
      </c>
      <c r="AA313" s="11">
        <f t="shared" si="660"/>
        <v>7998</v>
      </c>
      <c r="AB313" s="11">
        <f t="shared" si="660"/>
        <v>7998</v>
      </c>
      <c r="AC313" s="11">
        <f t="shared" si="660"/>
        <v>7998</v>
      </c>
      <c r="AD313" s="11">
        <f t="shared" si="660"/>
        <v>7998</v>
      </c>
      <c r="AE313" s="11">
        <f t="shared" si="660"/>
        <v>7998</v>
      </c>
      <c r="AF313" s="11">
        <f t="shared" si="660"/>
        <v>7998</v>
      </c>
      <c r="AG313" s="11">
        <f t="shared" si="660"/>
        <v>7998</v>
      </c>
      <c r="AH313" s="147">
        <f t="shared" si="660"/>
        <v>7998</v>
      </c>
      <c r="AI313" s="11">
        <f t="shared" si="660"/>
        <v>7998</v>
      </c>
      <c r="AJ313" s="11">
        <f t="shared" si="660"/>
        <v>7998</v>
      </c>
      <c r="AK313" s="11">
        <f t="shared" si="660"/>
        <v>7998</v>
      </c>
      <c r="AL313" s="147">
        <f t="shared" si="660"/>
        <v>7998</v>
      </c>
      <c r="AM313" s="11">
        <f t="shared" si="660"/>
        <v>7998</v>
      </c>
      <c r="AN313" s="11">
        <f t="shared" si="660"/>
        <v>7998</v>
      </c>
      <c r="AO313" s="11">
        <f t="shared" si="660"/>
        <v>7998</v>
      </c>
      <c r="AP313" s="11">
        <f t="shared" si="660"/>
        <v>7998</v>
      </c>
      <c r="AQ313" s="11">
        <f t="shared" si="660"/>
        <v>7998</v>
      </c>
      <c r="AR313" s="40"/>
      <c r="AS313" s="11"/>
      <c r="AT313" s="11"/>
      <c r="AU313" s="11"/>
      <c r="AV313" s="11">
        <f>+AV312</f>
        <v>0</v>
      </c>
      <c r="AW313" s="1">
        <f>+AV313+AW312</f>
        <v>0</v>
      </c>
      <c r="AX313" s="1">
        <f t="shared" ref="AX313" si="661">+AW313+AX312</f>
        <v>0</v>
      </c>
      <c r="AY313" s="1">
        <f t="shared" ref="AY313" si="662">+AX313+AY312</f>
        <v>7735</v>
      </c>
      <c r="AZ313" s="1">
        <f t="shared" ref="AZ313" si="663">+AY313+AZ312</f>
        <v>7998</v>
      </c>
      <c r="BA313" s="1">
        <f t="shared" ref="BA313" si="664">+AZ313+BA312</f>
        <v>7998</v>
      </c>
      <c r="BB313" s="1">
        <f t="shared" ref="BB313" si="665">+BA313+BB312</f>
        <v>7998</v>
      </c>
      <c r="BC313" s="1">
        <f t="shared" ref="BC313" si="666">+BB313+BC312</f>
        <v>7998</v>
      </c>
      <c r="BD313" s="1">
        <f t="shared" ref="BD313" si="667">+BC313+BD312</f>
        <v>7998</v>
      </c>
      <c r="BE313" s="1">
        <f t="shared" ref="BE313" si="668">+BD313+BE312</f>
        <v>7998</v>
      </c>
    </row>
    <row r="314" spans="2:69" s="10" customFormat="1" ht="15" customHeight="1" x14ac:dyDescent="0.25">
      <c r="B314" s="2"/>
      <c r="C314" s="38" t="s">
        <v>220</v>
      </c>
      <c r="D314" s="11">
        <f t="shared" ref="D314" si="669">+D312*10</f>
        <v>0</v>
      </c>
      <c r="E314" s="11">
        <f t="shared" ref="E314:AQ314" si="670">+E312*10</f>
        <v>0</v>
      </c>
      <c r="F314" s="11">
        <f t="shared" si="670"/>
        <v>0</v>
      </c>
      <c r="G314" s="11">
        <f t="shared" si="670"/>
        <v>0</v>
      </c>
      <c r="H314" s="11">
        <f t="shared" si="670"/>
        <v>0</v>
      </c>
      <c r="I314" s="11">
        <f t="shared" si="670"/>
        <v>0</v>
      </c>
      <c r="J314" s="11">
        <f t="shared" si="670"/>
        <v>0</v>
      </c>
      <c r="K314" s="11">
        <f t="shared" si="670"/>
        <v>0</v>
      </c>
      <c r="L314" s="11">
        <f t="shared" si="670"/>
        <v>0</v>
      </c>
      <c r="M314" s="11">
        <f t="shared" si="670"/>
        <v>0</v>
      </c>
      <c r="N314" s="11">
        <f t="shared" si="670"/>
        <v>0</v>
      </c>
      <c r="O314" s="11">
        <f t="shared" si="670"/>
        <v>0</v>
      </c>
      <c r="P314" s="11">
        <f t="shared" si="670"/>
        <v>0</v>
      </c>
      <c r="Q314" s="11">
        <f t="shared" si="670"/>
        <v>0</v>
      </c>
      <c r="R314" s="11">
        <f t="shared" si="670"/>
        <v>48490</v>
      </c>
      <c r="S314" s="11">
        <f t="shared" si="670"/>
        <v>340</v>
      </c>
      <c r="T314" s="11">
        <f t="shared" si="670"/>
        <v>28520</v>
      </c>
      <c r="U314" s="11">
        <f t="shared" si="670"/>
        <v>110</v>
      </c>
      <c r="V314" s="11">
        <f t="shared" si="670"/>
        <v>2520</v>
      </c>
      <c r="W314" s="11">
        <f t="shared" si="670"/>
        <v>0</v>
      </c>
      <c r="X314" s="11">
        <f t="shared" si="670"/>
        <v>0</v>
      </c>
      <c r="Y314" s="11">
        <f t="shared" si="670"/>
        <v>0</v>
      </c>
      <c r="Z314" s="11">
        <f t="shared" si="670"/>
        <v>0</v>
      </c>
      <c r="AA314" s="11">
        <f t="shared" si="670"/>
        <v>0</v>
      </c>
      <c r="AB314" s="11">
        <f t="shared" si="670"/>
        <v>0</v>
      </c>
      <c r="AC314" s="11">
        <f t="shared" si="670"/>
        <v>0</v>
      </c>
      <c r="AD314" s="11">
        <f t="shared" si="670"/>
        <v>0</v>
      </c>
      <c r="AE314" s="11">
        <f t="shared" si="670"/>
        <v>0</v>
      </c>
      <c r="AF314" s="11">
        <f t="shared" si="670"/>
        <v>0</v>
      </c>
      <c r="AG314" s="11">
        <f t="shared" si="670"/>
        <v>0</v>
      </c>
      <c r="AH314" s="147">
        <f t="shared" si="670"/>
        <v>0</v>
      </c>
      <c r="AI314" s="11">
        <f t="shared" si="670"/>
        <v>0</v>
      </c>
      <c r="AJ314" s="11">
        <f t="shared" si="670"/>
        <v>0</v>
      </c>
      <c r="AK314" s="11">
        <f t="shared" si="670"/>
        <v>0</v>
      </c>
      <c r="AL314" s="147">
        <f t="shared" si="670"/>
        <v>0</v>
      </c>
      <c r="AM314" s="11">
        <f t="shared" si="670"/>
        <v>0</v>
      </c>
      <c r="AN314" s="11">
        <f t="shared" si="670"/>
        <v>0</v>
      </c>
      <c r="AO314" s="11">
        <f t="shared" si="670"/>
        <v>0</v>
      </c>
      <c r="AP314" s="11">
        <f t="shared" si="670"/>
        <v>0</v>
      </c>
      <c r="AQ314" s="11">
        <f t="shared" si="670"/>
        <v>0</v>
      </c>
      <c r="AR314" s="3">
        <f>SUM(D314:AQ314)</f>
        <v>79980</v>
      </c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</row>
    <row r="315" spans="2:69" s="10" customFormat="1" ht="15" customHeight="1" x14ac:dyDescent="0.2">
      <c r="C315" s="38" t="s">
        <v>286</v>
      </c>
      <c r="D315" s="11">
        <f>+(D312-D302-D308)/2</f>
        <v>0</v>
      </c>
      <c r="E315" s="11">
        <f t="shared" ref="E315:AQ315" si="671">+(E312-E302-E308)/2</f>
        <v>0</v>
      </c>
      <c r="F315" s="11">
        <f t="shared" si="671"/>
        <v>0</v>
      </c>
      <c r="G315" s="11">
        <f t="shared" si="671"/>
        <v>0</v>
      </c>
      <c r="H315" s="11">
        <f t="shared" si="671"/>
        <v>0</v>
      </c>
      <c r="I315" s="11">
        <f t="shared" si="671"/>
        <v>0</v>
      </c>
      <c r="J315" s="11">
        <f t="shared" si="671"/>
        <v>0</v>
      </c>
      <c r="K315" s="11">
        <f t="shared" si="671"/>
        <v>0</v>
      </c>
      <c r="L315" s="11">
        <f t="shared" si="671"/>
        <v>0</v>
      </c>
      <c r="M315" s="11">
        <f t="shared" si="671"/>
        <v>0</v>
      </c>
      <c r="N315" s="11">
        <f t="shared" si="671"/>
        <v>0</v>
      </c>
      <c r="O315" s="11">
        <f t="shared" si="671"/>
        <v>0</v>
      </c>
      <c r="P315" s="11">
        <f t="shared" si="671"/>
        <v>0</v>
      </c>
      <c r="Q315" s="11">
        <f t="shared" si="671"/>
        <v>0</v>
      </c>
      <c r="R315" s="11">
        <f t="shared" si="671"/>
        <v>2244.5</v>
      </c>
      <c r="S315" s="11">
        <f t="shared" si="671"/>
        <v>17</v>
      </c>
      <c r="T315" s="11">
        <f t="shared" si="671"/>
        <v>1276</v>
      </c>
      <c r="U315" s="11">
        <f t="shared" si="671"/>
        <v>5.5</v>
      </c>
      <c r="V315" s="11">
        <f t="shared" si="671"/>
        <v>0</v>
      </c>
      <c r="W315" s="11">
        <f t="shared" si="671"/>
        <v>0</v>
      </c>
      <c r="X315" s="11">
        <f t="shared" si="671"/>
        <v>0</v>
      </c>
      <c r="Y315" s="11">
        <f t="shared" si="671"/>
        <v>0</v>
      </c>
      <c r="Z315" s="11">
        <f t="shared" si="671"/>
        <v>0</v>
      </c>
      <c r="AA315" s="11">
        <f t="shared" si="671"/>
        <v>0</v>
      </c>
      <c r="AB315" s="11">
        <f t="shared" si="671"/>
        <v>0</v>
      </c>
      <c r="AC315" s="11">
        <f t="shared" si="671"/>
        <v>0</v>
      </c>
      <c r="AD315" s="11">
        <f t="shared" si="671"/>
        <v>0</v>
      </c>
      <c r="AE315" s="11">
        <f t="shared" si="671"/>
        <v>0</v>
      </c>
      <c r="AF315" s="11">
        <f t="shared" si="671"/>
        <v>0</v>
      </c>
      <c r="AG315" s="11">
        <f t="shared" si="671"/>
        <v>0</v>
      </c>
      <c r="AH315" s="147">
        <f t="shared" si="671"/>
        <v>0</v>
      </c>
      <c r="AI315" s="11">
        <f t="shared" si="671"/>
        <v>0</v>
      </c>
      <c r="AJ315" s="11">
        <f t="shared" si="671"/>
        <v>0</v>
      </c>
      <c r="AK315" s="11">
        <f t="shared" si="671"/>
        <v>0</v>
      </c>
      <c r="AL315" s="147">
        <f t="shared" si="671"/>
        <v>0</v>
      </c>
      <c r="AM315" s="11">
        <f t="shared" si="671"/>
        <v>0</v>
      </c>
      <c r="AN315" s="11">
        <f t="shared" si="671"/>
        <v>0</v>
      </c>
      <c r="AO315" s="11">
        <f t="shared" si="671"/>
        <v>0</v>
      </c>
      <c r="AP315" s="11">
        <f t="shared" si="671"/>
        <v>0</v>
      </c>
      <c r="AQ315" s="11">
        <f t="shared" si="671"/>
        <v>0</v>
      </c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</row>
    <row r="316" spans="2:69" s="10" customFormat="1" ht="15" customHeight="1" x14ac:dyDescent="0.25">
      <c r="B316" s="2" t="s">
        <v>322</v>
      </c>
      <c r="C316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47"/>
      <c r="AI316" s="11"/>
      <c r="AJ316" s="11"/>
      <c r="AK316" s="11"/>
      <c r="AL316" s="147"/>
      <c r="AM316" s="11"/>
      <c r="AN316" s="11"/>
      <c r="AO316" s="11"/>
      <c r="AP316" s="11"/>
      <c r="AQ316" s="11"/>
      <c r="AR316" s="3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</row>
    <row r="317" spans="2:69" s="10" customFormat="1" ht="15" customHeight="1" x14ac:dyDescent="0.25">
      <c r="B317" s="2"/>
      <c r="C317" t="s">
        <v>190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17"/>
      <c r="AI317" s="1"/>
      <c r="AJ317" s="1"/>
      <c r="AK317" s="1"/>
      <c r="AL317" s="117"/>
      <c r="AM317" s="1"/>
      <c r="AN317" s="1"/>
      <c r="AO317" s="1"/>
      <c r="AP317" s="1"/>
      <c r="AQ317" s="1"/>
      <c r="AR317" s="3">
        <f>SUM(D317:AQ317)</f>
        <v>0</v>
      </c>
      <c r="AS317" s="11"/>
      <c r="AT317" s="1">
        <f>+AR317-[2]PassVol!$AN317</f>
        <v>0</v>
      </c>
      <c r="AU317" s="11"/>
      <c r="AV317" s="1">
        <f>SUM(D317:G317)</f>
        <v>0</v>
      </c>
      <c r="AW317" s="1">
        <f>SUM(H317:K317)</f>
        <v>0</v>
      </c>
      <c r="AX317" s="1">
        <f>SUM(L317:P317)</f>
        <v>0</v>
      </c>
      <c r="AY317" s="1">
        <f>SUM(Q317:T317)</f>
        <v>0</v>
      </c>
      <c r="AZ317" s="1">
        <f>SUM(U317:X317)</f>
        <v>0</v>
      </c>
      <c r="BA317" s="1">
        <f>SUM(Y317:AC317)</f>
        <v>0</v>
      </c>
      <c r="BB317" s="1">
        <f>SUM(AD317:AG317)</f>
        <v>0</v>
      </c>
      <c r="BC317" s="1">
        <f>SUM(AH317:AK317)</f>
        <v>0</v>
      </c>
      <c r="BD317" s="1">
        <f>SUM(AL317:AP317)</f>
        <v>0</v>
      </c>
      <c r="BE317" s="1">
        <f>+AQ317</f>
        <v>0</v>
      </c>
      <c r="BG317" s="1">
        <f>+AV317*10</f>
        <v>0</v>
      </c>
      <c r="BH317" s="1">
        <f>+AW317*10</f>
        <v>0</v>
      </c>
      <c r="BI317" s="1">
        <f t="shared" ref="BI317:BI335" si="672">+AX317*10</f>
        <v>0</v>
      </c>
      <c r="BJ317" s="1">
        <f t="shared" ref="BJ317:BJ335" si="673">+AY317*10</f>
        <v>0</v>
      </c>
      <c r="BK317" s="1">
        <f t="shared" ref="BK317:BK335" si="674">+AZ317*10</f>
        <v>0</v>
      </c>
      <c r="BL317" s="1">
        <f t="shared" ref="BL317:BL335" si="675">+BA317*10</f>
        <v>0</v>
      </c>
      <c r="BM317" s="1">
        <f t="shared" ref="BM317:BM335" si="676">+BB317*10</f>
        <v>0</v>
      </c>
      <c r="BN317" s="1">
        <f t="shared" ref="BN317:BN335" si="677">+BC317*10</f>
        <v>0</v>
      </c>
      <c r="BO317" s="1">
        <f t="shared" ref="BO317:BO335" si="678">+BD317*10</f>
        <v>0</v>
      </c>
      <c r="BP317" s="1">
        <f t="shared" ref="BP317:BP335" si="679">+BE317*10</f>
        <v>0</v>
      </c>
      <c r="BQ317" s="1">
        <f t="shared" ref="BQ317:BQ335" si="680">SUM(BH317:BP317)</f>
        <v>0</v>
      </c>
    </row>
    <row r="318" spans="2:69" s="10" customFormat="1" ht="15" customHeight="1" x14ac:dyDescent="0.25">
      <c r="B318" s="2"/>
      <c r="C318" t="s">
        <v>424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>
        <v>32</v>
      </c>
      <c r="S318" s="1"/>
      <c r="T318" s="1">
        <v>160</v>
      </c>
      <c r="U318" s="1"/>
      <c r="V318" s="1">
        <v>80</v>
      </c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17"/>
      <c r="AI318" s="1"/>
      <c r="AJ318" s="1"/>
      <c r="AK318" s="1"/>
      <c r="AL318" s="117"/>
      <c r="AM318" s="1"/>
      <c r="AN318" s="1"/>
      <c r="AO318" s="1"/>
      <c r="AP318" s="1"/>
      <c r="AQ318" s="1"/>
      <c r="AR318" s="3">
        <f>SUM(D318:AQ318)</f>
        <v>272</v>
      </c>
      <c r="AS318" s="11"/>
      <c r="AT318" s="1">
        <f>+AR318-[2]PassVol!$AN318</f>
        <v>272</v>
      </c>
      <c r="AU318" s="11"/>
      <c r="AV318" s="1">
        <f t="shared" ref="AV318:AV335" si="681">SUM(D318:G318)</f>
        <v>0</v>
      </c>
      <c r="AW318" s="1">
        <f t="shared" ref="AW318:AW335" si="682">SUM(H318:K318)</f>
        <v>0</v>
      </c>
      <c r="AX318" s="1">
        <f t="shared" ref="AX318:AX335" si="683">SUM(L318:P318)</f>
        <v>0</v>
      </c>
      <c r="AY318" s="1">
        <f t="shared" ref="AY318:AY335" si="684">SUM(Q318:T318)</f>
        <v>192</v>
      </c>
      <c r="AZ318" s="1">
        <f t="shared" ref="AZ318:AZ335" si="685">SUM(U318:X318)</f>
        <v>80</v>
      </c>
      <c r="BA318" s="1">
        <f t="shared" ref="BA318:BA335" si="686">SUM(Y318:AC318)</f>
        <v>0</v>
      </c>
      <c r="BB318" s="1">
        <f t="shared" ref="BB318:BB335" si="687">SUM(AD318:AG318)</f>
        <v>0</v>
      </c>
      <c r="BC318" s="1">
        <f t="shared" ref="BC318:BC335" si="688">SUM(AH318:AK318)</f>
        <v>0</v>
      </c>
      <c r="BD318" s="1">
        <f t="shared" ref="BD318:BD335" si="689">SUM(AL318:AP318)</f>
        <v>0</v>
      </c>
      <c r="BE318" s="1">
        <f t="shared" ref="BE318:BE335" si="690">+AQ318</f>
        <v>0</v>
      </c>
      <c r="BG318" s="1">
        <f>+AV318*10</f>
        <v>0</v>
      </c>
      <c r="BH318" s="1">
        <f>+AW318*10</f>
        <v>0</v>
      </c>
      <c r="BI318" s="1">
        <f t="shared" ref="BI318:BP318" si="691">+AX318*10</f>
        <v>0</v>
      </c>
      <c r="BJ318" s="1">
        <f t="shared" si="691"/>
        <v>1920</v>
      </c>
      <c r="BK318" s="1">
        <f t="shared" si="691"/>
        <v>800</v>
      </c>
      <c r="BL318" s="1">
        <f t="shared" si="691"/>
        <v>0</v>
      </c>
      <c r="BM318" s="1">
        <f t="shared" si="691"/>
        <v>0</v>
      </c>
      <c r="BN318" s="1">
        <f t="shared" si="691"/>
        <v>0</v>
      </c>
      <c r="BO318" s="1">
        <f t="shared" si="691"/>
        <v>0</v>
      </c>
      <c r="BP318" s="1">
        <f t="shared" si="691"/>
        <v>0</v>
      </c>
      <c r="BQ318" s="1">
        <f>SUM(BH318:BP318)</f>
        <v>2720</v>
      </c>
    </row>
    <row r="319" spans="2:69" s="10" customFormat="1" ht="15" customHeight="1" x14ac:dyDescent="0.25">
      <c r="B319" s="2"/>
      <c r="C319" t="s">
        <v>347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>
        <v>92</v>
      </c>
      <c r="S319" s="1"/>
      <c r="T319" s="1">
        <v>62</v>
      </c>
      <c r="U319" s="1"/>
      <c r="V319" s="1">
        <v>62</v>
      </c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17"/>
      <c r="AI319" s="1"/>
      <c r="AJ319" s="1"/>
      <c r="AK319" s="1"/>
      <c r="AL319" s="117"/>
      <c r="AM319" s="1"/>
      <c r="AN319" s="1"/>
      <c r="AO319" s="1"/>
      <c r="AP319" s="1"/>
      <c r="AQ319" s="1"/>
      <c r="AR319" s="3">
        <f t="shared" ref="AR319:AR335" si="692">SUM(D319:AQ319)</f>
        <v>216</v>
      </c>
      <c r="AS319" s="11"/>
      <c r="AT319" s="1">
        <f>+AR319-[2]PassVol!$AN319</f>
        <v>216</v>
      </c>
      <c r="AU319" s="11"/>
      <c r="AV319" s="1">
        <f t="shared" si="681"/>
        <v>0</v>
      </c>
      <c r="AW319" s="1">
        <f t="shared" si="682"/>
        <v>0</v>
      </c>
      <c r="AX319" s="1">
        <f t="shared" si="683"/>
        <v>0</v>
      </c>
      <c r="AY319" s="1">
        <f t="shared" si="684"/>
        <v>154</v>
      </c>
      <c r="AZ319" s="1">
        <f t="shared" si="685"/>
        <v>62</v>
      </c>
      <c r="BA319" s="1">
        <f t="shared" si="686"/>
        <v>0</v>
      </c>
      <c r="BB319" s="1">
        <f t="shared" si="687"/>
        <v>0</v>
      </c>
      <c r="BC319" s="1">
        <f t="shared" si="688"/>
        <v>0</v>
      </c>
      <c r="BD319" s="1">
        <f t="shared" si="689"/>
        <v>0</v>
      </c>
      <c r="BE319" s="1">
        <f t="shared" si="690"/>
        <v>0</v>
      </c>
      <c r="BG319" s="1">
        <f t="shared" ref="BG319:BH335" si="693">+AV319*10</f>
        <v>0</v>
      </c>
      <c r="BH319" s="1">
        <f t="shared" si="693"/>
        <v>0</v>
      </c>
      <c r="BI319" s="1">
        <f t="shared" si="672"/>
        <v>0</v>
      </c>
      <c r="BJ319" s="1">
        <f t="shared" si="673"/>
        <v>1540</v>
      </c>
      <c r="BK319" s="1">
        <f t="shared" si="674"/>
        <v>620</v>
      </c>
      <c r="BL319" s="1">
        <f t="shared" si="675"/>
        <v>0</v>
      </c>
      <c r="BM319" s="1">
        <f t="shared" si="676"/>
        <v>0</v>
      </c>
      <c r="BN319" s="1">
        <f t="shared" si="677"/>
        <v>0</v>
      </c>
      <c r="BO319" s="1">
        <f t="shared" si="678"/>
        <v>0</v>
      </c>
      <c r="BP319" s="1">
        <f t="shared" si="679"/>
        <v>0</v>
      </c>
      <c r="BQ319" s="1">
        <f t="shared" si="680"/>
        <v>2160</v>
      </c>
    </row>
    <row r="320" spans="2:69" s="10" customFormat="1" ht="15" customHeight="1" x14ac:dyDescent="0.25">
      <c r="B320" s="2"/>
      <c r="C320" t="s">
        <v>0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>
        <v>908</v>
      </c>
      <c r="S320" s="1"/>
      <c r="T320" s="1">
        <v>922</v>
      </c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17"/>
      <c r="AI320" s="1"/>
      <c r="AJ320" s="1"/>
      <c r="AK320" s="1"/>
      <c r="AL320" s="117"/>
      <c r="AM320" s="1"/>
      <c r="AN320" s="1"/>
      <c r="AO320" s="1"/>
      <c r="AP320" s="1"/>
      <c r="AQ320" s="1"/>
      <c r="AR320" s="3">
        <f t="shared" si="692"/>
        <v>1830</v>
      </c>
      <c r="AS320" s="11"/>
      <c r="AT320" s="1">
        <f>+AR320-[2]PassVol!$AN320</f>
        <v>1830</v>
      </c>
      <c r="AU320" s="11"/>
      <c r="AV320" s="1">
        <f t="shared" si="681"/>
        <v>0</v>
      </c>
      <c r="AW320" s="1">
        <f t="shared" si="682"/>
        <v>0</v>
      </c>
      <c r="AX320" s="1">
        <f t="shared" si="683"/>
        <v>0</v>
      </c>
      <c r="AY320" s="1">
        <f t="shared" si="684"/>
        <v>1830</v>
      </c>
      <c r="AZ320" s="1">
        <f t="shared" si="685"/>
        <v>0</v>
      </c>
      <c r="BA320" s="1">
        <f t="shared" si="686"/>
        <v>0</v>
      </c>
      <c r="BB320" s="1">
        <f t="shared" si="687"/>
        <v>0</v>
      </c>
      <c r="BC320" s="1">
        <f t="shared" si="688"/>
        <v>0</v>
      </c>
      <c r="BD320" s="1">
        <f t="shared" si="689"/>
        <v>0</v>
      </c>
      <c r="BE320" s="1">
        <f t="shared" si="690"/>
        <v>0</v>
      </c>
      <c r="BG320" s="1">
        <f t="shared" si="693"/>
        <v>0</v>
      </c>
      <c r="BH320" s="1">
        <f t="shared" si="693"/>
        <v>0</v>
      </c>
      <c r="BI320" s="1">
        <f t="shared" si="672"/>
        <v>0</v>
      </c>
      <c r="BJ320" s="1">
        <f t="shared" si="673"/>
        <v>18300</v>
      </c>
      <c r="BK320" s="1">
        <f t="shared" si="674"/>
        <v>0</v>
      </c>
      <c r="BL320" s="1">
        <f t="shared" si="675"/>
        <v>0</v>
      </c>
      <c r="BM320" s="1">
        <f t="shared" si="676"/>
        <v>0</v>
      </c>
      <c r="BN320" s="1">
        <f t="shared" si="677"/>
        <v>0</v>
      </c>
      <c r="BO320" s="1">
        <f t="shared" si="678"/>
        <v>0</v>
      </c>
      <c r="BP320" s="1">
        <f t="shared" si="679"/>
        <v>0</v>
      </c>
      <c r="BQ320" s="1">
        <f t="shared" si="680"/>
        <v>18300</v>
      </c>
    </row>
    <row r="321" spans="2:69" s="10" customFormat="1" ht="15" customHeight="1" x14ac:dyDescent="0.25">
      <c r="B321" s="2"/>
      <c r="C321" t="s">
        <v>354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>
        <v>64</v>
      </c>
      <c r="S321" s="1"/>
      <c r="T321" s="1">
        <v>64</v>
      </c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17"/>
      <c r="AI321" s="1"/>
      <c r="AJ321" s="1"/>
      <c r="AK321" s="1"/>
      <c r="AL321" s="117"/>
      <c r="AM321" s="1"/>
      <c r="AN321" s="1"/>
      <c r="AO321" s="1"/>
      <c r="AP321" s="1"/>
      <c r="AQ321" s="1"/>
      <c r="AR321" s="3">
        <f t="shared" si="692"/>
        <v>128</v>
      </c>
      <c r="AS321" s="11"/>
      <c r="AT321" s="1">
        <f>+AR321-[2]PassVol!$AN321</f>
        <v>128</v>
      </c>
      <c r="AU321" s="11"/>
      <c r="AV321" s="1">
        <f t="shared" si="681"/>
        <v>0</v>
      </c>
      <c r="AW321" s="1">
        <f t="shared" si="682"/>
        <v>0</v>
      </c>
      <c r="AX321" s="1">
        <f t="shared" si="683"/>
        <v>0</v>
      </c>
      <c r="AY321" s="1">
        <f t="shared" si="684"/>
        <v>128</v>
      </c>
      <c r="AZ321" s="1">
        <f t="shared" si="685"/>
        <v>0</v>
      </c>
      <c r="BA321" s="1">
        <f t="shared" si="686"/>
        <v>0</v>
      </c>
      <c r="BB321" s="1">
        <f t="shared" si="687"/>
        <v>0</v>
      </c>
      <c r="BC321" s="1">
        <f t="shared" si="688"/>
        <v>0</v>
      </c>
      <c r="BD321" s="1">
        <f t="shared" si="689"/>
        <v>0</v>
      </c>
      <c r="BE321" s="1">
        <f t="shared" si="690"/>
        <v>0</v>
      </c>
      <c r="BG321" s="1">
        <f t="shared" si="693"/>
        <v>0</v>
      </c>
      <c r="BH321" s="1">
        <f t="shared" si="693"/>
        <v>0</v>
      </c>
      <c r="BI321" s="1">
        <f t="shared" si="672"/>
        <v>0</v>
      </c>
      <c r="BJ321" s="1">
        <f t="shared" si="673"/>
        <v>1280</v>
      </c>
      <c r="BK321" s="1">
        <f t="shared" si="674"/>
        <v>0</v>
      </c>
      <c r="BL321" s="1">
        <f t="shared" si="675"/>
        <v>0</v>
      </c>
      <c r="BM321" s="1">
        <f t="shared" si="676"/>
        <v>0</v>
      </c>
      <c r="BN321" s="1">
        <f t="shared" si="677"/>
        <v>0</v>
      </c>
      <c r="BO321" s="1">
        <f t="shared" si="678"/>
        <v>0</v>
      </c>
      <c r="BP321" s="1">
        <f t="shared" si="679"/>
        <v>0</v>
      </c>
      <c r="BQ321" s="1">
        <f t="shared" si="680"/>
        <v>1280</v>
      </c>
    </row>
    <row r="322" spans="2:69" s="10" customFormat="1" ht="15" customHeight="1" x14ac:dyDescent="0.25">
      <c r="B322" s="2"/>
      <c r="C322" t="s">
        <v>265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>
        <v>79</v>
      </c>
      <c r="S322" s="1"/>
      <c r="T322" s="1">
        <v>33</v>
      </c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17"/>
      <c r="AI322" s="1"/>
      <c r="AJ322" s="1"/>
      <c r="AK322" s="1"/>
      <c r="AL322" s="117"/>
      <c r="AM322" s="1"/>
      <c r="AN322" s="1"/>
      <c r="AO322" s="1"/>
      <c r="AP322" s="1"/>
      <c r="AQ322" s="1"/>
      <c r="AR322" s="3">
        <f t="shared" si="692"/>
        <v>112</v>
      </c>
      <c r="AS322" s="11"/>
      <c r="AT322" s="1">
        <f>+AR322-[2]PassVol!$AN322</f>
        <v>112</v>
      </c>
      <c r="AU322" s="11"/>
      <c r="AV322" s="1">
        <f t="shared" si="681"/>
        <v>0</v>
      </c>
      <c r="AW322" s="1">
        <f t="shared" si="682"/>
        <v>0</v>
      </c>
      <c r="AX322" s="1">
        <f t="shared" si="683"/>
        <v>0</v>
      </c>
      <c r="AY322" s="1">
        <f t="shared" si="684"/>
        <v>112</v>
      </c>
      <c r="AZ322" s="1">
        <f t="shared" si="685"/>
        <v>0</v>
      </c>
      <c r="BA322" s="1">
        <f t="shared" si="686"/>
        <v>0</v>
      </c>
      <c r="BB322" s="1">
        <f t="shared" si="687"/>
        <v>0</v>
      </c>
      <c r="BC322" s="1">
        <f t="shared" si="688"/>
        <v>0</v>
      </c>
      <c r="BD322" s="1">
        <f t="shared" si="689"/>
        <v>0</v>
      </c>
      <c r="BE322" s="1">
        <f t="shared" si="690"/>
        <v>0</v>
      </c>
      <c r="BG322" s="1">
        <f t="shared" si="693"/>
        <v>0</v>
      </c>
      <c r="BH322" s="1">
        <f t="shared" si="693"/>
        <v>0</v>
      </c>
      <c r="BI322" s="1">
        <f t="shared" si="672"/>
        <v>0</v>
      </c>
      <c r="BJ322" s="1">
        <f t="shared" si="673"/>
        <v>1120</v>
      </c>
      <c r="BK322" s="1">
        <f t="shared" si="674"/>
        <v>0</v>
      </c>
      <c r="BL322" s="1">
        <f t="shared" si="675"/>
        <v>0</v>
      </c>
      <c r="BM322" s="1">
        <f t="shared" si="676"/>
        <v>0</v>
      </c>
      <c r="BN322" s="1">
        <f t="shared" si="677"/>
        <v>0</v>
      </c>
      <c r="BO322" s="1">
        <f t="shared" si="678"/>
        <v>0</v>
      </c>
      <c r="BP322" s="1">
        <f t="shared" si="679"/>
        <v>0</v>
      </c>
      <c r="BQ322" s="1">
        <f t="shared" si="680"/>
        <v>1120</v>
      </c>
    </row>
    <row r="323" spans="2:69" s="10" customFormat="1" ht="15" customHeight="1" x14ac:dyDescent="0.25">
      <c r="B323" s="2"/>
      <c r="C323" t="s">
        <v>191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>
        <v>352</v>
      </c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17"/>
      <c r="AI323" s="1"/>
      <c r="AJ323" s="1"/>
      <c r="AK323" s="1"/>
      <c r="AL323" s="117"/>
      <c r="AM323" s="1"/>
      <c r="AN323" s="1"/>
      <c r="AO323" s="1"/>
      <c r="AP323" s="1"/>
      <c r="AQ323" s="1"/>
      <c r="AR323" s="3">
        <f t="shared" si="692"/>
        <v>352</v>
      </c>
      <c r="AS323" s="11"/>
      <c r="AT323" s="1">
        <f>+AR323-[2]PassVol!$AN323</f>
        <v>352</v>
      </c>
      <c r="AU323" s="11"/>
      <c r="AV323" s="1">
        <f t="shared" si="681"/>
        <v>0</v>
      </c>
      <c r="AW323" s="1">
        <f t="shared" si="682"/>
        <v>0</v>
      </c>
      <c r="AX323" s="1">
        <f t="shared" si="683"/>
        <v>0</v>
      </c>
      <c r="AY323" s="1">
        <f t="shared" si="684"/>
        <v>352</v>
      </c>
      <c r="AZ323" s="1">
        <f t="shared" si="685"/>
        <v>0</v>
      </c>
      <c r="BA323" s="1">
        <f t="shared" si="686"/>
        <v>0</v>
      </c>
      <c r="BB323" s="1">
        <f t="shared" si="687"/>
        <v>0</v>
      </c>
      <c r="BC323" s="1">
        <f t="shared" si="688"/>
        <v>0</v>
      </c>
      <c r="BD323" s="1">
        <f t="shared" si="689"/>
        <v>0</v>
      </c>
      <c r="BE323" s="1">
        <f t="shared" si="690"/>
        <v>0</v>
      </c>
      <c r="BG323" s="1">
        <f t="shared" si="693"/>
        <v>0</v>
      </c>
      <c r="BH323" s="1">
        <f t="shared" si="693"/>
        <v>0</v>
      </c>
      <c r="BI323" s="1">
        <f t="shared" si="672"/>
        <v>0</v>
      </c>
      <c r="BJ323" s="1">
        <f t="shared" si="673"/>
        <v>3520</v>
      </c>
      <c r="BK323" s="1">
        <f t="shared" si="674"/>
        <v>0</v>
      </c>
      <c r="BL323" s="1">
        <f t="shared" si="675"/>
        <v>0</v>
      </c>
      <c r="BM323" s="1">
        <f t="shared" si="676"/>
        <v>0</v>
      </c>
      <c r="BN323" s="1">
        <f t="shared" si="677"/>
        <v>0</v>
      </c>
      <c r="BO323" s="1">
        <f t="shared" si="678"/>
        <v>0</v>
      </c>
      <c r="BP323" s="1">
        <f t="shared" si="679"/>
        <v>0</v>
      </c>
      <c r="BQ323" s="1">
        <f t="shared" si="680"/>
        <v>3520</v>
      </c>
    </row>
    <row r="324" spans="2:69" s="10" customFormat="1" ht="15" customHeight="1" x14ac:dyDescent="0.25">
      <c r="B324" s="2"/>
      <c r="C324" t="s">
        <v>549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17"/>
      <c r="AI324" s="1"/>
      <c r="AJ324" s="1"/>
      <c r="AK324" s="1"/>
      <c r="AL324" s="117"/>
      <c r="AM324" s="1"/>
      <c r="AN324" s="1"/>
      <c r="AO324" s="1"/>
      <c r="AP324" s="1"/>
      <c r="AQ324" s="1"/>
      <c r="AR324" s="3">
        <f t="shared" si="692"/>
        <v>0</v>
      </c>
      <c r="AS324" s="11"/>
      <c r="AT324" s="1">
        <f>+AR324-[2]PassVol!$AN324</f>
        <v>0</v>
      </c>
      <c r="AU324" s="11"/>
      <c r="AV324" s="1">
        <f t="shared" si="681"/>
        <v>0</v>
      </c>
      <c r="AW324" s="1">
        <f t="shared" si="682"/>
        <v>0</v>
      </c>
      <c r="AX324" s="1">
        <f t="shared" si="683"/>
        <v>0</v>
      </c>
      <c r="AY324" s="1">
        <f t="shared" si="684"/>
        <v>0</v>
      </c>
      <c r="AZ324" s="1">
        <f t="shared" si="685"/>
        <v>0</v>
      </c>
      <c r="BA324" s="1">
        <f t="shared" si="686"/>
        <v>0</v>
      </c>
      <c r="BB324" s="1">
        <f t="shared" si="687"/>
        <v>0</v>
      </c>
      <c r="BC324" s="1">
        <f t="shared" si="688"/>
        <v>0</v>
      </c>
      <c r="BD324" s="1">
        <f t="shared" si="689"/>
        <v>0</v>
      </c>
      <c r="BE324" s="1">
        <f t="shared" si="690"/>
        <v>0</v>
      </c>
      <c r="BG324" s="1">
        <f t="shared" si="693"/>
        <v>0</v>
      </c>
      <c r="BH324" s="1">
        <f t="shared" si="693"/>
        <v>0</v>
      </c>
      <c r="BI324" s="1">
        <f t="shared" si="672"/>
        <v>0</v>
      </c>
      <c r="BJ324" s="1">
        <f t="shared" si="673"/>
        <v>0</v>
      </c>
      <c r="BK324" s="1">
        <f t="shared" si="674"/>
        <v>0</v>
      </c>
      <c r="BL324" s="1">
        <f t="shared" si="675"/>
        <v>0</v>
      </c>
      <c r="BM324" s="1">
        <f t="shared" si="676"/>
        <v>0</v>
      </c>
      <c r="BN324" s="1">
        <f t="shared" si="677"/>
        <v>0</v>
      </c>
      <c r="BO324" s="1">
        <f t="shared" si="678"/>
        <v>0</v>
      </c>
      <c r="BP324" s="1">
        <f t="shared" si="679"/>
        <v>0</v>
      </c>
      <c r="BQ324" s="1">
        <f t="shared" si="680"/>
        <v>0</v>
      </c>
    </row>
    <row r="325" spans="2:69" s="10" customFormat="1" ht="15" customHeight="1" x14ac:dyDescent="0.25">
      <c r="B325" s="2"/>
      <c r="C325" t="s">
        <v>550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>
        <v>732</v>
      </c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17"/>
      <c r="AI325" s="1"/>
      <c r="AJ325" s="1"/>
      <c r="AK325" s="1"/>
      <c r="AL325" s="117"/>
      <c r="AM325" s="1"/>
      <c r="AN325" s="1"/>
      <c r="AO325" s="1"/>
      <c r="AP325" s="1"/>
      <c r="AQ325" s="1"/>
      <c r="AR325" s="3">
        <f t="shared" si="692"/>
        <v>732</v>
      </c>
      <c r="AS325" s="11"/>
      <c r="AT325" s="1">
        <f>+AR325-[2]PassVol!$AN325</f>
        <v>732</v>
      </c>
      <c r="AU325" s="11"/>
      <c r="AV325" s="1">
        <f t="shared" si="681"/>
        <v>0</v>
      </c>
      <c r="AW325" s="1">
        <f t="shared" si="682"/>
        <v>0</v>
      </c>
      <c r="AX325" s="1">
        <f t="shared" si="683"/>
        <v>0</v>
      </c>
      <c r="AY325" s="1">
        <f t="shared" si="684"/>
        <v>732</v>
      </c>
      <c r="AZ325" s="1">
        <f t="shared" si="685"/>
        <v>0</v>
      </c>
      <c r="BA325" s="1">
        <f t="shared" si="686"/>
        <v>0</v>
      </c>
      <c r="BB325" s="1">
        <f t="shared" si="687"/>
        <v>0</v>
      </c>
      <c r="BC325" s="1">
        <f t="shared" si="688"/>
        <v>0</v>
      </c>
      <c r="BD325" s="1">
        <f t="shared" si="689"/>
        <v>0</v>
      </c>
      <c r="BE325" s="1">
        <f t="shared" si="690"/>
        <v>0</v>
      </c>
      <c r="BG325" s="1">
        <f t="shared" si="693"/>
        <v>0</v>
      </c>
      <c r="BH325" s="1">
        <f t="shared" si="693"/>
        <v>0</v>
      </c>
      <c r="BI325" s="1">
        <f t="shared" si="672"/>
        <v>0</v>
      </c>
      <c r="BJ325" s="1">
        <f t="shared" si="673"/>
        <v>7320</v>
      </c>
      <c r="BK325" s="1">
        <f t="shared" si="674"/>
        <v>0</v>
      </c>
      <c r="BL325" s="1">
        <f t="shared" si="675"/>
        <v>0</v>
      </c>
      <c r="BM325" s="1">
        <f t="shared" si="676"/>
        <v>0</v>
      </c>
      <c r="BN325" s="1">
        <f t="shared" si="677"/>
        <v>0</v>
      </c>
      <c r="BO325" s="1">
        <f t="shared" si="678"/>
        <v>0</v>
      </c>
      <c r="BP325" s="1">
        <f t="shared" si="679"/>
        <v>0</v>
      </c>
      <c r="BQ325" s="1">
        <f t="shared" si="680"/>
        <v>7320</v>
      </c>
    </row>
    <row r="326" spans="2:69" s="10" customFormat="1" ht="15" customHeight="1" x14ac:dyDescent="0.25">
      <c r="B326" s="2"/>
      <c r="C326" t="s">
        <v>6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>
        <v>720</v>
      </c>
      <c r="S326" s="1"/>
      <c r="T326" s="1">
        <v>600</v>
      </c>
      <c r="U326" s="1"/>
      <c r="V326" s="1">
        <v>504</v>
      </c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17"/>
      <c r="AI326" s="1"/>
      <c r="AJ326" s="1"/>
      <c r="AK326" s="1"/>
      <c r="AL326" s="117"/>
      <c r="AM326" s="1"/>
      <c r="AN326" s="1"/>
      <c r="AO326" s="1"/>
      <c r="AP326" s="1"/>
      <c r="AQ326" s="1"/>
      <c r="AR326" s="3">
        <f t="shared" si="692"/>
        <v>1824</v>
      </c>
      <c r="AS326" s="11"/>
      <c r="AT326" s="1">
        <f>+AR326-[2]PassVol!$AN326</f>
        <v>1824</v>
      </c>
      <c r="AU326" s="11"/>
      <c r="AV326" s="1">
        <f t="shared" si="681"/>
        <v>0</v>
      </c>
      <c r="AW326" s="1">
        <f t="shared" si="682"/>
        <v>0</v>
      </c>
      <c r="AX326" s="1">
        <f t="shared" si="683"/>
        <v>0</v>
      </c>
      <c r="AY326" s="1">
        <f t="shared" si="684"/>
        <v>1320</v>
      </c>
      <c r="AZ326" s="1">
        <f t="shared" si="685"/>
        <v>504</v>
      </c>
      <c r="BA326" s="1">
        <f t="shared" si="686"/>
        <v>0</v>
      </c>
      <c r="BB326" s="1">
        <f t="shared" si="687"/>
        <v>0</v>
      </c>
      <c r="BC326" s="1">
        <f t="shared" si="688"/>
        <v>0</v>
      </c>
      <c r="BD326" s="1">
        <f t="shared" si="689"/>
        <v>0</v>
      </c>
      <c r="BE326" s="1">
        <f t="shared" si="690"/>
        <v>0</v>
      </c>
      <c r="BG326" s="1">
        <f t="shared" si="693"/>
        <v>0</v>
      </c>
      <c r="BH326" s="1">
        <f t="shared" si="693"/>
        <v>0</v>
      </c>
      <c r="BI326" s="1">
        <f t="shared" si="672"/>
        <v>0</v>
      </c>
      <c r="BJ326" s="1">
        <f t="shared" si="673"/>
        <v>13200</v>
      </c>
      <c r="BK326" s="1">
        <f t="shared" si="674"/>
        <v>5040</v>
      </c>
      <c r="BL326" s="1">
        <f t="shared" si="675"/>
        <v>0</v>
      </c>
      <c r="BM326" s="1">
        <f t="shared" si="676"/>
        <v>0</v>
      </c>
      <c r="BN326" s="1">
        <f t="shared" si="677"/>
        <v>0</v>
      </c>
      <c r="BO326" s="1">
        <f t="shared" si="678"/>
        <v>0</v>
      </c>
      <c r="BP326" s="1">
        <f t="shared" si="679"/>
        <v>0</v>
      </c>
      <c r="BQ326" s="1">
        <f t="shared" si="680"/>
        <v>18240</v>
      </c>
    </row>
    <row r="327" spans="2:69" s="10" customFormat="1" ht="15" customHeight="1" x14ac:dyDescent="0.25">
      <c r="B327" s="2"/>
      <c r="C327" t="s">
        <v>262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>
        <v>208</v>
      </c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17"/>
      <c r="AI327" s="1"/>
      <c r="AJ327" s="1"/>
      <c r="AK327" s="1"/>
      <c r="AL327" s="117"/>
      <c r="AM327" s="1"/>
      <c r="AN327" s="1"/>
      <c r="AO327" s="1"/>
      <c r="AP327" s="1"/>
      <c r="AQ327" s="1"/>
      <c r="AR327" s="3">
        <f t="shared" si="692"/>
        <v>208</v>
      </c>
      <c r="AS327" s="11"/>
      <c r="AT327" s="1">
        <f>+AR327-[2]PassVol!$AN327</f>
        <v>208</v>
      </c>
      <c r="AU327" s="11"/>
      <c r="AV327" s="1">
        <f t="shared" si="681"/>
        <v>0</v>
      </c>
      <c r="AW327" s="1">
        <f t="shared" si="682"/>
        <v>0</v>
      </c>
      <c r="AX327" s="1">
        <f t="shared" si="683"/>
        <v>0</v>
      </c>
      <c r="AY327" s="1">
        <f t="shared" si="684"/>
        <v>208</v>
      </c>
      <c r="AZ327" s="1">
        <f t="shared" si="685"/>
        <v>0</v>
      </c>
      <c r="BA327" s="1">
        <f t="shared" si="686"/>
        <v>0</v>
      </c>
      <c r="BB327" s="1">
        <f t="shared" si="687"/>
        <v>0</v>
      </c>
      <c r="BC327" s="1">
        <f t="shared" si="688"/>
        <v>0</v>
      </c>
      <c r="BD327" s="1">
        <f t="shared" si="689"/>
        <v>0</v>
      </c>
      <c r="BE327" s="1">
        <f t="shared" si="690"/>
        <v>0</v>
      </c>
      <c r="BG327" s="1">
        <f t="shared" si="693"/>
        <v>0</v>
      </c>
      <c r="BH327" s="1">
        <f t="shared" si="693"/>
        <v>0</v>
      </c>
      <c r="BI327" s="1">
        <f t="shared" si="672"/>
        <v>0</v>
      </c>
      <c r="BJ327" s="1">
        <f t="shared" si="673"/>
        <v>2080</v>
      </c>
      <c r="BK327" s="1">
        <f t="shared" si="674"/>
        <v>0</v>
      </c>
      <c r="BL327" s="1">
        <f t="shared" si="675"/>
        <v>0</v>
      </c>
      <c r="BM327" s="1">
        <f t="shared" si="676"/>
        <v>0</v>
      </c>
      <c r="BN327" s="1">
        <f t="shared" si="677"/>
        <v>0</v>
      </c>
      <c r="BO327" s="1">
        <f t="shared" si="678"/>
        <v>0</v>
      </c>
      <c r="BP327" s="1">
        <f t="shared" si="679"/>
        <v>0</v>
      </c>
      <c r="BQ327" s="1">
        <f t="shared" si="680"/>
        <v>2080</v>
      </c>
    </row>
    <row r="328" spans="2:69" s="10" customFormat="1" ht="15" customHeight="1" x14ac:dyDescent="0.25">
      <c r="B328" s="2"/>
      <c r="C328" t="s">
        <v>42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>
        <v>420</v>
      </c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17"/>
      <c r="AI328" s="1"/>
      <c r="AJ328" s="1"/>
      <c r="AK328" s="1"/>
      <c r="AL328" s="117"/>
      <c r="AM328" s="1"/>
      <c r="AN328" s="1"/>
      <c r="AO328" s="1"/>
      <c r="AP328" s="1"/>
      <c r="AQ328" s="1"/>
      <c r="AR328" s="3">
        <f t="shared" si="692"/>
        <v>420</v>
      </c>
      <c r="AS328" s="11"/>
      <c r="AT328" s="1">
        <f>+AR328-[2]PassVol!$AN328</f>
        <v>420</v>
      </c>
      <c r="AU328" s="11"/>
      <c r="AV328" s="1">
        <f t="shared" si="681"/>
        <v>0</v>
      </c>
      <c r="AW328" s="1">
        <f t="shared" si="682"/>
        <v>0</v>
      </c>
      <c r="AX328" s="1">
        <f t="shared" si="683"/>
        <v>0</v>
      </c>
      <c r="AY328" s="1">
        <f t="shared" si="684"/>
        <v>420</v>
      </c>
      <c r="AZ328" s="1">
        <f t="shared" si="685"/>
        <v>0</v>
      </c>
      <c r="BA328" s="1">
        <f t="shared" si="686"/>
        <v>0</v>
      </c>
      <c r="BB328" s="1">
        <f t="shared" si="687"/>
        <v>0</v>
      </c>
      <c r="BC328" s="1">
        <f t="shared" si="688"/>
        <v>0</v>
      </c>
      <c r="BD328" s="1">
        <f t="shared" si="689"/>
        <v>0</v>
      </c>
      <c r="BE328" s="1">
        <f t="shared" si="690"/>
        <v>0</v>
      </c>
      <c r="BG328" s="1">
        <f t="shared" si="693"/>
        <v>0</v>
      </c>
      <c r="BH328" s="1">
        <f t="shared" si="693"/>
        <v>0</v>
      </c>
      <c r="BI328" s="1">
        <f t="shared" si="672"/>
        <v>0</v>
      </c>
      <c r="BJ328" s="1">
        <f t="shared" si="673"/>
        <v>4200</v>
      </c>
      <c r="BK328" s="1">
        <f t="shared" si="674"/>
        <v>0</v>
      </c>
      <c r="BL328" s="1">
        <f t="shared" si="675"/>
        <v>0</v>
      </c>
      <c r="BM328" s="1">
        <f t="shared" si="676"/>
        <v>0</v>
      </c>
      <c r="BN328" s="1">
        <f t="shared" si="677"/>
        <v>0</v>
      </c>
      <c r="BO328" s="1">
        <f t="shared" si="678"/>
        <v>0</v>
      </c>
      <c r="BP328" s="1">
        <f t="shared" si="679"/>
        <v>0</v>
      </c>
      <c r="BQ328" s="1">
        <f t="shared" si="680"/>
        <v>4200</v>
      </c>
    </row>
    <row r="329" spans="2:69" s="10" customFormat="1" ht="15" customHeight="1" x14ac:dyDescent="0.25">
      <c r="B329" s="2"/>
      <c r="C329" t="s">
        <v>192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>
        <v>434</v>
      </c>
      <c r="S329" s="1"/>
      <c r="T329" s="1">
        <v>112</v>
      </c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17"/>
      <c r="AI329" s="1"/>
      <c r="AJ329" s="1"/>
      <c r="AK329" s="1"/>
      <c r="AL329" s="117"/>
      <c r="AM329" s="1"/>
      <c r="AN329" s="1"/>
      <c r="AO329" s="1"/>
      <c r="AP329" s="1"/>
      <c r="AQ329" s="1"/>
      <c r="AR329" s="3">
        <f t="shared" si="692"/>
        <v>546</v>
      </c>
      <c r="AS329" s="11"/>
      <c r="AT329" s="1">
        <f>+AR329-[2]PassVol!$AN329</f>
        <v>546</v>
      </c>
      <c r="AU329" s="11"/>
      <c r="AV329" s="1">
        <f t="shared" si="681"/>
        <v>0</v>
      </c>
      <c r="AW329" s="1">
        <f t="shared" si="682"/>
        <v>0</v>
      </c>
      <c r="AX329" s="1">
        <f t="shared" si="683"/>
        <v>0</v>
      </c>
      <c r="AY329" s="1">
        <f t="shared" si="684"/>
        <v>546</v>
      </c>
      <c r="AZ329" s="1">
        <f t="shared" si="685"/>
        <v>0</v>
      </c>
      <c r="BA329" s="1">
        <f t="shared" si="686"/>
        <v>0</v>
      </c>
      <c r="BB329" s="1">
        <f t="shared" si="687"/>
        <v>0</v>
      </c>
      <c r="BC329" s="1">
        <f t="shared" si="688"/>
        <v>0</v>
      </c>
      <c r="BD329" s="1">
        <f t="shared" si="689"/>
        <v>0</v>
      </c>
      <c r="BE329" s="1">
        <f t="shared" si="690"/>
        <v>0</v>
      </c>
      <c r="BG329" s="1">
        <f t="shared" si="693"/>
        <v>0</v>
      </c>
      <c r="BH329" s="1">
        <f t="shared" si="693"/>
        <v>0</v>
      </c>
      <c r="BI329" s="1">
        <f t="shared" si="672"/>
        <v>0</v>
      </c>
      <c r="BJ329" s="1">
        <f t="shared" si="673"/>
        <v>5460</v>
      </c>
      <c r="BK329" s="1">
        <f t="shared" si="674"/>
        <v>0</v>
      </c>
      <c r="BL329" s="1">
        <f t="shared" si="675"/>
        <v>0</v>
      </c>
      <c r="BM329" s="1">
        <f t="shared" si="676"/>
        <v>0</v>
      </c>
      <c r="BN329" s="1">
        <f t="shared" si="677"/>
        <v>0</v>
      </c>
      <c r="BO329" s="1">
        <f t="shared" si="678"/>
        <v>0</v>
      </c>
      <c r="BP329" s="1">
        <f t="shared" si="679"/>
        <v>0</v>
      </c>
      <c r="BQ329" s="1">
        <f t="shared" si="680"/>
        <v>5460</v>
      </c>
    </row>
    <row r="330" spans="2:69" s="10" customFormat="1" ht="15" customHeight="1" x14ac:dyDescent="0.25">
      <c r="B330" s="2"/>
      <c r="C330" t="s">
        <v>133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17"/>
      <c r="AI330" s="1"/>
      <c r="AJ330" s="1"/>
      <c r="AK330" s="1"/>
      <c r="AL330" s="117"/>
      <c r="AM330" s="1"/>
      <c r="AN330" s="1"/>
      <c r="AO330" s="1"/>
      <c r="AP330" s="1"/>
      <c r="AQ330" s="1"/>
      <c r="AR330" s="3">
        <f t="shared" si="692"/>
        <v>0</v>
      </c>
      <c r="AS330" s="11"/>
      <c r="AT330" s="1">
        <f>+AR330-[2]PassVol!$AN330</f>
        <v>0</v>
      </c>
      <c r="AU330" s="11"/>
      <c r="AV330" s="1">
        <f t="shared" si="681"/>
        <v>0</v>
      </c>
      <c r="AW330" s="1">
        <f t="shared" si="682"/>
        <v>0</v>
      </c>
      <c r="AX330" s="1">
        <f t="shared" si="683"/>
        <v>0</v>
      </c>
      <c r="AY330" s="1">
        <f t="shared" si="684"/>
        <v>0</v>
      </c>
      <c r="AZ330" s="1">
        <f t="shared" si="685"/>
        <v>0</v>
      </c>
      <c r="BA330" s="1">
        <f t="shared" si="686"/>
        <v>0</v>
      </c>
      <c r="BB330" s="1">
        <f t="shared" si="687"/>
        <v>0</v>
      </c>
      <c r="BC330" s="1">
        <f t="shared" si="688"/>
        <v>0</v>
      </c>
      <c r="BD330" s="1">
        <f t="shared" si="689"/>
        <v>0</v>
      </c>
      <c r="BE330" s="1">
        <f t="shared" si="690"/>
        <v>0</v>
      </c>
      <c r="BG330" s="1">
        <f t="shared" si="693"/>
        <v>0</v>
      </c>
      <c r="BH330" s="1">
        <f t="shared" si="693"/>
        <v>0</v>
      </c>
      <c r="BI330" s="1">
        <f t="shared" si="672"/>
        <v>0</v>
      </c>
      <c r="BJ330" s="1">
        <f t="shared" si="673"/>
        <v>0</v>
      </c>
      <c r="BK330" s="1">
        <f t="shared" si="674"/>
        <v>0</v>
      </c>
      <c r="BL330" s="1">
        <f t="shared" si="675"/>
        <v>0</v>
      </c>
      <c r="BM330" s="1">
        <f t="shared" si="676"/>
        <v>0</v>
      </c>
      <c r="BN330" s="1">
        <f t="shared" si="677"/>
        <v>0</v>
      </c>
      <c r="BO330" s="1">
        <f t="shared" si="678"/>
        <v>0</v>
      </c>
      <c r="BP330" s="1">
        <f t="shared" si="679"/>
        <v>0</v>
      </c>
      <c r="BQ330" s="1">
        <f t="shared" si="680"/>
        <v>0</v>
      </c>
    </row>
    <row r="331" spans="2:69" s="10" customFormat="1" ht="15" customHeight="1" x14ac:dyDescent="0.25">
      <c r="B331" s="2"/>
      <c r="C331" t="s">
        <v>41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>
        <v>382</v>
      </c>
      <c r="S331" s="1"/>
      <c r="T331" s="1">
        <v>558</v>
      </c>
      <c r="U331" s="1"/>
      <c r="V331" s="1">
        <v>56</v>
      </c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17"/>
      <c r="AI331" s="1"/>
      <c r="AJ331" s="1"/>
      <c r="AK331" s="1"/>
      <c r="AL331" s="117"/>
      <c r="AM331" s="1"/>
      <c r="AN331" s="1"/>
      <c r="AO331" s="1"/>
      <c r="AP331" s="1"/>
      <c r="AQ331" s="1"/>
      <c r="AR331" s="3">
        <f t="shared" si="692"/>
        <v>996</v>
      </c>
      <c r="AS331" s="11"/>
      <c r="AT331" s="1">
        <f>+AR331-[2]PassVol!$AN331</f>
        <v>996</v>
      </c>
      <c r="AU331" s="11"/>
      <c r="AV331" s="1">
        <f t="shared" si="681"/>
        <v>0</v>
      </c>
      <c r="AW331" s="1">
        <f t="shared" si="682"/>
        <v>0</v>
      </c>
      <c r="AX331" s="1">
        <f t="shared" si="683"/>
        <v>0</v>
      </c>
      <c r="AY331" s="1">
        <f t="shared" si="684"/>
        <v>940</v>
      </c>
      <c r="AZ331" s="1">
        <f t="shared" si="685"/>
        <v>56</v>
      </c>
      <c r="BA331" s="1">
        <f t="shared" si="686"/>
        <v>0</v>
      </c>
      <c r="BB331" s="1">
        <f t="shared" si="687"/>
        <v>0</v>
      </c>
      <c r="BC331" s="1">
        <f t="shared" si="688"/>
        <v>0</v>
      </c>
      <c r="BD331" s="1">
        <f t="shared" si="689"/>
        <v>0</v>
      </c>
      <c r="BE331" s="1">
        <f t="shared" si="690"/>
        <v>0</v>
      </c>
      <c r="BG331" s="1">
        <f t="shared" si="693"/>
        <v>0</v>
      </c>
      <c r="BH331" s="1">
        <f t="shared" si="693"/>
        <v>0</v>
      </c>
      <c r="BI331" s="1">
        <f t="shared" si="672"/>
        <v>0</v>
      </c>
      <c r="BJ331" s="1">
        <f t="shared" si="673"/>
        <v>9400</v>
      </c>
      <c r="BK331" s="1">
        <f t="shared" si="674"/>
        <v>560</v>
      </c>
      <c r="BL331" s="1">
        <f t="shared" si="675"/>
        <v>0</v>
      </c>
      <c r="BM331" s="1">
        <f t="shared" si="676"/>
        <v>0</v>
      </c>
      <c r="BN331" s="1">
        <f t="shared" si="677"/>
        <v>0</v>
      </c>
      <c r="BO331" s="1">
        <f t="shared" si="678"/>
        <v>0</v>
      </c>
      <c r="BP331" s="1">
        <f t="shared" si="679"/>
        <v>0</v>
      </c>
      <c r="BQ331" s="1">
        <f t="shared" si="680"/>
        <v>9960</v>
      </c>
    </row>
    <row r="332" spans="2:69" s="10" customFormat="1" ht="15" customHeight="1" x14ac:dyDescent="0.25">
      <c r="B332" s="2"/>
      <c r="C332" t="s">
        <v>193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17"/>
      <c r="AI332" s="1"/>
      <c r="AJ332" s="1"/>
      <c r="AK332" s="1"/>
      <c r="AL332" s="117"/>
      <c r="AM332" s="1"/>
      <c r="AN332" s="1"/>
      <c r="AO332" s="1"/>
      <c r="AP332" s="1"/>
      <c r="AQ332" s="1"/>
      <c r="AR332" s="3">
        <f t="shared" si="692"/>
        <v>0</v>
      </c>
      <c r="AS332" s="11"/>
      <c r="AT332" s="1">
        <f>+AR332-[2]PassVol!$AN332</f>
        <v>0</v>
      </c>
      <c r="AU332" s="11"/>
      <c r="AV332" s="1">
        <f t="shared" si="681"/>
        <v>0</v>
      </c>
      <c r="AW332" s="1">
        <f t="shared" si="682"/>
        <v>0</v>
      </c>
      <c r="AX332" s="1">
        <f t="shared" si="683"/>
        <v>0</v>
      </c>
      <c r="AY332" s="1">
        <f t="shared" si="684"/>
        <v>0</v>
      </c>
      <c r="AZ332" s="1">
        <f t="shared" si="685"/>
        <v>0</v>
      </c>
      <c r="BA332" s="1">
        <f t="shared" si="686"/>
        <v>0</v>
      </c>
      <c r="BB332" s="1">
        <f t="shared" si="687"/>
        <v>0</v>
      </c>
      <c r="BC332" s="1">
        <f t="shared" si="688"/>
        <v>0</v>
      </c>
      <c r="BD332" s="1">
        <f t="shared" si="689"/>
        <v>0</v>
      </c>
      <c r="BE332" s="1">
        <f t="shared" si="690"/>
        <v>0</v>
      </c>
      <c r="BG332" s="1">
        <f t="shared" si="693"/>
        <v>0</v>
      </c>
      <c r="BH332" s="1">
        <f t="shared" si="693"/>
        <v>0</v>
      </c>
      <c r="BI332" s="1">
        <f t="shared" si="672"/>
        <v>0</v>
      </c>
      <c r="BJ332" s="1">
        <f t="shared" si="673"/>
        <v>0</v>
      </c>
      <c r="BK332" s="1">
        <f t="shared" si="674"/>
        <v>0</v>
      </c>
      <c r="BL332" s="1">
        <f t="shared" si="675"/>
        <v>0</v>
      </c>
      <c r="BM332" s="1">
        <f t="shared" si="676"/>
        <v>0</v>
      </c>
      <c r="BN332" s="1">
        <f t="shared" si="677"/>
        <v>0</v>
      </c>
      <c r="BO332" s="1">
        <f t="shared" si="678"/>
        <v>0</v>
      </c>
      <c r="BP332" s="1">
        <f t="shared" si="679"/>
        <v>0</v>
      </c>
      <c r="BQ332" s="1">
        <f t="shared" si="680"/>
        <v>0</v>
      </c>
    </row>
    <row r="333" spans="2:69" s="10" customFormat="1" ht="15" customHeight="1" x14ac:dyDescent="0.25">
      <c r="B333" s="2"/>
      <c r="C333" t="s">
        <v>297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17"/>
      <c r="AI333" s="1"/>
      <c r="AJ333" s="1"/>
      <c r="AK333" s="1"/>
      <c r="AL333" s="117"/>
      <c r="AM333" s="1"/>
      <c r="AN333" s="1"/>
      <c r="AO333" s="1"/>
      <c r="AP333" s="1"/>
      <c r="AQ333" s="1"/>
      <c r="AR333" s="3">
        <f t="shared" si="692"/>
        <v>0</v>
      </c>
      <c r="AS333" s="11"/>
      <c r="AT333" s="1">
        <f>+AR333-[2]PassVol!$AN333</f>
        <v>0</v>
      </c>
      <c r="AU333" s="11"/>
      <c r="AV333" s="1">
        <f t="shared" si="681"/>
        <v>0</v>
      </c>
      <c r="AW333" s="1">
        <f t="shared" si="682"/>
        <v>0</v>
      </c>
      <c r="AX333" s="1">
        <f t="shared" si="683"/>
        <v>0</v>
      </c>
      <c r="AY333" s="1">
        <f t="shared" si="684"/>
        <v>0</v>
      </c>
      <c r="AZ333" s="1">
        <f t="shared" si="685"/>
        <v>0</v>
      </c>
      <c r="BA333" s="1">
        <f t="shared" si="686"/>
        <v>0</v>
      </c>
      <c r="BB333" s="1">
        <f t="shared" si="687"/>
        <v>0</v>
      </c>
      <c r="BC333" s="1">
        <f t="shared" si="688"/>
        <v>0</v>
      </c>
      <c r="BD333" s="1">
        <f t="shared" si="689"/>
        <v>0</v>
      </c>
      <c r="BE333" s="1">
        <f t="shared" si="690"/>
        <v>0</v>
      </c>
      <c r="BG333" s="1">
        <f t="shared" si="693"/>
        <v>0</v>
      </c>
      <c r="BH333" s="1">
        <f t="shared" si="693"/>
        <v>0</v>
      </c>
      <c r="BI333" s="1">
        <f t="shared" si="672"/>
        <v>0</v>
      </c>
      <c r="BJ333" s="1">
        <f t="shared" si="673"/>
        <v>0</v>
      </c>
      <c r="BK333" s="1">
        <f t="shared" si="674"/>
        <v>0</v>
      </c>
      <c r="BL333" s="1">
        <f t="shared" si="675"/>
        <v>0</v>
      </c>
      <c r="BM333" s="1">
        <f t="shared" si="676"/>
        <v>0</v>
      </c>
      <c r="BN333" s="1">
        <f t="shared" si="677"/>
        <v>0</v>
      </c>
      <c r="BO333" s="1">
        <f t="shared" si="678"/>
        <v>0</v>
      </c>
      <c r="BP333" s="1">
        <f t="shared" si="679"/>
        <v>0</v>
      </c>
      <c r="BQ333" s="1">
        <f t="shared" si="680"/>
        <v>0</v>
      </c>
    </row>
    <row r="334" spans="2:69" s="10" customFormat="1" ht="15" customHeight="1" x14ac:dyDescent="0.25">
      <c r="B334" s="2"/>
      <c r="C334" t="s">
        <v>296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>
        <v>16</v>
      </c>
      <c r="S334" s="1"/>
      <c r="T334" s="1">
        <v>16</v>
      </c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17"/>
      <c r="AI334" s="1"/>
      <c r="AJ334" s="1"/>
      <c r="AK334" s="1"/>
      <c r="AL334" s="117"/>
      <c r="AM334" s="1"/>
      <c r="AN334" s="1"/>
      <c r="AO334" s="1"/>
      <c r="AP334" s="1"/>
      <c r="AQ334" s="1"/>
      <c r="AR334" s="3">
        <f t="shared" si="692"/>
        <v>32</v>
      </c>
      <c r="AS334" s="11"/>
      <c r="AT334" s="1">
        <f>+AR334-[2]PassVol!$AN334</f>
        <v>32</v>
      </c>
      <c r="AU334" s="11"/>
      <c r="AV334" s="1">
        <f t="shared" si="681"/>
        <v>0</v>
      </c>
      <c r="AW334" s="1">
        <f t="shared" si="682"/>
        <v>0</v>
      </c>
      <c r="AX334" s="1">
        <f t="shared" si="683"/>
        <v>0</v>
      </c>
      <c r="AY334" s="1">
        <f t="shared" si="684"/>
        <v>32</v>
      </c>
      <c r="AZ334" s="1">
        <f t="shared" si="685"/>
        <v>0</v>
      </c>
      <c r="BA334" s="1">
        <f t="shared" si="686"/>
        <v>0</v>
      </c>
      <c r="BB334" s="1">
        <f t="shared" si="687"/>
        <v>0</v>
      </c>
      <c r="BC334" s="1">
        <f t="shared" si="688"/>
        <v>0</v>
      </c>
      <c r="BD334" s="1">
        <f t="shared" si="689"/>
        <v>0</v>
      </c>
      <c r="BE334" s="1">
        <f t="shared" si="690"/>
        <v>0</v>
      </c>
      <c r="BG334" s="1">
        <f t="shared" si="693"/>
        <v>0</v>
      </c>
      <c r="BH334" s="1">
        <f t="shared" si="693"/>
        <v>0</v>
      </c>
      <c r="BI334" s="1">
        <f t="shared" si="672"/>
        <v>0</v>
      </c>
      <c r="BJ334" s="1">
        <f t="shared" si="673"/>
        <v>320</v>
      </c>
      <c r="BK334" s="1">
        <f t="shared" si="674"/>
        <v>0</v>
      </c>
      <c r="BL334" s="1">
        <f t="shared" si="675"/>
        <v>0</v>
      </c>
      <c r="BM334" s="1">
        <f t="shared" si="676"/>
        <v>0</v>
      </c>
      <c r="BN334" s="1">
        <f t="shared" si="677"/>
        <v>0</v>
      </c>
      <c r="BO334" s="1">
        <f t="shared" si="678"/>
        <v>0</v>
      </c>
      <c r="BP334" s="1">
        <f t="shared" si="679"/>
        <v>0</v>
      </c>
      <c r="BQ334" s="1">
        <f t="shared" si="680"/>
        <v>320</v>
      </c>
    </row>
    <row r="335" spans="2:69" s="10" customFormat="1" ht="15" customHeight="1" x14ac:dyDescent="0.25">
      <c r="B335" s="2"/>
      <c r="C335" t="s">
        <v>44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>
        <f>4128-3499</f>
        <v>629</v>
      </c>
      <c r="S335" s="1"/>
      <c r="T335" s="1">
        <f>4060-3467</f>
        <v>593</v>
      </c>
      <c r="U335" s="1"/>
      <c r="V335" s="1">
        <f>1058-702</f>
        <v>356</v>
      </c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17"/>
      <c r="AI335" s="1"/>
      <c r="AJ335" s="1"/>
      <c r="AK335" s="1"/>
      <c r="AL335" s="117"/>
      <c r="AM335" s="1"/>
      <c r="AN335" s="1"/>
      <c r="AO335" s="1"/>
      <c r="AP335" s="1"/>
      <c r="AQ335" s="1"/>
      <c r="AR335" s="3">
        <f t="shared" si="692"/>
        <v>1578</v>
      </c>
      <c r="AS335" s="11"/>
      <c r="AT335" s="1">
        <f>+AR335-[2]PassVol!$AN335</f>
        <v>1578</v>
      </c>
      <c r="AU335" s="11"/>
      <c r="AV335" s="1">
        <f t="shared" si="681"/>
        <v>0</v>
      </c>
      <c r="AW335" s="1">
        <f t="shared" si="682"/>
        <v>0</v>
      </c>
      <c r="AX335" s="1">
        <f t="shared" si="683"/>
        <v>0</v>
      </c>
      <c r="AY335" s="1">
        <f t="shared" si="684"/>
        <v>1222</v>
      </c>
      <c r="AZ335" s="1">
        <f t="shared" si="685"/>
        <v>356</v>
      </c>
      <c r="BA335" s="1">
        <f t="shared" si="686"/>
        <v>0</v>
      </c>
      <c r="BB335" s="1">
        <f t="shared" si="687"/>
        <v>0</v>
      </c>
      <c r="BC335" s="1">
        <f t="shared" si="688"/>
        <v>0</v>
      </c>
      <c r="BD335" s="1">
        <f t="shared" si="689"/>
        <v>0</v>
      </c>
      <c r="BE335" s="1">
        <f t="shared" si="690"/>
        <v>0</v>
      </c>
      <c r="BG335" s="1">
        <f t="shared" si="693"/>
        <v>0</v>
      </c>
      <c r="BH335" s="1">
        <f t="shared" si="693"/>
        <v>0</v>
      </c>
      <c r="BI335" s="1">
        <f t="shared" si="672"/>
        <v>0</v>
      </c>
      <c r="BJ335" s="1">
        <f t="shared" si="673"/>
        <v>12220</v>
      </c>
      <c r="BK335" s="1">
        <f t="shared" si="674"/>
        <v>3560</v>
      </c>
      <c r="BL335" s="1">
        <f t="shared" si="675"/>
        <v>0</v>
      </c>
      <c r="BM335" s="1">
        <f t="shared" si="676"/>
        <v>0</v>
      </c>
      <c r="BN335" s="1">
        <f t="shared" si="677"/>
        <v>0</v>
      </c>
      <c r="BO335" s="1">
        <f t="shared" si="678"/>
        <v>0</v>
      </c>
      <c r="BP335" s="1">
        <f t="shared" si="679"/>
        <v>0</v>
      </c>
      <c r="BQ335" s="1">
        <f t="shared" si="680"/>
        <v>15780</v>
      </c>
    </row>
    <row r="336" spans="2:69" s="10" customFormat="1" ht="15" customHeight="1" x14ac:dyDescent="0.25">
      <c r="B336" s="2" t="s">
        <v>350</v>
      </c>
      <c r="C336" s="2"/>
      <c r="D336" s="3">
        <f t="shared" ref="D336:AQ336" si="694">SUM(D317:D335)</f>
        <v>0</v>
      </c>
      <c r="E336" s="3">
        <f t="shared" si="694"/>
        <v>0</v>
      </c>
      <c r="F336" s="3">
        <f t="shared" si="694"/>
        <v>0</v>
      </c>
      <c r="G336" s="3">
        <f t="shared" si="694"/>
        <v>0</v>
      </c>
      <c r="H336" s="3">
        <f t="shared" si="694"/>
        <v>0</v>
      </c>
      <c r="I336" s="3">
        <f t="shared" si="694"/>
        <v>0</v>
      </c>
      <c r="J336" s="3">
        <f t="shared" si="694"/>
        <v>0</v>
      </c>
      <c r="K336" s="3">
        <f t="shared" si="694"/>
        <v>0</v>
      </c>
      <c r="L336" s="3">
        <f t="shared" si="694"/>
        <v>0</v>
      </c>
      <c r="M336" s="3">
        <f t="shared" si="694"/>
        <v>0</v>
      </c>
      <c r="N336" s="3">
        <f t="shared" si="694"/>
        <v>0</v>
      </c>
      <c r="O336" s="3">
        <f t="shared" si="694"/>
        <v>0</v>
      </c>
      <c r="P336" s="3">
        <f t="shared" si="694"/>
        <v>0</v>
      </c>
      <c r="Q336" s="3">
        <f t="shared" si="694"/>
        <v>0</v>
      </c>
      <c r="R336" s="3">
        <f t="shared" si="694"/>
        <v>4128</v>
      </c>
      <c r="S336" s="3">
        <f t="shared" si="694"/>
        <v>0</v>
      </c>
      <c r="T336" s="3">
        <f t="shared" si="694"/>
        <v>4060</v>
      </c>
      <c r="U336" s="3">
        <f t="shared" si="694"/>
        <v>0</v>
      </c>
      <c r="V336" s="3">
        <f t="shared" si="694"/>
        <v>1058</v>
      </c>
      <c r="W336" s="3">
        <f t="shared" si="694"/>
        <v>0</v>
      </c>
      <c r="X336" s="3">
        <f t="shared" si="694"/>
        <v>0</v>
      </c>
      <c r="Y336" s="3">
        <f t="shared" si="694"/>
        <v>0</v>
      </c>
      <c r="Z336" s="3">
        <f t="shared" si="694"/>
        <v>0</v>
      </c>
      <c r="AA336" s="3">
        <f t="shared" si="694"/>
        <v>0</v>
      </c>
      <c r="AB336" s="3">
        <f t="shared" si="694"/>
        <v>0</v>
      </c>
      <c r="AC336" s="3">
        <f t="shared" si="694"/>
        <v>0</v>
      </c>
      <c r="AD336" s="3">
        <f t="shared" si="694"/>
        <v>0</v>
      </c>
      <c r="AE336" s="3">
        <f t="shared" si="694"/>
        <v>0</v>
      </c>
      <c r="AF336" s="3">
        <f t="shared" si="694"/>
        <v>0</v>
      </c>
      <c r="AG336" s="3">
        <f t="shared" si="694"/>
        <v>0</v>
      </c>
      <c r="AH336" s="150">
        <f t="shared" si="694"/>
        <v>0</v>
      </c>
      <c r="AI336" s="3">
        <f t="shared" si="694"/>
        <v>0</v>
      </c>
      <c r="AJ336" s="3">
        <f t="shared" si="694"/>
        <v>0</v>
      </c>
      <c r="AK336" s="3">
        <f t="shared" si="694"/>
        <v>0</v>
      </c>
      <c r="AL336" s="150">
        <f t="shared" si="694"/>
        <v>0</v>
      </c>
      <c r="AM336" s="3">
        <f t="shared" si="694"/>
        <v>0</v>
      </c>
      <c r="AN336" s="3">
        <f t="shared" si="694"/>
        <v>0</v>
      </c>
      <c r="AO336" s="3">
        <f t="shared" si="694"/>
        <v>0</v>
      </c>
      <c r="AP336" s="3">
        <f t="shared" si="694"/>
        <v>0</v>
      </c>
      <c r="AQ336" s="3">
        <f t="shared" si="694"/>
        <v>0</v>
      </c>
      <c r="AR336" s="3">
        <f t="shared" ref="AR336" si="695">SUM(AR317:AR335)</f>
        <v>9246</v>
      </c>
      <c r="AS336" s="11"/>
      <c r="AT336" s="1">
        <f>+AR336-[2]PassVol!$AN336</f>
        <v>9246</v>
      </c>
      <c r="AU336" s="11"/>
      <c r="AV336" s="3">
        <f>SUM(AV317:AV335)</f>
        <v>0</v>
      </c>
      <c r="AW336" s="3">
        <f>SUM(AW317:AW335)</f>
        <v>0</v>
      </c>
      <c r="AX336" s="3">
        <f t="shared" ref="AX336:BE336" si="696">SUM(AX317:AX335)</f>
        <v>0</v>
      </c>
      <c r="AY336" s="3">
        <f t="shared" si="696"/>
        <v>8188</v>
      </c>
      <c r="AZ336" s="3">
        <f t="shared" si="696"/>
        <v>1058</v>
      </c>
      <c r="BA336" s="3">
        <f t="shared" si="696"/>
        <v>0</v>
      </c>
      <c r="BB336" s="3">
        <f t="shared" si="696"/>
        <v>0</v>
      </c>
      <c r="BC336" s="3">
        <f t="shared" si="696"/>
        <v>0</v>
      </c>
      <c r="BD336" s="3">
        <f t="shared" si="696"/>
        <v>0</v>
      </c>
      <c r="BE336" s="3">
        <f t="shared" si="696"/>
        <v>0</v>
      </c>
      <c r="BG336" s="3">
        <f t="shared" ref="BG336" si="697">SUM(BG317:BG335)</f>
        <v>0</v>
      </c>
      <c r="BH336" s="3">
        <f t="shared" ref="BH336:BQ336" si="698">SUM(BH317:BH335)</f>
        <v>0</v>
      </c>
      <c r="BI336" s="3">
        <f t="shared" si="698"/>
        <v>0</v>
      </c>
      <c r="BJ336" s="3">
        <f t="shared" si="698"/>
        <v>81880</v>
      </c>
      <c r="BK336" s="3">
        <f t="shared" si="698"/>
        <v>10580</v>
      </c>
      <c r="BL336" s="3">
        <f t="shared" si="698"/>
        <v>0</v>
      </c>
      <c r="BM336" s="3">
        <f t="shared" si="698"/>
        <v>0</v>
      </c>
      <c r="BN336" s="3">
        <f t="shared" si="698"/>
        <v>0</v>
      </c>
      <c r="BO336" s="3">
        <f t="shared" si="698"/>
        <v>0</v>
      </c>
      <c r="BP336" s="3">
        <f t="shared" si="698"/>
        <v>0</v>
      </c>
      <c r="BQ336" s="3">
        <f t="shared" si="698"/>
        <v>92460</v>
      </c>
    </row>
    <row r="337" spans="2:69" s="10" customFormat="1" ht="15" customHeight="1" x14ac:dyDescent="0.25">
      <c r="B337" s="2"/>
      <c r="C337" s="38" t="s">
        <v>97</v>
      </c>
      <c r="D337" s="11">
        <f>+D336</f>
        <v>0</v>
      </c>
      <c r="E337" s="11">
        <f>+D337+E336</f>
        <v>0</v>
      </c>
      <c r="F337" s="11">
        <f t="shared" ref="F337:AQ337" si="699">+E337+F336</f>
        <v>0</v>
      </c>
      <c r="G337" s="11">
        <f t="shared" si="699"/>
        <v>0</v>
      </c>
      <c r="H337" s="11">
        <f t="shared" si="699"/>
        <v>0</v>
      </c>
      <c r="I337" s="11">
        <f t="shared" si="699"/>
        <v>0</v>
      </c>
      <c r="J337" s="11">
        <f t="shared" si="699"/>
        <v>0</v>
      </c>
      <c r="K337" s="11">
        <f t="shared" si="699"/>
        <v>0</v>
      </c>
      <c r="L337" s="11">
        <f t="shared" si="699"/>
        <v>0</v>
      </c>
      <c r="M337" s="11">
        <f t="shared" si="699"/>
        <v>0</v>
      </c>
      <c r="N337" s="11">
        <f t="shared" si="699"/>
        <v>0</v>
      </c>
      <c r="O337" s="11">
        <f t="shared" si="699"/>
        <v>0</v>
      </c>
      <c r="P337" s="11">
        <f t="shared" si="699"/>
        <v>0</v>
      </c>
      <c r="Q337" s="11">
        <f t="shared" si="699"/>
        <v>0</v>
      </c>
      <c r="R337" s="11">
        <f t="shared" si="699"/>
        <v>4128</v>
      </c>
      <c r="S337" s="11">
        <f t="shared" si="699"/>
        <v>4128</v>
      </c>
      <c r="T337" s="11">
        <f t="shared" si="699"/>
        <v>8188</v>
      </c>
      <c r="U337" s="11">
        <f t="shared" si="699"/>
        <v>8188</v>
      </c>
      <c r="V337" s="11">
        <f t="shared" si="699"/>
        <v>9246</v>
      </c>
      <c r="W337" s="11">
        <f t="shared" si="699"/>
        <v>9246</v>
      </c>
      <c r="X337" s="11">
        <f t="shared" si="699"/>
        <v>9246</v>
      </c>
      <c r="Y337" s="11">
        <f t="shared" si="699"/>
        <v>9246</v>
      </c>
      <c r="Z337" s="11">
        <f t="shared" si="699"/>
        <v>9246</v>
      </c>
      <c r="AA337" s="11">
        <f t="shared" si="699"/>
        <v>9246</v>
      </c>
      <c r="AB337" s="11">
        <f t="shared" si="699"/>
        <v>9246</v>
      </c>
      <c r="AC337" s="11">
        <f t="shared" si="699"/>
        <v>9246</v>
      </c>
      <c r="AD337" s="11">
        <f t="shared" si="699"/>
        <v>9246</v>
      </c>
      <c r="AE337" s="11">
        <f t="shared" si="699"/>
        <v>9246</v>
      </c>
      <c r="AF337" s="11">
        <f t="shared" si="699"/>
        <v>9246</v>
      </c>
      <c r="AG337" s="11">
        <f t="shared" si="699"/>
        <v>9246</v>
      </c>
      <c r="AH337" s="147">
        <f t="shared" si="699"/>
        <v>9246</v>
      </c>
      <c r="AI337" s="11">
        <f t="shared" si="699"/>
        <v>9246</v>
      </c>
      <c r="AJ337" s="11">
        <f t="shared" si="699"/>
        <v>9246</v>
      </c>
      <c r="AK337" s="11">
        <f t="shared" si="699"/>
        <v>9246</v>
      </c>
      <c r="AL337" s="147">
        <f t="shared" si="699"/>
        <v>9246</v>
      </c>
      <c r="AM337" s="11">
        <f t="shared" si="699"/>
        <v>9246</v>
      </c>
      <c r="AN337" s="11">
        <f t="shared" si="699"/>
        <v>9246</v>
      </c>
      <c r="AO337" s="11">
        <f t="shared" si="699"/>
        <v>9246</v>
      </c>
      <c r="AP337" s="11">
        <f t="shared" si="699"/>
        <v>9246</v>
      </c>
      <c r="AQ337" s="11">
        <f t="shared" si="699"/>
        <v>9246</v>
      </c>
      <c r="AR337" s="40"/>
      <c r="AS337" s="11"/>
      <c r="AT337" s="11"/>
      <c r="AU337" s="35"/>
      <c r="AV337" s="11">
        <f>+AV336</f>
        <v>0</v>
      </c>
      <c r="AW337" s="1">
        <f>+AV337+AW336</f>
        <v>0</v>
      </c>
      <c r="AX337" s="1">
        <f t="shared" ref="AX337" si="700">+AW337+AX336</f>
        <v>0</v>
      </c>
      <c r="AY337" s="1">
        <f t="shared" ref="AY337" si="701">+AX337+AY336</f>
        <v>8188</v>
      </c>
      <c r="AZ337" s="1">
        <f t="shared" ref="AZ337" si="702">+AY337+AZ336</f>
        <v>9246</v>
      </c>
      <c r="BA337" s="1">
        <f t="shared" ref="BA337" si="703">+AZ337+BA336</f>
        <v>9246</v>
      </c>
      <c r="BB337" s="1">
        <f t="shared" ref="BB337" si="704">+BA337+BB336</f>
        <v>9246</v>
      </c>
      <c r="BC337" s="1">
        <f t="shared" ref="BC337" si="705">+BB337+BC336</f>
        <v>9246</v>
      </c>
      <c r="BD337" s="1">
        <f t="shared" ref="BD337" si="706">+BC337+BD336</f>
        <v>9246</v>
      </c>
      <c r="BE337" s="1">
        <f t="shared" ref="BE337" si="707">+BD337+BE336</f>
        <v>9246</v>
      </c>
      <c r="BF337" s="11"/>
      <c r="BG337" s="11"/>
      <c r="BH337" s="11"/>
      <c r="BI337" s="11"/>
      <c r="BJ337" s="11"/>
      <c r="BK337" s="11"/>
      <c r="BL337" s="11"/>
      <c r="BM337" s="11"/>
      <c r="BN337" s="11"/>
    </row>
    <row r="338" spans="2:69" s="10" customFormat="1" ht="15" customHeight="1" x14ac:dyDescent="0.25">
      <c r="B338" s="2"/>
      <c r="C338" s="38" t="s">
        <v>220</v>
      </c>
      <c r="D338" s="11">
        <f>+D336*10</f>
        <v>0</v>
      </c>
      <c r="E338" s="11">
        <f t="shared" ref="E338:AQ338" si="708">+E336*10</f>
        <v>0</v>
      </c>
      <c r="F338" s="11">
        <f t="shared" si="708"/>
        <v>0</v>
      </c>
      <c r="G338" s="11">
        <f t="shared" si="708"/>
        <v>0</v>
      </c>
      <c r="H338" s="11">
        <f t="shared" si="708"/>
        <v>0</v>
      </c>
      <c r="I338" s="11">
        <f t="shared" si="708"/>
        <v>0</v>
      </c>
      <c r="J338" s="11">
        <f t="shared" si="708"/>
        <v>0</v>
      </c>
      <c r="K338" s="11">
        <f t="shared" si="708"/>
        <v>0</v>
      </c>
      <c r="L338" s="11">
        <f t="shared" si="708"/>
        <v>0</v>
      </c>
      <c r="M338" s="11">
        <f t="shared" si="708"/>
        <v>0</v>
      </c>
      <c r="N338" s="11">
        <f t="shared" si="708"/>
        <v>0</v>
      </c>
      <c r="O338" s="11">
        <f t="shared" si="708"/>
        <v>0</v>
      </c>
      <c r="P338" s="11">
        <f t="shared" si="708"/>
        <v>0</v>
      </c>
      <c r="Q338" s="11">
        <f t="shared" si="708"/>
        <v>0</v>
      </c>
      <c r="R338" s="11">
        <f t="shared" si="708"/>
        <v>41280</v>
      </c>
      <c r="S338" s="11">
        <f t="shared" si="708"/>
        <v>0</v>
      </c>
      <c r="T338" s="11">
        <f t="shared" si="708"/>
        <v>40600</v>
      </c>
      <c r="U338" s="11">
        <f t="shared" si="708"/>
        <v>0</v>
      </c>
      <c r="V338" s="11">
        <f t="shared" si="708"/>
        <v>10580</v>
      </c>
      <c r="W338" s="11">
        <f t="shared" si="708"/>
        <v>0</v>
      </c>
      <c r="X338" s="11">
        <f t="shared" si="708"/>
        <v>0</v>
      </c>
      <c r="Y338" s="11">
        <f t="shared" si="708"/>
        <v>0</v>
      </c>
      <c r="Z338" s="11">
        <f t="shared" si="708"/>
        <v>0</v>
      </c>
      <c r="AA338" s="11">
        <f t="shared" si="708"/>
        <v>0</v>
      </c>
      <c r="AB338" s="11">
        <f t="shared" si="708"/>
        <v>0</v>
      </c>
      <c r="AC338" s="11">
        <f t="shared" si="708"/>
        <v>0</v>
      </c>
      <c r="AD338" s="11">
        <f t="shared" si="708"/>
        <v>0</v>
      </c>
      <c r="AE338" s="11">
        <f t="shared" si="708"/>
        <v>0</v>
      </c>
      <c r="AF338" s="11">
        <f t="shared" si="708"/>
        <v>0</v>
      </c>
      <c r="AG338" s="11">
        <f t="shared" si="708"/>
        <v>0</v>
      </c>
      <c r="AH338" s="147">
        <f t="shared" si="708"/>
        <v>0</v>
      </c>
      <c r="AI338" s="11">
        <f t="shared" si="708"/>
        <v>0</v>
      </c>
      <c r="AJ338" s="11">
        <f t="shared" si="708"/>
        <v>0</v>
      </c>
      <c r="AK338" s="11">
        <f t="shared" si="708"/>
        <v>0</v>
      </c>
      <c r="AL338" s="147">
        <f t="shared" si="708"/>
        <v>0</v>
      </c>
      <c r="AM338" s="11">
        <f t="shared" si="708"/>
        <v>0</v>
      </c>
      <c r="AN338" s="11">
        <f t="shared" si="708"/>
        <v>0</v>
      </c>
      <c r="AO338" s="11">
        <f t="shared" si="708"/>
        <v>0</v>
      </c>
      <c r="AP338" s="11">
        <f t="shared" si="708"/>
        <v>0</v>
      </c>
      <c r="AQ338" s="11">
        <f t="shared" si="708"/>
        <v>0</v>
      </c>
      <c r="AR338" s="3">
        <f>SUM(D338:AQ338)</f>
        <v>92460</v>
      </c>
      <c r="AS338" s="11"/>
      <c r="AT338" s="11"/>
      <c r="AU338" s="35"/>
      <c r="AV338" s="35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</row>
    <row r="339" spans="2:69" s="10" customFormat="1" ht="15" customHeight="1" x14ac:dyDescent="0.2">
      <c r="C339" s="38" t="s">
        <v>286</v>
      </c>
      <c r="D339" s="11">
        <f>+(D336-D326-D332)/2</f>
        <v>0</v>
      </c>
      <c r="E339" s="11">
        <f t="shared" ref="E339:AQ339" si="709">+(E336-E326-E332)/2</f>
        <v>0</v>
      </c>
      <c r="F339" s="11">
        <f t="shared" si="709"/>
        <v>0</v>
      </c>
      <c r="G339" s="11">
        <f t="shared" si="709"/>
        <v>0</v>
      </c>
      <c r="H339" s="11">
        <f t="shared" si="709"/>
        <v>0</v>
      </c>
      <c r="I339" s="11">
        <f t="shared" si="709"/>
        <v>0</v>
      </c>
      <c r="J339" s="11">
        <f t="shared" si="709"/>
        <v>0</v>
      </c>
      <c r="K339" s="11">
        <f t="shared" si="709"/>
        <v>0</v>
      </c>
      <c r="L339" s="11">
        <f t="shared" si="709"/>
        <v>0</v>
      </c>
      <c r="M339" s="11">
        <f t="shared" si="709"/>
        <v>0</v>
      </c>
      <c r="N339" s="11">
        <f t="shared" si="709"/>
        <v>0</v>
      </c>
      <c r="O339" s="11">
        <f t="shared" si="709"/>
        <v>0</v>
      </c>
      <c r="P339" s="11">
        <f t="shared" si="709"/>
        <v>0</v>
      </c>
      <c r="Q339" s="11">
        <f t="shared" si="709"/>
        <v>0</v>
      </c>
      <c r="R339" s="11">
        <f t="shared" si="709"/>
        <v>1704</v>
      </c>
      <c r="S339" s="11">
        <f t="shared" si="709"/>
        <v>0</v>
      </c>
      <c r="T339" s="11">
        <f t="shared" si="709"/>
        <v>1730</v>
      </c>
      <c r="U339" s="11">
        <f t="shared" si="709"/>
        <v>0</v>
      </c>
      <c r="V339" s="11">
        <f t="shared" si="709"/>
        <v>277</v>
      </c>
      <c r="W339" s="11">
        <f t="shared" si="709"/>
        <v>0</v>
      </c>
      <c r="X339" s="11">
        <f t="shared" si="709"/>
        <v>0</v>
      </c>
      <c r="Y339" s="11">
        <f t="shared" si="709"/>
        <v>0</v>
      </c>
      <c r="Z339" s="11">
        <f t="shared" si="709"/>
        <v>0</v>
      </c>
      <c r="AA339" s="11">
        <f t="shared" si="709"/>
        <v>0</v>
      </c>
      <c r="AB339" s="11">
        <f t="shared" si="709"/>
        <v>0</v>
      </c>
      <c r="AC339" s="11">
        <f t="shared" si="709"/>
        <v>0</v>
      </c>
      <c r="AD339" s="11">
        <f t="shared" si="709"/>
        <v>0</v>
      </c>
      <c r="AE339" s="11">
        <f t="shared" si="709"/>
        <v>0</v>
      </c>
      <c r="AF339" s="11">
        <f t="shared" si="709"/>
        <v>0</v>
      </c>
      <c r="AG339" s="11">
        <f t="shared" si="709"/>
        <v>0</v>
      </c>
      <c r="AH339" s="147">
        <f t="shared" si="709"/>
        <v>0</v>
      </c>
      <c r="AI339" s="11">
        <f t="shared" si="709"/>
        <v>0</v>
      </c>
      <c r="AJ339" s="11">
        <f t="shared" si="709"/>
        <v>0</v>
      </c>
      <c r="AK339" s="11">
        <f t="shared" si="709"/>
        <v>0</v>
      </c>
      <c r="AL339" s="147">
        <f t="shared" si="709"/>
        <v>0</v>
      </c>
      <c r="AM339" s="11">
        <f t="shared" si="709"/>
        <v>0</v>
      </c>
      <c r="AN339" s="11">
        <f t="shared" si="709"/>
        <v>0</v>
      </c>
      <c r="AO339" s="11">
        <f t="shared" si="709"/>
        <v>0</v>
      </c>
      <c r="AP339" s="11">
        <f t="shared" si="709"/>
        <v>0</v>
      </c>
      <c r="AQ339" s="11">
        <f t="shared" si="709"/>
        <v>0</v>
      </c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</row>
    <row r="340" spans="2:69" s="10" customFormat="1" ht="15" customHeight="1" x14ac:dyDescent="0.25">
      <c r="B340" s="2" t="s">
        <v>394</v>
      </c>
      <c r="C340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47"/>
      <c r="AI340" s="11"/>
      <c r="AJ340" s="11"/>
      <c r="AK340" s="11"/>
      <c r="AL340" s="147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</row>
    <row r="341" spans="2:69" s="10" customFormat="1" ht="15" customHeight="1" x14ac:dyDescent="0.25">
      <c r="B341" s="2"/>
      <c r="C341" t="s">
        <v>190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17"/>
      <c r="AI341" s="1"/>
      <c r="AJ341" s="1"/>
      <c r="AK341" s="1"/>
      <c r="AL341" s="117"/>
      <c r="AM341" s="1"/>
      <c r="AN341" s="1"/>
      <c r="AO341" s="1"/>
      <c r="AP341" s="1"/>
      <c r="AQ341" s="1"/>
      <c r="AR341" s="3">
        <f>SUM(D341:AQ341)</f>
        <v>0</v>
      </c>
      <c r="AS341" s="11"/>
      <c r="AT341" s="1">
        <f>+AR341-[2]PassVol!$AN341</f>
        <v>0</v>
      </c>
      <c r="AU341" s="11"/>
      <c r="AV341" s="1">
        <f>SUM(D341:G341)</f>
        <v>0</v>
      </c>
      <c r="AW341" s="1">
        <f>SUM(H341:K341)</f>
        <v>0</v>
      </c>
      <c r="AX341" s="1">
        <f>SUM(L341:P341)</f>
        <v>0</v>
      </c>
      <c r="AY341" s="1">
        <f>SUM(Q341:T341)</f>
        <v>0</v>
      </c>
      <c r="AZ341" s="1">
        <f>SUM(U341:X341)</f>
        <v>0</v>
      </c>
      <c r="BA341" s="1">
        <f>SUM(Y341:AC341)</f>
        <v>0</v>
      </c>
      <c r="BB341" s="1">
        <f>SUM(AD341:AG341)</f>
        <v>0</v>
      </c>
      <c r="BC341" s="1">
        <f>SUM(AH341:AK341)</f>
        <v>0</v>
      </c>
      <c r="BD341" s="1">
        <f>SUM(AL341:AP341)</f>
        <v>0</v>
      </c>
      <c r="BE341" s="1">
        <f>+AQ341</f>
        <v>0</v>
      </c>
      <c r="BG341" s="1">
        <f>+AV341*10</f>
        <v>0</v>
      </c>
      <c r="BH341" s="1">
        <f>+AW341*10</f>
        <v>0</v>
      </c>
      <c r="BI341" s="1">
        <f t="shared" ref="BI341:BI359" si="710">+AX341*10</f>
        <v>0</v>
      </c>
      <c r="BJ341" s="1">
        <f t="shared" ref="BJ341:BJ359" si="711">+AY341*10</f>
        <v>0</v>
      </c>
      <c r="BK341" s="1">
        <f t="shared" ref="BK341:BK359" si="712">+AZ341*10</f>
        <v>0</v>
      </c>
      <c r="BL341" s="1">
        <f t="shared" ref="BL341:BL359" si="713">+BA341*10</f>
        <v>0</v>
      </c>
      <c r="BM341" s="1">
        <f t="shared" ref="BM341:BM359" si="714">+BB341*10</f>
        <v>0</v>
      </c>
      <c r="BN341" s="1">
        <f t="shared" ref="BN341:BN359" si="715">+BC341*10</f>
        <v>0</v>
      </c>
      <c r="BO341" s="1">
        <f t="shared" ref="BO341:BO359" si="716">+BD341*10</f>
        <v>0</v>
      </c>
      <c r="BP341" s="1">
        <f t="shared" ref="BP341:BP359" si="717">+BE341*10</f>
        <v>0</v>
      </c>
      <c r="BQ341" s="1">
        <f t="shared" ref="BQ341:BQ359" si="718">SUM(BH341:BP341)</f>
        <v>0</v>
      </c>
    </row>
    <row r="342" spans="2:69" s="10" customFormat="1" ht="15" customHeight="1" x14ac:dyDescent="0.25">
      <c r="B342" s="2"/>
      <c r="C342" t="s">
        <v>424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17"/>
      <c r="AI342" s="1"/>
      <c r="AJ342" s="1"/>
      <c r="AK342" s="1"/>
      <c r="AL342" s="117"/>
      <c r="AM342" s="1"/>
      <c r="AN342" s="1"/>
      <c r="AO342" s="1"/>
      <c r="AP342" s="1"/>
      <c r="AQ342" s="1"/>
      <c r="AR342" s="3">
        <f>SUM(D342:AQ342)</f>
        <v>0</v>
      </c>
      <c r="AS342" s="11"/>
      <c r="AT342" s="1">
        <f>+AR342-[2]PassVol!$AN342</f>
        <v>0</v>
      </c>
      <c r="AU342" s="11"/>
      <c r="AV342" s="1">
        <f t="shared" ref="AV342:AV359" si="719">SUM(D342:G342)</f>
        <v>0</v>
      </c>
      <c r="AW342" s="1">
        <f t="shared" ref="AW342:AW359" si="720">SUM(H342:K342)</f>
        <v>0</v>
      </c>
      <c r="AX342" s="1">
        <f t="shared" ref="AX342:AX359" si="721">SUM(L342:P342)</f>
        <v>0</v>
      </c>
      <c r="AY342" s="1">
        <f t="shared" ref="AY342:AY359" si="722">SUM(Q342:T342)</f>
        <v>0</v>
      </c>
      <c r="AZ342" s="1">
        <f t="shared" ref="AZ342:AZ359" si="723">SUM(U342:X342)</f>
        <v>0</v>
      </c>
      <c r="BA342" s="1">
        <f t="shared" ref="BA342:BA359" si="724">SUM(Y342:AC342)</f>
        <v>0</v>
      </c>
      <c r="BB342" s="1">
        <f t="shared" ref="BB342:BB359" si="725">SUM(AD342:AG342)</f>
        <v>0</v>
      </c>
      <c r="BC342" s="1">
        <f t="shared" ref="BC342:BC359" si="726">SUM(AH342:AK342)</f>
        <v>0</v>
      </c>
      <c r="BD342" s="1">
        <f t="shared" ref="BD342:BD359" si="727">SUM(AL342:AP342)</f>
        <v>0</v>
      </c>
      <c r="BE342" s="1">
        <f t="shared" ref="BE342:BE359" si="728">+AQ342</f>
        <v>0</v>
      </c>
      <c r="BG342" s="1">
        <f>+AV342*10</f>
        <v>0</v>
      </c>
      <c r="BH342" s="1">
        <f>+AW342*10</f>
        <v>0</v>
      </c>
      <c r="BI342" s="1">
        <f t="shared" si="710"/>
        <v>0</v>
      </c>
      <c r="BJ342" s="1">
        <f t="shared" si="711"/>
        <v>0</v>
      </c>
      <c r="BK342" s="1">
        <f t="shared" si="712"/>
        <v>0</v>
      </c>
      <c r="BL342" s="1">
        <f t="shared" si="713"/>
        <v>0</v>
      </c>
      <c r="BM342" s="1">
        <f t="shared" si="714"/>
        <v>0</v>
      </c>
      <c r="BN342" s="1">
        <f t="shared" si="715"/>
        <v>0</v>
      </c>
      <c r="BO342" s="1">
        <f t="shared" si="716"/>
        <v>0</v>
      </c>
      <c r="BP342" s="1">
        <f t="shared" si="717"/>
        <v>0</v>
      </c>
      <c r="BQ342" s="1">
        <f t="shared" si="718"/>
        <v>0</v>
      </c>
    </row>
    <row r="343" spans="2:69" s="10" customFormat="1" ht="15" customHeight="1" x14ac:dyDescent="0.25">
      <c r="B343" s="2"/>
      <c r="C343" t="s">
        <v>347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17"/>
      <c r="AI343" s="1"/>
      <c r="AJ343" s="1"/>
      <c r="AK343" s="1"/>
      <c r="AL343" s="117"/>
      <c r="AM343" s="1"/>
      <c r="AN343" s="1"/>
      <c r="AO343" s="1"/>
      <c r="AP343" s="1"/>
      <c r="AQ343" s="1"/>
      <c r="AR343" s="3">
        <f t="shared" ref="AR343:AR359" si="729">SUM(D343:AQ343)</f>
        <v>0</v>
      </c>
      <c r="AS343" s="11"/>
      <c r="AT343" s="1">
        <f>+AR343-[2]PassVol!$AN343</f>
        <v>0</v>
      </c>
      <c r="AU343" s="11"/>
      <c r="AV343" s="1">
        <f t="shared" si="719"/>
        <v>0</v>
      </c>
      <c r="AW343" s="1">
        <f t="shared" si="720"/>
        <v>0</v>
      </c>
      <c r="AX343" s="1">
        <f t="shared" si="721"/>
        <v>0</v>
      </c>
      <c r="AY343" s="1">
        <f t="shared" si="722"/>
        <v>0</v>
      </c>
      <c r="AZ343" s="1">
        <f t="shared" si="723"/>
        <v>0</v>
      </c>
      <c r="BA343" s="1">
        <f t="shared" si="724"/>
        <v>0</v>
      </c>
      <c r="BB343" s="1">
        <f t="shared" si="725"/>
        <v>0</v>
      </c>
      <c r="BC343" s="1">
        <f t="shared" si="726"/>
        <v>0</v>
      </c>
      <c r="BD343" s="1">
        <f t="shared" si="727"/>
        <v>0</v>
      </c>
      <c r="BE343" s="1">
        <f t="shared" si="728"/>
        <v>0</v>
      </c>
      <c r="BG343" s="1">
        <f t="shared" ref="BG343:BH359" si="730">+AV343*10</f>
        <v>0</v>
      </c>
      <c r="BH343" s="1">
        <f t="shared" si="730"/>
        <v>0</v>
      </c>
      <c r="BI343" s="1">
        <f t="shared" si="710"/>
        <v>0</v>
      </c>
      <c r="BJ343" s="1">
        <f t="shared" si="711"/>
        <v>0</v>
      </c>
      <c r="BK343" s="1">
        <f t="shared" si="712"/>
        <v>0</v>
      </c>
      <c r="BL343" s="1">
        <f t="shared" si="713"/>
        <v>0</v>
      </c>
      <c r="BM343" s="1">
        <f t="shared" si="714"/>
        <v>0</v>
      </c>
      <c r="BN343" s="1">
        <f t="shared" si="715"/>
        <v>0</v>
      </c>
      <c r="BO343" s="1">
        <f t="shared" si="716"/>
        <v>0</v>
      </c>
      <c r="BP343" s="1">
        <f t="shared" si="717"/>
        <v>0</v>
      </c>
      <c r="BQ343" s="1">
        <f t="shared" si="718"/>
        <v>0</v>
      </c>
    </row>
    <row r="344" spans="2:69" s="10" customFormat="1" ht="15" customHeight="1" x14ac:dyDescent="0.25">
      <c r="B344" s="2"/>
      <c r="C344" t="s">
        <v>0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17"/>
      <c r="AI344" s="1"/>
      <c r="AJ344" s="1"/>
      <c r="AK344" s="1"/>
      <c r="AL344" s="117"/>
      <c r="AM344" s="1"/>
      <c r="AN344" s="1"/>
      <c r="AO344" s="1"/>
      <c r="AP344" s="1"/>
      <c r="AQ344" s="1"/>
      <c r="AR344" s="3">
        <f t="shared" si="729"/>
        <v>0</v>
      </c>
      <c r="AS344" s="11"/>
      <c r="AT344" s="1">
        <f>+AR344-[2]PassVol!$AN344</f>
        <v>0</v>
      </c>
      <c r="AU344" s="11"/>
      <c r="AV344" s="1">
        <f t="shared" si="719"/>
        <v>0</v>
      </c>
      <c r="AW344" s="1">
        <f t="shared" si="720"/>
        <v>0</v>
      </c>
      <c r="AX344" s="1">
        <f t="shared" si="721"/>
        <v>0</v>
      </c>
      <c r="AY344" s="1">
        <f t="shared" si="722"/>
        <v>0</v>
      </c>
      <c r="AZ344" s="1">
        <f t="shared" si="723"/>
        <v>0</v>
      </c>
      <c r="BA344" s="1">
        <f t="shared" si="724"/>
        <v>0</v>
      </c>
      <c r="BB344" s="1">
        <f t="shared" si="725"/>
        <v>0</v>
      </c>
      <c r="BC344" s="1">
        <f t="shared" si="726"/>
        <v>0</v>
      </c>
      <c r="BD344" s="1">
        <f t="shared" si="727"/>
        <v>0</v>
      </c>
      <c r="BE344" s="1">
        <f t="shared" si="728"/>
        <v>0</v>
      </c>
      <c r="BG344" s="1">
        <f t="shared" si="730"/>
        <v>0</v>
      </c>
      <c r="BH344" s="1">
        <f t="shared" si="730"/>
        <v>0</v>
      </c>
      <c r="BI344" s="1">
        <f t="shared" si="710"/>
        <v>0</v>
      </c>
      <c r="BJ344" s="1">
        <f t="shared" si="711"/>
        <v>0</v>
      </c>
      <c r="BK344" s="1">
        <f t="shared" si="712"/>
        <v>0</v>
      </c>
      <c r="BL344" s="1">
        <f t="shared" si="713"/>
        <v>0</v>
      </c>
      <c r="BM344" s="1">
        <f t="shared" si="714"/>
        <v>0</v>
      </c>
      <c r="BN344" s="1">
        <f t="shared" si="715"/>
        <v>0</v>
      </c>
      <c r="BO344" s="1">
        <f t="shared" si="716"/>
        <v>0</v>
      </c>
      <c r="BP344" s="1">
        <f t="shared" si="717"/>
        <v>0</v>
      </c>
      <c r="BQ344" s="1">
        <f t="shared" si="718"/>
        <v>0</v>
      </c>
    </row>
    <row r="345" spans="2:69" s="10" customFormat="1" ht="15" customHeight="1" x14ac:dyDescent="0.25">
      <c r="B345" s="2"/>
      <c r="C345" t="s">
        <v>354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17"/>
      <c r="AI345" s="1"/>
      <c r="AJ345" s="1"/>
      <c r="AK345" s="1"/>
      <c r="AL345" s="117"/>
      <c r="AM345" s="1"/>
      <c r="AN345" s="1"/>
      <c r="AO345" s="1"/>
      <c r="AP345" s="1"/>
      <c r="AQ345" s="1"/>
      <c r="AR345" s="3">
        <f t="shared" si="729"/>
        <v>0</v>
      </c>
      <c r="AS345" s="11"/>
      <c r="AT345" s="1">
        <f>+AR345-[2]PassVol!$AN345</f>
        <v>0</v>
      </c>
      <c r="AU345" s="11"/>
      <c r="AV345" s="1">
        <f t="shared" si="719"/>
        <v>0</v>
      </c>
      <c r="AW345" s="1">
        <f t="shared" si="720"/>
        <v>0</v>
      </c>
      <c r="AX345" s="1">
        <f t="shared" si="721"/>
        <v>0</v>
      </c>
      <c r="AY345" s="1">
        <f t="shared" si="722"/>
        <v>0</v>
      </c>
      <c r="AZ345" s="1">
        <f t="shared" si="723"/>
        <v>0</v>
      </c>
      <c r="BA345" s="1">
        <f t="shared" si="724"/>
        <v>0</v>
      </c>
      <c r="BB345" s="1">
        <f t="shared" si="725"/>
        <v>0</v>
      </c>
      <c r="BC345" s="1">
        <f t="shared" si="726"/>
        <v>0</v>
      </c>
      <c r="BD345" s="1">
        <f t="shared" si="727"/>
        <v>0</v>
      </c>
      <c r="BE345" s="1">
        <f t="shared" si="728"/>
        <v>0</v>
      </c>
      <c r="BG345" s="1">
        <f t="shared" si="730"/>
        <v>0</v>
      </c>
      <c r="BH345" s="1">
        <f t="shared" si="730"/>
        <v>0</v>
      </c>
      <c r="BI345" s="1">
        <f t="shared" si="710"/>
        <v>0</v>
      </c>
      <c r="BJ345" s="1">
        <f t="shared" si="711"/>
        <v>0</v>
      </c>
      <c r="BK345" s="1">
        <f t="shared" si="712"/>
        <v>0</v>
      </c>
      <c r="BL345" s="1">
        <f t="shared" si="713"/>
        <v>0</v>
      </c>
      <c r="BM345" s="1">
        <f t="shared" si="714"/>
        <v>0</v>
      </c>
      <c r="BN345" s="1">
        <f t="shared" si="715"/>
        <v>0</v>
      </c>
      <c r="BO345" s="1">
        <f t="shared" si="716"/>
        <v>0</v>
      </c>
      <c r="BP345" s="1">
        <f t="shared" si="717"/>
        <v>0</v>
      </c>
      <c r="BQ345" s="1">
        <f t="shared" si="718"/>
        <v>0</v>
      </c>
    </row>
    <row r="346" spans="2:69" s="10" customFormat="1" ht="15" customHeight="1" x14ac:dyDescent="0.25">
      <c r="B346" s="2"/>
      <c r="C346" t="s">
        <v>265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17"/>
      <c r="AI346" s="1"/>
      <c r="AJ346" s="1"/>
      <c r="AK346" s="1"/>
      <c r="AL346" s="117"/>
      <c r="AM346" s="1"/>
      <c r="AN346" s="1"/>
      <c r="AO346" s="1"/>
      <c r="AP346" s="1"/>
      <c r="AQ346" s="1"/>
      <c r="AR346" s="3">
        <f t="shared" si="729"/>
        <v>0</v>
      </c>
      <c r="AS346" s="11"/>
      <c r="AT346" s="1">
        <f>+AR346-[2]PassVol!$AN346</f>
        <v>0</v>
      </c>
      <c r="AU346" s="11"/>
      <c r="AV346" s="1">
        <f t="shared" si="719"/>
        <v>0</v>
      </c>
      <c r="AW346" s="1">
        <f t="shared" si="720"/>
        <v>0</v>
      </c>
      <c r="AX346" s="1">
        <f t="shared" si="721"/>
        <v>0</v>
      </c>
      <c r="AY346" s="1">
        <f t="shared" si="722"/>
        <v>0</v>
      </c>
      <c r="AZ346" s="1">
        <f t="shared" si="723"/>
        <v>0</v>
      </c>
      <c r="BA346" s="1">
        <f t="shared" si="724"/>
        <v>0</v>
      </c>
      <c r="BB346" s="1">
        <f t="shared" si="725"/>
        <v>0</v>
      </c>
      <c r="BC346" s="1">
        <f t="shared" si="726"/>
        <v>0</v>
      </c>
      <c r="BD346" s="1">
        <f t="shared" si="727"/>
        <v>0</v>
      </c>
      <c r="BE346" s="1">
        <f t="shared" si="728"/>
        <v>0</v>
      </c>
      <c r="BG346" s="1">
        <f t="shared" si="730"/>
        <v>0</v>
      </c>
      <c r="BH346" s="1">
        <f t="shared" si="730"/>
        <v>0</v>
      </c>
      <c r="BI346" s="1">
        <f t="shared" si="710"/>
        <v>0</v>
      </c>
      <c r="BJ346" s="1">
        <f t="shared" si="711"/>
        <v>0</v>
      </c>
      <c r="BK346" s="1">
        <f t="shared" si="712"/>
        <v>0</v>
      </c>
      <c r="BL346" s="1">
        <f t="shared" si="713"/>
        <v>0</v>
      </c>
      <c r="BM346" s="1">
        <f t="shared" si="714"/>
        <v>0</v>
      </c>
      <c r="BN346" s="1">
        <f t="shared" si="715"/>
        <v>0</v>
      </c>
      <c r="BO346" s="1">
        <f t="shared" si="716"/>
        <v>0</v>
      </c>
      <c r="BP346" s="1">
        <f t="shared" si="717"/>
        <v>0</v>
      </c>
      <c r="BQ346" s="1">
        <f t="shared" si="718"/>
        <v>0</v>
      </c>
    </row>
    <row r="347" spans="2:69" s="10" customFormat="1" ht="15" customHeight="1" x14ac:dyDescent="0.25">
      <c r="B347" s="2"/>
      <c r="C347" t="s">
        <v>191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17"/>
      <c r="AI347" s="1"/>
      <c r="AJ347" s="1"/>
      <c r="AK347" s="1"/>
      <c r="AL347" s="117"/>
      <c r="AM347" s="1"/>
      <c r="AN347" s="1"/>
      <c r="AO347" s="1"/>
      <c r="AP347" s="1"/>
      <c r="AQ347" s="1"/>
      <c r="AR347" s="3">
        <f t="shared" si="729"/>
        <v>0</v>
      </c>
      <c r="AS347" s="11"/>
      <c r="AT347" s="1">
        <f>+AR347-[2]PassVol!$AN347</f>
        <v>0</v>
      </c>
      <c r="AU347" s="11"/>
      <c r="AV347" s="1">
        <f t="shared" si="719"/>
        <v>0</v>
      </c>
      <c r="AW347" s="1">
        <f t="shared" si="720"/>
        <v>0</v>
      </c>
      <c r="AX347" s="1">
        <f t="shared" si="721"/>
        <v>0</v>
      </c>
      <c r="AY347" s="1">
        <f t="shared" si="722"/>
        <v>0</v>
      </c>
      <c r="AZ347" s="1">
        <f t="shared" si="723"/>
        <v>0</v>
      </c>
      <c r="BA347" s="1">
        <f t="shared" si="724"/>
        <v>0</v>
      </c>
      <c r="BB347" s="1">
        <f t="shared" si="725"/>
        <v>0</v>
      </c>
      <c r="BC347" s="1">
        <f t="shared" si="726"/>
        <v>0</v>
      </c>
      <c r="BD347" s="1">
        <f t="shared" si="727"/>
        <v>0</v>
      </c>
      <c r="BE347" s="1">
        <f t="shared" si="728"/>
        <v>0</v>
      </c>
      <c r="BG347" s="1">
        <f t="shared" si="730"/>
        <v>0</v>
      </c>
      <c r="BH347" s="1">
        <f t="shared" si="730"/>
        <v>0</v>
      </c>
      <c r="BI347" s="1">
        <f t="shared" si="710"/>
        <v>0</v>
      </c>
      <c r="BJ347" s="1">
        <f t="shared" si="711"/>
        <v>0</v>
      </c>
      <c r="BK347" s="1">
        <f t="shared" si="712"/>
        <v>0</v>
      </c>
      <c r="BL347" s="1">
        <f t="shared" si="713"/>
        <v>0</v>
      </c>
      <c r="BM347" s="1">
        <f t="shared" si="714"/>
        <v>0</v>
      </c>
      <c r="BN347" s="1">
        <f t="shared" si="715"/>
        <v>0</v>
      </c>
      <c r="BO347" s="1">
        <f t="shared" si="716"/>
        <v>0</v>
      </c>
      <c r="BP347" s="1">
        <f t="shared" si="717"/>
        <v>0</v>
      </c>
      <c r="BQ347" s="1">
        <f t="shared" si="718"/>
        <v>0</v>
      </c>
    </row>
    <row r="348" spans="2:69" s="10" customFormat="1" ht="15" customHeight="1" x14ac:dyDescent="0.25">
      <c r="B348" s="2"/>
      <c r="C348" t="s">
        <v>549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17"/>
      <c r="AI348" s="1"/>
      <c r="AJ348" s="1"/>
      <c r="AK348" s="1"/>
      <c r="AL348" s="117"/>
      <c r="AM348" s="1"/>
      <c r="AN348" s="1"/>
      <c r="AO348" s="1"/>
      <c r="AP348" s="1"/>
      <c r="AQ348" s="1"/>
      <c r="AR348" s="3">
        <f t="shared" si="729"/>
        <v>0</v>
      </c>
      <c r="AS348" s="11"/>
      <c r="AT348" s="1">
        <f>+AR348-[2]PassVol!$AN348</f>
        <v>0</v>
      </c>
      <c r="AU348" s="11"/>
      <c r="AV348" s="1">
        <f t="shared" si="719"/>
        <v>0</v>
      </c>
      <c r="AW348" s="1">
        <f t="shared" si="720"/>
        <v>0</v>
      </c>
      <c r="AX348" s="1">
        <f t="shared" si="721"/>
        <v>0</v>
      </c>
      <c r="AY348" s="1">
        <f t="shared" si="722"/>
        <v>0</v>
      </c>
      <c r="AZ348" s="1">
        <f t="shared" si="723"/>
        <v>0</v>
      </c>
      <c r="BA348" s="1">
        <f t="shared" si="724"/>
        <v>0</v>
      </c>
      <c r="BB348" s="1">
        <f t="shared" si="725"/>
        <v>0</v>
      </c>
      <c r="BC348" s="1">
        <f t="shared" si="726"/>
        <v>0</v>
      </c>
      <c r="BD348" s="1">
        <f t="shared" si="727"/>
        <v>0</v>
      </c>
      <c r="BE348" s="1">
        <f t="shared" si="728"/>
        <v>0</v>
      </c>
      <c r="BG348" s="1">
        <f t="shared" si="730"/>
        <v>0</v>
      </c>
      <c r="BH348" s="1">
        <f t="shared" si="730"/>
        <v>0</v>
      </c>
      <c r="BI348" s="1">
        <f t="shared" si="710"/>
        <v>0</v>
      </c>
      <c r="BJ348" s="1">
        <f t="shared" si="711"/>
        <v>0</v>
      </c>
      <c r="BK348" s="1">
        <f t="shared" si="712"/>
        <v>0</v>
      </c>
      <c r="BL348" s="1">
        <f t="shared" si="713"/>
        <v>0</v>
      </c>
      <c r="BM348" s="1">
        <f t="shared" si="714"/>
        <v>0</v>
      </c>
      <c r="BN348" s="1">
        <f t="shared" si="715"/>
        <v>0</v>
      </c>
      <c r="BO348" s="1">
        <f t="shared" si="716"/>
        <v>0</v>
      </c>
      <c r="BP348" s="1">
        <f t="shared" si="717"/>
        <v>0</v>
      </c>
      <c r="BQ348" s="1">
        <f t="shared" si="718"/>
        <v>0</v>
      </c>
    </row>
    <row r="349" spans="2:69" s="10" customFormat="1" ht="15" customHeight="1" x14ac:dyDescent="0.25">
      <c r="B349" s="2"/>
      <c r="C349" t="s">
        <v>550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17"/>
      <c r="AI349" s="1"/>
      <c r="AJ349" s="1"/>
      <c r="AK349" s="1"/>
      <c r="AL349" s="117"/>
      <c r="AM349" s="1"/>
      <c r="AN349" s="1"/>
      <c r="AO349" s="1"/>
      <c r="AP349" s="1"/>
      <c r="AQ349" s="1"/>
      <c r="AR349" s="3">
        <f t="shared" si="729"/>
        <v>0</v>
      </c>
      <c r="AS349" s="11"/>
      <c r="AT349" s="1">
        <f>+AR349-[2]PassVol!$AN349</f>
        <v>0</v>
      </c>
      <c r="AU349" s="11"/>
      <c r="AV349" s="1">
        <f t="shared" si="719"/>
        <v>0</v>
      </c>
      <c r="AW349" s="1">
        <f t="shared" si="720"/>
        <v>0</v>
      </c>
      <c r="AX349" s="1">
        <f t="shared" si="721"/>
        <v>0</v>
      </c>
      <c r="AY349" s="1">
        <f t="shared" si="722"/>
        <v>0</v>
      </c>
      <c r="AZ349" s="1">
        <f t="shared" si="723"/>
        <v>0</v>
      </c>
      <c r="BA349" s="1">
        <f t="shared" si="724"/>
        <v>0</v>
      </c>
      <c r="BB349" s="1">
        <f t="shared" si="725"/>
        <v>0</v>
      </c>
      <c r="BC349" s="1">
        <f t="shared" si="726"/>
        <v>0</v>
      </c>
      <c r="BD349" s="1">
        <f t="shared" si="727"/>
        <v>0</v>
      </c>
      <c r="BE349" s="1">
        <f t="shared" si="728"/>
        <v>0</v>
      </c>
      <c r="BG349" s="1">
        <f t="shared" si="730"/>
        <v>0</v>
      </c>
      <c r="BH349" s="1">
        <f t="shared" si="730"/>
        <v>0</v>
      </c>
      <c r="BI349" s="1">
        <f t="shared" si="710"/>
        <v>0</v>
      </c>
      <c r="BJ349" s="1">
        <f t="shared" si="711"/>
        <v>0</v>
      </c>
      <c r="BK349" s="1">
        <f t="shared" si="712"/>
        <v>0</v>
      </c>
      <c r="BL349" s="1">
        <f t="shared" si="713"/>
        <v>0</v>
      </c>
      <c r="BM349" s="1">
        <f t="shared" si="714"/>
        <v>0</v>
      </c>
      <c r="BN349" s="1">
        <f t="shared" si="715"/>
        <v>0</v>
      </c>
      <c r="BO349" s="1">
        <f t="shared" si="716"/>
        <v>0</v>
      </c>
      <c r="BP349" s="1">
        <f t="shared" si="717"/>
        <v>0</v>
      </c>
      <c r="BQ349" s="1">
        <f t="shared" si="718"/>
        <v>0</v>
      </c>
    </row>
    <row r="350" spans="2:69" s="10" customFormat="1" ht="15" customHeight="1" x14ac:dyDescent="0.25">
      <c r="B350" s="2"/>
      <c r="C350" t="s">
        <v>6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17"/>
      <c r="AI350" s="1"/>
      <c r="AJ350" s="1"/>
      <c r="AK350" s="1"/>
      <c r="AL350" s="117"/>
      <c r="AM350" s="1"/>
      <c r="AN350" s="1"/>
      <c r="AO350" s="1"/>
      <c r="AP350" s="1"/>
      <c r="AQ350" s="1"/>
      <c r="AR350" s="3">
        <f t="shared" si="729"/>
        <v>0</v>
      </c>
      <c r="AS350" s="11"/>
      <c r="AT350" s="1">
        <f>+AR350-[2]PassVol!$AN350</f>
        <v>0</v>
      </c>
      <c r="AU350" s="11"/>
      <c r="AV350" s="1">
        <f t="shared" si="719"/>
        <v>0</v>
      </c>
      <c r="AW350" s="1">
        <f t="shared" si="720"/>
        <v>0</v>
      </c>
      <c r="AX350" s="1">
        <f t="shared" si="721"/>
        <v>0</v>
      </c>
      <c r="AY350" s="1">
        <f t="shared" si="722"/>
        <v>0</v>
      </c>
      <c r="AZ350" s="1">
        <f t="shared" si="723"/>
        <v>0</v>
      </c>
      <c r="BA350" s="1">
        <f t="shared" si="724"/>
        <v>0</v>
      </c>
      <c r="BB350" s="1">
        <f t="shared" si="725"/>
        <v>0</v>
      </c>
      <c r="BC350" s="1">
        <f t="shared" si="726"/>
        <v>0</v>
      </c>
      <c r="BD350" s="1">
        <f t="shared" si="727"/>
        <v>0</v>
      </c>
      <c r="BE350" s="1">
        <f t="shared" si="728"/>
        <v>0</v>
      </c>
      <c r="BG350" s="1">
        <f t="shared" si="730"/>
        <v>0</v>
      </c>
      <c r="BH350" s="1">
        <f t="shared" si="730"/>
        <v>0</v>
      </c>
      <c r="BI350" s="1">
        <f t="shared" si="710"/>
        <v>0</v>
      </c>
      <c r="BJ350" s="1">
        <f t="shared" si="711"/>
        <v>0</v>
      </c>
      <c r="BK350" s="1">
        <f t="shared" si="712"/>
        <v>0</v>
      </c>
      <c r="BL350" s="1">
        <f t="shared" si="713"/>
        <v>0</v>
      </c>
      <c r="BM350" s="1">
        <f t="shared" si="714"/>
        <v>0</v>
      </c>
      <c r="BN350" s="1">
        <f t="shared" si="715"/>
        <v>0</v>
      </c>
      <c r="BO350" s="1">
        <f t="shared" si="716"/>
        <v>0</v>
      </c>
      <c r="BP350" s="1">
        <f t="shared" si="717"/>
        <v>0</v>
      </c>
      <c r="BQ350" s="1">
        <f t="shared" si="718"/>
        <v>0</v>
      </c>
    </row>
    <row r="351" spans="2:69" s="10" customFormat="1" ht="15" customHeight="1" x14ac:dyDescent="0.25">
      <c r="B351" s="2"/>
      <c r="C351" t="s">
        <v>262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17"/>
      <c r="AI351" s="1"/>
      <c r="AJ351" s="1"/>
      <c r="AK351" s="1"/>
      <c r="AL351" s="117"/>
      <c r="AM351" s="1"/>
      <c r="AN351" s="1"/>
      <c r="AO351" s="1"/>
      <c r="AP351" s="1"/>
      <c r="AQ351" s="1"/>
      <c r="AR351" s="3">
        <f t="shared" si="729"/>
        <v>0</v>
      </c>
      <c r="AS351" s="11"/>
      <c r="AT351" s="1">
        <f>+AR351-[2]PassVol!$AN351</f>
        <v>0</v>
      </c>
      <c r="AU351" s="11"/>
      <c r="AV351" s="1">
        <f t="shared" si="719"/>
        <v>0</v>
      </c>
      <c r="AW351" s="1">
        <f t="shared" si="720"/>
        <v>0</v>
      </c>
      <c r="AX351" s="1">
        <f t="shared" si="721"/>
        <v>0</v>
      </c>
      <c r="AY351" s="1">
        <f t="shared" si="722"/>
        <v>0</v>
      </c>
      <c r="AZ351" s="1">
        <f t="shared" si="723"/>
        <v>0</v>
      </c>
      <c r="BA351" s="1">
        <f t="shared" si="724"/>
        <v>0</v>
      </c>
      <c r="BB351" s="1">
        <f t="shared" si="725"/>
        <v>0</v>
      </c>
      <c r="BC351" s="1">
        <f t="shared" si="726"/>
        <v>0</v>
      </c>
      <c r="BD351" s="1">
        <f t="shared" si="727"/>
        <v>0</v>
      </c>
      <c r="BE351" s="1">
        <f t="shared" si="728"/>
        <v>0</v>
      </c>
      <c r="BG351" s="1">
        <f t="shared" si="730"/>
        <v>0</v>
      </c>
      <c r="BH351" s="1">
        <f t="shared" si="730"/>
        <v>0</v>
      </c>
      <c r="BI351" s="1">
        <f t="shared" si="710"/>
        <v>0</v>
      </c>
      <c r="BJ351" s="1">
        <f t="shared" si="711"/>
        <v>0</v>
      </c>
      <c r="BK351" s="1">
        <f t="shared" si="712"/>
        <v>0</v>
      </c>
      <c r="BL351" s="1">
        <f t="shared" si="713"/>
        <v>0</v>
      </c>
      <c r="BM351" s="1">
        <f t="shared" si="714"/>
        <v>0</v>
      </c>
      <c r="BN351" s="1">
        <f t="shared" si="715"/>
        <v>0</v>
      </c>
      <c r="BO351" s="1">
        <f t="shared" si="716"/>
        <v>0</v>
      </c>
      <c r="BP351" s="1">
        <f t="shared" si="717"/>
        <v>0</v>
      </c>
      <c r="BQ351" s="1">
        <f t="shared" si="718"/>
        <v>0</v>
      </c>
    </row>
    <row r="352" spans="2:69" s="10" customFormat="1" ht="15" customHeight="1" x14ac:dyDescent="0.25">
      <c r="B352" s="2"/>
      <c r="C352" t="s">
        <v>42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17"/>
      <c r="AI352" s="1"/>
      <c r="AJ352" s="1"/>
      <c r="AK352" s="1"/>
      <c r="AL352" s="117"/>
      <c r="AM352" s="1"/>
      <c r="AN352" s="1"/>
      <c r="AO352" s="1"/>
      <c r="AP352" s="1"/>
      <c r="AQ352" s="1"/>
      <c r="AR352" s="3">
        <f t="shared" si="729"/>
        <v>0</v>
      </c>
      <c r="AS352" s="11"/>
      <c r="AT352" s="1">
        <f>+AR352-[2]PassVol!$AN352</f>
        <v>0</v>
      </c>
      <c r="AU352" s="11"/>
      <c r="AV352" s="1">
        <f t="shared" si="719"/>
        <v>0</v>
      </c>
      <c r="AW352" s="1">
        <f t="shared" si="720"/>
        <v>0</v>
      </c>
      <c r="AX352" s="1">
        <f t="shared" si="721"/>
        <v>0</v>
      </c>
      <c r="AY352" s="1">
        <f t="shared" si="722"/>
        <v>0</v>
      </c>
      <c r="AZ352" s="1">
        <f t="shared" si="723"/>
        <v>0</v>
      </c>
      <c r="BA352" s="1">
        <f t="shared" si="724"/>
        <v>0</v>
      </c>
      <c r="BB352" s="1">
        <f t="shared" si="725"/>
        <v>0</v>
      </c>
      <c r="BC352" s="1">
        <f t="shared" si="726"/>
        <v>0</v>
      </c>
      <c r="BD352" s="1">
        <f t="shared" si="727"/>
        <v>0</v>
      </c>
      <c r="BE352" s="1">
        <f t="shared" si="728"/>
        <v>0</v>
      </c>
      <c r="BG352" s="1">
        <f t="shared" si="730"/>
        <v>0</v>
      </c>
      <c r="BH352" s="1">
        <f t="shared" si="730"/>
        <v>0</v>
      </c>
      <c r="BI352" s="1">
        <f t="shared" si="710"/>
        <v>0</v>
      </c>
      <c r="BJ352" s="1">
        <f t="shared" si="711"/>
        <v>0</v>
      </c>
      <c r="BK352" s="1">
        <f t="shared" si="712"/>
        <v>0</v>
      </c>
      <c r="BL352" s="1">
        <f t="shared" si="713"/>
        <v>0</v>
      </c>
      <c r="BM352" s="1">
        <f t="shared" si="714"/>
        <v>0</v>
      </c>
      <c r="BN352" s="1">
        <f t="shared" si="715"/>
        <v>0</v>
      </c>
      <c r="BO352" s="1">
        <f t="shared" si="716"/>
        <v>0</v>
      </c>
      <c r="BP352" s="1">
        <f t="shared" si="717"/>
        <v>0</v>
      </c>
      <c r="BQ352" s="1">
        <f t="shared" si="718"/>
        <v>0</v>
      </c>
    </row>
    <row r="353" spans="2:69" s="10" customFormat="1" ht="15" customHeight="1" x14ac:dyDescent="0.25">
      <c r="B353" s="2"/>
      <c r="C353" t="s">
        <v>192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17"/>
      <c r="AI353" s="1"/>
      <c r="AJ353" s="1"/>
      <c r="AK353" s="1"/>
      <c r="AL353" s="117"/>
      <c r="AM353" s="1"/>
      <c r="AN353" s="1"/>
      <c r="AO353" s="1"/>
      <c r="AP353" s="1"/>
      <c r="AQ353" s="1"/>
      <c r="AR353" s="3">
        <f t="shared" si="729"/>
        <v>0</v>
      </c>
      <c r="AS353" s="11"/>
      <c r="AT353" s="1">
        <f>+AR353-[2]PassVol!$AN353</f>
        <v>0</v>
      </c>
      <c r="AU353" s="11"/>
      <c r="AV353" s="1">
        <f t="shared" si="719"/>
        <v>0</v>
      </c>
      <c r="AW353" s="1">
        <f t="shared" si="720"/>
        <v>0</v>
      </c>
      <c r="AX353" s="1">
        <f t="shared" si="721"/>
        <v>0</v>
      </c>
      <c r="AY353" s="1">
        <f t="shared" si="722"/>
        <v>0</v>
      </c>
      <c r="AZ353" s="1">
        <f t="shared" si="723"/>
        <v>0</v>
      </c>
      <c r="BA353" s="1">
        <f t="shared" si="724"/>
        <v>0</v>
      </c>
      <c r="BB353" s="1">
        <f t="shared" si="725"/>
        <v>0</v>
      </c>
      <c r="BC353" s="1">
        <f t="shared" si="726"/>
        <v>0</v>
      </c>
      <c r="BD353" s="1">
        <f t="shared" si="727"/>
        <v>0</v>
      </c>
      <c r="BE353" s="1">
        <f t="shared" si="728"/>
        <v>0</v>
      </c>
      <c r="BG353" s="1">
        <f t="shared" si="730"/>
        <v>0</v>
      </c>
      <c r="BH353" s="1">
        <f t="shared" si="730"/>
        <v>0</v>
      </c>
      <c r="BI353" s="1">
        <f t="shared" si="710"/>
        <v>0</v>
      </c>
      <c r="BJ353" s="1">
        <f t="shared" si="711"/>
        <v>0</v>
      </c>
      <c r="BK353" s="1">
        <f t="shared" si="712"/>
        <v>0</v>
      </c>
      <c r="BL353" s="1">
        <f t="shared" si="713"/>
        <v>0</v>
      </c>
      <c r="BM353" s="1">
        <f t="shared" si="714"/>
        <v>0</v>
      </c>
      <c r="BN353" s="1">
        <f t="shared" si="715"/>
        <v>0</v>
      </c>
      <c r="BO353" s="1">
        <f t="shared" si="716"/>
        <v>0</v>
      </c>
      <c r="BP353" s="1">
        <f t="shared" si="717"/>
        <v>0</v>
      </c>
      <c r="BQ353" s="1">
        <f t="shared" si="718"/>
        <v>0</v>
      </c>
    </row>
    <row r="354" spans="2:69" s="10" customFormat="1" ht="15" customHeight="1" x14ac:dyDescent="0.25">
      <c r="B354" s="2"/>
      <c r="C354" t="s">
        <v>133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17"/>
      <c r="AI354" s="1"/>
      <c r="AJ354" s="1"/>
      <c r="AK354" s="1"/>
      <c r="AL354" s="117"/>
      <c r="AM354" s="1"/>
      <c r="AN354" s="1"/>
      <c r="AO354" s="1"/>
      <c r="AP354" s="1"/>
      <c r="AQ354" s="1"/>
      <c r="AR354" s="3">
        <f t="shared" si="729"/>
        <v>0</v>
      </c>
      <c r="AS354" s="11"/>
      <c r="AT354" s="1">
        <f>+AR354-[2]PassVol!$AN354</f>
        <v>0</v>
      </c>
      <c r="AU354" s="11"/>
      <c r="AV354" s="1">
        <f t="shared" si="719"/>
        <v>0</v>
      </c>
      <c r="AW354" s="1">
        <f t="shared" si="720"/>
        <v>0</v>
      </c>
      <c r="AX354" s="1">
        <f t="shared" si="721"/>
        <v>0</v>
      </c>
      <c r="AY354" s="1">
        <f t="shared" si="722"/>
        <v>0</v>
      </c>
      <c r="AZ354" s="1">
        <f t="shared" si="723"/>
        <v>0</v>
      </c>
      <c r="BA354" s="1">
        <f t="shared" si="724"/>
        <v>0</v>
      </c>
      <c r="BB354" s="1">
        <f t="shared" si="725"/>
        <v>0</v>
      </c>
      <c r="BC354" s="1">
        <f t="shared" si="726"/>
        <v>0</v>
      </c>
      <c r="BD354" s="1">
        <f t="shared" si="727"/>
        <v>0</v>
      </c>
      <c r="BE354" s="1">
        <f t="shared" si="728"/>
        <v>0</v>
      </c>
      <c r="BG354" s="1">
        <f t="shared" si="730"/>
        <v>0</v>
      </c>
      <c r="BH354" s="1">
        <f t="shared" si="730"/>
        <v>0</v>
      </c>
      <c r="BI354" s="1">
        <f t="shared" si="710"/>
        <v>0</v>
      </c>
      <c r="BJ354" s="1">
        <f t="shared" si="711"/>
        <v>0</v>
      </c>
      <c r="BK354" s="1">
        <f t="shared" si="712"/>
        <v>0</v>
      </c>
      <c r="BL354" s="1">
        <f t="shared" si="713"/>
        <v>0</v>
      </c>
      <c r="BM354" s="1">
        <f t="shared" si="714"/>
        <v>0</v>
      </c>
      <c r="BN354" s="1">
        <f t="shared" si="715"/>
        <v>0</v>
      </c>
      <c r="BO354" s="1">
        <f t="shared" si="716"/>
        <v>0</v>
      </c>
      <c r="BP354" s="1">
        <f t="shared" si="717"/>
        <v>0</v>
      </c>
      <c r="BQ354" s="1">
        <f t="shared" si="718"/>
        <v>0</v>
      </c>
    </row>
    <row r="355" spans="2:69" s="10" customFormat="1" ht="15" customHeight="1" x14ac:dyDescent="0.25">
      <c r="B355" s="2"/>
      <c r="C355" t="s">
        <v>41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17"/>
      <c r="AI355" s="1"/>
      <c r="AJ355" s="1"/>
      <c r="AK355" s="1"/>
      <c r="AL355" s="117"/>
      <c r="AM355" s="1"/>
      <c r="AN355" s="1"/>
      <c r="AO355" s="1"/>
      <c r="AP355" s="1"/>
      <c r="AQ355" s="1"/>
      <c r="AR355" s="3">
        <f t="shared" si="729"/>
        <v>0</v>
      </c>
      <c r="AS355" s="11"/>
      <c r="AT355" s="1">
        <f>+AR355-[2]PassVol!$AN355</f>
        <v>0</v>
      </c>
      <c r="AU355" s="11"/>
      <c r="AV355" s="1">
        <f t="shared" si="719"/>
        <v>0</v>
      </c>
      <c r="AW355" s="1">
        <f t="shared" si="720"/>
        <v>0</v>
      </c>
      <c r="AX355" s="1">
        <f t="shared" si="721"/>
        <v>0</v>
      </c>
      <c r="AY355" s="1">
        <f t="shared" si="722"/>
        <v>0</v>
      </c>
      <c r="AZ355" s="1">
        <f t="shared" si="723"/>
        <v>0</v>
      </c>
      <c r="BA355" s="1">
        <f t="shared" si="724"/>
        <v>0</v>
      </c>
      <c r="BB355" s="1">
        <f t="shared" si="725"/>
        <v>0</v>
      </c>
      <c r="BC355" s="1">
        <f t="shared" si="726"/>
        <v>0</v>
      </c>
      <c r="BD355" s="1">
        <f t="shared" si="727"/>
        <v>0</v>
      </c>
      <c r="BE355" s="1">
        <f t="shared" si="728"/>
        <v>0</v>
      </c>
      <c r="BG355" s="1">
        <f t="shared" si="730"/>
        <v>0</v>
      </c>
      <c r="BH355" s="1">
        <f t="shared" si="730"/>
        <v>0</v>
      </c>
      <c r="BI355" s="1">
        <f t="shared" si="710"/>
        <v>0</v>
      </c>
      <c r="BJ355" s="1">
        <f t="shared" si="711"/>
        <v>0</v>
      </c>
      <c r="BK355" s="1">
        <f t="shared" si="712"/>
        <v>0</v>
      </c>
      <c r="BL355" s="1">
        <f t="shared" si="713"/>
        <v>0</v>
      </c>
      <c r="BM355" s="1">
        <f t="shared" si="714"/>
        <v>0</v>
      </c>
      <c r="BN355" s="1">
        <f t="shared" si="715"/>
        <v>0</v>
      </c>
      <c r="BO355" s="1">
        <f t="shared" si="716"/>
        <v>0</v>
      </c>
      <c r="BP355" s="1">
        <f t="shared" si="717"/>
        <v>0</v>
      </c>
      <c r="BQ355" s="1">
        <f t="shared" si="718"/>
        <v>0</v>
      </c>
    </row>
    <row r="356" spans="2:69" s="10" customFormat="1" ht="15" customHeight="1" x14ac:dyDescent="0.25">
      <c r="B356" s="2"/>
      <c r="C356" t="s">
        <v>193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17"/>
      <c r="AI356" s="1"/>
      <c r="AJ356" s="1"/>
      <c r="AK356" s="1"/>
      <c r="AL356" s="117"/>
      <c r="AM356" s="1"/>
      <c r="AN356" s="1"/>
      <c r="AO356" s="1"/>
      <c r="AP356" s="1"/>
      <c r="AQ356" s="1"/>
      <c r="AR356" s="3">
        <f t="shared" si="729"/>
        <v>0</v>
      </c>
      <c r="AS356" s="11"/>
      <c r="AT356" s="1">
        <f>+AR356-[2]PassVol!$AN356</f>
        <v>0</v>
      </c>
      <c r="AU356" s="11"/>
      <c r="AV356" s="1">
        <f t="shared" si="719"/>
        <v>0</v>
      </c>
      <c r="AW356" s="1">
        <f t="shared" si="720"/>
        <v>0</v>
      </c>
      <c r="AX356" s="1">
        <f t="shared" si="721"/>
        <v>0</v>
      </c>
      <c r="AY356" s="1">
        <f t="shared" si="722"/>
        <v>0</v>
      </c>
      <c r="AZ356" s="1">
        <f t="shared" si="723"/>
        <v>0</v>
      </c>
      <c r="BA356" s="1">
        <f t="shared" si="724"/>
        <v>0</v>
      </c>
      <c r="BB356" s="1">
        <f t="shared" si="725"/>
        <v>0</v>
      </c>
      <c r="BC356" s="1">
        <f t="shared" si="726"/>
        <v>0</v>
      </c>
      <c r="BD356" s="1">
        <f t="shared" si="727"/>
        <v>0</v>
      </c>
      <c r="BE356" s="1">
        <f t="shared" si="728"/>
        <v>0</v>
      </c>
      <c r="BG356" s="1">
        <f t="shared" si="730"/>
        <v>0</v>
      </c>
      <c r="BH356" s="1">
        <f t="shared" si="730"/>
        <v>0</v>
      </c>
      <c r="BI356" s="1">
        <f t="shared" si="710"/>
        <v>0</v>
      </c>
      <c r="BJ356" s="1">
        <f t="shared" si="711"/>
        <v>0</v>
      </c>
      <c r="BK356" s="1">
        <f t="shared" si="712"/>
        <v>0</v>
      </c>
      <c r="BL356" s="1">
        <f t="shared" si="713"/>
        <v>0</v>
      </c>
      <c r="BM356" s="1">
        <f t="shared" si="714"/>
        <v>0</v>
      </c>
      <c r="BN356" s="1">
        <f t="shared" si="715"/>
        <v>0</v>
      </c>
      <c r="BO356" s="1">
        <f t="shared" si="716"/>
        <v>0</v>
      </c>
      <c r="BP356" s="1">
        <f t="shared" si="717"/>
        <v>0</v>
      </c>
      <c r="BQ356" s="1">
        <f t="shared" si="718"/>
        <v>0</v>
      </c>
    </row>
    <row r="357" spans="2:69" s="10" customFormat="1" ht="15" customHeight="1" x14ac:dyDescent="0.25">
      <c r="B357" s="2"/>
      <c r="C357" t="s">
        <v>297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17"/>
      <c r="AI357" s="1"/>
      <c r="AJ357" s="1"/>
      <c r="AK357" s="1"/>
      <c r="AL357" s="117"/>
      <c r="AM357" s="1"/>
      <c r="AN357" s="1"/>
      <c r="AO357" s="1"/>
      <c r="AP357" s="1"/>
      <c r="AQ357" s="1"/>
      <c r="AR357" s="3">
        <f t="shared" si="729"/>
        <v>0</v>
      </c>
      <c r="AS357" s="11"/>
      <c r="AT357" s="1">
        <f>+AR357-[2]PassVol!$AN357</f>
        <v>0</v>
      </c>
      <c r="AU357" s="11"/>
      <c r="AV357" s="1">
        <f t="shared" si="719"/>
        <v>0</v>
      </c>
      <c r="AW357" s="1">
        <f t="shared" si="720"/>
        <v>0</v>
      </c>
      <c r="AX357" s="1">
        <f t="shared" si="721"/>
        <v>0</v>
      </c>
      <c r="AY357" s="1">
        <f t="shared" si="722"/>
        <v>0</v>
      </c>
      <c r="AZ357" s="1">
        <f t="shared" si="723"/>
        <v>0</v>
      </c>
      <c r="BA357" s="1">
        <f t="shared" si="724"/>
        <v>0</v>
      </c>
      <c r="BB357" s="1">
        <f t="shared" si="725"/>
        <v>0</v>
      </c>
      <c r="BC357" s="1">
        <f t="shared" si="726"/>
        <v>0</v>
      </c>
      <c r="BD357" s="1">
        <f t="shared" si="727"/>
        <v>0</v>
      </c>
      <c r="BE357" s="1">
        <f t="shared" si="728"/>
        <v>0</v>
      </c>
      <c r="BG357" s="1">
        <f t="shared" si="730"/>
        <v>0</v>
      </c>
      <c r="BH357" s="1">
        <f t="shared" si="730"/>
        <v>0</v>
      </c>
      <c r="BI357" s="1">
        <f t="shared" si="710"/>
        <v>0</v>
      </c>
      <c r="BJ357" s="1">
        <f t="shared" si="711"/>
        <v>0</v>
      </c>
      <c r="BK357" s="1">
        <f t="shared" si="712"/>
        <v>0</v>
      </c>
      <c r="BL357" s="1">
        <f t="shared" si="713"/>
        <v>0</v>
      </c>
      <c r="BM357" s="1">
        <f t="shared" si="714"/>
        <v>0</v>
      </c>
      <c r="BN357" s="1">
        <f t="shared" si="715"/>
        <v>0</v>
      </c>
      <c r="BO357" s="1">
        <f t="shared" si="716"/>
        <v>0</v>
      </c>
      <c r="BP357" s="1">
        <f t="shared" si="717"/>
        <v>0</v>
      </c>
      <c r="BQ357" s="1">
        <f t="shared" si="718"/>
        <v>0</v>
      </c>
    </row>
    <row r="358" spans="2:69" s="10" customFormat="1" ht="15" customHeight="1" x14ac:dyDescent="0.25">
      <c r="B358" s="2"/>
      <c r="C358" t="s">
        <v>296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17"/>
      <c r="AI358" s="1"/>
      <c r="AJ358" s="1"/>
      <c r="AK358" s="1"/>
      <c r="AL358" s="117"/>
      <c r="AM358" s="1"/>
      <c r="AN358" s="1"/>
      <c r="AO358" s="1"/>
      <c r="AP358" s="1"/>
      <c r="AQ358" s="1"/>
      <c r="AR358" s="3">
        <f t="shared" si="729"/>
        <v>0</v>
      </c>
      <c r="AS358" s="11"/>
      <c r="AT358" s="1">
        <f>+AR358-[2]PassVol!$AN358</f>
        <v>0</v>
      </c>
      <c r="AU358" s="11"/>
      <c r="AV358" s="1">
        <f t="shared" si="719"/>
        <v>0</v>
      </c>
      <c r="AW358" s="1">
        <f t="shared" si="720"/>
        <v>0</v>
      </c>
      <c r="AX358" s="1">
        <f t="shared" si="721"/>
        <v>0</v>
      </c>
      <c r="AY358" s="1">
        <f t="shared" si="722"/>
        <v>0</v>
      </c>
      <c r="AZ358" s="1">
        <f t="shared" si="723"/>
        <v>0</v>
      </c>
      <c r="BA358" s="1">
        <f t="shared" si="724"/>
        <v>0</v>
      </c>
      <c r="BB358" s="1">
        <f t="shared" si="725"/>
        <v>0</v>
      </c>
      <c r="BC358" s="1">
        <f t="shared" si="726"/>
        <v>0</v>
      </c>
      <c r="BD358" s="1">
        <f t="shared" si="727"/>
        <v>0</v>
      </c>
      <c r="BE358" s="1">
        <f t="shared" si="728"/>
        <v>0</v>
      </c>
      <c r="BG358" s="1">
        <f t="shared" si="730"/>
        <v>0</v>
      </c>
      <c r="BH358" s="1">
        <f t="shared" si="730"/>
        <v>0</v>
      </c>
      <c r="BI358" s="1">
        <f t="shared" si="710"/>
        <v>0</v>
      </c>
      <c r="BJ358" s="1">
        <f t="shared" si="711"/>
        <v>0</v>
      </c>
      <c r="BK358" s="1">
        <f t="shared" si="712"/>
        <v>0</v>
      </c>
      <c r="BL358" s="1">
        <f t="shared" si="713"/>
        <v>0</v>
      </c>
      <c r="BM358" s="1">
        <f t="shared" si="714"/>
        <v>0</v>
      </c>
      <c r="BN358" s="1">
        <f t="shared" si="715"/>
        <v>0</v>
      </c>
      <c r="BO358" s="1">
        <f t="shared" si="716"/>
        <v>0</v>
      </c>
      <c r="BP358" s="1">
        <f t="shared" si="717"/>
        <v>0</v>
      </c>
      <c r="BQ358" s="1">
        <f t="shared" si="718"/>
        <v>0</v>
      </c>
    </row>
    <row r="359" spans="2:69" s="10" customFormat="1" ht="15" customHeight="1" x14ac:dyDescent="0.25">
      <c r="B359" s="2"/>
      <c r="C359" t="s">
        <v>44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17"/>
      <c r="AI359" s="1"/>
      <c r="AJ359" s="1"/>
      <c r="AK359" s="1"/>
      <c r="AL359" s="117"/>
      <c r="AM359" s="1"/>
      <c r="AN359" s="1"/>
      <c r="AO359" s="1"/>
      <c r="AP359" s="1"/>
      <c r="AQ359" s="1"/>
      <c r="AR359" s="3">
        <f t="shared" si="729"/>
        <v>0</v>
      </c>
      <c r="AS359" s="11"/>
      <c r="AT359" s="1">
        <f>+AR359-[2]PassVol!$AN359</f>
        <v>0</v>
      </c>
      <c r="AU359" s="11"/>
      <c r="AV359" s="1">
        <f t="shared" si="719"/>
        <v>0</v>
      </c>
      <c r="AW359" s="1">
        <f t="shared" si="720"/>
        <v>0</v>
      </c>
      <c r="AX359" s="1">
        <f t="shared" si="721"/>
        <v>0</v>
      </c>
      <c r="AY359" s="1">
        <f t="shared" si="722"/>
        <v>0</v>
      </c>
      <c r="AZ359" s="1">
        <f t="shared" si="723"/>
        <v>0</v>
      </c>
      <c r="BA359" s="1">
        <f t="shared" si="724"/>
        <v>0</v>
      </c>
      <c r="BB359" s="1">
        <f t="shared" si="725"/>
        <v>0</v>
      </c>
      <c r="BC359" s="1">
        <f t="shared" si="726"/>
        <v>0</v>
      </c>
      <c r="BD359" s="1">
        <f t="shared" si="727"/>
        <v>0</v>
      </c>
      <c r="BE359" s="1">
        <f t="shared" si="728"/>
        <v>0</v>
      </c>
      <c r="BG359" s="1">
        <f t="shared" si="730"/>
        <v>0</v>
      </c>
      <c r="BH359" s="1">
        <f t="shared" si="730"/>
        <v>0</v>
      </c>
      <c r="BI359" s="1">
        <f t="shared" si="710"/>
        <v>0</v>
      </c>
      <c r="BJ359" s="1">
        <f t="shared" si="711"/>
        <v>0</v>
      </c>
      <c r="BK359" s="1">
        <f t="shared" si="712"/>
        <v>0</v>
      </c>
      <c r="BL359" s="1">
        <f t="shared" si="713"/>
        <v>0</v>
      </c>
      <c r="BM359" s="1">
        <f t="shared" si="714"/>
        <v>0</v>
      </c>
      <c r="BN359" s="1">
        <f t="shared" si="715"/>
        <v>0</v>
      </c>
      <c r="BO359" s="1">
        <f t="shared" si="716"/>
        <v>0</v>
      </c>
      <c r="BP359" s="1">
        <f t="shared" si="717"/>
        <v>0</v>
      </c>
      <c r="BQ359" s="1">
        <f t="shared" si="718"/>
        <v>0</v>
      </c>
    </row>
    <row r="360" spans="2:69" s="10" customFormat="1" ht="15" customHeight="1" x14ac:dyDescent="0.25">
      <c r="B360" s="2" t="s">
        <v>426</v>
      </c>
      <c r="C360" s="2"/>
      <c r="D360" s="3">
        <f t="shared" ref="D360:AQ360" si="731">SUM(D341:D359)</f>
        <v>0</v>
      </c>
      <c r="E360" s="3">
        <f t="shared" si="731"/>
        <v>0</v>
      </c>
      <c r="F360" s="3">
        <f t="shared" si="731"/>
        <v>0</v>
      </c>
      <c r="G360" s="3">
        <f t="shared" si="731"/>
        <v>0</v>
      </c>
      <c r="H360" s="3">
        <f t="shared" si="731"/>
        <v>0</v>
      </c>
      <c r="I360" s="3">
        <f t="shared" si="731"/>
        <v>0</v>
      </c>
      <c r="J360" s="3">
        <f t="shared" si="731"/>
        <v>0</v>
      </c>
      <c r="K360" s="3">
        <f t="shared" si="731"/>
        <v>0</v>
      </c>
      <c r="L360" s="3">
        <f t="shared" si="731"/>
        <v>0</v>
      </c>
      <c r="M360" s="3">
        <f t="shared" si="731"/>
        <v>0</v>
      </c>
      <c r="N360" s="3">
        <f t="shared" si="731"/>
        <v>0</v>
      </c>
      <c r="O360" s="3">
        <f t="shared" si="731"/>
        <v>0</v>
      </c>
      <c r="P360" s="3">
        <f t="shared" si="731"/>
        <v>0</v>
      </c>
      <c r="Q360" s="3">
        <f t="shared" si="731"/>
        <v>0</v>
      </c>
      <c r="R360" s="3">
        <f t="shared" si="731"/>
        <v>0</v>
      </c>
      <c r="S360" s="3">
        <f t="shared" si="731"/>
        <v>0</v>
      </c>
      <c r="T360" s="3">
        <f t="shared" si="731"/>
        <v>0</v>
      </c>
      <c r="U360" s="3">
        <f t="shared" si="731"/>
        <v>0</v>
      </c>
      <c r="V360" s="3">
        <f t="shared" si="731"/>
        <v>0</v>
      </c>
      <c r="W360" s="3">
        <f t="shared" si="731"/>
        <v>0</v>
      </c>
      <c r="X360" s="3">
        <f t="shared" si="731"/>
        <v>0</v>
      </c>
      <c r="Y360" s="3">
        <f t="shared" si="731"/>
        <v>0</v>
      </c>
      <c r="Z360" s="3">
        <f t="shared" si="731"/>
        <v>0</v>
      </c>
      <c r="AA360" s="3">
        <f t="shared" si="731"/>
        <v>0</v>
      </c>
      <c r="AB360" s="3">
        <f t="shared" si="731"/>
        <v>0</v>
      </c>
      <c r="AC360" s="3">
        <f t="shared" si="731"/>
        <v>0</v>
      </c>
      <c r="AD360" s="3">
        <f t="shared" si="731"/>
        <v>0</v>
      </c>
      <c r="AE360" s="3">
        <f t="shared" si="731"/>
        <v>0</v>
      </c>
      <c r="AF360" s="3">
        <f t="shared" si="731"/>
        <v>0</v>
      </c>
      <c r="AG360" s="3">
        <f t="shared" si="731"/>
        <v>0</v>
      </c>
      <c r="AH360" s="150">
        <f t="shared" si="731"/>
        <v>0</v>
      </c>
      <c r="AI360" s="3">
        <f t="shared" si="731"/>
        <v>0</v>
      </c>
      <c r="AJ360" s="3">
        <f t="shared" si="731"/>
        <v>0</v>
      </c>
      <c r="AK360" s="3">
        <f t="shared" si="731"/>
        <v>0</v>
      </c>
      <c r="AL360" s="150">
        <f t="shared" si="731"/>
        <v>0</v>
      </c>
      <c r="AM360" s="3">
        <f t="shared" si="731"/>
        <v>0</v>
      </c>
      <c r="AN360" s="3">
        <f t="shared" si="731"/>
        <v>0</v>
      </c>
      <c r="AO360" s="3">
        <f t="shared" si="731"/>
        <v>0</v>
      </c>
      <c r="AP360" s="3">
        <f t="shared" si="731"/>
        <v>0</v>
      </c>
      <c r="AQ360" s="3">
        <f t="shared" si="731"/>
        <v>0</v>
      </c>
      <c r="AR360" s="3">
        <f t="shared" ref="AR360" si="732">SUM(AR341:AR359)</f>
        <v>0</v>
      </c>
      <c r="AS360" s="11"/>
      <c r="AT360" s="1">
        <f>+AR360-[2]PassVol!$AN360</f>
        <v>0</v>
      </c>
      <c r="AU360" s="11"/>
      <c r="AV360" s="3">
        <f>SUM(AV341:AV359)</f>
        <v>0</v>
      </c>
      <c r="AW360" s="3">
        <f>SUM(AW341:AW359)</f>
        <v>0</v>
      </c>
      <c r="AX360" s="3">
        <f t="shared" ref="AX360:BE360" si="733">SUM(AX341:AX359)</f>
        <v>0</v>
      </c>
      <c r="AY360" s="3">
        <f t="shared" si="733"/>
        <v>0</v>
      </c>
      <c r="AZ360" s="3">
        <f t="shared" si="733"/>
        <v>0</v>
      </c>
      <c r="BA360" s="3">
        <f t="shared" si="733"/>
        <v>0</v>
      </c>
      <c r="BB360" s="3">
        <f t="shared" si="733"/>
        <v>0</v>
      </c>
      <c r="BC360" s="3">
        <f t="shared" si="733"/>
        <v>0</v>
      </c>
      <c r="BD360" s="3">
        <f t="shared" si="733"/>
        <v>0</v>
      </c>
      <c r="BE360" s="3">
        <f t="shared" si="733"/>
        <v>0</v>
      </c>
      <c r="BG360" s="3">
        <f>SUM(BG341:BG359)</f>
        <v>0</v>
      </c>
      <c r="BH360" s="3">
        <f>SUM(BH341:BH359)</f>
        <v>0</v>
      </c>
      <c r="BI360" s="3">
        <f t="shared" ref="BI360:BQ360" si="734">SUM(BI341:BI359)</f>
        <v>0</v>
      </c>
      <c r="BJ360" s="3">
        <f t="shared" si="734"/>
        <v>0</v>
      </c>
      <c r="BK360" s="3">
        <f t="shared" si="734"/>
        <v>0</v>
      </c>
      <c r="BL360" s="3">
        <f t="shared" si="734"/>
        <v>0</v>
      </c>
      <c r="BM360" s="3">
        <f t="shared" si="734"/>
        <v>0</v>
      </c>
      <c r="BN360" s="3">
        <f t="shared" si="734"/>
        <v>0</v>
      </c>
      <c r="BO360" s="3">
        <f t="shared" si="734"/>
        <v>0</v>
      </c>
      <c r="BP360" s="3">
        <f t="shared" si="734"/>
        <v>0</v>
      </c>
      <c r="BQ360" s="3">
        <f t="shared" si="734"/>
        <v>0</v>
      </c>
    </row>
    <row r="361" spans="2:69" s="10" customFormat="1" ht="15" customHeight="1" x14ac:dyDescent="0.25">
      <c r="B361" s="2"/>
      <c r="C361" s="38" t="s">
        <v>97</v>
      </c>
      <c r="D361" s="11">
        <f>+D360</f>
        <v>0</v>
      </c>
      <c r="E361" s="11">
        <f>+D361+E360</f>
        <v>0</v>
      </c>
      <c r="F361" s="11">
        <f t="shared" ref="F361:AQ361" si="735">+E361+F360</f>
        <v>0</v>
      </c>
      <c r="G361" s="11">
        <f t="shared" si="735"/>
        <v>0</v>
      </c>
      <c r="H361" s="11">
        <f t="shared" si="735"/>
        <v>0</v>
      </c>
      <c r="I361" s="11">
        <f t="shared" si="735"/>
        <v>0</v>
      </c>
      <c r="J361" s="11">
        <f t="shared" si="735"/>
        <v>0</v>
      </c>
      <c r="K361" s="11">
        <f t="shared" si="735"/>
        <v>0</v>
      </c>
      <c r="L361" s="11">
        <f t="shared" si="735"/>
        <v>0</v>
      </c>
      <c r="M361" s="11">
        <f t="shared" si="735"/>
        <v>0</v>
      </c>
      <c r="N361" s="11">
        <f t="shared" si="735"/>
        <v>0</v>
      </c>
      <c r="O361" s="11">
        <f t="shared" si="735"/>
        <v>0</v>
      </c>
      <c r="P361" s="11">
        <f t="shared" si="735"/>
        <v>0</v>
      </c>
      <c r="Q361" s="11">
        <f t="shared" si="735"/>
        <v>0</v>
      </c>
      <c r="R361" s="11">
        <f t="shared" si="735"/>
        <v>0</v>
      </c>
      <c r="S361" s="11">
        <f t="shared" si="735"/>
        <v>0</v>
      </c>
      <c r="T361" s="11">
        <f t="shared" si="735"/>
        <v>0</v>
      </c>
      <c r="U361" s="11">
        <f t="shared" si="735"/>
        <v>0</v>
      </c>
      <c r="V361" s="11">
        <f t="shared" si="735"/>
        <v>0</v>
      </c>
      <c r="W361" s="11">
        <f t="shared" si="735"/>
        <v>0</v>
      </c>
      <c r="X361" s="11">
        <f t="shared" si="735"/>
        <v>0</v>
      </c>
      <c r="Y361" s="11">
        <f t="shared" si="735"/>
        <v>0</v>
      </c>
      <c r="Z361" s="11">
        <f t="shared" si="735"/>
        <v>0</v>
      </c>
      <c r="AA361" s="11">
        <f t="shared" si="735"/>
        <v>0</v>
      </c>
      <c r="AB361" s="11">
        <f t="shared" si="735"/>
        <v>0</v>
      </c>
      <c r="AC361" s="11">
        <f t="shared" si="735"/>
        <v>0</v>
      </c>
      <c r="AD361" s="11">
        <f t="shared" si="735"/>
        <v>0</v>
      </c>
      <c r="AE361" s="11">
        <f t="shared" si="735"/>
        <v>0</v>
      </c>
      <c r="AF361" s="11">
        <f t="shared" si="735"/>
        <v>0</v>
      </c>
      <c r="AG361" s="11">
        <f t="shared" si="735"/>
        <v>0</v>
      </c>
      <c r="AH361" s="147">
        <f t="shared" si="735"/>
        <v>0</v>
      </c>
      <c r="AI361" s="11">
        <f t="shared" si="735"/>
        <v>0</v>
      </c>
      <c r="AJ361" s="11">
        <f t="shared" si="735"/>
        <v>0</v>
      </c>
      <c r="AK361" s="11">
        <f t="shared" si="735"/>
        <v>0</v>
      </c>
      <c r="AL361" s="147">
        <f t="shared" si="735"/>
        <v>0</v>
      </c>
      <c r="AM361" s="11">
        <f t="shared" si="735"/>
        <v>0</v>
      </c>
      <c r="AN361" s="11">
        <f t="shared" si="735"/>
        <v>0</v>
      </c>
      <c r="AO361" s="11">
        <f t="shared" si="735"/>
        <v>0</v>
      </c>
      <c r="AP361" s="11">
        <f t="shared" si="735"/>
        <v>0</v>
      </c>
      <c r="AQ361" s="11">
        <f t="shared" si="735"/>
        <v>0</v>
      </c>
      <c r="AR361" s="40"/>
      <c r="AS361" s="11"/>
      <c r="AT361" s="11"/>
      <c r="AU361" s="11"/>
      <c r="AV361" s="11">
        <f>+AV360</f>
        <v>0</v>
      </c>
      <c r="AW361" s="1">
        <f>+AV361+AW360</f>
        <v>0</v>
      </c>
      <c r="AX361" s="1">
        <f t="shared" ref="AX361" si="736">+AW361+AX360</f>
        <v>0</v>
      </c>
      <c r="AY361" s="1">
        <f t="shared" ref="AY361" si="737">+AX361+AY360</f>
        <v>0</v>
      </c>
      <c r="AZ361" s="1">
        <f t="shared" ref="AZ361" si="738">+AY361+AZ360</f>
        <v>0</v>
      </c>
      <c r="BA361" s="1">
        <f t="shared" ref="BA361" si="739">+AZ361+BA360</f>
        <v>0</v>
      </c>
      <c r="BB361" s="1">
        <f t="shared" ref="BB361" si="740">+BA361+BB360</f>
        <v>0</v>
      </c>
      <c r="BC361" s="1">
        <f t="shared" ref="BC361" si="741">+BB361+BC360</f>
        <v>0</v>
      </c>
      <c r="BD361" s="1">
        <f t="shared" ref="BD361" si="742">+BC361+BD360</f>
        <v>0</v>
      </c>
      <c r="BE361" s="1">
        <f t="shared" ref="BE361" si="743">+BD361+BE360</f>
        <v>0</v>
      </c>
    </row>
    <row r="362" spans="2:69" s="10" customFormat="1" ht="15" customHeight="1" x14ac:dyDescent="0.25">
      <c r="B362" s="2"/>
      <c r="C362" s="38" t="s">
        <v>220</v>
      </c>
      <c r="D362" s="11">
        <f>+D360*10</f>
        <v>0</v>
      </c>
      <c r="E362" s="11">
        <f t="shared" ref="E362:AQ362" si="744">+E360*10</f>
        <v>0</v>
      </c>
      <c r="F362" s="11">
        <f t="shared" si="744"/>
        <v>0</v>
      </c>
      <c r="G362" s="11">
        <f t="shared" si="744"/>
        <v>0</v>
      </c>
      <c r="H362" s="11">
        <f t="shared" si="744"/>
        <v>0</v>
      </c>
      <c r="I362" s="11">
        <f t="shared" si="744"/>
        <v>0</v>
      </c>
      <c r="J362" s="11">
        <f t="shared" si="744"/>
        <v>0</v>
      </c>
      <c r="K362" s="11">
        <f t="shared" si="744"/>
        <v>0</v>
      </c>
      <c r="L362" s="11">
        <f t="shared" si="744"/>
        <v>0</v>
      </c>
      <c r="M362" s="11">
        <f t="shared" si="744"/>
        <v>0</v>
      </c>
      <c r="N362" s="11">
        <f t="shared" si="744"/>
        <v>0</v>
      </c>
      <c r="O362" s="11">
        <f t="shared" si="744"/>
        <v>0</v>
      </c>
      <c r="P362" s="11">
        <f t="shared" si="744"/>
        <v>0</v>
      </c>
      <c r="Q362" s="11">
        <f t="shared" si="744"/>
        <v>0</v>
      </c>
      <c r="R362" s="11">
        <f t="shared" si="744"/>
        <v>0</v>
      </c>
      <c r="S362" s="11">
        <f t="shared" si="744"/>
        <v>0</v>
      </c>
      <c r="T362" s="11">
        <f t="shared" si="744"/>
        <v>0</v>
      </c>
      <c r="U362" s="11">
        <f t="shared" si="744"/>
        <v>0</v>
      </c>
      <c r="V362" s="11">
        <f t="shared" si="744"/>
        <v>0</v>
      </c>
      <c r="W362" s="11">
        <f t="shared" si="744"/>
        <v>0</v>
      </c>
      <c r="X362" s="11">
        <f t="shared" si="744"/>
        <v>0</v>
      </c>
      <c r="Y362" s="11">
        <f t="shared" si="744"/>
        <v>0</v>
      </c>
      <c r="Z362" s="11">
        <f t="shared" si="744"/>
        <v>0</v>
      </c>
      <c r="AA362" s="11">
        <f t="shared" si="744"/>
        <v>0</v>
      </c>
      <c r="AB362" s="11">
        <f t="shared" si="744"/>
        <v>0</v>
      </c>
      <c r="AC362" s="11">
        <f t="shared" si="744"/>
        <v>0</v>
      </c>
      <c r="AD362" s="11">
        <f t="shared" si="744"/>
        <v>0</v>
      </c>
      <c r="AE362" s="11">
        <f t="shared" si="744"/>
        <v>0</v>
      </c>
      <c r="AF362" s="11">
        <f t="shared" si="744"/>
        <v>0</v>
      </c>
      <c r="AG362" s="11">
        <f t="shared" si="744"/>
        <v>0</v>
      </c>
      <c r="AH362" s="147">
        <f t="shared" si="744"/>
        <v>0</v>
      </c>
      <c r="AI362" s="11">
        <f t="shared" si="744"/>
        <v>0</v>
      </c>
      <c r="AJ362" s="11">
        <f t="shared" si="744"/>
        <v>0</v>
      </c>
      <c r="AK362" s="11">
        <f t="shared" si="744"/>
        <v>0</v>
      </c>
      <c r="AL362" s="147">
        <f t="shared" si="744"/>
        <v>0</v>
      </c>
      <c r="AM362" s="11">
        <f t="shared" si="744"/>
        <v>0</v>
      </c>
      <c r="AN362" s="11">
        <f t="shared" si="744"/>
        <v>0</v>
      </c>
      <c r="AO362" s="11">
        <f t="shared" si="744"/>
        <v>0</v>
      </c>
      <c r="AP362" s="11">
        <f t="shared" si="744"/>
        <v>0</v>
      </c>
      <c r="AQ362" s="11">
        <f t="shared" si="744"/>
        <v>0</v>
      </c>
      <c r="AR362" s="3">
        <f>SUM(D362:AQ362)</f>
        <v>0</v>
      </c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</row>
    <row r="363" spans="2:69" s="10" customFormat="1" ht="15" customHeight="1" x14ac:dyDescent="0.2">
      <c r="C363" s="38" t="s">
        <v>286</v>
      </c>
      <c r="D363" s="11">
        <f>+(D360-D350-D356)/2</f>
        <v>0</v>
      </c>
      <c r="E363" s="11">
        <f t="shared" ref="E363:AQ363" si="745">+(E360-E350-E356)/2</f>
        <v>0</v>
      </c>
      <c r="F363" s="11">
        <f t="shared" si="745"/>
        <v>0</v>
      </c>
      <c r="G363" s="11">
        <f t="shared" si="745"/>
        <v>0</v>
      </c>
      <c r="H363" s="11">
        <f t="shared" si="745"/>
        <v>0</v>
      </c>
      <c r="I363" s="11">
        <f t="shared" si="745"/>
        <v>0</v>
      </c>
      <c r="J363" s="11">
        <f t="shared" si="745"/>
        <v>0</v>
      </c>
      <c r="K363" s="11">
        <f t="shared" si="745"/>
        <v>0</v>
      </c>
      <c r="L363" s="11">
        <f t="shared" si="745"/>
        <v>0</v>
      </c>
      <c r="M363" s="11">
        <f t="shared" si="745"/>
        <v>0</v>
      </c>
      <c r="N363" s="11">
        <f t="shared" si="745"/>
        <v>0</v>
      </c>
      <c r="O363" s="11">
        <f t="shared" si="745"/>
        <v>0</v>
      </c>
      <c r="P363" s="11">
        <f t="shared" si="745"/>
        <v>0</v>
      </c>
      <c r="Q363" s="11">
        <f t="shared" si="745"/>
        <v>0</v>
      </c>
      <c r="R363" s="11">
        <f t="shared" si="745"/>
        <v>0</v>
      </c>
      <c r="S363" s="11">
        <f t="shared" si="745"/>
        <v>0</v>
      </c>
      <c r="T363" s="11">
        <f t="shared" si="745"/>
        <v>0</v>
      </c>
      <c r="U363" s="11">
        <f t="shared" si="745"/>
        <v>0</v>
      </c>
      <c r="V363" s="11">
        <f t="shared" si="745"/>
        <v>0</v>
      </c>
      <c r="W363" s="11">
        <f t="shared" si="745"/>
        <v>0</v>
      </c>
      <c r="X363" s="11">
        <f t="shared" si="745"/>
        <v>0</v>
      </c>
      <c r="Y363" s="11">
        <f t="shared" si="745"/>
        <v>0</v>
      </c>
      <c r="Z363" s="11">
        <f t="shared" si="745"/>
        <v>0</v>
      </c>
      <c r="AA363" s="11">
        <f t="shared" si="745"/>
        <v>0</v>
      </c>
      <c r="AB363" s="11">
        <f t="shared" si="745"/>
        <v>0</v>
      </c>
      <c r="AC363" s="11">
        <f t="shared" si="745"/>
        <v>0</v>
      </c>
      <c r="AD363" s="11">
        <f t="shared" si="745"/>
        <v>0</v>
      </c>
      <c r="AE363" s="11">
        <f t="shared" si="745"/>
        <v>0</v>
      </c>
      <c r="AF363" s="11">
        <f t="shared" si="745"/>
        <v>0</v>
      </c>
      <c r="AG363" s="11">
        <f t="shared" si="745"/>
        <v>0</v>
      </c>
      <c r="AH363" s="147">
        <f t="shared" si="745"/>
        <v>0</v>
      </c>
      <c r="AI363" s="11">
        <f t="shared" si="745"/>
        <v>0</v>
      </c>
      <c r="AJ363" s="11">
        <f t="shared" si="745"/>
        <v>0</v>
      </c>
      <c r="AK363" s="11">
        <f t="shared" si="745"/>
        <v>0</v>
      </c>
      <c r="AL363" s="147">
        <f t="shared" si="745"/>
        <v>0</v>
      </c>
      <c r="AM363" s="11">
        <f t="shared" si="745"/>
        <v>0</v>
      </c>
      <c r="AN363" s="11">
        <f t="shared" si="745"/>
        <v>0</v>
      </c>
      <c r="AO363" s="11">
        <f t="shared" si="745"/>
        <v>0</v>
      </c>
      <c r="AP363" s="11">
        <f t="shared" si="745"/>
        <v>0</v>
      </c>
      <c r="AQ363" s="11">
        <f t="shared" si="745"/>
        <v>0</v>
      </c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</row>
    <row r="364" spans="2:69" s="10" customFormat="1" ht="15" customHeight="1" x14ac:dyDescent="0.25">
      <c r="B364" s="2" t="s">
        <v>395</v>
      </c>
      <c r="C364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47"/>
      <c r="AI364" s="11"/>
      <c r="AJ364" s="11"/>
      <c r="AK364" s="11"/>
      <c r="AL364" s="147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</row>
    <row r="365" spans="2:69" s="10" customFormat="1" ht="15" customHeight="1" x14ac:dyDescent="0.25">
      <c r="B365" s="2"/>
      <c r="C365" t="s">
        <v>190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>
        <v>4</v>
      </c>
      <c r="V365" s="1">
        <v>22</v>
      </c>
      <c r="W365" s="1">
        <v>30</v>
      </c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17"/>
      <c r="AI365" s="1"/>
      <c r="AJ365" s="1"/>
      <c r="AK365" s="1"/>
      <c r="AL365" s="117"/>
      <c r="AM365" s="1"/>
      <c r="AN365" s="1"/>
      <c r="AO365" s="1"/>
      <c r="AP365" s="1"/>
      <c r="AQ365" s="1"/>
      <c r="AR365" s="3">
        <f>SUM(D365:AQ365)</f>
        <v>56</v>
      </c>
      <c r="AS365" s="11"/>
      <c r="AT365" s="1">
        <f>+AR365-[2]PassVol!$AN365</f>
        <v>56</v>
      </c>
      <c r="AU365" s="11"/>
      <c r="AV365" s="1">
        <f>SUM(D365:G365)</f>
        <v>0</v>
      </c>
      <c r="AW365" s="1">
        <f>SUM(H365:K365)</f>
        <v>0</v>
      </c>
      <c r="AX365" s="1">
        <f>SUM(L365:P365)</f>
        <v>0</v>
      </c>
      <c r="AY365" s="1">
        <f>SUM(Q365:T365)</f>
        <v>0</v>
      </c>
      <c r="AZ365" s="1">
        <f>SUM(U365:X365)</f>
        <v>56</v>
      </c>
      <c r="BA365" s="1">
        <f>SUM(Y365:AC365)</f>
        <v>0</v>
      </c>
      <c r="BB365" s="1">
        <f>SUM(AD365:AG365)</f>
        <v>0</v>
      </c>
      <c r="BC365" s="1">
        <f>SUM(AH365:AK365)</f>
        <v>0</v>
      </c>
      <c r="BD365" s="1">
        <f>SUM(AL365:AP365)</f>
        <v>0</v>
      </c>
      <c r="BE365" s="1">
        <f>+AQ365</f>
        <v>0</v>
      </c>
      <c r="BG365" s="1">
        <f>+AV365*10</f>
        <v>0</v>
      </c>
      <c r="BH365" s="1">
        <f>+AW365*10</f>
        <v>0</v>
      </c>
      <c r="BI365" s="1">
        <f t="shared" ref="BI365:BI383" si="746">+AX365*10</f>
        <v>0</v>
      </c>
      <c r="BJ365" s="1">
        <f t="shared" ref="BJ365:BJ383" si="747">+AY365*10</f>
        <v>0</v>
      </c>
      <c r="BK365" s="1">
        <f t="shared" ref="BK365:BK383" si="748">+AZ365*10</f>
        <v>560</v>
      </c>
      <c r="BL365" s="1">
        <f t="shared" ref="BL365:BL383" si="749">+BA365*10</f>
        <v>0</v>
      </c>
      <c r="BM365" s="1">
        <f t="shared" ref="BM365:BM383" si="750">+BB365*10</f>
        <v>0</v>
      </c>
      <c r="BN365" s="1">
        <f t="shared" ref="BN365:BN383" si="751">+BC365*10</f>
        <v>0</v>
      </c>
      <c r="BO365" s="1">
        <f t="shared" ref="BO365:BO383" si="752">+BD365*10</f>
        <v>0</v>
      </c>
      <c r="BP365" s="1">
        <f t="shared" ref="BP365:BP383" si="753">+BE365*10</f>
        <v>0</v>
      </c>
      <c r="BQ365" s="1">
        <f t="shared" ref="BQ365:BQ383" si="754">SUM(BH365:BP365)</f>
        <v>560</v>
      </c>
    </row>
    <row r="366" spans="2:69" s="10" customFormat="1" ht="15" customHeight="1" x14ac:dyDescent="0.25">
      <c r="B366" s="2"/>
      <c r="C366" t="s">
        <v>424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>
        <v>161</v>
      </c>
      <c r="V366" s="1"/>
      <c r="W366" s="1">
        <v>26</v>
      </c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17"/>
      <c r="AI366" s="1"/>
      <c r="AJ366" s="1"/>
      <c r="AK366" s="1"/>
      <c r="AL366" s="117"/>
      <c r="AM366" s="1"/>
      <c r="AN366" s="1"/>
      <c r="AO366" s="1"/>
      <c r="AP366" s="1"/>
      <c r="AQ366" s="1"/>
      <c r="AR366" s="3">
        <f>SUM(D366:AQ366)</f>
        <v>187</v>
      </c>
      <c r="AS366" s="11"/>
      <c r="AT366" s="1">
        <f>+AR366-[2]PassVol!$AN366</f>
        <v>187</v>
      </c>
      <c r="AU366" s="11"/>
      <c r="AV366" s="1">
        <f t="shared" ref="AV366:AV383" si="755">SUM(D366:G366)</f>
        <v>0</v>
      </c>
      <c r="AW366" s="1">
        <f t="shared" ref="AW366:AW383" si="756">SUM(H366:K366)</f>
        <v>0</v>
      </c>
      <c r="AX366" s="1">
        <f t="shared" ref="AX366:AX383" si="757">SUM(L366:P366)</f>
        <v>0</v>
      </c>
      <c r="AY366" s="1">
        <f t="shared" ref="AY366:AY383" si="758">SUM(Q366:T366)</f>
        <v>0</v>
      </c>
      <c r="AZ366" s="1">
        <f t="shared" ref="AZ366:AZ383" si="759">SUM(U366:X366)</f>
        <v>187</v>
      </c>
      <c r="BA366" s="1">
        <f t="shared" ref="BA366:BA383" si="760">SUM(Y366:AC366)</f>
        <v>0</v>
      </c>
      <c r="BB366" s="1">
        <f t="shared" ref="BB366:BB383" si="761">SUM(AD366:AG366)</f>
        <v>0</v>
      </c>
      <c r="BC366" s="1">
        <f t="shared" ref="BC366:BC383" si="762">SUM(AH366:AK366)</f>
        <v>0</v>
      </c>
      <c r="BD366" s="1">
        <f t="shared" ref="BD366:BD383" si="763">SUM(AL366:AP366)</f>
        <v>0</v>
      </c>
      <c r="BE366" s="1">
        <f t="shared" ref="BE366:BE383" si="764">+AQ366</f>
        <v>0</v>
      </c>
      <c r="BG366" s="1">
        <f>+AV366*10</f>
        <v>0</v>
      </c>
      <c r="BH366" s="1">
        <f>+AW366*10</f>
        <v>0</v>
      </c>
      <c r="BI366" s="1">
        <f t="shared" si="746"/>
        <v>0</v>
      </c>
      <c r="BJ366" s="1">
        <f t="shared" si="747"/>
        <v>0</v>
      </c>
      <c r="BK366" s="1">
        <f t="shared" si="748"/>
        <v>1870</v>
      </c>
      <c r="BL366" s="1">
        <f t="shared" si="749"/>
        <v>0</v>
      </c>
      <c r="BM366" s="1">
        <f t="shared" si="750"/>
        <v>0</v>
      </c>
      <c r="BN366" s="1">
        <f t="shared" si="751"/>
        <v>0</v>
      </c>
      <c r="BO366" s="1">
        <f t="shared" si="752"/>
        <v>0</v>
      </c>
      <c r="BP366" s="1">
        <f t="shared" si="753"/>
        <v>0</v>
      </c>
      <c r="BQ366" s="1">
        <f t="shared" si="754"/>
        <v>1870</v>
      </c>
    </row>
    <row r="367" spans="2:69" s="10" customFormat="1" ht="15" customHeight="1" x14ac:dyDescent="0.25">
      <c r="B367" s="2"/>
      <c r="C367" t="s">
        <v>347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>
        <v>228</v>
      </c>
      <c r="V367" s="1">
        <v>10</v>
      </c>
      <c r="W367" s="1">
        <v>8</v>
      </c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17"/>
      <c r="AI367" s="1"/>
      <c r="AJ367" s="1"/>
      <c r="AK367" s="1"/>
      <c r="AL367" s="117"/>
      <c r="AM367" s="1"/>
      <c r="AN367" s="1"/>
      <c r="AO367" s="1"/>
      <c r="AP367" s="1"/>
      <c r="AQ367" s="1"/>
      <c r="AR367" s="3">
        <f t="shared" ref="AR367:AR383" si="765">SUM(D367:AQ367)</f>
        <v>246</v>
      </c>
      <c r="AS367" s="11"/>
      <c r="AT367" s="1">
        <f>+AR367-[2]PassVol!$AN367</f>
        <v>246</v>
      </c>
      <c r="AU367" s="11"/>
      <c r="AV367" s="1">
        <f t="shared" si="755"/>
        <v>0</v>
      </c>
      <c r="AW367" s="1">
        <f t="shared" si="756"/>
        <v>0</v>
      </c>
      <c r="AX367" s="1">
        <f t="shared" si="757"/>
        <v>0</v>
      </c>
      <c r="AY367" s="1">
        <f t="shared" si="758"/>
        <v>0</v>
      </c>
      <c r="AZ367" s="1">
        <f t="shared" si="759"/>
        <v>246</v>
      </c>
      <c r="BA367" s="1">
        <f t="shared" si="760"/>
        <v>0</v>
      </c>
      <c r="BB367" s="1">
        <f t="shared" si="761"/>
        <v>0</v>
      </c>
      <c r="BC367" s="1">
        <f t="shared" si="762"/>
        <v>0</v>
      </c>
      <c r="BD367" s="1">
        <f t="shared" si="763"/>
        <v>0</v>
      </c>
      <c r="BE367" s="1">
        <f t="shared" si="764"/>
        <v>0</v>
      </c>
      <c r="BG367" s="1">
        <f t="shared" ref="BG367:BH383" si="766">+AV367*10</f>
        <v>0</v>
      </c>
      <c r="BH367" s="1">
        <f t="shared" si="766"/>
        <v>0</v>
      </c>
      <c r="BI367" s="1">
        <f t="shared" si="746"/>
        <v>0</v>
      </c>
      <c r="BJ367" s="1">
        <f t="shared" si="747"/>
        <v>0</v>
      </c>
      <c r="BK367" s="1">
        <f t="shared" si="748"/>
        <v>2460</v>
      </c>
      <c r="BL367" s="1">
        <f t="shared" si="749"/>
        <v>0</v>
      </c>
      <c r="BM367" s="1">
        <f t="shared" si="750"/>
        <v>0</v>
      </c>
      <c r="BN367" s="1">
        <f t="shared" si="751"/>
        <v>0</v>
      </c>
      <c r="BO367" s="1">
        <f t="shared" si="752"/>
        <v>0</v>
      </c>
      <c r="BP367" s="1">
        <f t="shared" si="753"/>
        <v>0</v>
      </c>
      <c r="BQ367" s="1">
        <f t="shared" si="754"/>
        <v>2460</v>
      </c>
    </row>
    <row r="368" spans="2:69" s="10" customFormat="1" ht="15" customHeight="1" x14ac:dyDescent="0.25">
      <c r="B368" s="2"/>
      <c r="C368" t="s">
        <v>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17"/>
      <c r="AI368" s="1"/>
      <c r="AJ368" s="1"/>
      <c r="AK368" s="1"/>
      <c r="AL368" s="117"/>
      <c r="AM368" s="1"/>
      <c r="AN368" s="1"/>
      <c r="AO368" s="1"/>
      <c r="AP368" s="1"/>
      <c r="AQ368" s="1"/>
      <c r="AR368" s="3">
        <f t="shared" si="765"/>
        <v>0</v>
      </c>
      <c r="AS368" s="11"/>
      <c r="AT368" s="1">
        <f>+AR368-[2]PassVol!$AN368</f>
        <v>0</v>
      </c>
      <c r="AU368" s="11"/>
      <c r="AV368" s="1">
        <f t="shared" si="755"/>
        <v>0</v>
      </c>
      <c r="AW368" s="1">
        <f t="shared" si="756"/>
        <v>0</v>
      </c>
      <c r="AX368" s="1">
        <f t="shared" si="757"/>
        <v>0</v>
      </c>
      <c r="AY368" s="1">
        <f t="shared" si="758"/>
        <v>0</v>
      </c>
      <c r="AZ368" s="1">
        <f t="shared" si="759"/>
        <v>0</v>
      </c>
      <c r="BA368" s="1">
        <f t="shared" si="760"/>
        <v>0</v>
      </c>
      <c r="BB368" s="1">
        <f t="shared" si="761"/>
        <v>0</v>
      </c>
      <c r="BC368" s="1">
        <f t="shared" si="762"/>
        <v>0</v>
      </c>
      <c r="BD368" s="1">
        <f t="shared" si="763"/>
        <v>0</v>
      </c>
      <c r="BE368" s="1">
        <f t="shared" si="764"/>
        <v>0</v>
      </c>
      <c r="BG368" s="1">
        <f t="shared" si="766"/>
        <v>0</v>
      </c>
      <c r="BH368" s="1">
        <f t="shared" si="766"/>
        <v>0</v>
      </c>
      <c r="BI368" s="1">
        <f t="shared" si="746"/>
        <v>0</v>
      </c>
      <c r="BJ368" s="1">
        <f t="shared" si="747"/>
        <v>0</v>
      </c>
      <c r="BK368" s="1">
        <f t="shared" si="748"/>
        <v>0</v>
      </c>
      <c r="BL368" s="1">
        <f t="shared" si="749"/>
        <v>0</v>
      </c>
      <c r="BM368" s="1">
        <f t="shared" si="750"/>
        <v>0</v>
      </c>
      <c r="BN368" s="1">
        <f t="shared" si="751"/>
        <v>0</v>
      </c>
      <c r="BO368" s="1">
        <f t="shared" si="752"/>
        <v>0</v>
      </c>
      <c r="BP368" s="1">
        <f t="shared" si="753"/>
        <v>0</v>
      </c>
      <c r="BQ368" s="1">
        <f t="shared" si="754"/>
        <v>0</v>
      </c>
    </row>
    <row r="369" spans="2:69" s="10" customFormat="1" ht="15" customHeight="1" x14ac:dyDescent="0.25">
      <c r="B369" s="2"/>
      <c r="C369" t="s">
        <v>354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17"/>
      <c r="AI369" s="1"/>
      <c r="AJ369" s="1"/>
      <c r="AK369" s="1"/>
      <c r="AL369" s="117"/>
      <c r="AM369" s="1"/>
      <c r="AN369" s="1"/>
      <c r="AO369" s="1"/>
      <c r="AP369" s="1"/>
      <c r="AQ369" s="1"/>
      <c r="AR369" s="3">
        <f t="shared" si="765"/>
        <v>0</v>
      </c>
      <c r="AS369" s="11"/>
      <c r="AT369" s="1">
        <f>+AR369-[2]PassVol!$AN369</f>
        <v>0</v>
      </c>
      <c r="AU369" s="11"/>
      <c r="AV369" s="1">
        <f t="shared" si="755"/>
        <v>0</v>
      </c>
      <c r="AW369" s="1">
        <f t="shared" si="756"/>
        <v>0</v>
      </c>
      <c r="AX369" s="1">
        <f t="shared" si="757"/>
        <v>0</v>
      </c>
      <c r="AY369" s="1">
        <f t="shared" si="758"/>
        <v>0</v>
      </c>
      <c r="AZ369" s="1">
        <f t="shared" si="759"/>
        <v>0</v>
      </c>
      <c r="BA369" s="1">
        <f t="shared" si="760"/>
        <v>0</v>
      </c>
      <c r="BB369" s="1">
        <f t="shared" si="761"/>
        <v>0</v>
      </c>
      <c r="BC369" s="1">
        <f t="shared" si="762"/>
        <v>0</v>
      </c>
      <c r="BD369" s="1">
        <f t="shared" si="763"/>
        <v>0</v>
      </c>
      <c r="BE369" s="1">
        <f t="shared" si="764"/>
        <v>0</v>
      </c>
      <c r="BG369" s="1">
        <f t="shared" si="766"/>
        <v>0</v>
      </c>
      <c r="BH369" s="1">
        <f t="shared" si="766"/>
        <v>0</v>
      </c>
      <c r="BI369" s="1">
        <f t="shared" si="746"/>
        <v>0</v>
      </c>
      <c r="BJ369" s="1">
        <f t="shared" si="747"/>
        <v>0</v>
      </c>
      <c r="BK369" s="1">
        <f t="shared" si="748"/>
        <v>0</v>
      </c>
      <c r="BL369" s="1">
        <f t="shared" si="749"/>
        <v>0</v>
      </c>
      <c r="BM369" s="1">
        <f t="shared" si="750"/>
        <v>0</v>
      </c>
      <c r="BN369" s="1">
        <f t="shared" si="751"/>
        <v>0</v>
      </c>
      <c r="BO369" s="1">
        <f t="shared" si="752"/>
        <v>0</v>
      </c>
      <c r="BP369" s="1">
        <f t="shared" si="753"/>
        <v>0</v>
      </c>
      <c r="BQ369" s="1">
        <f t="shared" si="754"/>
        <v>0</v>
      </c>
    </row>
    <row r="370" spans="2:69" s="10" customFormat="1" ht="15" customHeight="1" x14ac:dyDescent="0.25">
      <c r="B370" s="2"/>
      <c r="C370" t="s">
        <v>265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>
        <v>80</v>
      </c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17"/>
      <c r="AI370" s="1"/>
      <c r="AJ370" s="1"/>
      <c r="AK370" s="1"/>
      <c r="AL370" s="117"/>
      <c r="AM370" s="1"/>
      <c r="AN370" s="1"/>
      <c r="AO370" s="1"/>
      <c r="AP370" s="1"/>
      <c r="AQ370" s="1"/>
      <c r="AR370" s="3">
        <f t="shared" si="765"/>
        <v>80</v>
      </c>
      <c r="AS370" s="11"/>
      <c r="AT370" s="1">
        <f>+AR370-[2]PassVol!$AN370</f>
        <v>80</v>
      </c>
      <c r="AU370" s="11"/>
      <c r="AV370" s="1">
        <f t="shared" si="755"/>
        <v>0</v>
      </c>
      <c r="AW370" s="1">
        <f t="shared" si="756"/>
        <v>0</v>
      </c>
      <c r="AX370" s="1">
        <f t="shared" si="757"/>
        <v>0</v>
      </c>
      <c r="AY370" s="1">
        <f t="shared" si="758"/>
        <v>0</v>
      </c>
      <c r="AZ370" s="1">
        <f t="shared" si="759"/>
        <v>80</v>
      </c>
      <c r="BA370" s="1">
        <f t="shared" si="760"/>
        <v>0</v>
      </c>
      <c r="BB370" s="1">
        <f t="shared" si="761"/>
        <v>0</v>
      </c>
      <c r="BC370" s="1">
        <f t="shared" si="762"/>
        <v>0</v>
      </c>
      <c r="BD370" s="1">
        <f t="shared" si="763"/>
        <v>0</v>
      </c>
      <c r="BE370" s="1">
        <f t="shared" si="764"/>
        <v>0</v>
      </c>
      <c r="BG370" s="1">
        <f t="shared" si="766"/>
        <v>0</v>
      </c>
      <c r="BH370" s="1">
        <f t="shared" si="766"/>
        <v>0</v>
      </c>
      <c r="BI370" s="1">
        <f t="shared" si="746"/>
        <v>0</v>
      </c>
      <c r="BJ370" s="1">
        <f t="shared" si="747"/>
        <v>0</v>
      </c>
      <c r="BK370" s="1">
        <f t="shared" si="748"/>
        <v>800</v>
      </c>
      <c r="BL370" s="1">
        <f t="shared" si="749"/>
        <v>0</v>
      </c>
      <c r="BM370" s="1">
        <f t="shared" si="750"/>
        <v>0</v>
      </c>
      <c r="BN370" s="1">
        <f t="shared" si="751"/>
        <v>0</v>
      </c>
      <c r="BO370" s="1">
        <f t="shared" si="752"/>
        <v>0</v>
      </c>
      <c r="BP370" s="1">
        <f t="shared" si="753"/>
        <v>0</v>
      </c>
      <c r="BQ370" s="1">
        <f t="shared" si="754"/>
        <v>800</v>
      </c>
    </row>
    <row r="371" spans="2:69" s="10" customFormat="1" ht="15" customHeight="1" x14ac:dyDescent="0.25">
      <c r="B371" s="2"/>
      <c r="C371" t="s">
        <v>191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>
        <v>392</v>
      </c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17"/>
      <c r="AI371" s="1"/>
      <c r="AJ371" s="1"/>
      <c r="AK371" s="1"/>
      <c r="AL371" s="117"/>
      <c r="AM371" s="1"/>
      <c r="AN371" s="1"/>
      <c r="AO371" s="1"/>
      <c r="AP371" s="1"/>
      <c r="AQ371" s="1"/>
      <c r="AR371" s="3">
        <f t="shared" si="765"/>
        <v>392</v>
      </c>
      <c r="AS371" s="11"/>
      <c r="AT371" s="1">
        <f>+AR371-[2]PassVol!$AN371</f>
        <v>392</v>
      </c>
      <c r="AU371" s="11"/>
      <c r="AV371" s="1">
        <f t="shared" si="755"/>
        <v>0</v>
      </c>
      <c r="AW371" s="1">
        <f t="shared" si="756"/>
        <v>0</v>
      </c>
      <c r="AX371" s="1">
        <f t="shared" si="757"/>
        <v>0</v>
      </c>
      <c r="AY371" s="1">
        <f t="shared" si="758"/>
        <v>0</v>
      </c>
      <c r="AZ371" s="1">
        <f t="shared" si="759"/>
        <v>392</v>
      </c>
      <c r="BA371" s="1">
        <f t="shared" si="760"/>
        <v>0</v>
      </c>
      <c r="BB371" s="1">
        <f t="shared" si="761"/>
        <v>0</v>
      </c>
      <c r="BC371" s="1">
        <f t="shared" si="762"/>
        <v>0</v>
      </c>
      <c r="BD371" s="1">
        <f t="shared" si="763"/>
        <v>0</v>
      </c>
      <c r="BE371" s="1">
        <f t="shared" si="764"/>
        <v>0</v>
      </c>
      <c r="BG371" s="1">
        <f t="shared" si="766"/>
        <v>0</v>
      </c>
      <c r="BH371" s="1">
        <f t="shared" si="766"/>
        <v>0</v>
      </c>
      <c r="BI371" s="1">
        <f t="shared" si="746"/>
        <v>0</v>
      </c>
      <c r="BJ371" s="1">
        <f t="shared" si="747"/>
        <v>0</v>
      </c>
      <c r="BK371" s="1">
        <f t="shared" si="748"/>
        <v>3920</v>
      </c>
      <c r="BL371" s="1">
        <f t="shared" si="749"/>
        <v>0</v>
      </c>
      <c r="BM371" s="1">
        <f t="shared" si="750"/>
        <v>0</v>
      </c>
      <c r="BN371" s="1">
        <f t="shared" si="751"/>
        <v>0</v>
      </c>
      <c r="BO371" s="1">
        <f t="shared" si="752"/>
        <v>0</v>
      </c>
      <c r="BP371" s="1">
        <f t="shared" si="753"/>
        <v>0</v>
      </c>
      <c r="BQ371" s="1">
        <f t="shared" si="754"/>
        <v>3920</v>
      </c>
    </row>
    <row r="372" spans="2:69" s="10" customFormat="1" ht="15" customHeight="1" x14ac:dyDescent="0.25">
      <c r="B372" s="2"/>
      <c r="C372" t="s">
        <v>549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17"/>
      <c r="AI372" s="1"/>
      <c r="AJ372" s="1"/>
      <c r="AK372" s="1"/>
      <c r="AL372" s="117"/>
      <c r="AM372" s="1"/>
      <c r="AN372" s="1"/>
      <c r="AO372" s="1"/>
      <c r="AP372" s="1"/>
      <c r="AQ372" s="1"/>
      <c r="AR372" s="3">
        <f t="shared" si="765"/>
        <v>0</v>
      </c>
      <c r="AS372" s="11"/>
      <c r="AT372" s="1">
        <f>+AR372-[2]PassVol!$AN372</f>
        <v>0</v>
      </c>
      <c r="AU372" s="11"/>
      <c r="AV372" s="1">
        <f t="shared" si="755"/>
        <v>0</v>
      </c>
      <c r="AW372" s="1">
        <f t="shared" si="756"/>
        <v>0</v>
      </c>
      <c r="AX372" s="1">
        <f t="shared" si="757"/>
        <v>0</v>
      </c>
      <c r="AY372" s="1">
        <f t="shared" si="758"/>
        <v>0</v>
      </c>
      <c r="AZ372" s="1">
        <f t="shared" si="759"/>
        <v>0</v>
      </c>
      <c r="BA372" s="1">
        <f t="shared" si="760"/>
        <v>0</v>
      </c>
      <c r="BB372" s="1">
        <f t="shared" si="761"/>
        <v>0</v>
      </c>
      <c r="BC372" s="1">
        <f t="shared" si="762"/>
        <v>0</v>
      </c>
      <c r="BD372" s="1">
        <f t="shared" si="763"/>
        <v>0</v>
      </c>
      <c r="BE372" s="1">
        <f t="shared" si="764"/>
        <v>0</v>
      </c>
      <c r="BG372" s="1">
        <f t="shared" si="766"/>
        <v>0</v>
      </c>
      <c r="BH372" s="1">
        <f t="shared" si="766"/>
        <v>0</v>
      </c>
      <c r="BI372" s="1">
        <f t="shared" si="746"/>
        <v>0</v>
      </c>
      <c r="BJ372" s="1">
        <f t="shared" si="747"/>
        <v>0</v>
      </c>
      <c r="BK372" s="1">
        <f t="shared" si="748"/>
        <v>0</v>
      </c>
      <c r="BL372" s="1">
        <f t="shared" si="749"/>
        <v>0</v>
      </c>
      <c r="BM372" s="1">
        <f t="shared" si="750"/>
        <v>0</v>
      </c>
      <c r="BN372" s="1">
        <f t="shared" si="751"/>
        <v>0</v>
      </c>
      <c r="BO372" s="1">
        <f t="shared" si="752"/>
        <v>0</v>
      </c>
      <c r="BP372" s="1">
        <f t="shared" si="753"/>
        <v>0</v>
      </c>
      <c r="BQ372" s="1">
        <f t="shared" si="754"/>
        <v>0</v>
      </c>
    </row>
    <row r="373" spans="2:69" s="10" customFormat="1" ht="15" customHeight="1" x14ac:dyDescent="0.25">
      <c r="B373" s="2"/>
      <c r="C373" t="s">
        <v>550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17"/>
      <c r="AI373" s="1"/>
      <c r="AJ373" s="1"/>
      <c r="AK373" s="1"/>
      <c r="AL373" s="117"/>
      <c r="AM373" s="1"/>
      <c r="AN373" s="1"/>
      <c r="AO373" s="1"/>
      <c r="AP373" s="1"/>
      <c r="AQ373" s="1"/>
      <c r="AR373" s="3">
        <f t="shared" si="765"/>
        <v>0</v>
      </c>
      <c r="AS373" s="11"/>
      <c r="AT373" s="1">
        <f>+AR373-[2]PassVol!$AN373</f>
        <v>0</v>
      </c>
      <c r="AU373" s="11"/>
      <c r="AV373" s="1">
        <f t="shared" si="755"/>
        <v>0</v>
      </c>
      <c r="AW373" s="1">
        <f t="shared" si="756"/>
        <v>0</v>
      </c>
      <c r="AX373" s="1">
        <f t="shared" si="757"/>
        <v>0</v>
      </c>
      <c r="AY373" s="1">
        <f t="shared" si="758"/>
        <v>0</v>
      </c>
      <c r="AZ373" s="1">
        <f t="shared" si="759"/>
        <v>0</v>
      </c>
      <c r="BA373" s="1">
        <f t="shared" si="760"/>
        <v>0</v>
      </c>
      <c r="BB373" s="1">
        <f t="shared" si="761"/>
        <v>0</v>
      </c>
      <c r="BC373" s="1">
        <f t="shared" si="762"/>
        <v>0</v>
      </c>
      <c r="BD373" s="1">
        <f t="shared" si="763"/>
        <v>0</v>
      </c>
      <c r="BE373" s="1">
        <f t="shared" si="764"/>
        <v>0</v>
      </c>
      <c r="BG373" s="1">
        <f t="shared" si="766"/>
        <v>0</v>
      </c>
      <c r="BH373" s="1">
        <f t="shared" si="766"/>
        <v>0</v>
      </c>
      <c r="BI373" s="1">
        <f t="shared" si="746"/>
        <v>0</v>
      </c>
      <c r="BJ373" s="1">
        <f t="shared" si="747"/>
        <v>0</v>
      </c>
      <c r="BK373" s="1">
        <f t="shared" si="748"/>
        <v>0</v>
      </c>
      <c r="BL373" s="1">
        <f t="shared" si="749"/>
        <v>0</v>
      </c>
      <c r="BM373" s="1">
        <f t="shared" si="750"/>
        <v>0</v>
      </c>
      <c r="BN373" s="1">
        <f t="shared" si="751"/>
        <v>0</v>
      </c>
      <c r="BO373" s="1">
        <f t="shared" si="752"/>
        <v>0</v>
      </c>
      <c r="BP373" s="1">
        <f t="shared" si="753"/>
        <v>0</v>
      </c>
      <c r="BQ373" s="1">
        <f t="shared" si="754"/>
        <v>0</v>
      </c>
    </row>
    <row r="374" spans="2:69" s="10" customFormat="1" ht="15" customHeight="1" x14ac:dyDescent="0.25">
      <c r="B374" s="2"/>
      <c r="C374" t="s">
        <v>6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>
        <v>195</v>
      </c>
      <c r="U374" s="1"/>
      <c r="V374" s="1">
        <v>225</v>
      </c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17"/>
      <c r="AI374" s="1"/>
      <c r="AJ374" s="1"/>
      <c r="AK374" s="1"/>
      <c r="AL374" s="117"/>
      <c r="AM374" s="1"/>
      <c r="AN374" s="1"/>
      <c r="AO374" s="1"/>
      <c r="AP374" s="1"/>
      <c r="AQ374" s="1"/>
      <c r="AR374" s="3">
        <f t="shared" si="765"/>
        <v>420</v>
      </c>
      <c r="AS374" s="11"/>
      <c r="AT374" s="1">
        <f>+AR374-[2]PassVol!$AN374</f>
        <v>420</v>
      </c>
      <c r="AU374" s="11"/>
      <c r="AV374" s="1">
        <f t="shared" si="755"/>
        <v>0</v>
      </c>
      <c r="AW374" s="1">
        <f t="shared" si="756"/>
        <v>0</v>
      </c>
      <c r="AX374" s="1">
        <f t="shared" si="757"/>
        <v>0</v>
      </c>
      <c r="AY374" s="1">
        <f t="shared" si="758"/>
        <v>195</v>
      </c>
      <c r="AZ374" s="1">
        <f t="shared" si="759"/>
        <v>225</v>
      </c>
      <c r="BA374" s="1">
        <f t="shared" si="760"/>
        <v>0</v>
      </c>
      <c r="BB374" s="1">
        <f t="shared" si="761"/>
        <v>0</v>
      </c>
      <c r="BC374" s="1">
        <f t="shared" si="762"/>
        <v>0</v>
      </c>
      <c r="BD374" s="1">
        <f t="shared" si="763"/>
        <v>0</v>
      </c>
      <c r="BE374" s="1">
        <f t="shared" si="764"/>
        <v>0</v>
      </c>
      <c r="BG374" s="1">
        <f t="shared" si="766"/>
        <v>0</v>
      </c>
      <c r="BH374" s="1">
        <f t="shared" si="766"/>
        <v>0</v>
      </c>
      <c r="BI374" s="1">
        <f t="shared" si="746"/>
        <v>0</v>
      </c>
      <c r="BJ374" s="1">
        <f t="shared" si="747"/>
        <v>1950</v>
      </c>
      <c r="BK374" s="1">
        <f t="shared" si="748"/>
        <v>2250</v>
      </c>
      <c r="BL374" s="1">
        <f t="shared" si="749"/>
        <v>0</v>
      </c>
      <c r="BM374" s="1">
        <f t="shared" si="750"/>
        <v>0</v>
      </c>
      <c r="BN374" s="1">
        <f t="shared" si="751"/>
        <v>0</v>
      </c>
      <c r="BO374" s="1">
        <f t="shared" si="752"/>
        <v>0</v>
      </c>
      <c r="BP374" s="1">
        <f t="shared" si="753"/>
        <v>0</v>
      </c>
      <c r="BQ374" s="1">
        <f t="shared" si="754"/>
        <v>4200</v>
      </c>
    </row>
    <row r="375" spans="2:69" s="10" customFormat="1" ht="15" customHeight="1" x14ac:dyDescent="0.25">
      <c r="B375" s="2"/>
      <c r="C375" t="s">
        <v>262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17"/>
      <c r="AI375" s="1"/>
      <c r="AJ375" s="1"/>
      <c r="AK375" s="1"/>
      <c r="AL375" s="117"/>
      <c r="AM375" s="1"/>
      <c r="AN375" s="1"/>
      <c r="AO375" s="1"/>
      <c r="AP375" s="1"/>
      <c r="AQ375" s="1"/>
      <c r="AR375" s="3">
        <f t="shared" si="765"/>
        <v>0</v>
      </c>
      <c r="AS375" s="11"/>
      <c r="AT375" s="1">
        <f>+AR375-[2]PassVol!$AN375</f>
        <v>0</v>
      </c>
      <c r="AU375" s="11"/>
      <c r="AV375" s="1">
        <f t="shared" si="755"/>
        <v>0</v>
      </c>
      <c r="AW375" s="1">
        <f t="shared" si="756"/>
        <v>0</v>
      </c>
      <c r="AX375" s="1">
        <f t="shared" si="757"/>
        <v>0</v>
      </c>
      <c r="AY375" s="1">
        <f t="shared" si="758"/>
        <v>0</v>
      </c>
      <c r="AZ375" s="1">
        <f t="shared" si="759"/>
        <v>0</v>
      </c>
      <c r="BA375" s="1">
        <f t="shared" si="760"/>
        <v>0</v>
      </c>
      <c r="BB375" s="1">
        <f t="shared" si="761"/>
        <v>0</v>
      </c>
      <c r="BC375" s="1">
        <f t="shared" si="762"/>
        <v>0</v>
      </c>
      <c r="BD375" s="1">
        <f t="shared" si="763"/>
        <v>0</v>
      </c>
      <c r="BE375" s="1">
        <f t="shared" si="764"/>
        <v>0</v>
      </c>
      <c r="BG375" s="1">
        <f t="shared" si="766"/>
        <v>0</v>
      </c>
      <c r="BH375" s="1">
        <f t="shared" si="766"/>
        <v>0</v>
      </c>
      <c r="BI375" s="1">
        <f t="shared" si="746"/>
        <v>0</v>
      </c>
      <c r="BJ375" s="1">
        <f t="shared" si="747"/>
        <v>0</v>
      </c>
      <c r="BK375" s="1">
        <f t="shared" si="748"/>
        <v>0</v>
      </c>
      <c r="BL375" s="1">
        <f t="shared" si="749"/>
        <v>0</v>
      </c>
      <c r="BM375" s="1">
        <f t="shared" si="750"/>
        <v>0</v>
      </c>
      <c r="BN375" s="1">
        <f t="shared" si="751"/>
        <v>0</v>
      </c>
      <c r="BO375" s="1">
        <f t="shared" si="752"/>
        <v>0</v>
      </c>
      <c r="BP375" s="1">
        <f t="shared" si="753"/>
        <v>0</v>
      </c>
      <c r="BQ375" s="1">
        <f t="shared" si="754"/>
        <v>0</v>
      </c>
    </row>
    <row r="376" spans="2:69" s="10" customFormat="1" ht="15" customHeight="1" x14ac:dyDescent="0.25">
      <c r="B376" s="2"/>
      <c r="C376" t="s">
        <v>42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>
        <v>304</v>
      </c>
      <c r="V376" s="1"/>
      <c r="W376" s="1">
        <v>9</v>
      </c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17"/>
      <c r="AI376" s="1"/>
      <c r="AJ376" s="1"/>
      <c r="AK376" s="1"/>
      <c r="AL376" s="117"/>
      <c r="AM376" s="1"/>
      <c r="AN376" s="1"/>
      <c r="AO376" s="1"/>
      <c r="AP376" s="1"/>
      <c r="AQ376" s="1"/>
      <c r="AR376" s="3">
        <f t="shared" si="765"/>
        <v>313</v>
      </c>
      <c r="AS376" s="11"/>
      <c r="AT376" s="1">
        <f>+AR376-[2]PassVol!$AN376</f>
        <v>313</v>
      </c>
      <c r="AU376" s="11"/>
      <c r="AV376" s="1">
        <f t="shared" si="755"/>
        <v>0</v>
      </c>
      <c r="AW376" s="1">
        <f t="shared" si="756"/>
        <v>0</v>
      </c>
      <c r="AX376" s="1">
        <f t="shared" si="757"/>
        <v>0</v>
      </c>
      <c r="AY376" s="1">
        <f t="shared" si="758"/>
        <v>0</v>
      </c>
      <c r="AZ376" s="1">
        <f t="shared" si="759"/>
        <v>313</v>
      </c>
      <c r="BA376" s="1">
        <f t="shared" si="760"/>
        <v>0</v>
      </c>
      <c r="BB376" s="1">
        <f t="shared" si="761"/>
        <v>0</v>
      </c>
      <c r="BC376" s="1">
        <f t="shared" si="762"/>
        <v>0</v>
      </c>
      <c r="BD376" s="1">
        <f t="shared" si="763"/>
        <v>0</v>
      </c>
      <c r="BE376" s="1">
        <f t="shared" si="764"/>
        <v>0</v>
      </c>
      <c r="BG376" s="1">
        <f t="shared" si="766"/>
        <v>0</v>
      </c>
      <c r="BH376" s="1">
        <f t="shared" si="766"/>
        <v>0</v>
      </c>
      <c r="BI376" s="1">
        <f t="shared" si="746"/>
        <v>0</v>
      </c>
      <c r="BJ376" s="1">
        <f t="shared" si="747"/>
        <v>0</v>
      </c>
      <c r="BK376" s="1">
        <f t="shared" si="748"/>
        <v>3130</v>
      </c>
      <c r="BL376" s="1">
        <f t="shared" si="749"/>
        <v>0</v>
      </c>
      <c r="BM376" s="1">
        <f t="shared" si="750"/>
        <v>0</v>
      </c>
      <c r="BN376" s="1">
        <f t="shared" si="751"/>
        <v>0</v>
      </c>
      <c r="BO376" s="1">
        <f t="shared" si="752"/>
        <v>0</v>
      </c>
      <c r="BP376" s="1">
        <f t="shared" si="753"/>
        <v>0</v>
      </c>
      <c r="BQ376" s="1">
        <f t="shared" si="754"/>
        <v>3130</v>
      </c>
    </row>
    <row r="377" spans="2:69" s="10" customFormat="1" ht="15" customHeight="1" x14ac:dyDescent="0.25">
      <c r="B377" s="2"/>
      <c r="C377" t="s">
        <v>192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>
        <v>334</v>
      </c>
      <c r="V377" s="1"/>
      <c r="W377" s="1">
        <v>22</v>
      </c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17"/>
      <c r="AI377" s="1"/>
      <c r="AJ377" s="1"/>
      <c r="AK377" s="1"/>
      <c r="AL377" s="117"/>
      <c r="AM377" s="1"/>
      <c r="AN377" s="1"/>
      <c r="AO377" s="1"/>
      <c r="AP377" s="1"/>
      <c r="AQ377" s="1"/>
      <c r="AR377" s="3">
        <f t="shared" si="765"/>
        <v>356</v>
      </c>
      <c r="AS377" s="11"/>
      <c r="AT377" s="1">
        <f>+AR377-[2]PassVol!$AN377</f>
        <v>356</v>
      </c>
      <c r="AU377" s="11"/>
      <c r="AV377" s="1">
        <f t="shared" si="755"/>
        <v>0</v>
      </c>
      <c r="AW377" s="1">
        <f t="shared" si="756"/>
        <v>0</v>
      </c>
      <c r="AX377" s="1">
        <f t="shared" si="757"/>
        <v>0</v>
      </c>
      <c r="AY377" s="1">
        <f t="shared" si="758"/>
        <v>0</v>
      </c>
      <c r="AZ377" s="1">
        <f t="shared" si="759"/>
        <v>356</v>
      </c>
      <c r="BA377" s="1">
        <f t="shared" si="760"/>
        <v>0</v>
      </c>
      <c r="BB377" s="1">
        <f t="shared" si="761"/>
        <v>0</v>
      </c>
      <c r="BC377" s="1">
        <f t="shared" si="762"/>
        <v>0</v>
      </c>
      <c r="BD377" s="1">
        <f t="shared" si="763"/>
        <v>0</v>
      </c>
      <c r="BE377" s="1">
        <f t="shared" si="764"/>
        <v>0</v>
      </c>
      <c r="BG377" s="1">
        <f t="shared" si="766"/>
        <v>0</v>
      </c>
      <c r="BH377" s="1">
        <f t="shared" si="766"/>
        <v>0</v>
      </c>
      <c r="BI377" s="1">
        <f t="shared" si="746"/>
        <v>0</v>
      </c>
      <c r="BJ377" s="1">
        <f t="shared" si="747"/>
        <v>0</v>
      </c>
      <c r="BK377" s="1">
        <f t="shared" si="748"/>
        <v>3560</v>
      </c>
      <c r="BL377" s="1">
        <f t="shared" si="749"/>
        <v>0</v>
      </c>
      <c r="BM377" s="1">
        <f t="shared" si="750"/>
        <v>0</v>
      </c>
      <c r="BN377" s="1">
        <f t="shared" si="751"/>
        <v>0</v>
      </c>
      <c r="BO377" s="1">
        <f t="shared" si="752"/>
        <v>0</v>
      </c>
      <c r="BP377" s="1">
        <f t="shared" si="753"/>
        <v>0</v>
      </c>
      <c r="BQ377" s="1">
        <f t="shared" si="754"/>
        <v>3560</v>
      </c>
    </row>
    <row r="378" spans="2:69" s="10" customFormat="1" ht="15" customHeight="1" x14ac:dyDescent="0.25">
      <c r="B378" s="2"/>
      <c r="C378" t="s">
        <v>133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>
        <v>7</v>
      </c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17"/>
      <c r="AI378" s="1"/>
      <c r="AJ378" s="1"/>
      <c r="AK378" s="1"/>
      <c r="AL378" s="117"/>
      <c r="AM378" s="1"/>
      <c r="AN378" s="1"/>
      <c r="AO378" s="1"/>
      <c r="AP378" s="1"/>
      <c r="AQ378" s="1"/>
      <c r="AR378" s="3">
        <f t="shared" si="765"/>
        <v>7</v>
      </c>
      <c r="AS378" s="11"/>
      <c r="AT378" s="1">
        <f>+AR378-[2]PassVol!$AN378</f>
        <v>7</v>
      </c>
      <c r="AU378" s="11"/>
      <c r="AV378" s="1">
        <f t="shared" si="755"/>
        <v>0</v>
      </c>
      <c r="AW378" s="1">
        <f t="shared" si="756"/>
        <v>0</v>
      </c>
      <c r="AX378" s="1">
        <f t="shared" si="757"/>
        <v>0</v>
      </c>
      <c r="AY378" s="1">
        <f t="shared" si="758"/>
        <v>0</v>
      </c>
      <c r="AZ378" s="1">
        <f t="shared" si="759"/>
        <v>7</v>
      </c>
      <c r="BA378" s="1">
        <f t="shared" si="760"/>
        <v>0</v>
      </c>
      <c r="BB378" s="1">
        <f t="shared" si="761"/>
        <v>0</v>
      </c>
      <c r="BC378" s="1">
        <f t="shared" si="762"/>
        <v>0</v>
      </c>
      <c r="BD378" s="1">
        <f t="shared" si="763"/>
        <v>0</v>
      </c>
      <c r="BE378" s="1">
        <f t="shared" si="764"/>
        <v>0</v>
      </c>
      <c r="BG378" s="1">
        <f t="shared" si="766"/>
        <v>0</v>
      </c>
      <c r="BH378" s="1">
        <f t="shared" si="766"/>
        <v>0</v>
      </c>
      <c r="BI378" s="1">
        <f t="shared" si="746"/>
        <v>0</v>
      </c>
      <c r="BJ378" s="1">
        <f t="shared" si="747"/>
        <v>0</v>
      </c>
      <c r="BK378" s="1">
        <f t="shared" si="748"/>
        <v>70</v>
      </c>
      <c r="BL378" s="1">
        <f t="shared" si="749"/>
        <v>0</v>
      </c>
      <c r="BM378" s="1">
        <f t="shared" si="750"/>
        <v>0</v>
      </c>
      <c r="BN378" s="1">
        <f t="shared" si="751"/>
        <v>0</v>
      </c>
      <c r="BO378" s="1">
        <f t="shared" si="752"/>
        <v>0</v>
      </c>
      <c r="BP378" s="1">
        <f t="shared" si="753"/>
        <v>0</v>
      </c>
      <c r="BQ378" s="1">
        <f t="shared" si="754"/>
        <v>70</v>
      </c>
    </row>
    <row r="379" spans="2:69" s="10" customFormat="1" ht="15" customHeight="1" x14ac:dyDescent="0.25">
      <c r="B379" s="2"/>
      <c r="C379" t="s">
        <v>41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>
        <v>683</v>
      </c>
      <c r="V379" s="1"/>
      <c r="W379" s="1">
        <v>213</v>
      </c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17"/>
      <c r="AI379" s="1"/>
      <c r="AJ379" s="1"/>
      <c r="AK379" s="1"/>
      <c r="AL379" s="117"/>
      <c r="AM379" s="1"/>
      <c r="AN379" s="1"/>
      <c r="AO379" s="1"/>
      <c r="AP379" s="1"/>
      <c r="AQ379" s="1"/>
      <c r="AR379" s="3">
        <f t="shared" si="765"/>
        <v>896</v>
      </c>
      <c r="AS379" s="11"/>
      <c r="AT379" s="1">
        <f>+AR379-[2]PassVol!$AN379</f>
        <v>896</v>
      </c>
      <c r="AU379" s="11"/>
      <c r="AV379" s="1">
        <f t="shared" si="755"/>
        <v>0</v>
      </c>
      <c r="AW379" s="1">
        <f t="shared" si="756"/>
        <v>0</v>
      </c>
      <c r="AX379" s="1">
        <f t="shared" si="757"/>
        <v>0</v>
      </c>
      <c r="AY379" s="1">
        <f t="shared" si="758"/>
        <v>0</v>
      </c>
      <c r="AZ379" s="1">
        <f t="shared" si="759"/>
        <v>896</v>
      </c>
      <c r="BA379" s="1">
        <f t="shared" si="760"/>
        <v>0</v>
      </c>
      <c r="BB379" s="1">
        <f t="shared" si="761"/>
        <v>0</v>
      </c>
      <c r="BC379" s="1">
        <f t="shared" si="762"/>
        <v>0</v>
      </c>
      <c r="BD379" s="1">
        <f t="shared" si="763"/>
        <v>0</v>
      </c>
      <c r="BE379" s="1">
        <f t="shared" si="764"/>
        <v>0</v>
      </c>
      <c r="BG379" s="1">
        <f t="shared" si="766"/>
        <v>0</v>
      </c>
      <c r="BH379" s="1">
        <f t="shared" si="766"/>
        <v>0</v>
      </c>
      <c r="BI379" s="1">
        <f t="shared" si="746"/>
        <v>0</v>
      </c>
      <c r="BJ379" s="1">
        <f t="shared" si="747"/>
        <v>0</v>
      </c>
      <c r="BK379" s="1">
        <f t="shared" si="748"/>
        <v>8960</v>
      </c>
      <c r="BL379" s="1">
        <f t="shared" si="749"/>
        <v>0</v>
      </c>
      <c r="BM379" s="1">
        <f t="shared" si="750"/>
        <v>0</v>
      </c>
      <c r="BN379" s="1">
        <f t="shared" si="751"/>
        <v>0</v>
      </c>
      <c r="BO379" s="1">
        <f t="shared" si="752"/>
        <v>0</v>
      </c>
      <c r="BP379" s="1">
        <f t="shared" si="753"/>
        <v>0</v>
      </c>
      <c r="BQ379" s="1">
        <f t="shared" si="754"/>
        <v>8960</v>
      </c>
    </row>
    <row r="380" spans="2:69" s="10" customFormat="1" ht="15" customHeight="1" x14ac:dyDescent="0.25">
      <c r="B380" s="2"/>
      <c r="C380" t="s">
        <v>193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17"/>
      <c r="AI380" s="1"/>
      <c r="AJ380" s="1"/>
      <c r="AK380" s="1"/>
      <c r="AL380" s="117"/>
      <c r="AM380" s="1"/>
      <c r="AN380" s="1"/>
      <c r="AO380" s="1"/>
      <c r="AP380" s="1"/>
      <c r="AQ380" s="1"/>
      <c r="AR380" s="3">
        <f t="shared" si="765"/>
        <v>0</v>
      </c>
      <c r="AS380" s="11"/>
      <c r="AT380" s="1">
        <f>+AR380-[2]PassVol!$AN380</f>
        <v>0</v>
      </c>
      <c r="AU380" s="11"/>
      <c r="AV380" s="1">
        <f t="shared" si="755"/>
        <v>0</v>
      </c>
      <c r="AW380" s="1">
        <f t="shared" si="756"/>
        <v>0</v>
      </c>
      <c r="AX380" s="1">
        <f t="shared" si="757"/>
        <v>0</v>
      </c>
      <c r="AY380" s="1">
        <f t="shared" si="758"/>
        <v>0</v>
      </c>
      <c r="AZ380" s="1">
        <f t="shared" si="759"/>
        <v>0</v>
      </c>
      <c r="BA380" s="1">
        <f t="shared" si="760"/>
        <v>0</v>
      </c>
      <c r="BB380" s="1">
        <f t="shared" si="761"/>
        <v>0</v>
      </c>
      <c r="BC380" s="1">
        <f t="shared" si="762"/>
        <v>0</v>
      </c>
      <c r="BD380" s="1">
        <f t="shared" si="763"/>
        <v>0</v>
      </c>
      <c r="BE380" s="1">
        <f t="shared" si="764"/>
        <v>0</v>
      </c>
      <c r="BG380" s="1">
        <f t="shared" si="766"/>
        <v>0</v>
      </c>
      <c r="BH380" s="1">
        <f t="shared" si="766"/>
        <v>0</v>
      </c>
      <c r="BI380" s="1">
        <f t="shared" si="746"/>
        <v>0</v>
      </c>
      <c r="BJ380" s="1">
        <f t="shared" si="747"/>
        <v>0</v>
      </c>
      <c r="BK380" s="1">
        <f t="shared" si="748"/>
        <v>0</v>
      </c>
      <c r="BL380" s="1">
        <f t="shared" si="749"/>
        <v>0</v>
      </c>
      <c r="BM380" s="1">
        <f t="shared" si="750"/>
        <v>0</v>
      </c>
      <c r="BN380" s="1">
        <f t="shared" si="751"/>
        <v>0</v>
      </c>
      <c r="BO380" s="1">
        <f t="shared" si="752"/>
        <v>0</v>
      </c>
      <c r="BP380" s="1">
        <f t="shared" si="753"/>
        <v>0</v>
      </c>
      <c r="BQ380" s="1">
        <f t="shared" si="754"/>
        <v>0</v>
      </c>
    </row>
    <row r="381" spans="2:69" s="10" customFormat="1" ht="15" customHeight="1" x14ac:dyDescent="0.25">
      <c r="B381" s="2"/>
      <c r="C381" t="s">
        <v>297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17"/>
      <c r="AI381" s="1"/>
      <c r="AJ381" s="1"/>
      <c r="AK381" s="1"/>
      <c r="AL381" s="117"/>
      <c r="AM381" s="1"/>
      <c r="AN381" s="1"/>
      <c r="AO381" s="1"/>
      <c r="AP381" s="1"/>
      <c r="AQ381" s="1"/>
      <c r="AR381" s="3">
        <f t="shared" si="765"/>
        <v>0</v>
      </c>
      <c r="AS381" s="11"/>
      <c r="AT381" s="1">
        <f>+AR381-[2]PassVol!$AN381</f>
        <v>0</v>
      </c>
      <c r="AU381" s="11"/>
      <c r="AV381" s="1">
        <f t="shared" si="755"/>
        <v>0</v>
      </c>
      <c r="AW381" s="1">
        <f t="shared" si="756"/>
        <v>0</v>
      </c>
      <c r="AX381" s="1">
        <f t="shared" si="757"/>
        <v>0</v>
      </c>
      <c r="AY381" s="1">
        <f t="shared" si="758"/>
        <v>0</v>
      </c>
      <c r="AZ381" s="1">
        <f t="shared" si="759"/>
        <v>0</v>
      </c>
      <c r="BA381" s="1">
        <f t="shared" si="760"/>
        <v>0</v>
      </c>
      <c r="BB381" s="1">
        <f t="shared" si="761"/>
        <v>0</v>
      </c>
      <c r="BC381" s="1">
        <f t="shared" si="762"/>
        <v>0</v>
      </c>
      <c r="BD381" s="1">
        <f t="shared" si="763"/>
        <v>0</v>
      </c>
      <c r="BE381" s="1">
        <f t="shared" si="764"/>
        <v>0</v>
      </c>
      <c r="BG381" s="1">
        <f t="shared" si="766"/>
        <v>0</v>
      </c>
      <c r="BH381" s="1">
        <f t="shared" si="766"/>
        <v>0</v>
      </c>
      <c r="BI381" s="1">
        <f t="shared" si="746"/>
        <v>0</v>
      </c>
      <c r="BJ381" s="1">
        <f t="shared" si="747"/>
        <v>0</v>
      </c>
      <c r="BK381" s="1">
        <f t="shared" si="748"/>
        <v>0</v>
      </c>
      <c r="BL381" s="1">
        <f t="shared" si="749"/>
        <v>0</v>
      </c>
      <c r="BM381" s="1">
        <f t="shared" si="750"/>
        <v>0</v>
      </c>
      <c r="BN381" s="1">
        <f t="shared" si="751"/>
        <v>0</v>
      </c>
      <c r="BO381" s="1">
        <f t="shared" si="752"/>
        <v>0</v>
      </c>
      <c r="BP381" s="1">
        <f t="shared" si="753"/>
        <v>0</v>
      </c>
      <c r="BQ381" s="1">
        <f t="shared" si="754"/>
        <v>0</v>
      </c>
    </row>
    <row r="382" spans="2:69" s="10" customFormat="1" ht="15" customHeight="1" x14ac:dyDescent="0.25">
      <c r="B382" s="2"/>
      <c r="C382" t="s">
        <v>296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>
        <v>62</v>
      </c>
      <c r="V382" s="1">
        <v>2</v>
      </c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17"/>
      <c r="AI382" s="1"/>
      <c r="AJ382" s="1"/>
      <c r="AK382" s="1"/>
      <c r="AL382" s="117"/>
      <c r="AM382" s="1"/>
      <c r="AN382" s="1"/>
      <c r="AO382" s="1"/>
      <c r="AP382" s="1"/>
      <c r="AQ382" s="1"/>
      <c r="AR382" s="3">
        <f t="shared" si="765"/>
        <v>64</v>
      </c>
      <c r="AS382" s="11"/>
      <c r="AT382" s="1">
        <f>+AR382-[2]PassVol!$AN382</f>
        <v>64</v>
      </c>
      <c r="AU382" s="11"/>
      <c r="AV382" s="1">
        <f t="shared" si="755"/>
        <v>0</v>
      </c>
      <c r="AW382" s="1">
        <f t="shared" si="756"/>
        <v>0</v>
      </c>
      <c r="AX382" s="1">
        <f t="shared" si="757"/>
        <v>0</v>
      </c>
      <c r="AY382" s="1">
        <f t="shared" si="758"/>
        <v>0</v>
      </c>
      <c r="AZ382" s="1">
        <f t="shared" si="759"/>
        <v>64</v>
      </c>
      <c r="BA382" s="1">
        <f t="shared" si="760"/>
        <v>0</v>
      </c>
      <c r="BB382" s="1">
        <f t="shared" si="761"/>
        <v>0</v>
      </c>
      <c r="BC382" s="1">
        <f t="shared" si="762"/>
        <v>0</v>
      </c>
      <c r="BD382" s="1">
        <f t="shared" si="763"/>
        <v>0</v>
      </c>
      <c r="BE382" s="1">
        <f t="shared" si="764"/>
        <v>0</v>
      </c>
      <c r="BG382" s="1">
        <f t="shared" si="766"/>
        <v>0</v>
      </c>
      <c r="BH382" s="1">
        <f t="shared" si="766"/>
        <v>0</v>
      </c>
      <c r="BI382" s="1">
        <f t="shared" si="746"/>
        <v>0</v>
      </c>
      <c r="BJ382" s="1">
        <f t="shared" si="747"/>
        <v>0</v>
      </c>
      <c r="BK382" s="1">
        <f t="shared" si="748"/>
        <v>640</v>
      </c>
      <c r="BL382" s="1">
        <f t="shared" si="749"/>
        <v>0</v>
      </c>
      <c r="BM382" s="1">
        <f t="shared" si="750"/>
        <v>0</v>
      </c>
      <c r="BN382" s="1">
        <f t="shared" si="751"/>
        <v>0</v>
      </c>
      <c r="BO382" s="1">
        <f t="shared" si="752"/>
        <v>0</v>
      </c>
      <c r="BP382" s="1">
        <f t="shared" si="753"/>
        <v>0</v>
      </c>
      <c r="BQ382" s="1">
        <f t="shared" si="754"/>
        <v>640</v>
      </c>
    </row>
    <row r="383" spans="2:69" s="10" customFormat="1" ht="15" customHeight="1" x14ac:dyDescent="0.25">
      <c r="B383" s="2"/>
      <c r="C383" t="s">
        <v>44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>
        <v>0</v>
      </c>
      <c r="U383" s="1">
        <f>3338-2248</f>
        <v>1090</v>
      </c>
      <c r="V383" s="1">
        <f>340-259</f>
        <v>81</v>
      </c>
      <c r="W383" s="1">
        <f>534-315</f>
        <v>219</v>
      </c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17"/>
      <c r="AI383" s="1"/>
      <c r="AJ383" s="1"/>
      <c r="AK383" s="1"/>
      <c r="AL383" s="117"/>
      <c r="AM383" s="1"/>
      <c r="AN383" s="1"/>
      <c r="AO383" s="1"/>
      <c r="AP383" s="1"/>
      <c r="AQ383" s="1"/>
      <c r="AR383" s="3">
        <f t="shared" si="765"/>
        <v>1390</v>
      </c>
      <c r="AS383" s="11"/>
      <c r="AT383" s="1">
        <f>+AR383-[2]PassVol!$AN383</f>
        <v>1390</v>
      </c>
      <c r="AU383" s="11"/>
      <c r="AV383" s="1">
        <f t="shared" si="755"/>
        <v>0</v>
      </c>
      <c r="AW383" s="1">
        <f t="shared" si="756"/>
        <v>0</v>
      </c>
      <c r="AX383" s="1">
        <f t="shared" si="757"/>
        <v>0</v>
      </c>
      <c r="AY383" s="1">
        <f t="shared" si="758"/>
        <v>0</v>
      </c>
      <c r="AZ383" s="1">
        <f t="shared" si="759"/>
        <v>1390</v>
      </c>
      <c r="BA383" s="1">
        <f t="shared" si="760"/>
        <v>0</v>
      </c>
      <c r="BB383" s="1">
        <f t="shared" si="761"/>
        <v>0</v>
      </c>
      <c r="BC383" s="1">
        <f t="shared" si="762"/>
        <v>0</v>
      </c>
      <c r="BD383" s="1">
        <f t="shared" si="763"/>
        <v>0</v>
      </c>
      <c r="BE383" s="1">
        <f t="shared" si="764"/>
        <v>0</v>
      </c>
      <c r="BG383" s="1">
        <f t="shared" si="766"/>
        <v>0</v>
      </c>
      <c r="BH383" s="1">
        <f t="shared" si="766"/>
        <v>0</v>
      </c>
      <c r="BI383" s="1">
        <f t="shared" si="746"/>
        <v>0</v>
      </c>
      <c r="BJ383" s="1">
        <f t="shared" si="747"/>
        <v>0</v>
      </c>
      <c r="BK383" s="1">
        <f t="shared" si="748"/>
        <v>13900</v>
      </c>
      <c r="BL383" s="1">
        <f t="shared" si="749"/>
        <v>0</v>
      </c>
      <c r="BM383" s="1">
        <f t="shared" si="750"/>
        <v>0</v>
      </c>
      <c r="BN383" s="1">
        <f t="shared" si="751"/>
        <v>0</v>
      </c>
      <c r="BO383" s="1">
        <f t="shared" si="752"/>
        <v>0</v>
      </c>
      <c r="BP383" s="1">
        <f t="shared" si="753"/>
        <v>0</v>
      </c>
      <c r="BQ383" s="1">
        <f t="shared" si="754"/>
        <v>13900</v>
      </c>
    </row>
    <row r="384" spans="2:69" s="10" customFormat="1" ht="15" customHeight="1" x14ac:dyDescent="0.25">
      <c r="B384" s="2" t="s">
        <v>427</v>
      </c>
      <c r="C384" s="2"/>
      <c r="D384" s="3">
        <f t="shared" ref="D384:AQ384" si="767">SUM(D365:D383)</f>
        <v>0</v>
      </c>
      <c r="E384" s="3">
        <f t="shared" si="767"/>
        <v>0</v>
      </c>
      <c r="F384" s="3">
        <f t="shared" si="767"/>
        <v>0</v>
      </c>
      <c r="G384" s="3">
        <f t="shared" si="767"/>
        <v>0</v>
      </c>
      <c r="H384" s="3">
        <f t="shared" si="767"/>
        <v>0</v>
      </c>
      <c r="I384" s="3">
        <f t="shared" si="767"/>
        <v>0</v>
      </c>
      <c r="J384" s="3">
        <f t="shared" si="767"/>
        <v>0</v>
      </c>
      <c r="K384" s="3">
        <f t="shared" si="767"/>
        <v>0</v>
      </c>
      <c r="L384" s="3">
        <f t="shared" si="767"/>
        <v>0</v>
      </c>
      <c r="M384" s="3">
        <f t="shared" si="767"/>
        <v>0</v>
      </c>
      <c r="N384" s="3">
        <f t="shared" si="767"/>
        <v>0</v>
      </c>
      <c r="O384" s="3">
        <f t="shared" si="767"/>
        <v>0</v>
      </c>
      <c r="P384" s="3">
        <f t="shared" si="767"/>
        <v>0</v>
      </c>
      <c r="Q384" s="3">
        <f t="shared" si="767"/>
        <v>0</v>
      </c>
      <c r="R384" s="3">
        <f t="shared" si="767"/>
        <v>0</v>
      </c>
      <c r="S384" s="3">
        <f t="shared" si="767"/>
        <v>0</v>
      </c>
      <c r="T384" s="3">
        <f t="shared" si="767"/>
        <v>195</v>
      </c>
      <c r="U384" s="3">
        <f t="shared" si="767"/>
        <v>3338</v>
      </c>
      <c r="V384" s="3">
        <f t="shared" si="767"/>
        <v>340</v>
      </c>
      <c r="W384" s="3">
        <f t="shared" si="767"/>
        <v>534</v>
      </c>
      <c r="X384" s="3">
        <f t="shared" si="767"/>
        <v>0</v>
      </c>
      <c r="Y384" s="3">
        <f t="shared" si="767"/>
        <v>0</v>
      </c>
      <c r="Z384" s="3">
        <f t="shared" si="767"/>
        <v>0</v>
      </c>
      <c r="AA384" s="3">
        <f t="shared" si="767"/>
        <v>0</v>
      </c>
      <c r="AB384" s="3">
        <f t="shared" si="767"/>
        <v>0</v>
      </c>
      <c r="AC384" s="3">
        <f t="shared" si="767"/>
        <v>0</v>
      </c>
      <c r="AD384" s="3">
        <f t="shared" si="767"/>
        <v>0</v>
      </c>
      <c r="AE384" s="3">
        <f t="shared" si="767"/>
        <v>0</v>
      </c>
      <c r="AF384" s="3">
        <f t="shared" si="767"/>
        <v>0</v>
      </c>
      <c r="AG384" s="3">
        <f t="shared" si="767"/>
        <v>0</v>
      </c>
      <c r="AH384" s="150">
        <f t="shared" si="767"/>
        <v>0</v>
      </c>
      <c r="AI384" s="3">
        <f t="shared" si="767"/>
        <v>0</v>
      </c>
      <c r="AJ384" s="3">
        <f t="shared" si="767"/>
        <v>0</v>
      </c>
      <c r="AK384" s="3">
        <f t="shared" si="767"/>
        <v>0</v>
      </c>
      <c r="AL384" s="150">
        <f t="shared" si="767"/>
        <v>0</v>
      </c>
      <c r="AM384" s="3">
        <f t="shared" si="767"/>
        <v>0</v>
      </c>
      <c r="AN384" s="3">
        <f t="shared" si="767"/>
        <v>0</v>
      </c>
      <c r="AO384" s="3">
        <f t="shared" si="767"/>
        <v>0</v>
      </c>
      <c r="AP384" s="3">
        <f t="shared" si="767"/>
        <v>0</v>
      </c>
      <c r="AQ384" s="3">
        <f t="shared" si="767"/>
        <v>0</v>
      </c>
      <c r="AR384" s="3">
        <f t="shared" ref="AR384" si="768">SUM(AR365:AR383)</f>
        <v>4407</v>
      </c>
      <c r="AS384" s="11"/>
      <c r="AT384" s="1">
        <f>+AR384-[2]PassVol!$AN384</f>
        <v>4407</v>
      </c>
      <c r="AU384" s="11"/>
      <c r="AV384" s="3">
        <f>SUM(AV365:AV383)</f>
        <v>0</v>
      </c>
      <c r="AW384" s="3">
        <f>SUM(AW365:AW383)</f>
        <v>0</v>
      </c>
      <c r="AX384" s="3">
        <f t="shared" ref="AX384:BE384" si="769">SUM(AX365:AX383)</f>
        <v>0</v>
      </c>
      <c r="AY384" s="3">
        <f t="shared" si="769"/>
        <v>195</v>
      </c>
      <c r="AZ384" s="3">
        <f t="shared" si="769"/>
        <v>4212</v>
      </c>
      <c r="BA384" s="3">
        <f t="shared" si="769"/>
        <v>0</v>
      </c>
      <c r="BB384" s="3">
        <f t="shared" si="769"/>
        <v>0</v>
      </c>
      <c r="BC384" s="3">
        <f t="shared" si="769"/>
        <v>0</v>
      </c>
      <c r="BD384" s="3">
        <f t="shared" si="769"/>
        <v>0</v>
      </c>
      <c r="BE384" s="3">
        <f t="shared" si="769"/>
        <v>0</v>
      </c>
      <c r="BG384" s="3">
        <f>SUM(BG365:BG383)</f>
        <v>0</v>
      </c>
      <c r="BH384" s="3">
        <f>SUM(BH365:BH383)</f>
        <v>0</v>
      </c>
      <c r="BI384" s="3">
        <f t="shared" ref="BI384:BQ384" si="770">SUM(BI365:BI383)</f>
        <v>0</v>
      </c>
      <c r="BJ384" s="3">
        <f t="shared" si="770"/>
        <v>1950</v>
      </c>
      <c r="BK384" s="3">
        <f t="shared" si="770"/>
        <v>42120</v>
      </c>
      <c r="BL384" s="3">
        <f t="shared" si="770"/>
        <v>0</v>
      </c>
      <c r="BM384" s="3">
        <f t="shared" si="770"/>
        <v>0</v>
      </c>
      <c r="BN384" s="3">
        <f t="shared" si="770"/>
        <v>0</v>
      </c>
      <c r="BO384" s="3">
        <f t="shared" si="770"/>
        <v>0</v>
      </c>
      <c r="BP384" s="3">
        <f t="shared" si="770"/>
        <v>0</v>
      </c>
      <c r="BQ384" s="3">
        <f t="shared" si="770"/>
        <v>44070</v>
      </c>
    </row>
    <row r="385" spans="2:69" s="10" customFormat="1" ht="15" customHeight="1" x14ac:dyDescent="0.25">
      <c r="B385" s="2"/>
      <c r="C385" s="38" t="s">
        <v>97</v>
      </c>
      <c r="D385" s="11">
        <f>+D384</f>
        <v>0</v>
      </c>
      <c r="E385" s="11">
        <f>+D385+E384</f>
        <v>0</v>
      </c>
      <c r="F385" s="11">
        <f t="shared" ref="F385:AQ385" si="771">+E385+F384</f>
        <v>0</v>
      </c>
      <c r="G385" s="11">
        <f t="shared" si="771"/>
        <v>0</v>
      </c>
      <c r="H385" s="11">
        <f t="shared" si="771"/>
        <v>0</v>
      </c>
      <c r="I385" s="11">
        <f t="shared" si="771"/>
        <v>0</v>
      </c>
      <c r="J385" s="11">
        <f t="shared" si="771"/>
        <v>0</v>
      </c>
      <c r="K385" s="11">
        <f t="shared" si="771"/>
        <v>0</v>
      </c>
      <c r="L385" s="11">
        <f t="shared" si="771"/>
        <v>0</v>
      </c>
      <c r="M385" s="11">
        <f t="shared" si="771"/>
        <v>0</v>
      </c>
      <c r="N385" s="11">
        <f t="shared" si="771"/>
        <v>0</v>
      </c>
      <c r="O385" s="11">
        <f t="shared" si="771"/>
        <v>0</v>
      </c>
      <c r="P385" s="11">
        <f t="shared" si="771"/>
        <v>0</v>
      </c>
      <c r="Q385" s="11">
        <f t="shared" si="771"/>
        <v>0</v>
      </c>
      <c r="R385" s="11">
        <f t="shared" si="771"/>
        <v>0</v>
      </c>
      <c r="S385" s="11">
        <f t="shared" si="771"/>
        <v>0</v>
      </c>
      <c r="T385" s="11">
        <f t="shared" si="771"/>
        <v>195</v>
      </c>
      <c r="U385" s="11">
        <f t="shared" si="771"/>
        <v>3533</v>
      </c>
      <c r="V385" s="11">
        <f t="shared" si="771"/>
        <v>3873</v>
      </c>
      <c r="W385" s="11">
        <f t="shared" si="771"/>
        <v>4407</v>
      </c>
      <c r="X385" s="11">
        <f t="shared" si="771"/>
        <v>4407</v>
      </c>
      <c r="Y385" s="11">
        <f t="shared" si="771"/>
        <v>4407</v>
      </c>
      <c r="Z385" s="11">
        <f t="shared" si="771"/>
        <v>4407</v>
      </c>
      <c r="AA385" s="11">
        <f t="shared" si="771"/>
        <v>4407</v>
      </c>
      <c r="AB385" s="11">
        <f t="shared" si="771"/>
        <v>4407</v>
      </c>
      <c r="AC385" s="11">
        <f t="shared" si="771"/>
        <v>4407</v>
      </c>
      <c r="AD385" s="11">
        <f t="shared" si="771"/>
        <v>4407</v>
      </c>
      <c r="AE385" s="11">
        <f t="shared" si="771"/>
        <v>4407</v>
      </c>
      <c r="AF385" s="11">
        <f t="shared" si="771"/>
        <v>4407</v>
      </c>
      <c r="AG385" s="11">
        <f t="shared" si="771"/>
        <v>4407</v>
      </c>
      <c r="AH385" s="147">
        <f t="shared" si="771"/>
        <v>4407</v>
      </c>
      <c r="AI385" s="11">
        <f t="shared" si="771"/>
        <v>4407</v>
      </c>
      <c r="AJ385" s="11">
        <f t="shared" si="771"/>
        <v>4407</v>
      </c>
      <c r="AK385" s="11">
        <f t="shared" si="771"/>
        <v>4407</v>
      </c>
      <c r="AL385" s="147">
        <f t="shared" si="771"/>
        <v>4407</v>
      </c>
      <c r="AM385" s="11">
        <f t="shared" si="771"/>
        <v>4407</v>
      </c>
      <c r="AN385" s="11">
        <f t="shared" si="771"/>
        <v>4407</v>
      </c>
      <c r="AO385" s="11">
        <f t="shared" si="771"/>
        <v>4407</v>
      </c>
      <c r="AP385" s="11">
        <f t="shared" si="771"/>
        <v>4407</v>
      </c>
      <c r="AQ385" s="11">
        <f t="shared" si="771"/>
        <v>4407</v>
      </c>
      <c r="AR385" s="40"/>
      <c r="AS385" s="11"/>
      <c r="AT385" s="11"/>
      <c r="AU385" s="11"/>
      <c r="AV385" s="11">
        <f>+AV384</f>
        <v>0</v>
      </c>
      <c r="AW385" s="1">
        <f>+AV385+AW384</f>
        <v>0</v>
      </c>
      <c r="AX385" s="1">
        <f t="shared" ref="AX385" si="772">+AW385+AX384</f>
        <v>0</v>
      </c>
      <c r="AY385" s="1">
        <f t="shared" ref="AY385" si="773">+AX385+AY384</f>
        <v>195</v>
      </c>
      <c r="AZ385" s="1">
        <f t="shared" ref="AZ385" si="774">+AY385+AZ384</f>
        <v>4407</v>
      </c>
      <c r="BA385" s="1">
        <f t="shared" ref="BA385" si="775">+AZ385+BA384</f>
        <v>4407</v>
      </c>
      <c r="BB385" s="1">
        <f t="shared" ref="BB385" si="776">+BA385+BB384</f>
        <v>4407</v>
      </c>
      <c r="BC385" s="1">
        <f t="shared" ref="BC385" si="777">+BB385+BC384</f>
        <v>4407</v>
      </c>
      <c r="BD385" s="1">
        <f t="shared" ref="BD385" si="778">+BC385+BD384</f>
        <v>4407</v>
      </c>
      <c r="BE385" s="1">
        <f t="shared" ref="BE385" si="779">+BD385+BE384</f>
        <v>4407</v>
      </c>
    </row>
    <row r="386" spans="2:69" s="10" customFormat="1" ht="15" customHeight="1" x14ac:dyDescent="0.25">
      <c r="B386" s="2"/>
      <c r="C386" s="38" t="s">
        <v>220</v>
      </c>
      <c r="D386" s="11">
        <f>+D384*10</f>
        <v>0</v>
      </c>
      <c r="E386" s="11">
        <f t="shared" ref="E386:AQ386" si="780">+E384*10</f>
        <v>0</v>
      </c>
      <c r="F386" s="11">
        <f t="shared" si="780"/>
        <v>0</v>
      </c>
      <c r="G386" s="11">
        <f t="shared" si="780"/>
        <v>0</v>
      </c>
      <c r="H386" s="11">
        <f t="shared" si="780"/>
        <v>0</v>
      </c>
      <c r="I386" s="11">
        <f t="shared" si="780"/>
        <v>0</v>
      </c>
      <c r="J386" s="11">
        <f t="shared" si="780"/>
        <v>0</v>
      </c>
      <c r="K386" s="11">
        <f t="shared" si="780"/>
        <v>0</v>
      </c>
      <c r="L386" s="11">
        <f t="shared" si="780"/>
        <v>0</v>
      </c>
      <c r="M386" s="11">
        <f t="shared" si="780"/>
        <v>0</v>
      </c>
      <c r="N386" s="11">
        <f t="shared" si="780"/>
        <v>0</v>
      </c>
      <c r="O386" s="11">
        <f t="shared" si="780"/>
        <v>0</v>
      </c>
      <c r="P386" s="11">
        <f t="shared" si="780"/>
        <v>0</v>
      </c>
      <c r="Q386" s="11">
        <f t="shared" si="780"/>
        <v>0</v>
      </c>
      <c r="R386" s="11">
        <f t="shared" si="780"/>
        <v>0</v>
      </c>
      <c r="S386" s="11">
        <f t="shared" si="780"/>
        <v>0</v>
      </c>
      <c r="T386" s="11">
        <f t="shared" si="780"/>
        <v>1950</v>
      </c>
      <c r="U386" s="11">
        <f t="shared" si="780"/>
        <v>33380</v>
      </c>
      <c r="V386" s="11">
        <f t="shared" si="780"/>
        <v>3400</v>
      </c>
      <c r="W386" s="11">
        <f t="shared" si="780"/>
        <v>5340</v>
      </c>
      <c r="X386" s="11">
        <f t="shared" si="780"/>
        <v>0</v>
      </c>
      <c r="Y386" s="11">
        <f t="shared" si="780"/>
        <v>0</v>
      </c>
      <c r="Z386" s="11">
        <f t="shared" si="780"/>
        <v>0</v>
      </c>
      <c r="AA386" s="11">
        <f t="shared" si="780"/>
        <v>0</v>
      </c>
      <c r="AB386" s="11">
        <f t="shared" si="780"/>
        <v>0</v>
      </c>
      <c r="AC386" s="11">
        <f t="shared" si="780"/>
        <v>0</v>
      </c>
      <c r="AD386" s="11">
        <f t="shared" si="780"/>
        <v>0</v>
      </c>
      <c r="AE386" s="11">
        <f t="shared" si="780"/>
        <v>0</v>
      </c>
      <c r="AF386" s="11">
        <f t="shared" si="780"/>
        <v>0</v>
      </c>
      <c r="AG386" s="11">
        <f t="shared" si="780"/>
        <v>0</v>
      </c>
      <c r="AH386" s="147">
        <f t="shared" si="780"/>
        <v>0</v>
      </c>
      <c r="AI386" s="11">
        <f t="shared" si="780"/>
        <v>0</v>
      </c>
      <c r="AJ386" s="11">
        <f t="shared" si="780"/>
        <v>0</v>
      </c>
      <c r="AK386" s="11">
        <f t="shared" si="780"/>
        <v>0</v>
      </c>
      <c r="AL386" s="147">
        <f t="shared" si="780"/>
        <v>0</v>
      </c>
      <c r="AM386" s="11">
        <f t="shared" si="780"/>
        <v>0</v>
      </c>
      <c r="AN386" s="11">
        <f t="shared" si="780"/>
        <v>0</v>
      </c>
      <c r="AO386" s="11">
        <f t="shared" si="780"/>
        <v>0</v>
      </c>
      <c r="AP386" s="11">
        <f t="shared" si="780"/>
        <v>0</v>
      </c>
      <c r="AQ386" s="11">
        <f t="shared" si="780"/>
        <v>0</v>
      </c>
      <c r="AR386" s="3">
        <f>SUM(D386:AQ386)</f>
        <v>44070</v>
      </c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</row>
    <row r="387" spans="2:69" s="10" customFormat="1" ht="15" customHeight="1" x14ac:dyDescent="0.2">
      <c r="C387" s="38" t="s">
        <v>286</v>
      </c>
      <c r="D387" s="11">
        <f>+(D384-D374-D380)/2</f>
        <v>0</v>
      </c>
      <c r="E387" s="11">
        <f t="shared" ref="E387:AQ387" si="781">+(E384-E374-E380)/2</f>
        <v>0</v>
      </c>
      <c r="F387" s="11">
        <f t="shared" si="781"/>
        <v>0</v>
      </c>
      <c r="G387" s="11">
        <f t="shared" si="781"/>
        <v>0</v>
      </c>
      <c r="H387" s="11">
        <f t="shared" si="781"/>
        <v>0</v>
      </c>
      <c r="I387" s="11">
        <f t="shared" si="781"/>
        <v>0</v>
      </c>
      <c r="J387" s="11">
        <f t="shared" si="781"/>
        <v>0</v>
      </c>
      <c r="K387" s="11">
        <f t="shared" si="781"/>
        <v>0</v>
      </c>
      <c r="L387" s="11">
        <f t="shared" si="781"/>
        <v>0</v>
      </c>
      <c r="M387" s="11">
        <f t="shared" si="781"/>
        <v>0</v>
      </c>
      <c r="N387" s="11">
        <f t="shared" si="781"/>
        <v>0</v>
      </c>
      <c r="O387" s="11">
        <f t="shared" si="781"/>
        <v>0</v>
      </c>
      <c r="P387" s="11">
        <f t="shared" si="781"/>
        <v>0</v>
      </c>
      <c r="Q387" s="11">
        <f t="shared" si="781"/>
        <v>0</v>
      </c>
      <c r="R387" s="11">
        <f t="shared" si="781"/>
        <v>0</v>
      </c>
      <c r="S387" s="11">
        <f t="shared" si="781"/>
        <v>0</v>
      </c>
      <c r="T387" s="11">
        <f t="shared" si="781"/>
        <v>0</v>
      </c>
      <c r="U387" s="11">
        <f t="shared" si="781"/>
        <v>1669</v>
      </c>
      <c r="V387" s="11">
        <f t="shared" si="781"/>
        <v>57.5</v>
      </c>
      <c r="W387" s="11">
        <f t="shared" si="781"/>
        <v>267</v>
      </c>
      <c r="X387" s="11">
        <f t="shared" si="781"/>
        <v>0</v>
      </c>
      <c r="Y387" s="11">
        <f t="shared" si="781"/>
        <v>0</v>
      </c>
      <c r="Z387" s="11">
        <f t="shared" si="781"/>
        <v>0</v>
      </c>
      <c r="AA387" s="11">
        <f t="shared" si="781"/>
        <v>0</v>
      </c>
      <c r="AB387" s="11">
        <f t="shared" si="781"/>
        <v>0</v>
      </c>
      <c r="AC387" s="11">
        <f t="shared" si="781"/>
        <v>0</v>
      </c>
      <c r="AD387" s="11">
        <f t="shared" si="781"/>
        <v>0</v>
      </c>
      <c r="AE387" s="11">
        <f t="shared" si="781"/>
        <v>0</v>
      </c>
      <c r="AF387" s="11">
        <f t="shared" si="781"/>
        <v>0</v>
      </c>
      <c r="AG387" s="11">
        <f t="shared" si="781"/>
        <v>0</v>
      </c>
      <c r="AH387" s="147">
        <f t="shared" si="781"/>
        <v>0</v>
      </c>
      <c r="AI387" s="11">
        <f t="shared" si="781"/>
        <v>0</v>
      </c>
      <c r="AJ387" s="11">
        <f t="shared" si="781"/>
        <v>0</v>
      </c>
      <c r="AK387" s="11">
        <f t="shared" si="781"/>
        <v>0</v>
      </c>
      <c r="AL387" s="147">
        <f t="shared" si="781"/>
        <v>0</v>
      </c>
      <c r="AM387" s="11">
        <f t="shared" si="781"/>
        <v>0</v>
      </c>
      <c r="AN387" s="11">
        <f t="shared" si="781"/>
        <v>0</v>
      </c>
      <c r="AO387" s="11">
        <f t="shared" si="781"/>
        <v>0</v>
      </c>
      <c r="AP387" s="11">
        <f t="shared" si="781"/>
        <v>0</v>
      </c>
      <c r="AQ387" s="11">
        <f t="shared" si="781"/>
        <v>0</v>
      </c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</row>
    <row r="388" spans="2:69" s="10" customFormat="1" ht="15" customHeight="1" x14ac:dyDescent="0.25">
      <c r="B388" s="2" t="s">
        <v>454</v>
      </c>
      <c r="C388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47"/>
      <c r="AI388" s="11"/>
      <c r="AJ388" s="11"/>
      <c r="AK388" s="11"/>
      <c r="AL388" s="147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</row>
    <row r="389" spans="2:69" s="10" customFormat="1" ht="15" customHeight="1" x14ac:dyDescent="0.25">
      <c r="B389" s="2"/>
      <c r="C389" t="s">
        <v>190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17"/>
      <c r="AI389" s="1"/>
      <c r="AJ389" s="1"/>
      <c r="AK389" s="1"/>
      <c r="AL389" s="117"/>
      <c r="AM389" s="1"/>
      <c r="AN389" s="1"/>
      <c r="AO389" s="1"/>
      <c r="AP389" s="1"/>
      <c r="AQ389" s="1"/>
      <c r="AR389" s="3">
        <f t="shared" ref="AR389:AR407" si="782">SUM(D389:AQ389)</f>
        <v>0</v>
      </c>
      <c r="AS389" s="11"/>
      <c r="AT389" s="1">
        <v>0</v>
      </c>
      <c r="AU389" s="11"/>
      <c r="AV389" s="1">
        <f>SUM(D389:G389)</f>
        <v>0</v>
      </c>
      <c r="AW389" s="1">
        <f>SUM(H389:K389)</f>
        <v>0</v>
      </c>
      <c r="AX389" s="1">
        <f>SUM(L389:P389)</f>
        <v>0</v>
      </c>
      <c r="AY389" s="1">
        <f>SUM(Q389:T389)</f>
        <v>0</v>
      </c>
      <c r="AZ389" s="1">
        <f>SUM(U389:X389)</f>
        <v>0</v>
      </c>
      <c r="BA389" s="1">
        <f>SUM(Y389:AC389)</f>
        <v>0</v>
      </c>
      <c r="BB389" s="1">
        <f>SUM(AD389:AG389)</f>
        <v>0</v>
      </c>
      <c r="BC389" s="1">
        <f>SUM(AH389:AK389)</f>
        <v>0</v>
      </c>
      <c r="BD389" s="1">
        <f>SUM(AL389:AP389)</f>
        <v>0</v>
      </c>
      <c r="BE389" s="1">
        <f>+AQ389</f>
        <v>0</v>
      </c>
      <c r="BG389" s="10">
        <f t="shared" ref="BG389:BP389" si="783">+AV389*8</f>
        <v>0</v>
      </c>
      <c r="BH389" s="10">
        <f t="shared" si="783"/>
        <v>0</v>
      </c>
      <c r="BI389" s="10">
        <f t="shared" si="783"/>
        <v>0</v>
      </c>
      <c r="BJ389" s="10">
        <f t="shared" si="783"/>
        <v>0</v>
      </c>
      <c r="BK389" s="10">
        <f t="shared" si="783"/>
        <v>0</v>
      </c>
      <c r="BL389" s="10">
        <f t="shared" si="783"/>
        <v>0</v>
      </c>
      <c r="BM389" s="10">
        <f t="shared" si="783"/>
        <v>0</v>
      </c>
      <c r="BN389" s="10">
        <f t="shared" si="783"/>
        <v>0</v>
      </c>
      <c r="BO389" s="10">
        <f t="shared" si="783"/>
        <v>0</v>
      </c>
      <c r="BP389" s="10">
        <f t="shared" si="783"/>
        <v>0</v>
      </c>
      <c r="BQ389" s="1">
        <f t="shared" ref="BQ389" si="784">SUM(BH389:BP389)</f>
        <v>0</v>
      </c>
    </row>
    <row r="390" spans="2:69" s="10" customFormat="1" ht="15" customHeight="1" x14ac:dyDescent="0.25">
      <c r="B390" s="2"/>
      <c r="C390" t="s">
        <v>424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>
        <v>288</v>
      </c>
      <c r="X390" s="1"/>
      <c r="Y390" s="1">
        <v>190</v>
      </c>
      <c r="Z390" s="1"/>
      <c r="AA390" s="1"/>
      <c r="AB390" s="1"/>
      <c r="AC390" s="1"/>
      <c r="AD390" s="1"/>
      <c r="AE390" s="1"/>
      <c r="AF390" s="1"/>
      <c r="AG390" s="1"/>
      <c r="AH390" s="117"/>
      <c r="AI390" s="1"/>
      <c r="AJ390" s="1"/>
      <c r="AK390" s="1"/>
      <c r="AL390" s="117"/>
      <c r="AM390" s="1"/>
      <c r="AN390" s="1"/>
      <c r="AO390" s="1"/>
      <c r="AP390" s="1"/>
      <c r="AQ390" s="1"/>
      <c r="AR390" s="3">
        <f t="shared" si="782"/>
        <v>478</v>
      </c>
      <c r="AS390" s="11"/>
      <c r="AT390" s="1">
        <v>0</v>
      </c>
      <c r="AU390" s="11"/>
      <c r="AV390" s="1">
        <f t="shared" ref="AV390:AV407" si="785">SUM(D390:G390)</f>
        <v>0</v>
      </c>
      <c r="AW390" s="1">
        <f t="shared" ref="AW390:AW407" si="786">SUM(H390:K390)</f>
        <v>0</v>
      </c>
      <c r="AX390" s="1">
        <f t="shared" ref="AX390:AX407" si="787">SUM(L390:P390)</f>
        <v>0</v>
      </c>
      <c r="AY390" s="1">
        <f t="shared" ref="AY390:AY407" si="788">SUM(Q390:T390)</f>
        <v>0</v>
      </c>
      <c r="AZ390" s="1">
        <f t="shared" ref="AZ390:AZ407" si="789">SUM(U390:X390)</f>
        <v>288</v>
      </c>
      <c r="BA390" s="1">
        <f t="shared" ref="BA390:BA407" si="790">SUM(Y390:AC390)</f>
        <v>190</v>
      </c>
      <c r="BB390" s="1">
        <f t="shared" ref="BB390:BB407" si="791">SUM(AD390:AG390)</f>
        <v>0</v>
      </c>
      <c r="BC390" s="1">
        <f t="shared" ref="BC390:BC407" si="792">SUM(AH390:AK390)</f>
        <v>0</v>
      </c>
      <c r="BD390" s="1">
        <f t="shared" ref="BD390:BD407" si="793">SUM(AL390:AP390)</f>
        <v>0</v>
      </c>
      <c r="BE390" s="1">
        <f t="shared" ref="BE390:BE407" si="794">+AQ390</f>
        <v>0</v>
      </c>
      <c r="BG390" s="10">
        <f t="shared" ref="BG390:BH407" si="795">+AV390*8</f>
        <v>0</v>
      </c>
      <c r="BH390" s="10">
        <f t="shared" si="795"/>
        <v>0</v>
      </c>
      <c r="BI390" s="10">
        <f t="shared" ref="BI390:BI407" si="796">+AX390*8</f>
        <v>0</v>
      </c>
      <c r="BJ390" s="10">
        <f t="shared" ref="BJ390:BJ407" si="797">+AY390*8</f>
        <v>0</v>
      </c>
      <c r="BK390" s="10">
        <f t="shared" ref="BK390:BK407" si="798">+AZ390*8</f>
        <v>2304</v>
      </c>
      <c r="BL390" s="10">
        <f t="shared" ref="BL390:BL407" si="799">+BA390*8</f>
        <v>1520</v>
      </c>
      <c r="BM390" s="10">
        <f t="shared" ref="BM390:BM407" si="800">+BB390*8</f>
        <v>0</v>
      </c>
      <c r="BN390" s="10">
        <f t="shared" ref="BN390:BN407" si="801">+BC390*8</f>
        <v>0</v>
      </c>
      <c r="BO390" s="10">
        <f t="shared" ref="BO390:BO407" si="802">+BD390*8</f>
        <v>0</v>
      </c>
      <c r="BP390" s="10">
        <f t="shared" ref="BP390:BP407" si="803">+BE390*8</f>
        <v>0</v>
      </c>
      <c r="BQ390" s="1">
        <f t="shared" ref="BQ390:BQ407" si="804">SUM(BH390:BP390)</f>
        <v>3824</v>
      </c>
    </row>
    <row r="391" spans="2:69" s="10" customFormat="1" ht="15" customHeight="1" x14ac:dyDescent="0.25">
      <c r="B391" s="2"/>
      <c r="C391" t="s">
        <v>347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>
        <v>184</v>
      </c>
      <c r="X391" s="1"/>
      <c r="Y391" s="1">
        <v>100</v>
      </c>
      <c r="Z391" s="1"/>
      <c r="AA391" s="1"/>
      <c r="AB391" s="1"/>
      <c r="AC391" s="1"/>
      <c r="AD391" s="1"/>
      <c r="AE391" s="1"/>
      <c r="AF391" s="1"/>
      <c r="AG391" s="1"/>
      <c r="AH391" s="117"/>
      <c r="AI391" s="1"/>
      <c r="AJ391" s="1"/>
      <c r="AK391" s="1"/>
      <c r="AL391" s="117"/>
      <c r="AM391" s="1"/>
      <c r="AN391" s="1"/>
      <c r="AO391" s="1"/>
      <c r="AP391" s="1"/>
      <c r="AQ391" s="1"/>
      <c r="AR391" s="3">
        <f t="shared" si="782"/>
        <v>284</v>
      </c>
      <c r="AS391" s="11"/>
      <c r="AT391" s="1">
        <v>0</v>
      </c>
      <c r="AU391" s="11"/>
      <c r="AV391" s="1">
        <f t="shared" si="785"/>
        <v>0</v>
      </c>
      <c r="AW391" s="1">
        <f t="shared" si="786"/>
        <v>0</v>
      </c>
      <c r="AX391" s="1">
        <f t="shared" si="787"/>
        <v>0</v>
      </c>
      <c r="AY391" s="1">
        <f t="shared" si="788"/>
        <v>0</v>
      </c>
      <c r="AZ391" s="1">
        <f t="shared" si="789"/>
        <v>184</v>
      </c>
      <c r="BA391" s="1">
        <f t="shared" si="790"/>
        <v>100</v>
      </c>
      <c r="BB391" s="1">
        <f t="shared" si="791"/>
        <v>0</v>
      </c>
      <c r="BC391" s="1">
        <f t="shared" si="792"/>
        <v>0</v>
      </c>
      <c r="BD391" s="1">
        <f t="shared" si="793"/>
        <v>0</v>
      </c>
      <c r="BE391" s="1">
        <f t="shared" si="794"/>
        <v>0</v>
      </c>
      <c r="BG391" s="10">
        <f t="shared" si="795"/>
        <v>0</v>
      </c>
      <c r="BH391" s="10">
        <f t="shared" si="795"/>
        <v>0</v>
      </c>
      <c r="BI391" s="10">
        <f t="shared" si="796"/>
        <v>0</v>
      </c>
      <c r="BJ391" s="10">
        <f t="shared" si="797"/>
        <v>0</v>
      </c>
      <c r="BK391" s="10">
        <f t="shared" si="798"/>
        <v>1472</v>
      </c>
      <c r="BL391" s="10">
        <f t="shared" si="799"/>
        <v>800</v>
      </c>
      <c r="BM391" s="10">
        <f t="shared" si="800"/>
        <v>0</v>
      </c>
      <c r="BN391" s="10">
        <f t="shared" si="801"/>
        <v>0</v>
      </c>
      <c r="BO391" s="10">
        <f t="shared" si="802"/>
        <v>0</v>
      </c>
      <c r="BP391" s="10">
        <f t="shared" si="803"/>
        <v>0</v>
      </c>
      <c r="BQ391" s="1">
        <f t="shared" si="804"/>
        <v>2272</v>
      </c>
    </row>
    <row r="392" spans="2:69" s="10" customFormat="1" ht="15" customHeight="1" x14ac:dyDescent="0.25">
      <c r="B392" s="2"/>
      <c r="C392" t="s">
        <v>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17"/>
      <c r="AI392" s="1"/>
      <c r="AJ392" s="1"/>
      <c r="AK392" s="1"/>
      <c r="AL392" s="117"/>
      <c r="AM392" s="1"/>
      <c r="AN392" s="1"/>
      <c r="AO392" s="1"/>
      <c r="AP392" s="1"/>
      <c r="AQ392" s="1"/>
      <c r="AR392" s="3">
        <f t="shared" si="782"/>
        <v>0</v>
      </c>
      <c r="AS392" s="11"/>
      <c r="AT392" s="1">
        <v>0</v>
      </c>
      <c r="AU392" s="11"/>
      <c r="AV392" s="1">
        <f t="shared" si="785"/>
        <v>0</v>
      </c>
      <c r="AW392" s="1">
        <f t="shared" si="786"/>
        <v>0</v>
      </c>
      <c r="AX392" s="1">
        <f t="shared" si="787"/>
        <v>0</v>
      </c>
      <c r="AY392" s="1">
        <f t="shared" si="788"/>
        <v>0</v>
      </c>
      <c r="AZ392" s="1">
        <f t="shared" si="789"/>
        <v>0</v>
      </c>
      <c r="BA392" s="1">
        <f t="shared" si="790"/>
        <v>0</v>
      </c>
      <c r="BB392" s="1">
        <f t="shared" si="791"/>
        <v>0</v>
      </c>
      <c r="BC392" s="1">
        <f t="shared" si="792"/>
        <v>0</v>
      </c>
      <c r="BD392" s="1">
        <f t="shared" si="793"/>
        <v>0</v>
      </c>
      <c r="BE392" s="1">
        <f t="shared" si="794"/>
        <v>0</v>
      </c>
      <c r="BG392" s="10">
        <f t="shared" si="795"/>
        <v>0</v>
      </c>
      <c r="BH392" s="10">
        <f t="shared" si="795"/>
        <v>0</v>
      </c>
      <c r="BI392" s="10">
        <f t="shared" si="796"/>
        <v>0</v>
      </c>
      <c r="BJ392" s="10">
        <f t="shared" si="797"/>
        <v>0</v>
      </c>
      <c r="BK392" s="10">
        <f t="shared" si="798"/>
        <v>0</v>
      </c>
      <c r="BL392" s="10">
        <f t="shared" si="799"/>
        <v>0</v>
      </c>
      <c r="BM392" s="10">
        <f t="shared" si="800"/>
        <v>0</v>
      </c>
      <c r="BN392" s="10">
        <f t="shared" si="801"/>
        <v>0</v>
      </c>
      <c r="BO392" s="10">
        <f t="shared" si="802"/>
        <v>0</v>
      </c>
      <c r="BP392" s="10">
        <f t="shared" si="803"/>
        <v>0</v>
      </c>
      <c r="BQ392" s="1">
        <f t="shared" si="804"/>
        <v>0</v>
      </c>
    </row>
    <row r="393" spans="2:69" s="10" customFormat="1" ht="15" customHeight="1" x14ac:dyDescent="0.25">
      <c r="B393" s="2"/>
      <c r="C393" t="s">
        <v>354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>
        <v>120</v>
      </c>
      <c r="Z393" s="1"/>
      <c r="AA393" s="1"/>
      <c r="AB393" s="1"/>
      <c r="AC393" s="1"/>
      <c r="AD393" s="1"/>
      <c r="AE393" s="1"/>
      <c r="AF393" s="1"/>
      <c r="AG393" s="1"/>
      <c r="AH393" s="117"/>
      <c r="AI393" s="1"/>
      <c r="AJ393" s="1"/>
      <c r="AK393" s="1"/>
      <c r="AL393" s="117"/>
      <c r="AM393" s="1"/>
      <c r="AN393" s="1"/>
      <c r="AO393" s="1"/>
      <c r="AP393" s="1"/>
      <c r="AQ393" s="1"/>
      <c r="AR393" s="3">
        <f t="shared" si="782"/>
        <v>120</v>
      </c>
      <c r="AS393" s="11"/>
      <c r="AT393" s="1">
        <v>0</v>
      </c>
      <c r="AU393" s="11"/>
      <c r="AV393" s="1">
        <f t="shared" si="785"/>
        <v>0</v>
      </c>
      <c r="AW393" s="1">
        <f t="shared" si="786"/>
        <v>0</v>
      </c>
      <c r="AX393" s="1">
        <f t="shared" si="787"/>
        <v>0</v>
      </c>
      <c r="AY393" s="1">
        <f t="shared" si="788"/>
        <v>0</v>
      </c>
      <c r="AZ393" s="1">
        <f t="shared" si="789"/>
        <v>0</v>
      </c>
      <c r="BA393" s="1">
        <f t="shared" si="790"/>
        <v>120</v>
      </c>
      <c r="BB393" s="1">
        <f t="shared" si="791"/>
        <v>0</v>
      </c>
      <c r="BC393" s="1">
        <f t="shared" si="792"/>
        <v>0</v>
      </c>
      <c r="BD393" s="1">
        <f t="shared" si="793"/>
        <v>0</v>
      </c>
      <c r="BE393" s="1">
        <f t="shared" si="794"/>
        <v>0</v>
      </c>
      <c r="BG393" s="10">
        <f t="shared" si="795"/>
        <v>0</v>
      </c>
      <c r="BH393" s="10">
        <f t="shared" si="795"/>
        <v>0</v>
      </c>
      <c r="BI393" s="10">
        <f t="shared" si="796"/>
        <v>0</v>
      </c>
      <c r="BJ393" s="10">
        <f t="shared" si="797"/>
        <v>0</v>
      </c>
      <c r="BK393" s="10">
        <f t="shared" si="798"/>
        <v>0</v>
      </c>
      <c r="BL393" s="10">
        <f t="shared" si="799"/>
        <v>960</v>
      </c>
      <c r="BM393" s="10">
        <f t="shared" si="800"/>
        <v>0</v>
      </c>
      <c r="BN393" s="10">
        <f t="shared" si="801"/>
        <v>0</v>
      </c>
      <c r="BO393" s="10">
        <f t="shared" si="802"/>
        <v>0</v>
      </c>
      <c r="BP393" s="10">
        <f t="shared" si="803"/>
        <v>0</v>
      </c>
      <c r="BQ393" s="1">
        <f t="shared" si="804"/>
        <v>960</v>
      </c>
    </row>
    <row r="394" spans="2:69" s="10" customFormat="1" ht="15" customHeight="1" x14ac:dyDescent="0.25">
      <c r="B394" s="2"/>
      <c r="C394" t="s">
        <v>265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>
        <v>145</v>
      </c>
      <c r="X394" s="1"/>
      <c r="Y394" s="1">
        <v>31</v>
      </c>
      <c r="Z394" s="1"/>
      <c r="AA394" s="1"/>
      <c r="AB394" s="1"/>
      <c r="AC394" s="1"/>
      <c r="AD394" s="1"/>
      <c r="AE394" s="1"/>
      <c r="AF394" s="1"/>
      <c r="AG394" s="1"/>
      <c r="AH394" s="117"/>
      <c r="AI394" s="1"/>
      <c r="AJ394" s="1"/>
      <c r="AK394" s="1"/>
      <c r="AL394" s="117"/>
      <c r="AM394" s="1"/>
      <c r="AN394" s="1"/>
      <c r="AO394" s="1"/>
      <c r="AP394" s="1"/>
      <c r="AQ394" s="1"/>
      <c r="AR394" s="3">
        <f t="shared" si="782"/>
        <v>176</v>
      </c>
      <c r="AS394" s="11"/>
      <c r="AT394" s="1">
        <v>0</v>
      </c>
      <c r="AU394" s="11"/>
      <c r="AV394" s="1">
        <f t="shared" si="785"/>
        <v>0</v>
      </c>
      <c r="AW394" s="1">
        <f t="shared" si="786"/>
        <v>0</v>
      </c>
      <c r="AX394" s="1">
        <f t="shared" si="787"/>
        <v>0</v>
      </c>
      <c r="AY394" s="1">
        <f t="shared" si="788"/>
        <v>0</v>
      </c>
      <c r="AZ394" s="1">
        <f t="shared" si="789"/>
        <v>145</v>
      </c>
      <c r="BA394" s="1">
        <f t="shared" si="790"/>
        <v>31</v>
      </c>
      <c r="BB394" s="1">
        <f t="shared" si="791"/>
        <v>0</v>
      </c>
      <c r="BC394" s="1">
        <f t="shared" si="792"/>
        <v>0</v>
      </c>
      <c r="BD394" s="1">
        <f t="shared" si="793"/>
        <v>0</v>
      </c>
      <c r="BE394" s="1">
        <f t="shared" si="794"/>
        <v>0</v>
      </c>
      <c r="BG394" s="10">
        <f t="shared" si="795"/>
        <v>0</v>
      </c>
      <c r="BH394" s="10">
        <f t="shared" si="795"/>
        <v>0</v>
      </c>
      <c r="BI394" s="10">
        <f t="shared" si="796"/>
        <v>0</v>
      </c>
      <c r="BJ394" s="10">
        <f t="shared" si="797"/>
        <v>0</v>
      </c>
      <c r="BK394" s="10">
        <f t="shared" si="798"/>
        <v>1160</v>
      </c>
      <c r="BL394" s="10">
        <f t="shared" si="799"/>
        <v>248</v>
      </c>
      <c r="BM394" s="10">
        <f t="shared" si="800"/>
        <v>0</v>
      </c>
      <c r="BN394" s="10">
        <f t="shared" si="801"/>
        <v>0</v>
      </c>
      <c r="BO394" s="10">
        <f t="shared" si="802"/>
        <v>0</v>
      </c>
      <c r="BP394" s="10">
        <f t="shared" si="803"/>
        <v>0</v>
      </c>
      <c r="BQ394" s="1">
        <f t="shared" si="804"/>
        <v>1408</v>
      </c>
    </row>
    <row r="395" spans="2:69" s="10" customFormat="1" ht="15" customHeight="1" x14ac:dyDescent="0.25">
      <c r="B395" s="2"/>
      <c r="C395" t="s">
        <v>191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>
        <v>520</v>
      </c>
      <c r="X395" s="1"/>
      <c r="Y395" s="1">
        <v>98</v>
      </c>
      <c r="Z395" s="1"/>
      <c r="AA395" s="1"/>
      <c r="AB395" s="1"/>
      <c r="AC395" s="1"/>
      <c r="AD395" s="1"/>
      <c r="AE395" s="1"/>
      <c r="AF395" s="1"/>
      <c r="AG395" s="1"/>
      <c r="AH395" s="117"/>
      <c r="AI395" s="1"/>
      <c r="AJ395" s="1"/>
      <c r="AK395" s="1"/>
      <c r="AL395" s="117"/>
      <c r="AM395" s="1"/>
      <c r="AN395" s="1"/>
      <c r="AO395" s="1"/>
      <c r="AP395" s="1"/>
      <c r="AQ395" s="1"/>
      <c r="AR395" s="3">
        <f t="shared" si="782"/>
        <v>618</v>
      </c>
      <c r="AS395" s="11"/>
      <c r="AT395" s="1">
        <v>0</v>
      </c>
      <c r="AU395" s="11"/>
      <c r="AV395" s="1">
        <f t="shared" si="785"/>
        <v>0</v>
      </c>
      <c r="AW395" s="1">
        <f t="shared" si="786"/>
        <v>0</v>
      </c>
      <c r="AX395" s="1">
        <f t="shared" si="787"/>
        <v>0</v>
      </c>
      <c r="AY395" s="1">
        <f t="shared" si="788"/>
        <v>0</v>
      </c>
      <c r="AZ395" s="1">
        <f t="shared" si="789"/>
        <v>520</v>
      </c>
      <c r="BA395" s="1">
        <f t="shared" si="790"/>
        <v>98</v>
      </c>
      <c r="BB395" s="1">
        <f t="shared" si="791"/>
        <v>0</v>
      </c>
      <c r="BC395" s="1">
        <f t="shared" si="792"/>
        <v>0</v>
      </c>
      <c r="BD395" s="1">
        <f t="shared" si="793"/>
        <v>0</v>
      </c>
      <c r="BE395" s="1">
        <f t="shared" si="794"/>
        <v>0</v>
      </c>
      <c r="BG395" s="10">
        <f t="shared" si="795"/>
        <v>0</v>
      </c>
      <c r="BH395" s="10">
        <f t="shared" si="795"/>
        <v>0</v>
      </c>
      <c r="BI395" s="10">
        <f t="shared" si="796"/>
        <v>0</v>
      </c>
      <c r="BJ395" s="10">
        <f t="shared" si="797"/>
        <v>0</v>
      </c>
      <c r="BK395" s="10">
        <f t="shared" si="798"/>
        <v>4160</v>
      </c>
      <c r="BL395" s="10">
        <f t="shared" si="799"/>
        <v>784</v>
      </c>
      <c r="BM395" s="10">
        <f t="shared" si="800"/>
        <v>0</v>
      </c>
      <c r="BN395" s="10">
        <f t="shared" si="801"/>
        <v>0</v>
      </c>
      <c r="BO395" s="10">
        <f t="shared" si="802"/>
        <v>0</v>
      </c>
      <c r="BP395" s="10">
        <f t="shared" si="803"/>
        <v>0</v>
      </c>
      <c r="BQ395" s="1">
        <f t="shared" si="804"/>
        <v>4944</v>
      </c>
    </row>
    <row r="396" spans="2:69" s="10" customFormat="1" ht="15" customHeight="1" x14ac:dyDescent="0.25">
      <c r="B396" s="2"/>
      <c r="C396" t="s">
        <v>549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17"/>
      <c r="AI396" s="1"/>
      <c r="AJ396" s="1"/>
      <c r="AK396" s="1"/>
      <c r="AL396" s="117"/>
      <c r="AM396" s="1"/>
      <c r="AN396" s="1"/>
      <c r="AO396" s="1"/>
      <c r="AP396" s="1"/>
      <c r="AQ396" s="1"/>
      <c r="AR396" s="3">
        <f t="shared" si="782"/>
        <v>0</v>
      </c>
      <c r="AS396" s="11"/>
      <c r="AT396" s="1">
        <v>0</v>
      </c>
      <c r="AU396" s="11"/>
      <c r="AV396" s="1">
        <f t="shared" si="785"/>
        <v>0</v>
      </c>
      <c r="AW396" s="1">
        <f t="shared" si="786"/>
        <v>0</v>
      </c>
      <c r="AX396" s="1">
        <f t="shared" si="787"/>
        <v>0</v>
      </c>
      <c r="AY396" s="1">
        <f t="shared" si="788"/>
        <v>0</v>
      </c>
      <c r="AZ396" s="1">
        <f t="shared" si="789"/>
        <v>0</v>
      </c>
      <c r="BA396" s="1">
        <f t="shared" si="790"/>
        <v>0</v>
      </c>
      <c r="BB396" s="1">
        <f t="shared" si="791"/>
        <v>0</v>
      </c>
      <c r="BC396" s="1">
        <f t="shared" si="792"/>
        <v>0</v>
      </c>
      <c r="BD396" s="1">
        <f t="shared" si="793"/>
        <v>0</v>
      </c>
      <c r="BE396" s="1">
        <f t="shared" si="794"/>
        <v>0</v>
      </c>
      <c r="BG396" s="10">
        <f t="shared" si="795"/>
        <v>0</v>
      </c>
      <c r="BH396" s="10">
        <f t="shared" si="795"/>
        <v>0</v>
      </c>
      <c r="BI396" s="10">
        <f t="shared" si="796"/>
        <v>0</v>
      </c>
      <c r="BJ396" s="10">
        <f t="shared" si="797"/>
        <v>0</v>
      </c>
      <c r="BK396" s="10">
        <f t="shared" si="798"/>
        <v>0</v>
      </c>
      <c r="BL396" s="10">
        <f t="shared" si="799"/>
        <v>0</v>
      </c>
      <c r="BM396" s="10">
        <f t="shared" si="800"/>
        <v>0</v>
      </c>
      <c r="BN396" s="10">
        <f t="shared" si="801"/>
        <v>0</v>
      </c>
      <c r="BO396" s="10">
        <f t="shared" si="802"/>
        <v>0</v>
      </c>
      <c r="BP396" s="10">
        <f t="shared" si="803"/>
        <v>0</v>
      </c>
      <c r="BQ396" s="1">
        <f t="shared" si="804"/>
        <v>0</v>
      </c>
    </row>
    <row r="397" spans="2:69" s="10" customFormat="1" ht="15" customHeight="1" x14ac:dyDescent="0.25">
      <c r="B397" s="2"/>
      <c r="C397" t="s">
        <v>550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17"/>
      <c r="AI397" s="1"/>
      <c r="AJ397" s="1"/>
      <c r="AK397" s="1"/>
      <c r="AL397" s="117"/>
      <c r="AM397" s="1"/>
      <c r="AN397" s="1"/>
      <c r="AO397" s="1"/>
      <c r="AP397" s="1"/>
      <c r="AQ397" s="1"/>
      <c r="AR397" s="3">
        <f t="shared" si="782"/>
        <v>0</v>
      </c>
      <c r="AS397" s="11"/>
      <c r="AT397" s="1">
        <v>0</v>
      </c>
      <c r="AU397" s="11"/>
      <c r="AV397" s="1">
        <f t="shared" si="785"/>
        <v>0</v>
      </c>
      <c r="AW397" s="1">
        <f t="shared" si="786"/>
        <v>0</v>
      </c>
      <c r="AX397" s="1">
        <f t="shared" si="787"/>
        <v>0</v>
      </c>
      <c r="AY397" s="1">
        <f t="shared" si="788"/>
        <v>0</v>
      </c>
      <c r="AZ397" s="1">
        <f t="shared" si="789"/>
        <v>0</v>
      </c>
      <c r="BA397" s="1">
        <f t="shared" si="790"/>
        <v>0</v>
      </c>
      <c r="BB397" s="1">
        <f t="shared" si="791"/>
        <v>0</v>
      </c>
      <c r="BC397" s="1">
        <f t="shared" si="792"/>
        <v>0</v>
      </c>
      <c r="BD397" s="1">
        <f t="shared" si="793"/>
        <v>0</v>
      </c>
      <c r="BE397" s="1">
        <f t="shared" si="794"/>
        <v>0</v>
      </c>
      <c r="BG397" s="10">
        <f t="shared" si="795"/>
        <v>0</v>
      </c>
      <c r="BH397" s="10">
        <f t="shared" si="795"/>
        <v>0</v>
      </c>
      <c r="BI397" s="10">
        <f t="shared" si="796"/>
        <v>0</v>
      </c>
      <c r="BJ397" s="10">
        <f t="shared" si="797"/>
        <v>0</v>
      </c>
      <c r="BK397" s="10">
        <f t="shared" si="798"/>
        <v>0</v>
      </c>
      <c r="BL397" s="10">
        <f t="shared" si="799"/>
        <v>0</v>
      </c>
      <c r="BM397" s="10">
        <f t="shared" si="800"/>
        <v>0</v>
      </c>
      <c r="BN397" s="10">
        <f t="shared" si="801"/>
        <v>0</v>
      </c>
      <c r="BO397" s="10">
        <f t="shared" si="802"/>
        <v>0</v>
      </c>
      <c r="BP397" s="10">
        <f t="shared" si="803"/>
        <v>0</v>
      </c>
      <c r="BQ397" s="1">
        <f t="shared" si="804"/>
        <v>0</v>
      </c>
    </row>
    <row r="398" spans="2:69" s="10" customFormat="1" ht="15" customHeight="1" x14ac:dyDescent="0.25">
      <c r="B398" s="2"/>
      <c r="C398" t="s">
        <v>6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17"/>
      <c r="AI398" s="1"/>
      <c r="AJ398" s="1"/>
      <c r="AK398" s="1"/>
      <c r="AL398" s="117"/>
      <c r="AM398" s="1"/>
      <c r="AN398" s="1"/>
      <c r="AO398" s="1"/>
      <c r="AP398" s="1"/>
      <c r="AQ398" s="1"/>
      <c r="AR398" s="3">
        <f t="shared" si="782"/>
        <v>0</v>
      </c>
      <c r="AS398" s="11"/>
      <c r="AT398" s="1">
        <v>0</v>
      </c>
      <c r="AU398" s="11"/>
      <c r="AV398" s="1">
        <f t="shared" si="785"/>
        <v>0</v>
      </c>
      <c r="AW398" s="1">
        <f t="shared" si="786"/>
        <v>0</v>
      </c>
      <c r="AX398" s="1">
        <f t="shared" si="787"/>
        <v>0</v>
      </c>
      <c r="AY398" s="1">
        <f t="shared" si="788"/>
        <v>0</v>
      </c>
      <c r="AZ398" s="1">
        <f t="shared" si="789"/>
        <v>0</v>
      </c>
      <c r="BA398" s="1">
        <f t="shared" si="790"/>
        <v>0</v>
      </c>
      <c r="BB398" s="1">
        <f t="shared" si="791"/>
        <v>0</v>
      </c>
      <c r="BC398" s="1">
        <f t="shared" si="792"/>
        <v>0</v>
      </c>
      <c r="BD398" s="1">
        <f t="shared" si="793"/>
        <v>0</v>
      </c>
      <c r="BE398" s="1">
        <f t="shared" si="794"/>
        <v>0</v>
      </c>
      <c r="BG398" s="10">
        <f t="shared" si="795"/>
        <v>0</v>
      </c>
      <c r="BH398" s="10">
        <f t="shared" si="795"/>
        <v>0</v>
      </c>
      <c r="BI398" s="10">
        <f t="shared" si="796"/>
        <v>0</v>
      </c>
      <c r="BJ398" s="10">
        <f t="shared" si="797"/>
        <v>0</v>
      </c>
      <c r="BK398" s="10">
        <f t="shared" si="798"/>
        <v>0</v>
      </c>
      <c r="BL398" s="10">
        <f t="shared" si="799"/>
        <v>0</v>
      </c>
      <c r="BM398" s="10">
        <f t="shared" si="800"/>
        <v>0</v>
      </c>
      <c r="BN398" s="10">
        <f t="shared" si="801"/>
        <v>0</v>
      </c>
      <c r="BO398" s="10">
        <f t="shared" si="802"/>
        <v>0</v>
      </c>
      <c r="BP398" s="10">
        <f t="shared" si="803"/>
        <v>0</v>
      </c>
      <c r="BQ398" s="1">
        <f t="shared" si="804"/>
        <v>0</v>
      </c>
    </row>
    <row r="399" spans="2:69" s="10" customFormat="1" ht="15" customHeight="1" x14ac:dyDescent="0.25">
      <c r="B399" s="2"/>
      <c r="C399" t="s">
        <v>262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17"/>
      <c r="AI399" s="1"/>
      <c r="AJ399" s="1"/>
      <c r="AK399" s="1"/>
      <c r="AL399" s="117"/>
      <c r="AM399" s="1"/>
      <c r="AN399" s="1"/>
      <c r="AO399" s="1"/>
      <c r="AP399" s="1"/>
      <c r="AQ399" s="1"/>
      <c r="AR399" s="3">
        <f t="shared" si="782"/>
        <v>0</v>
      </c>
      <c r="AS399" s="11"/>
      <c r="AT399" s="1">
        <v>0</v>
      </c>
      <c r="AU399" s="11"/>
      <c r="AV399" s="1">
        <f t="shared" si="785"/>
        <v>0</v>
      </c>
      <c r="AW399" s="1">
        <f t="shared" si="786"/>
        <v>0</v>
      </c>
      <c r="AX399" s="1">
        <f t="shared" si="787"/>
        <v>0</v>
      </c>
      <c r="AY399" s="1">
        <f t="shared" si="788"/>
        <v>0</v>
      </c>
      <c r="AZ399" s="1">
        <f t="shared" si="789"/>
        <v>0</v>
      </c>
      <c r="BA399" s="1">
        <f t="shared" si="790"/>
        <v>0</v>
      </c>
      <c r="BB399" s="1">
        <f t="shared" si="791"/>
        <v>0</v>
      </c>
      <c r="BC399" s="1">
        <f t="shared" si="792"/>
        <v>0</v>
      </c>
      <c r="BD399" s="1">
        <f t="shared" si="793"/>
        <v>0</v>
      </c>
      <c r="BE399" s="1">
        <f t="shared" si="794"/>
        <v>0</v>
      </c>
      <c r="BG399" s="10">
        <f t="shared" si="795"/>
        <v>0</v>
      </c>
      <c r="BH399" s="10">
        <f t="shared" si="795"/>
        <v>0</v>
      </c>
      <c r="BI399" s="10">
        <f t="shared" si="796"/>
        <v>0</v>
      </c>
      <c r="BJ399" s="10">
        <f t="shared" si="797"/>
        <v>0</v>
      </c>
      <c r="BK399" s="10">
        <f t="shared" si="798"/>
        <v>0</v>
      </c>
      <c r="BL399" s="10">
        <f t="shared" si="799"/>
        <v>0</v>
      </c>
      <c r="BM399" s="10">
        <f t="shared" si="800"/>
        <v>0</v>
      </c>
      <c r="BN399" s="10">
        <f t="shared" si="801"/>
        <v>0</v>
      </c>
      <c r="BO399" s="10">
        <f t="shared" si="802"/>
        <v>0</v>
      </c>
      <c r="BP399" s="10">
        <f t="shared" si="803"/>
        <v>0</v>
      </c>
      <c r="BQ399" s="1">
        <f t="shared" si="804"/>
        <v>0</v>
      </c>
    </row>
    <row r="400" spans="2:69" s="10" customFormat="1" ht="15" customHeight="1" x14ac:dyDescent="0.25">
      <c r="B400" s="2"/>
      <c r="C400" t="s">
        <v>42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>
        <v>506</v>
      </c>
      <c r="X400" s="1"/>
      <c r="Y400" s="1">
        <v>570</v>
      </c>
      <c r="Z400" s="1"/>
      <c r="AA400" s="1"/>
      <c r="AB400" s="1"/>
      <c r="AC400" s="1"/>
      <c r="AD400" s="1"/>
      <c r="AE400" s="1"/>
      <c r="AF400" s="1"/>
      <c r="AG400" s="1"/>
      <c r="AH400" s="117"/>
      <c r="AI400" s="1"/>
      <c r="AJ400" s="1"/>
      <c r="AK400" s="1"/>
      <c r="AL400" s="117"/>
      <c r="AM400" s="1"/>
      <c r="AN400" s="1"/>
      <c r="AO400" s="1"/>
      <c r="AP400" s="1"/>
      <c r="AQ400" s="1"/>
      <c r="AR400" s="3">
        <f t="shared" si="782"/>
        <v>1076</v>
      </c>
      <c r="AS400" s="11"/>
      <c r="AT400" s="1">
        <v>0</v>
      </c>
      <c r="AU400" s="11"/>
      <c r="AV400" s="1">
        <f t="shared" si="785"/>
        <v>0</v>
      </c>
      <c r="AW400" s="1">
        <f t="shared" si="786"/>
        <v>0</v>
      </c>
      <c r="AX400" s="1">
        <f t="shared" si="787"/>
        <v>0</v>
      </c>
      <c r="AY400" s="1">
        <f t="shared" si="788"/>
        <v>0</v>
      </c>
      <c r="AZ400" s="1">
        <f t="shared" si="789"/>
        <v>506</v>
      </c>
      <c r="BA400" s="1">
        <f t="shared" si="790"/>
        <v>570</v>
      </c>
      <c r="BB400" s="1">
        <f t="shared" si="791"/>
        <v>0</v>
      </c>
      <c r="BC400" s="1">
        <f t="shared" si="792"/>
        <v>0</v>
      </c>
      <c r="BD400" s="1">
        <f t="shared" si="793"/>
        <v>0</v>
      </c>
      <c r="BE400" s="1">
        <f t="shared" si="794"/>
        <v>0</v>
      </c>
      <c r="BG400" s="10">
        <f t="shared" si="795"/>
        <v>0</v>
      </c>
      <c r="BH400" s="10">
        <f t="shared" si="795"/>
        <v>0</v>
      </c>
      <c r="BI400" s="10">
        <f t="shared" si="796"/>
        <v>0</v>
      </c>
      <c r="BJ400" s="10">
        <f t="shared" si="797"/>
        <v>0</v>
      </c>
      <c r="BK400" s="10">
        <f t="shared" si="798"/>
        <v>4048</v>
      </c>
      <c r="BL400" s="10">
        <f t="shared" si="799"/>
        <v>4560</v>
      </c>
      <c r="BM400" s="10">
        <f t="shared" si="800"/>
        <v>0</v>
      </c>
      <c r="BN400" s="10">
        <f t="shared" si="801"/>
        <v>0</v>
      </c>
      <c r="BO400" s="10">
        <f t="shared" si="802"/>
        <v>0</v>
      </c>
      <c r="BP400" s="10">
        <f t="shared" si="803"/>
        <v>0</v>
      </c>
      <c r="BQ400" s="1">
        <f t="shared" si="804"/>
        <v>8608</v>
      </c>
    </row>
    <row r="401" spans="2:69" s="10" customFormat="1" ht="15" customHeight="1" x14ac:dyDescent="0.25">
      <c r="B401" s="2"/>
      <c r="C401" t="s">
        <v>192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>
        <v>530</v>
      </c>
      <c r="X401" s="1"/>
      <c r="Y401" s="1">
        <v>420</v>
      </c>
      <c r="Z401" s="1"/>
      <c r="AA401" s="1"/>
      <c r="AB401" s="1"/>
      <c r="AC401" s="1"/>
      <c r="AD401" s="1"/>
      <c r="AE401" s="1"/>
      <c r="AF401" s="1"/>
      <c r="AG401" s="1"/>
      <c r="AH401" s="117"/>
      <c r="AI401" s="1"/>
      <c r="AJ401" s="1"/>
      <c r="AK401" s="1"/>
      <c r="AL401" s="117"/>
      <c r="AM401" s="1"/>
      <c r="AN401" s="1"/>
      <c r="AO401" s="1"/>
      <c r="AP401" s="1"/>
      <c r="AQ401" s="1"/>
      <c r="AR401" s="3">
        <f t="shared" si="782"/>
        <v>950</v>
      </c>
      <c r="AS401" s="11"/>
      <c r="AT401" s="1">
        <v>0</v>
      </c>
      <c r="AU401" s="11"/>
      <c r="AV401" s="1">
        <f t="shared" si="785"/>
        <v>0</v>
      </c>
      <c r="AW401" s="1">
        <f t="shared" si="786"/>
        <v>0</v>
      </c>
      <c r="AX401" s="1">
        <f t="shared" si="787"/>
        <v>0</v>
      </c>
      <c r="AY401" s="1">
        <f t="shared" si="788"/>
        <v>0</v>
      </c>
      <c r="AZ401" s="1">
        <f t="shared" si="789"/>
        <v>530</v>
      </c>
      <c r="BA401" s="1">
        <f t="shared" si="790"/>
        <v>420</v>
      </c>
      <c r="BB401" s="1">
        <f t="shared" si="791"/>
        <v>0</v>
      </c>
      <c r="BC401" s="1">
        <f t="shared" si="792"/>
        <v>0</v>
      </c>
      <c r="BD401" s="1">
        <f t="shared" si="793"/>
        <v>0</v>
      </c>
      <c r="BE401" s="1">
        <f t="shared" si="794"/>
        <v>0</v>
      </c>
      <c r="BG401" s="10">
        <f t="shared" si="795"/>
        <v>0</v>
      </c>
      <c r="BH401" s="10">
        <f t="shared" si="795"/>
        <v>0</v>
      </c>
      <c r="BI401" s="10">
        <f t="shared" si="796"/>
        <v>0</v>
      </c>
      <c r="BJ401" s="10">
        <f t="shared" si="797"/>
        <v>0</v>
      </c>
      <c r="BK401" s="10">
        <f t="shared" si="798"/>
        <v>4240</v>
      </c>
      <c r="BL401" s="10">
        <f t="shared" si="799"/>
        <v>3360</v>
      </c>
      <c r="BM401" s="10">
        <f t="shared" si="800"/>
        <v>0</v>
      </c>
      <c r="BN401" s="10">
        <f t="shared" si="801"/>
        <v>0</v>
      </c>
      <c r="BO401" s="10">
        <f t="shared" si="802"/>
        <v>0</v>
      </c>
      <c r="BP401" s="10">
        <f t="shared" si="803"/>
        <v>0</v>
      </c>
      <c r="BQ401" s="1">
        <f t="shared" si="804"/>
        <v>7600</v>
      </c>
    </row>
    <row r="402" spans="2:69" s="10" customFormat="1" ht="15" customHeight="1" x14ac:dyDescent="0.25">
      <c r="B402" s="2"/>
      <c r="C402" t="s">
        <v>133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>
        <v>80</v>
      </c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17"/>
      <c r="AI402" s="1"/>
      <c r="AJ402" s="1"/>
      <c r="AK402" s="1"/>
      <c r="AL402" s="117"/>
      <c r="AM402" s="1"/>
      <c r="AN402" s="1"/>
      <c r="AO402" s="1"/>
      <c r="AP402" s="1"/>
      <c r="AQ402" s="1"/>
      <c r="AR402" s="3">
        <f t="shared" si="782"/>
        <v>80</v>
      </c>
      <c r="AS402" s="11"/>
      <c r="AT402" s="1">
        <v>0</v>
      </c>
      <c r="AU402" s="11"/>
      <c r="AV402" s="1">
        <f t="shared" si="785"/>
        <v>0</v>
      </c>
      <c r="AW402" s="1">
        <f t="shared" si="786"/>
        <v>0</v>
      </c>
      <c r="AX402" s="1">
        <f t="shared" si="787"/>
        <v>0</v>
      </c>
      <c r="AY402" s="1">
        <f t="shared" si="788"/>
        <v>0</v>
      </c>
      <c r="AZ402" s="1">
        <f t="shared" si="789"/>
        <v>80</v>
      </c>
      <c r="BA402" s="1">
        <f t="shared" si="790"/>
        <v>0</v>
      </c>
      <c r="BB402" s="1">
        <f t="shared" si="791"/>
        <v>0</v>
      </c>
      <c r="BC402" s="1">
        <f t="shared" si="792"/>
        <v>0</v>
      </c>
      <c r="BD402" s="1">
        <f t="shared" si="793"/>
        <v>0</v>
      </c>
      <c r="BE402" s="1">
        <f t="shared" si="794"/>
        <v>0</v>
      </c>
      <c r="BG402" s="10">
        <f t="shared" si="795"/>
        <v>0</v>
      </c>
      <c r="BH402" s="10">
        <f t="shared" si="795"/>
        <v>0</v>
      </c>
      <c r="BI402" s="10">
        <f t="shared" si="796"/>
        <v>0</v>
      </c>
      <c r="BJ402" s="10">
        <f t="shared" si="797"/>
        <v>0</v>
      </c>
      <c r="BK402" s="10">
        <f t="shared" si="798"/>
        <v>640</v>
      </c>
      <c r="BL402" s="10">
        <f t="shared" si="799"/>
        <v>0</v>
      </c>
      <c r="BM402" s="10">
        <f t="shared" si="800"/>
        <v>0</v>
      </c>
      <c r="BN402" s="10">
        <f t="shared" si="801"/>
        <v>0</v>
      </c>
      <c r="BO402" s="10">
        <f t="shared" si="802"/>
        <v>0</v>
      </c>
      <c r="BP402" s="10">
        <f t="shared" si="803"/>
        <v>0</v>
      </c>
      <c r="BQ402" s="1">
        <f t="shared" si="804"/>
        <v>640</v>
      </c>
    </row>
    <row r="403" spans="2:69" s="10" customFormat="1" ht="15" customHeight="1" x14ac:dyDescent="0.25">
      <c r="B403" s="2"/>
      <c r="C403" t="s">
        <v>41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>
        <v>568</v>
      </c>
      <c r="X403" s="1"/>
      <c r="Y403" s="1">
        <v>123</v>
      </c>
      <c r="Z403" s="1"/>
      <c r="AA403" s="1"/>
      <c r="AB403" s="1"/>
      <c r="AC403" s="1"/>
      <c r="AD403" s="1"/>
      <c r="AE403" s="1"/>
      <c r="AF403" s="1"/>
      <c r="AG403" s="1"/>
      <c r="AH403" s="117"/>
      <c r="AI403" s="1"/>
      <c r="AJ403" s="1"/>
      <c r="AK403" s="1"/>
      <c r="AL403" s="117"/>
      <c r="AM403" s="1"/>
      <c r="AN403" s="1"/>
      <c r="AO403" s="1"/>
      <c r="AP403" s="1"/>
      <c r="AQ403" s="1"/>
      <c r="AR403" s="3">
        <f t="shared" si="782"/>
        <v>691</v>
      </c>
      <c r="AS403" s="11"/>
      <c r="AT403" s="1">
        <v>0</v>
      </c>
      <c r="AU403" s="11"/>
      <c r="AV403" s="1">
        <f t="shared" si="785"/>
        <v>0</v>
      </c>
      <c r="AW403" s="1">
        <f t="shared" si="786"/>
        <v>0</v>
      </c>
      <c r="AX403" s="1">
        <f t="shared" si="787"/>
        <v>0</v>
      </c>
      <c r="AY403" s="1">
        <f t="shared" si="788"/>
        <v>0</v>
      </c>
      <c r="AZ403" s="1">
        <f t="shared" si="789"/>
        <v>568</v>
      </c>
      <c r="BA403" s="1">
        <f t="shared" si="790"/>
        <v>123</v>
      </c>
      <c r="BB403" s="1">
        <f t="shared" si="791"/>
        <v>0</v>
      </c>
      <c r="BC403" s="1">
        <f t="shared" si="792"/>
        <v>0</v>
      </c>
      <c r="BD403" s="1">
        <f t="shared" si="793"/>
        <v>0</v>
      </c>
      <c r="BE403" s="1">
        <f t="shared" si="794"/>
        <v>0</v>
      </c>
      <c r="BG403" s="10">
        <f t="shared" si="795"/>
        <v>0</v>
      </c>
      <c r="BH403" s="10">
        <f t="shared" si="795"/>
        <v>0</v>
      </c>
      <c r="BI403" s="10">
        <f t="shared" si="796"/>
        <v>0</v>
      </c>
      <c r="BJ403" s="10">
        <f t="shared" si="797"/>
        <v>0</v>
      </c>
      <c r="BK403" s="10">
        <f t="shared" si="798"/>
        <v>4544</v>
      </c>
      <c r="BL403" s="10">
        <f t="shared" si="799"/>
        <v>984</v>
      </c>
      <c r="BM403" s="10">
        <f t="shared" si="800"/>
        <v>0</v>
      </c>
      <c r="BN403" s="10">
        <f t="shared" si="801"/>
        <v>0</v>
      </c>
      <c r="BO403" s="10">
        <f t="shared" si="802"/>
        <v>0</v>
      </c>
      <c r="BP403" s="10">
        <f t="shared" si="803"/>
        <v>0</v>
      </c>
      <c r="BQ403" s="1">
        <f t="shared" si="804"/>
        <v>5528</v>
      </c>
    </row>
    <row r="404" spans="2:69" s="10" customFormat="1" ht="15" customHeight="1" x14ac:dyDescent="0.25">
      <c r="B404" s="2"/>
      <c r="C404" t="s">
        <v>193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17"/>
      <c r="AI404" s="1"/>
      <c r="AJ404" s="1"/>
      <c r="AK404" s="1"/>
      <c r="AL404" s="117"/>
      <c r="AM404" s="1"/>
      <c r="AN404" s="1"/>
      <c r="AO404" s="1"/>
      <c r="AP404" s="1"/>
      <c r="AQ404" s="1"/>
      <c r="AR404" s="3">
        <f t="shared" si="782"/>
        <v>0</v>
      </c>
      <c r="AS404" s="11"/>
      <c r="AT404" s="1">
        <v>0</v>
      </c>
      <c r="AU404" s="11"/>
      <c r="AV404" s="1">
        <f t="shared" si="785"/>
        <v>0</v>
      </c>
      <c r="AW404" s="1">
        <f t="shared" si="786"/>
        <v>0</v>
      </c>
      <c r="AX404" s="1">
        <f t="shared" si="787"/>
        <v>0</v>
      </c>
      <c r="AY404" s="1">
        <f t="shared" si="788"/>
        <v>0</v>
      </c>
      <c r="AZ404" s="1">
        <f t="shared" si="789"/>
        <v>0</v>
      </c>
      <c r="BA404" s="1">
        <f t="shared" si="790"/>
        <v>0</v>
      </c>
      <c r="BB404" s="1">
        <f t="shared" si="791"/>
        <v>0</v>
      </c>
      <c r="BC404" s="1">
        <f t="shared" si="792"/>
        <v>0</v>
      </c>
      <c r="BD404" s="1">
        <f t="shared" si="793"/>
        <v>0</v>
      </c>
      <c r="BE404" s="1">
        <f t="shared" si="794"/>
        <v>0</v>
      </c>
      <c r="BG404" s="10">
        <f t="shared" si="795"/>
        <v>0</v>
      </c>
      <c r="BH404" s="10">
        <f t="shared" si="795"/>
        <v>0</v>
      </c>
      <c r="BI404" s="10">
        <f t="shared" si="796"/>
        <v>0</v>
      </c>
      <c r="BJ404" s="10">
        <f t="shared" si="797"/>
        <v>0</v>
      </c>
      <c r="BK404" s="10">
        <f t="shared" si="798"/>
        <v>0</v>
      </c>
      <c r="BL404" s="10">
        <f t="shared" si="799"/>
        <v>0</v>
      </c>
      <c r="BM404" s="10">
        <f t="shared" si="800"/>
        <v>0</v>
      </c>
      <c r="BN404" s="10">
        <f t="shared" si="801"/>
        <v>0</v>
      </c>
      <c r="BO404" s="10">
        <f t="shared" si="802"/>
        <v>0</v>
      </c>
      <c r="BP404" s="10">
        <f t="shared" si="803"/>
        <v>0</v>
      </c>
      <c r="BQ404" s="1">
        <f t="shared" si="804"/>
        <v>0</v>
      </c>
    </row>
    <row r="405" spans="2:69" s="10" customFormat="1" ht="15" customHeight="1" x14ac:dyDescent="0.25">
      <c r="B405" s="2"/>
      <c r="C405" t="s">
        <v>297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17"/>
      <c r="AI405" s="1"/>
      <c r="AJ405" s="1"/>
      <c r="AK405" s="1"/>
      <c r="AL405" s="117"/>
      <c r="AM405" s="1"/>
      <c r="AN405" s="1"/>
      <c r="AO405" s="1"/>
      <c r="AP405" s="1"/>
      <c r="AQ405" s="1"/>
      <c r="AR405" s="3">
        <f t="shared" si="782"/>
        <v>0</v>
      </c>
      <c r="AS405" s="11"/>
      <c r="AT405" s="1">
        <v>0</v>
      </c>
      <c r="AU405" s="11"/>
      <c r="AV405" s="1">
        <f t="shared" si="785"/>
        <v>0</v>
      </c>
      <c r="AW405" s="1">
        <f t="shared" si="786"/>
        <v>0</v>
      </c>
      <c r="AX405" s="1">
        <f t="shared" si="787"/>
        <v>0</v>
      </c>
      <c r="AY405" s="1">
        <f t="shared" si="788"/>
        <v>0</v>
      </c>
      <c r="AZ405" s="1">
        <f t="shared" si="789"/>
        <v>0</v>
      </c>
      <c r="BA405" s="1">
        <f t="shared" si="790"/>
        <v>0</v>
      </c>
      <c r="BB405" s="1">
        <f t="shared" si="791"/>
        <v>0</v>
      </c>
      <c r="BC405" s="1">
        <f t="shared" si="792"/>
        <v>0</v>
      </c>
      <c r="BD405" s="1">
        <f t="shared" si="793"/>
        <v>0</v>
      </c>
      <c r="BE405" s="1">
        <f t="shared" si="794"/>
        <v>0</v>
      </c>
      <c r="BG405" s="10">
        <f t="shared" si="795"/>
        <v>0</v>
      </c>
      <c r="BH405" s="10">
        <f t="shared" si="795"/>
        <v>0</v>
      </c>
      <c r="BI405" s="10">
        <f t="shared" si="796"/>
        <v>0</v>
      </c>
      <c r="BJ405" s="10">
        <f t="shared" si="797"/>
        <v>0</v>
      </c>
      <c r="BK405" s="10">
        <f t="shared" si="798"/>
        <v>0</v>
      </c>
      <c r="BL405" s="10">
        <f t="shared" si="799"/>
        <v>0</v>
      </c>
      <c r="BM405" s="10">
        <f t="shared" si="800"/>
        <v>0</v>
      </c>
      <c r="BN405" s="10">
        <f t="shared" si="801"/>
        <v>0</v>
      </c>
      <c r="BO405" s="10">
        <f t="shared" si="802"/>
        <v>0</v>
      </c>
      <c r="BP405" s="10">
        <f t="shared" si="803"/>
        <v>0</v>
      </c>
      <c r="BQ405" s="1">
        <f t="shared" si="804"/>
        <v>0</v>
      </c>
    </row>
    <row r="406" spans="2:69" s="10" customFormat="1" ht="15" customHeight="1" x14ac:dyDescent="0.25">
      <c r="B406" s="2"/>
      <c r="C406" t="s">
        <v>296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>
        <v>30</v>
      </c>
      <c r="X406" s="1"/>
      <c r="Y406" s="1">
        <v>20</v>
      </c>
      <c r="Z406" s="1"/>
      <c r="AA406" s="1"/>
      <c r="AB406" s="1"/>
      <c r="AC406" s="1"/>
      <c r="AD406" s="1"/>
      <c r="AE406" s="1"/>
      <c r="AF406" s="1"/>
      <c r="AG406" s="1"/>
      <c r="AH406" s="117"/>
      <c r="AI406" s="1"/>
      <c r="AJ406" s="1"/>
      <c r="AK406" s="1"/>
      <c r="AL406" s="117"/>
      <c r="AM406" s="1"/>
      <c r="AN406" s="1"/>
      <c r="AO406" s="1"/>
      <c r="AP406" s="1"/>
      <c r="AQ406" s="1"/>
      <c r="AR406" s="3">
        <f t="shared" si="782"/>
        <v>50</v>
      </c>
      <c r="AS406" s="11"/>
      <c r="AT406" s="1">
        <v>0</v>
      </c>
      <c r="AU406" s="11"/>
      <c r="AV406" s="1">
        <f t="shared" si="785"/>
        <v>0</v>
      </c>
      <c r="AW406" s="1">
        <f t="shared" si="786"/>
        <v>0</v>
      </c>
      <c r="AX406" s="1">
        <f t="shared" si="787"/>
        <v>0</v>
      </c>
      <c r="AY406" s="1">
        <f t="shared" si="788"/>
        <v>0</v>
      </c>
      <c r="AZ406" s="1">
        <f t="shared" si="789"/>
        <v>30</v>
      </c>
      <c r="BA406" s="1">
        <f t="shared" si="790"/>
        <v>20</v>
      </c>
      <c r="BB406" s="1">
        <f t="shared" si="791"/>
        <v>0</v>
      </c>
      <c r="BC406" s="1">
        <f t="shared" si="792"/>
        <v>0</v>
      </c>
      <c r="BD406" s="1">
        <f t="shared" si="793"/>
        <v>0</v>
      </c>
      <c r="BE406" s="1">
        <f t="shared" si="794"/>
        <v>0</v>
      </c>
      <c r="BG406" s="10">
        <f t="shared" si="795"/>
        <v>0</v>
      </c>
      <c r="BH406" s="10">
        <f t="shared" si="795"/>
        <v>0</v>
      </c>
      <c r="BI406" s="10">
        <f t="shared" si="796"/>
        <v>0</v>
      </c>
      <c r="BJ406" s="10">
        <f t="shared" si="797"/>
        <v>0</v>
      </c>
      <c r="BK406" s="10">
        <f t="shared" si="798"/>
        <v>240</v>
      </c>
      <c r="BL406" s="10">
        <f t="shared" si="799"/>
        <v>160</v>
      </c>
      <c r="BM406" s="10">
        <f t="shared" si="800"/>
        <v>0</v>
      </c>
      <c r="BN406" s="10">
        <f t="shared" si="801"/>
        <v>0</v>
      </c>
      <c r="BO406" s="10">
        <f t="shared" si="802"/>
        <v>0</v>
      </c>
      <c r="BP406" s="10">
        <f t="shared" si="803"/>
        <v>0</v>
      </c>
      <c r="BQ406" s="1">
        <f t="shared" si="804"/>
        <v>400</v>
      </c>
    </row>
    <row r="407" spans="2:69" s="10" customFormat="1" ht="15" customHeight="1" x14ac:dyDescent="0.25">
      <c r="B407" s="2"/>
      <c r="C407" t="s">
        <v>44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>
        <f>3777-2851</f>
        <v>926</v>
      </c>
      <c r="X407" s="1"/>
      <c r="Y407" s="1">
        <f>2162-1672</f>
        <v>490</v>
      </c>
      <c r="Z407" s="1"/>
      <c r="AA407" s="1"/>
      <c r="AB407" s="1"/>
      <c r="AC407" s="1"/>
      <c r="AD407" s="1"/>
      <c r="AE407" s="1"/>
      <c r="AF407" s="1"/>
      <c r="AG407" s="1"/>
      <c r="AH407" s="117"/>
      <c r="AI407" s="1"/>
      <c r="AJ407" s="1"/>
      <c r="AK407" s="1"/>
      <c r="AL407" s="117"/>
      <c r="AM407" s="1"/>
      <c r="AN407" s="1"/>
      <c r="AO407" s="1"/>
      <c r="AP407" s="1"/>
      <c r="AQ407" s="1"/>
      <c r="AR407" s="3">
        <f t="shared" si="782"/>
        <v>1416</v>
      </c>
      <c r="AS407" s="11"/>
      <c r="AT407" s="1">
        <v>0</v>
      </c>
      <c r="AU407" s="11"/>
      <c r="AV407" s="1">
        <f t="shared" si="785"/>
        <v>0</v>
      </c>
      <c r="AW407" s="1">
        <f t="shared" si="786"/>
        <v>0</v>
      </c>
      <c r="AX407" s="1">
        <f t="shared" si="787"/>
        <v>0</v>
      </c>
      <c r="AY407" s="1">
        <f t="shared" si="788"/>
        <v>0</v>
      </c>
      <c r="AZ407" s="1">
        <f t="shared" si="789"/>
        <v>926</v>
      </c>
      <c r="BA407" s="1">
        <f t="shared" si="790"/>
        <v>490</v>
      </c>
      <c r="BB407" s="1">
        <f t="shared" si="791"/>
        <v>0</v>
      </c>
      <c r="BC407" s="1">
        <f t="shared" si="792"/>
        <v>0</v>
      </c>
      <c r="BD407" s="1">
        <f t="shared" si="793"/>
        <v>0</v>
      </c>
      <c r="BE407" s="1">
        <f t="shared" si="794"/>
        <v>0</v>
      </c>
      <c r="BG407" s="10">
        <f t="shared" si="795"/>
        <v>0</v>
      </c>
      <c r="BH407" s="10">
        <f t="shared" si="795"/>
        <v>0</v>
      </c>
      <c r="BI407" s="10">
        <f t="shared" si="796"/>
        <v>0</v>
      </c>
      <c r="BJ407" s="10">
        <f t="shared" si="797"/>
        <v>0</v>
      </c>
      <c r="BK407" s="10">
        <f t="shared" si="798"/>
        <v>7408</v>
      </c>
      <c r="BL407" s="10">
        <f t="shared" si="799"/>
        <v>3920</v>
      </c>
      <c r="BM407" s="10">
        <f t="shared" si="800"/>
        <v>0</v>
      </c>
      <c r="BN407" s="10">
        <f t="shared" si="801"/>
        <v>0</v>
      </c>
      <c r="BO407" s="10">
        <f t="shared" si="802"/>
        <v>0</v>
      </c>
      <c r="BP407" s="10">
        <f t="shared" si="803"/>
        <v>0</v>
      </c>
      <c r="BQ407" s="1">
        <f t="shared" si="804"/>
        <v>11328</v>
      </c>
    </row>
    <row r="408" spans="2:69" s="10" customFormat="1" ht="15" customHeight="1" x14ac:dyDescent="0.25">
      <c r="B408" s="2" t="s">
        <v>455</v>
      </c>
      <c r="C408" s="2"/>
      <c r="D408" s="3">
        <f t="shared" ref="D408:AQ408" si="805">SUM(D389:D407)</f>
        <v>0</v>
      </c>
      <c r="E408" s="3">
        <f t="shared" si="805"/>
        <v>0</v>
      </c>
      <c r="F408" s="3">
        <f t="shared" si="805"/>
        <v>0</v>
      </c>
      <c r="G408" s="3">
        <f t="shared" si="805"/>
        <v>0</v>
      </c>
      <c r="H408" s="3">
        <f t="shared" si="805"/>
        <v>0</v>
      </c>
      <c r="I408" s="3">
        <f t="shared" si="805"/>
        <v>0</v>
      </c>
      <c r="J408" s="3">
        <f t="shared" si="805"/>
        <v>0</v>
      </c>
      <c r="K408" s="3">
        <f t="shared" si="805"/>
        <v>0</v>
      </c>
      <c r="L408" s="3">
        <f t="shared" si="805"/>
        <v>0</v>
      </c>
      <c r="M408" s="3">
        <f t="shared" si="805"/>
        <v>0</v>
      </c>
      <c r="N408" s="3">
        <f t="shared" si="805"/>
        <v>0</v>
      </c>
      <c r="O408" s="3">
        <f t="shared" si="805"/>
        <v>0</v>
      </c>
      <c r="P408" s="3">
        <f t="shared" si="805"/>
        <v>0</v>
      </c>
      <c r="Q408" s="3">
        <f t="shared" si="805"/>
        <v>0</v>
      </c>
      <c r="R408" s="3">
        <f t="shared" si="805"/>
        <v>0</v>
      </c>
      <c r="S408" s="3">
        <f t="shared" si="805"/>
        <v>0</v>
      </c>
      <c r="T408" s="3">
        <f t="shared" si="805"/>
        <v>0</v>
      </c>
      <c r="U408" s="3">
        <f t="shared" si="805"/>
        <v>0</v>
      </c>
      <c r="V408" s="3">
        <f t="shared" si="805"/>
        <v>0</v>
      </c>
      <c r="W408" s="3">
        <f t="shared" si="805"/>
        <v>3777</v>
      </c>
      <c r="X408" s="3">
        <f t="shared" si="805"/>
        <v>0</v>
      </c>
      <c r="Y408" s="3">
        <f t="shared" si="805"/>
        <v>2162</v>
      </c>
      <c r="Z408" s="3">
        <f t="shared" si="805"/>
        <v>0</v>
      </c>
      <c r="AA408" s="3">
        <f t="shared" si="805"/>
        <v>0</v>
      </c>
      <c r="AB408" s="3">
        <f t="shared" si="805"/>
        <v>0</v>
      </c>
      <c r="AC408" s="3">
        <f t="shared" si="805"/>
        <v>0</v>
      </c>
      <c r="AD408" s="3">
        <f t="shared" si="805"/>
        <v>0</v>
      </c>
      <c r="AE408" s="3">
        <f t="shared" si="805"/>
        <v>0</v>
      </c>
      <c r="AF408" s="3">
        <f t="shared" si="805"/>
        <v>0</v>
      </c>
      <c r="AG408" s="3">
        <f t="shared" si="805"/>
        <v>0</v>
      </c>
      <c r="AH408" s="150">
        <f t="shared" si="805"/>
        <v>0</v>
      </c>
      <c r="AI408" s="3">
        <f t="shared" si="805"/>
        <v>0</v>
      </c>
      <c r="AJ408" s="3">
        <f t="shared" si="805"/>
        <v>0</v>
      </c>
      <c r="AK408" s="3">
        <f t="shared" si="805"/>
        <v>0</v>
      </c>
      <c r="AL408" s="150">
        <f t="shared" si="805"/>
        <v>0</v>
      </c>
      <c r="AM408" s="3">
        <f t="shared" si="805"/>
        <v>0</v>
      </c>
      <c r="AN408" s="3">
        <f t="shared" si="805"/>
        <v>0</v>
      </c>
      <c r="AO408" s="3">
        <f t="shared" si="805"/>
        <v>0</v>
      </c>
      <c r="AP408" s="3">
        <f t="shared" si="805"/>
        <v>0</v>
      </c>
      <c r="AQ408" s="3">
        <f t="shared" si="805"/>
        <v>0</v>
      </c>
      <c r="AR408" s="3">
        <f t="shared" ref="AR408" si="806">SUM(AR389:AR407)</f>
        <v>5939</v>
      </c>
      <c r="AS408" s="11"/>
      <c r="AT408" s="1">
        <v>0</v>
      </c>
      <c r="AU408" s="11"/>
      <c r="AV408" s="3">
        <f>SUM(AV389:AV407)</f>
        <v>0</v>
      </c>
      <c r="AW408" s="3">
        <f>SUM(AW389:AW407)</f>
        <v>0</v>
      </c>
      <c r="AX408" s="3">
        <f t="shared" ref="AX408:BE408" si="807">SUM(AX389:AX407)</f>
        <v>0</v>
      </c>
      <c r="AY408" s="3">
        <f t="shared" si="807"/>
        <v>0</v>
      </c>
      <c r="AZ408" s="3">
        <f t="shared" si="807"/>
        <v>3777</v>
      </c>
      <c r="BA408" s="3">
        <f t="shared" si="807"/>
        <v>2162</v>
      </c>
      <c r="BB408" s="3">
        <f t="shared" si="807"/>
        <v>0</v>
      </c>
      <c r="BC408" s="3">
        <f t="shared" si="807"/>
        <v>0</v>
      </c>
      <c r="BD408" s="3">
        <f t="shared" si="807"/>
        <v>0</v>
      </c>
      <c r="BE408" s="3">
        <f t="shared" si="807"/>
        <v>0</v>
      </c>
      <c r="BG408" s="3">
        <f t="shared" ref="BG408" si="808">SUM(BG389:BG407)</f>
        <v>0</v>
      </c>
      <c r="BH408" s="3">
        <f t="shared" ref="BH408:BQ408" si="809">SUM(BH389:BH407)</f>
        <v>0</v>
      </c>
      <c r="BI408" s="3">
        <f t="shared" si="809"/>
        <v>0</v>
      </c>
      <c r="BJ408" s="3">
        <f t="shared" si="809"/>
        <v>0</v>
      </c>
      <c r="BK408" s="3">
        <f t="shared" si="809"/>
        <v>30216</v>
      </c>
      <c r="BL408" s="3">
        <f t="shared" si="809"/>
        <v>17296</v>
      </c>
      <c r="BM408" s="3">
        <f t="shared" si="809"/>
        <v>0</v>
      </c>
      <c r="BN408" s="3">
        <f t="shared" si="809"/>
        <v>0</v>
      </c>
      <c r="BO408" s="3">
        <f t="shared" si="809"/>
        <v>0</v>
      </c>
      <c r="BP408" s="3">
        <f t="shared" si="809"/>
        <v>0</v>
      </c>
      <c r="BQ408" s="3">
        <f t="shared" si="809"/>
        <v>47512</v>
      </c>
    </row>
    <row r="409" spans="2:69" s="10" customFormat="1" ht="15" customHeight="1" x14ac:dyDescent="0.25">
      <c r="B409" s="2"/>
      <c r="C409" s="38" t="s">
        <v>97</v>
      </c>
      <c r="D409" s="11">
        <f>+D408</f>
        <v>0</v>
      </c>
      <c r="E409" s="11">
        <f>+D409+E408</f>
        <v>0</v>
      </c>
      <c r="F409" s="11">
        <f t="shared" ref="F409" si="810">+E409+F408</f>
        <v>0</v>
      </c>
      <c r="G409" s="11">
        <f t="shared" ref="G409" si="811">+F409+G408</f>
        <v>0</v>
      </c>
      <c r="H409" s="11">
        <f t="shared" ref="H409" si="812">+G409+H408</f>
        <v>0</v>
      </c>
      <c r="I409" s="11">
        <f t="shared" ref="I409" si="813">+H409+I408</f>
        <v>0</v>
      </c>
      <c r="J409" s="11">
        <f t="shared" ref="J409" si="814">+I409+J408</f>
        <v>0</v>
      </c>
      <c r="K409" s="11">
        <f t="shared" ref="K409" si="815">+J409+K408</f>
        <v>0</v>
      </c>
      <c r="L409" s="11">
        <f t="shared" ref="L409" si="816">+K409+L408</f>
        <v>0</v>
      </c>
      <c r="M409" s="11">
        <f t="shared" ref="M409" si="817">+L409+M408</f>
        <v>0</v>
      </c>
      <c r="N409" s="11">
        <f t="shared" ref="N409" si="818">+M409+N408</f>
        <v>0</v>
      </c>
      <c r="O409" s="11">
        <f t="shared" ref="O409" si="819">+N409+O408</f>
        <v>0</v>
      </c>
      <c r="P409" s="11">
        <f t="shared" ref="P409" si="820">+O409+P408</f>
        <v>0</v>
      </c>
      <c r="Q409" s="11">
        <f t="shared" ref="Q409" si="821">+P409+Q408</f>
        <v>0</v>
      </c>
      <c r="R409" s="11">
        <f t="shared" ref="R409" si="822">+Q409+R408</f>
        <v>0</v>
      </c>
      <c r="S409" s="11">
        <f t="shared" ref="S409" si="823">+R409+S408</f>
        <v>0</v>
      </c>
      <c r="T409" s="11">
        <f t="shared" ref="T409" si="824">+S409+T408</f>
        <v>0</v>
      </c>
      <c r="U409" s="11">
        <f t="shared" ref="U409" si="825">+T409+U408</f>
        <v>0</v>
      </c>
      <c r="V409" s="11">
        <f t="shared" ref="V409" si="826">+U409+V408</f>
        <v>0</v>
      </c>
      <c r="W409" s="11">
        <f t="shared" ref="W409" si="827">+V409+W408</f>
        <v>3777</v>
      </c>
      <c r="X409" s="11">
        <f t="shared" ref="X409" si="828">+W409+X408</f>
        <v>3777</v>
      </c>
      <c r="Y409" s="11">
        <f t="shared" ref="Y409" si="829">+X409+Y408</f>
        <v>5939</v>
      </c>
      <c r="Z409" s="11">
        <f t="shared" ref="Z409" si="830">+Y409+Z408</f>
        <v>5939</v>
      </c>
      <c r="AA409" s="11">
        <f t="shared" ref="AA409" si="831">+Z409+AA408</f>
        <v>5939</v>
      </c>
      <c r="AB409" s="11">
        <f t="shared" ref="AB409" si="832">+AA409+AB408</f>
        <v>5939</v>
      </c>
      <c r="AC409" s="11">
        <f t="shared" ref="AC409" si="833">+AB409+AC408</f>
        <v>5939</v>
      </c>
      <c r="AD409" s="11">
        <f t="shared" ref="AD409" si="834">+AC409+AD408</f>
        <v>5939</v>
      </c>
      <c r="AE409" s="11">
        <f t="shared" ref="AE409" si="835">+AD409+AE408</f>
        <v>5939</v>
      </c>
      <c r="AF409" s="11">
        <f t="shared" ref="AF409" si="836">+AE409+AF408</f>
        <v>5939</v>
      </c>
      <c r="AG409" s="11">
        <f t="shared" ref="AG409" si="837">+AF409+AG408</f>
        <v>5939</v>
      </c>
      <c r="AH409" s="147">
        <f t="shared" ref="AH409" si="838">+AG409+AH408</f>
        <v>5939</v>
      </c>
      <c r="AI409" s="11">
        <f t="shared" ref="AI409" si="839">+AH409+AI408</f>
        <v>5939</v>
      </c>
      <c r="AJ409" s="11">
        <f t="shared" ref="AJ409" si="840">+AI409+AJ408</f>
        <v>5939</v>
      </c>
      <c r="AK409" s="11">
        <f t="shared" ref="AK409" si="841">+AJ409+AK408</f>
        <v>5939</v>
      </c>
      <c r="AL409" s="147">
        <f t="shared" ref="AL409" si="842">+AK409+AL408</f>
        <v>5939</v>
      </c>
      <c r="AM409" s="11">
        <f t="shared" ref="AM409" si="843">+AL409+AM408</f>
        <v>5939</v>
      </c>
      <c r="AN409" s="11">
        <f t="shared" ref="AN409" si="844">+AM409+AN408</f>
        <v>5939</v>
      </c>
      <c r="AO409" s="11">
        <f t="shared" ref="AO409" si="845">+AN409+AO408</f>
        <v>5939</v>
      </c>
      <c r="AP409" s="11">
        <f t="shared" ref="AP409" si="846">+AO409+AP408</f>
        <v>5939</v>
      </c>
      <c r="AQ409" s="11">
        <f t="shared" ref="AQ409" si="847">+AP409+AQ408</f>
        <v>5939</v>
      </c>
      <c r="AR409" s="40"/>
      <c r="AS409" s="11"/>
      <c r="AT409" s="11"/>
      <c r="AU409" s="11"/>
      <c r="AV409" s="11">
        <f>+AV408</f>
        <v>0</v>
      </c>
      <c r="AW409" s="1">
        <f>+AV409+AW408</f>
        <v>0</v>
      </c>
      <c r="AX409" s="1">
        <f t="shared" ref="AX409" si="848">+AW409+AX408</f>
        <v>0</v>
      </c>
      <c r="AY409" s="1">
        <f t="shared" ref="AY409" si="849">+AX409+AY408</f>
        <v>0</v>
      </c>
      <c r="AZ409" s="1">
        <f t="shared" ref="AZ409" si="850">+AY409+AZ408</f>
        <v>3777</v>
      </c>
      <c r="BA409" s="1">
        <f t="shared" ref="BA409" si="851">+AZ409+BA408</f>
        <v>5939</v>
      </c>
      <c r="BB409" s="1">
        <f t="shared" ref="BB409" si="852">+BA409+BB408</f>
        <v>5939</v>
      </c>
      <c r="BC409" s="1">
        <f t="shared" ref="BC409" si="853">+BB409+BC408</f>
        <v>5939</v>
      </c>
      <c r="BD409" s="1">
        <f t="shared" ref="BD409" si="854">+BC409+BD408</f>
        <v>5939</v>
      </c>
      <c r="BE409" s="1">
        <f t="shared" ref="BE409" si="855">+BD409+BE408</f>
        <v>5939</v>
      </c>
    </row>
    <row r="410" spans="2:69" s="10" customFormat="1" ht="15" customHeight="1" x14ac:dyDescent="0.25">
      <c r="B410" s="2"/>
      <c r="C410" s="38" t="s">
        <v>220</v>
      </c>
      <c r="D410" s="11">
        <f>+D408*8</f>
        <v>0</v>
      </c>
      <c r="E410" s="11">
        <f t="shared" ref="E410:AQ410" si="856">+E408*8</f>
        <v>0</v>
      </c>
      <c r="F410" s="11">
        <f t="shared" si="856"/>
        <v>0</v>
      </c>
      <c r="G410" s="11">
        <f t="shared" si="856"/>
        <v>0</v>
      </c>
      <c r="H410" s="11">
        <f t="shared" si="856"/>
        <v>0</v>
      </c>
      <c r="I410" s="11">
        <f t="shared" si="856"/>
        <v>0</v>
      </c>
      <c r="J410" s="11">
        <f t="shared" si="856"/>
        <v>0</v>
      </c>
      <c r="K410" s="11">
        <f t="shared" si="856"/>
        <v>0</v>
      </c>
      <c r="L410" s="11">
        <f t="shared" si="856"/>
        <v>0</v>
      </c>
      <c r="M410" s="11">
        <f t="shared" si="856"/>
        <v>0</v>
      </c>
      <c r="N410" s="11">
        <f t="shared" si="856"/>
        <v>0</v>
      </c>
      <c r="O410" s="11">
        <f t="shared" si="856"/>
        <v>0</v>
      </c>
      <c r="P410" s="11">
        <f t="shared" si="856"/>
        <v>0</v>
      </c>
      <c r="Q410" s="11">
        <f t="shared" si="856"/>
        <v>0</v>
      </c>
      <c r="R410" s="11">
        <f t="shared" si="856"/>
        <v>0</v>
      </c>
      <c r="S410" s="11">
        <f t="shared" si="856"/>
        <v>0</v>
      </c>
      <c r="T410" s="11">
        <f t="shared" si="856"/>
        <v>0</v>
      </c>
      <c r="U410" s="11">
        <f t="shared" si="856"/>
        <v>0</v>
      </c>
      <c r="V410" s="11">
        <f t="shared" si="856"/>
        <v>0</v>
      </c>
      <c r="W410" s="11">
        <f t="shared" si="856"/>
        <v>30216</v>
      </c>
      <c r="X410" s="11">
        <f t="shared" si="856"/>
        <v>0</v>
      </c>
      <c r="Y410" s="11">
        <f t="shared" si="856"/>
        <v>17296</v>
      </c>
      <c r="Z410" s="11">
        <f t="shared" si="856"/>
        <v>0</v>
      </c>
      <c r="AA410" s="11">
        <f t="shared" si="856"/>
        <v>0</v>
      </c>
      <c r="AB410" s="11">
        <f t="shared" si="856"/>
        <v>0</v>
      </c>
      <c r="AC410" s="11">
        <f t="shared" si="856"/>
        <v>0</v>
      </c>
      <c r="AD410" s="11">
        <f t="shared" si="856"/>
        <v>0</v>
      </c>
      <c r="AE410" s="11">
        <f t="shared" si="856"/>
        <v>0</v>
      </c>
      <c r="AF410" s="11">
        <f t="shared" si="856"/>
        <v>0</v>
      </c>
      <c r="AG410" s="11">
        <f t="shared" si="856"/>
        <v>0</v>
      </c>
      <c r="AH410" s="147">
        <f t="shared" si="856"/>
        <v>0</v>
      </c>
      <c r="AI410" s="11">
        <f t="shared" si="856"/>
        <v>0</v>
      </c>
      <c r="AJ410" s="11">
        <f t="shared" si="856"/>
        <v>0</v>
      </c>
      <c r="AK410" s="11">
        <f t="shared" si="856"/>
        <v>0</v>
      </c>
      <c r="AL410" s="147">
        <f t="shared" si="856"/>
        <v>0</v>
      </c>
      <c r="AM410" s="11">
        <f t="shared" si="856"/>
        <v>0</v>
      </c>
      <c r="AN410" s="11">
        <f t="shared" si="856"/>
        <v>0</v>
      </c>
      <c r="AO410" s="11">
        <f t="shared" si="856"/>
        <v>0</v>
      </c>
      <c r="AP410" s="11">
        <f t="shared" si="856"/>
        <v>0</v>
      </c>
      <c r="AQ410" s="11">
        <f t="shared" si="856"/>
        <v>0</v>
      </c>
      <c r="AR410" s="11">
        <f t="shared" ref="AR410" si="857">+AR408*8</f>
        <v>47512</v>
      </c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</row>
    <row r="411" spans="2:69" s="10" customFormat="1" ht="15" customHeight="1" x14ac:dyDescent="0.2">
      <c r="C411" s="38" t="s">
        <v>286</v>
      </c>
      <c r="D411" s="11">
        <f>+(D408-D398-D404)/2</f>
        <v>0</v>
      </c>
      <c r="E411" s="11">
        <f t="shared" ref="E411:AQ411" si="858">+(E408-E398-E404)/2</f>
        <v>0</v>
      </c>
      <c r="F411" s="11">
        <f t="shared" si="858"/>
        <v>0</v>
      </c>
      <c r="G411" s="11">
        <f t="shared" si="858"/>
        <v>0</v>
      </c>
      <c r="H411" s="11">
        <f t="shared" si="858"/>
        <v>0</v>
      </c>
      <c r="I411" s="11">
        <f t="shared" si="858"/>
        <v>0</v>
      </c>
      <c r="J411" s="11">
        <f t="shared" si="858"/>
        <v>0</v>
      </c>
      <c r="K411" s="11">
        <f t="shared" si="858"/>
        <v>0</v>
      </c>
      <c r="L411" s="11">
        <f t="shared" si="858"/>
        <v>0</v>
      </c>
      <c r="M411" s="11">
        <f t="shared" si="858"/>
        <v>0</v>
      </c>
      <c r="N411" s="11">
        <f t="shared" si="858"/>
        <v>0</v>
      </c>
      <c r="O411" s="11">
        <f t="shared" si="858"/>
        <v>0</v>
      </c>
      <c r="P411" s="11">
        <f t="shared" si="858"/>
        <v>0</v>
      </c>
      <c r="Q411" s="11">
        <f t="shared" si="858"/>
        <v>0</v>
      </c>
      <c r="R411" s="11">
        <f t="shared" si="858"/>
        <v>0</v>
      </c>
      <c r="S411" s="11">
        <f t="shared" si="858"/>
        <v>0</v>
      </c>
      <c r="T411" s="11">
        <f t="shared" si="858"/>
        <v>0</v>
      </c>
      <c r="U411" s="11">
        <f t="shared" si="858"/>
        <v>0</v>
      </c>
      <c r="V411" s="11">
        <f t="shared" si="858"/>
        <v>0</v>
      </c>
      <c r="W411" s="11">
        <f t="shared" si="858"/>
        <v>1888.5</v>
      </c>
      <c r="X411" s="11">
        <f t="shared" si="858"/>
        <v>0</v>
      </c>
      <c r="Y411" s="11">
        <f t="shared" si="858"/>
        <v>1081</v>
      </c>
      <c r="Z411" s="11">
        <f t="shared" si="858"/>
        <v>0</v>
      </c>
      <c r="AA411" s="11">
        <f t="shared" si="858"/>
        <v>0</v>
      </c>
      <c r="AB411" s="11">
        <f t="shared" si="858"/>
        <v>0</v>
      </c>
      <c r="AC411" s="11">
        <f t="shared" si="858"/>
        <v>0</v>
      </c>
      <c r="AD411" s="11">
        <f t="shared" si="858"/>
        <v>0</v>
      </c>
      <c r="AE411" s="11">
        <f t="shared" si="858"/>
        <v>0</v>
      </c>
      <c r="AF411" s="11">
        <f t="shared" si="858"/>
        <v>0</v>
      </c>
      <c r="AG411" s="11">
        <f t="shared" si="858"/>
        <v>0</v>
      </c>
      <c r="AH411" s="147">
        <f t="shared" si="858"/>
        <v>0</v>
      </c>
      <c r="AI411" s="11">
        <f t="shared" si="858"/>
        <v>0</v>
      </c>
      <c r="AJ411" s="11">
        <f t="shared" si="858"/>
        <v>0</v>
      </c>
      <c r="AK411" s="11">
        <f t="shared" si="858"/>
        <v>0</v>
      </c>
      <c r="AL411" s="147">
        <f t="shared" si="858"/>
        <v>0</v>
      </c>
      <c r="AM411" s="11">
        <f t="shared" si="858"/>
        <v>0</v>
      </c>
      <c r="AN411" s="11">
        <f t="shared" si="858"/>
        <v>0</v>
      </c>
      <c r="AO411" s="11">
        <f t="shared" si="858"/>
        <v>0</v>
      </c>
      <c r="AP411" s="11">
        <f t="shared" si="858"/>
        <v>0</v>
      </c>
      <c r="AQ411" s="11">
        <f t="shared" si="858"/>
        <v>0</v>
      </c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</row>
    <row r="412" spans="2:69" s="10" customFormat="1" ht="15" customHeight="1" x14ac:dyDescent="0.25">
      <c r="B412" s="2" t="s">
        <v>696</v>
      </c>
      <c r="C412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47"/>
      <c r="AI412" s="11"/>
      <c r="AJ412" s="11"/>
      <c r="AK412" s="11"/>
      <c r="AL412" s="147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</row>
    <row r="413" spans="2:69" s="10" customFormat="1" ht="15" customHeight="1" x14ac:dyDescent="0.25">
      <c r="B413" s="2"/>
      <c r="C413" t="s">
        <v>190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17"/>
      <c r="AI413" s="1"/>
      <c r="AJ413" s="1"/>
      <c r="AK413" s="1"/>
      <c r="AL413" s="117"/>
      <c r="AM413" s="1"/>
      <c r="AN413" s="1"/>
      <c r="AO413" s="1"/>
      <c r="AP413" s="1"/>
      <c r="AQ413" s="1"/>
      <c r="AR413" s="3">
        <f t="shared" ref="AR413:AR431" si="859">SUM(D413:AQ413)</f>
        <v>0</v>
      </c>
      <c r="AS413" s="11"/>
      <c r="AT413" s="11"/>
      <c r="AU413" s="11"/>
      <c r="AV413" s="1">
        <f>SUM(D413:G413)</f>
        <v>0</v>
      </c>
      <c r="AW413" s="1">
        <f>SUM(H413:K413)</f>
        <v>0</v>
      </c>
      <c r="AX413" s="1">
        <f>SUM(L413:P413)</f>
        <v>0</v>
      </c>
      <c r="AY413" s="1">
        <f>SUM(Q413:T413)</f>
        <v>0</v>
      </c>
      <c r="AZ413" s="1">
        <f>SUM(U413:X413)</f>
        <v>0</v>
      </c>
      <c r="BA413" s="1">
        <f>SUM(Y413:AC413)</f>
        <v>0</v>
      </c>
      <c r="BB413" s="1">
        <f>SUM(AD413:AG413)</f>
        <v>0</v>
      </c>
      <c r="BC413" s="1">
        <f>SUM(AH413:AK413)</f>
        <v>0</v>
      </c>
      <c r="BD413" s="1">
        <f>SUM(AL413:AP413)</f>
        <v>0</v>
      </c>
      <c r="BE413" s="1">
        <f>+AQ413</f>
        <v>0</v>
      </c>
      <c r="BG413" s="10">
        <f t="shared" ref="BG413:BP413" si="860">+AV413*8</f>
        <v>0</v>
      </c>
      <c r="BH413" s="10">
        <f t="shared" si="860"/>
        <v>0</v>
      </c>
      <c r="BI413" s="10">
        <f t="shared" si="860"/>
        <v>0</v>
      </c>
      <c r="BJ413" s="10">
        <f t="shared" si="860"/>
        <v>0</v>
      </c>
      <c r="BK413" s="10">
        <f t="shared" si="860"/>
        <v>0</v>
      </c>
      <c r="BL413" s="10">
        <f t="shared" si="860"/>
        <v>0</v>
      </c>
      <c r="BM413" s="10">
        <f t="shared" si="860"/>
        <v>0</v>
      </c>
      <c r="BN413" s="10">
        <f t="shared" si="860"/>
        <v>0</v>
      </c>
      <c r="BO413" s="10">
        <f t="shared" si="860"/>
        <v>0</v>
      </c>
      <c r="BP413" s="10">
        <f t="shared" si="860"/>
        <v>0</v>
      </c>
      <c r="BQ413" s="1">
        <f t="shared" ref="BQ413:BQ431" si="861">SUM(BH413:BP413)</f>
        <v>0</v>
      </c>
    </row>
    <row r="414" spans="2:69" s="10" customFormat="1" ht="15" customHeight="1" x14ac:dyDescent="0.25">
      <c r="B414" s="2"/>
      <c r="C414" t="s">
        <v>424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17"/>
      <c r="AI414" s="1"/>
      <c r="AJ414" s="1"/>
      <c r="AK414" s="1"/>
      <c r="AL414" s="117"/>
      <c r="AM414" s="1"/>
      <c r="AN414" s="1"/>
      <c r="AO414" s="1"/>
      <c r="AP414" s="1"/>
      <c r="AQ414" s="1"/>
      <c r="AR414" s="3">
        <f t="shared" si="859"/>
        <v>0</v>
      </c>
      <c r="AS414" s="11"/>
      <c r="AT414" s="11"/>
      <c r="AU414" s="11"/>
      <c r="AV414" s="1">
        <f t="shared" ref="AV414:AV431" si="862">SUM(D414:G414)</f>
        <v>0</v>
      </c>
      <c r="AW414" s="1">
        <f t="shared" ref="AW414:AW431" si="863">SUM(H414:K414)</f>
        <v>0</v>
      </c>
      <c r="AX414" s="1">
        <f t="shared" ref="AX414:AX431" si="864">SUM(L414:P414)</f>
        <v>0</v>
      </c>
      <c r="AY414" s="1">
        <f t="shared" ref="AY414:AY431" si="865">SUM(Q414:T414)</f>
        <v>0</v>
      </c>
      <c r="AZ414" s="1">
        <f t="shared" ref="AZ414:AZ431" si="866">SUM(U414:X414)</f>
        <v>0</v>
      </c>
      <c r="BA414" s="1">
        <f t="shared" ref="BA414:BA431" si="867">SUM(Y414:AC414)</f>
        <v>0</v>
      </c>
      <c r="BB414" s="1">
        <f t="shared" ref="BB414:BB431" si="868">SUM(AD414:AG414)</f>
        <v>0</v>
      </c>
      <c r="BC414" s="1">
        <f t="shared" ref="BC414:BC431" si="869">SUM(AH414:AK414)</f>
        <v>0</v>
      </c>
      <c r="BD414" s="1">
        <f t="shared" ref="BD414:BD431" si="870">SUM(AL414:AP414)</f>
        <v>0</v>
      </c>
      <c r="BE414" s="1">
        <f t="shared" ref="BE414:BE431" si="871">+AQ414</f>
        <v>0</v>
      </c>
      <c r="BG414" s="10">
        <f t="shared" ref="BG414:BG431" si="872">+AV414*8</f>
        <v>0</v>
      </c>
      <c r="BH414" s="10">
        <f t="shared" ref="BH414:BH431" si="873">+AW414*8</f>
        <v>0</v>
      </c>
      <c r="BI414" s="10">
        <f t="shared" ref="BI414:BI431" si="874">+AX414*8</f>
        <v>0</v>
      </c>
      <c r="BJ414" s="10">
        <f t="shared" ref="BJ414:BJ431" si="875">+AY414*8</f>
        <v>0</v>
      </c>
      <c r="BK414" s="10">
        <f t="shared" ref="BK414:BK431" si="876">+AZ414*8</f>
        <v>0</v>
      </c>
      <c r="BL414" s="10">
        <f t="shared" ref="BL414:BL431" si="877">+BA414*8</f>
        <v>0</v>
      </c>
      <c r="BM414" s="10">
        <f t="shared" ref="BM414:BM431" si="878">+BB414*8</f>
        <v>0</v>
      </c>
      <c r="BN414" s="10">
        <f t="shared" ref="BN414:BN431" si="879">+BC414*8</f>
        <v>0</v>
      </c>
      <c r="BO414" s="10">
        <f t="shared" ref="BO414:BO431" si="880">+BD414*8</f>
        <v>0</v>
      </c>
      <c r="BP414" s="10">
        <f t="shared" ref="BP414:BP431" si="881">+BE414*8</f>
        <v>0</v>
      </c>
      <c r="BQ414" s="1">
        <f t="shared" si="861"/>
        <v>0</v>
      </c>
    </row>
    <row r="415" spans="2:69" s="10" customFormat="1" ht="15" customHeight="1" x14ac:dyDescent="0.25">
      <c r="B415" s="2"/>
      <c r="C415" t="s">
        <v>347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17"/>
      <c r="AI415" s="1"/>
      <c r="AJ415" s="1"/>
      <c r="AK415" s="1"/>
      <c r="AL415" s="117"/>
      <c r="AM415" s="1"/>
      <c r="AN415" s="1"/>
      <c r="AO415" s="1"/>
      <c r="AP415" s="1"/>
      <c r="AQ415" s="1"/>
      <c r="AR415" s="3">
        <f t="shared" si="859"/>
        <v>0</v>
      </c>
      <c r="AS415" s="11"/>
      <c r="AT415" s="11"/>
      <c r="AU415" s="11"/>
      <c r="AV415" s="1">
        <f t="shared" si="862"/>
        <v>0</v>
      </c>
      <c r="AW415" s="1">
        <f t="shared" si="863"/>
        <v>0</v>
      </c>
      <c r="AX415" s="1">
        <f t="shared" si="864"/>
        <v>0</v>
      </c>
      <c r="AY415" s="1">
        <f t="shared" si="865"/>
        <v>0</v>
      </c>
      <c r="AZ415" s="1">
        <f t="shared" si="866"/>
        <v>0</v>
      </c>
      <c r="BA415" s="1">
        <f t="shared" si="867"/>
        <v>0</v>
      </c>
      <c r="BB415" s="1">
        <f t="shared" si="868"/>
        <v>0</v>
      </c>
      <c r="BC415" s="1">
        <f t="shared" si="869"/>
        <v>0</v>
      </c>
      <c r="BD415" s="1">
        <f t="shared" si="870"/>
        <v>0</v>
      </c>
      <c r="BE415" s="1">
        <f t="shared" si="871"/>
        <v>0</v>
      </c>
      <c r="BG415" s="10">
        <f t="shared" si="872"/>
        <v>0</v>
      </c>
      <c r="BH415" s="10">
        <f t="shared" si="873"/>
        <v>0</v>
      </c>
      <c r="BI415" s="10">
        <f t="shared" si="874"/>
        <v>0</v>
      </c>
      <c r="BJ415" s="10">
        <f t="shared" si="875"/>
        <v>0</v>
      </c>
      <c r="BK415" s="10">
        <f t="shared" si="876"/>
        <v>0</v>
      </c>
      <c r="BL415" s="10">
        <f t="shared" si="877"/>
        <v>0</v>
      </c>
      <c r="BM415" s="10">
        <f t="shared" si="878"/>
        <v>0</v>
      </c>
      <c r="BN415" s="10">
        <f t="shared" si="879"/>
        <v>0</v>
      </c>
      <c r="BO415" s="10">
        <f t="shared" si="880"/>
        <v>0</v>
      </c>
      <c r="BP415" s="10">
        <f t="shared" si="881"/>
        <v>0</v>
      </c>
      <c r="BQ415" s="1">
        <f t="shared" si="861"/>
        <v>0</v>
      </c>
    </row>
    <row r="416" spans="2:69" s="10" customFormat="1" ht="15" customHeight="1" x14ac:dyDescent="0.25">
      <c r="B416" s="2"/>
      <c r="C416" t="s">
        <v>0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17"/>
      <c r="AI416" s="1"/>
      <c r="AJ416" s="1"/>
      <c r="AK416" s="1"/>
      <c r="AL416" s="117"/>
      <c r="AM416" s="1"/>
      <c r="AN416" s="1"/>
      <c r="AO416" s="1"/>
      <c r="AP416" s="1"/>
      <c r="AQ416" s="1"/>
      <c r="AR416" s="3">
        <f t="shared" si="859"/>
        <v>0</v>
      </c>
      <c r="AS416" s="11"/>
      <c r="AT416" s="11"/>
      <c r="AU416" s="11"/>
      <c r="AV416" s="1">
        <f t="shared" si="862"/>
        <v>0</v>
      </c>
      <c r="AW416" s="1">
        <f t="shared" si="863"/>
        <v>0</v>
      </c>
      <c r="AX416" s="1">
        <f t="shared" si="864"/>
        <v>0</v>
      </c>
      <c r="AY416" s="1">
        <f t="shared" si="865"/>
        <v>0</v>
      </c>
      <c r="AZ416" s="1">
        <f t="shared" si="866"/>
        <v>0</v>
      </c>
      <c r="BA416" s="1">
        <f t="shared" si="867"/>
        <v>0</v>
      </c>
      <c r="BB416" s="1">
        <f t="shared" si="868"/>
        <v>0</v>
      </c>
      <c r="BC416" s="1">
        <f t="shared" si="869"/>
        <v>0</v>
      </c>
      <c r="BD416" s="1">
        <f t="shared" si="870"/>
        <v>0</v>
      </c>
      <c r="BE416" s="1">
        <f t="shared" si="871"/>
        <v>0</v>
      </c>
      <c r="BG416" s="10">
        <f t="shared" si="872"/>
        <v>0</v>
      </c>
      <c r="BH416" s="10">
        <f t="shared" si="873"/>
        <v>0</v>
      </c>
      <c r="BI416" s="10">
        <f t="shared" si="874"/>
        <v>0</v>
      </c>
      <c r="BJ416" s="10">
        <f t="shared" si="875"/>
        <v>0</v>
      </c>
      <c r="BK416" s="10">
        <f t="shared" si="876"/>
        <v>0</v>
      </c>
      <c r="BL416" s="10">
        <f t="shared" si="877"/>
        <v>0</v>
      </c>
      <c r="BM416" s="10">
        <f t="shared" si="878"/>
        <v>0</v>
      </c>
      <c r="BN416" s="10">
        <f t="shared" si="879"/>
        <v>0</v>
      </c>
      <c r="BO416" s="10">
        <f t="shared" si="880"/>
        <v>0</v>
      </c>
      <c r="BP416" s="10">
        <f t="shared" si="881"/>
        <v>0</v>
      </c>
      <c r="BQ416" s="1">
        <f t="shared" si="861"/>
        <v>0</v>
      </c>
    </row>
    <row r="417" spans="2:69" s="10" customFormat="1" ht="15" customHeight="1" x14ac:dyDescent="0.25">
      <c r="B417" s="2"/>
      <c r="C417" t="s">
        <v>354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17"/>
      <c r="AI417" s="1"/>
      <c r="AJ417" s="1"/>
      <c r="AK417" s="1"/>
      <c r="AL417" s="117"/>
      <c r="AM417" s="1"/>
      <c r="AN417" s="1"/>
      <c r="AO417" s="1"/>
      <c r="AP417" s="1"/>
      <c r="AQ417" s="1"/>
      <c r="AR417" s="3">
        <f t="shared" si="859"/>
        <v>0</v>
      </c>
      <c r="AS417" s="11"/>
      <c r="AT417" s="11"/>
      <c r="AU417" s="11"/>
      <c r="AV417" s="1">
        <f t="shared" si="862"/>
        <v>0</v>
      </c>
      <c r="AW417" s="1">
        <f t="shared" si="863"/>
        <v>0</v>
      </c>
      <c r="AX417" s="1">
        <f t="shared" si="864"/>
        <v>0</v>
      </c>
      <c r="AY417" s="1">
        <f t="shared" si="865"/>
        <v>0</v>
      </c>
      <c r="AZ417" s="1">
        <f t="shared" si="866"/>
        <v>0</v>
      </c>
      <c r="BA417" s="1">
        <f t="shared" si="867"/>
        <v>0</v>
      </c>
      <c r="BB417" s="1">
        <f t="shared" si="868"/>
        <v>0</v>
      </c>
      <c r="BC417" s="1">
        <f t="shared" si="869"/>
        <v>0</v>
      </c>
      <c r="BD417" s="1">
        <f t="shared" si="870"/>
        <v>0</v>
      </c>
      <c r="BE417" s="1">
        <f t="shared" si="871"/>
        <v>0</v>
      </c>
      <c r="BG417" s="10">
        <f t="shared" si="872"/>
        <v>0</v>
      </c>
      <c r="BH417" s="10">
        <f t="shared" si="873"/>
        <v>0</v>
      </c>
      <c r="BI417" s="10">
        <f t="shared" si="874"/>
        <v>0</v>
      </c>
      <c r="BJ417" s="10">
        <f t="shared" si="875"/>
        <v>0</v>
      </c>
      <c r="BK417" s="10">
        <f t="shared" si="876"/>
        <v>0</v>
      </c>
      <c r="BL417" s="10">
        <f t="shared" si="877"/>
        <v>0</v>
      </c>
      <c r="BM417" s="10">
        <f t="shared" si="878"/>
        <v>0</v>
      </c>
      <c r="BN417" s="10">
        <f t="shared" si="879"/>
        <v>0</v>
      </c>
      <c r="BO417" s="10">
        <f t="shared" si="880"/>
        <v>0</v>
      </c>
      <c r="BP417" s="10">
        <f t="shared" si="881"/>
        <v>0</v>
      </c>
      <c r="BQ417" s="1">
        <f t="shared" si="861"/>
        <v>0</v>
      </c>
    </row>
    <row r="418" spans="2:69" s="10" customFormat="1" ht="15" customHeight="1" x14ac:dyDescent="0.25">
      <c r="B418" s="2"/>
      <c r="C418" t="s">
        <v>265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17"/>
      <c r="AI418" s="1"/>
      <c r="AJ418" s="1"/>
      <c r="AK418" s="1"/>
      <c r="AL418" s="117"/>
      <c r="AM418" s="1"/>
      <c r="AN418" s="1"/>
      <c r="AO418" s="1"/>
      <c r="AP418" s="1"/>
      <c r="AQ418" s="1"/>
      <c r="AR418" s="3">
        <f t="shared" si="859"/>
        <v>0</v>
      </c>
      <c r="AS418" s="11"/>
      <c r="AT418" s="11"/>
      <c r="AU418" s="11"/>
      <c r="AV418" s="1">
        <f t="shared" si="862"/>
        <v>0</v>
      </c>
      <c r="AW418" s="1">
        <f t="shared" si="863"/>
        <v>0</v>
      </c>
      <c r="AX418" s="1">
        <f t="shared" si="864"/>
        <v>0</v>
      </c>
      <c r="AY418" s="1">
        <f t="shared" si="865"/>
        <v>0</v>
      </c>
      <c r="AZ418" s="1">
        <f t="shared" si="866"/>
        <v>0</v>
      </c>
      <c r="BA418" s="1">
        <f t="shared" si="867"/>
        <v>0</v>
      </c>
      <c r="BB418" s="1">
        <f t="shared" si="868"/>
        <v>0</v>
      </c>
      <c r="BC418" s="1">
        <f t="shared" si="869"/>
        <v>0</v>
      </c>
      <c r="BD418" s="1">
        <f t="shared" si="870"/>
        <v>0</v>
      </c>
      <c r="BE418" s="1">
        <f t="shared" si="871"/>
        <v>0</v>
      </c>
      <c r="BG418" s="10">
        <f t="shared" si="872"/>
        <v>0</v>
      </c>
      <c r="BH418" s="10">
        <f t="shared" si="873"/>
        <v>0</v>
      </c>
      <c r="BI418" s="10">
        <f t="shared" si="874"/>
        <v>0</v>
      </c>
      <c r="BJ418" s="10">
        <f t="shared" si="875"/>
        <v>0</v>
      </c>
      <c r="BK418" s="10">
        <f t="shared" si="876"/>
        <v>0</v>
      </c>
      <c r="BL418" s="10">
        <f t="shared" si="877"/>
        <v>0</v>
      </c>
      <c r="BM418" s="10">
        <f t="shared" si="878"/>
        <v>0</v>
      </c>
      <c r="BN418" s="10">
        <f t="shared" si="879"/>
        <v>0</v>
      </c>
      <c r="BO418" s="10">
        <f t="shared" si="880"/>
        <v>0</v>
      </c>
      <c r="BP418" s="10">
        <f t="shared" si="881"/>
        <v>0</v>
      </c>
      <c r="BQ418" s="1">
        <f t="shared" si="861"/>
        <v>0</v>
      </c>
    </row>
    <row r="419" spans="2:69" s="10" customFormat="1" ht="15" customHeight="1" x14ac:dyDescent="0.25">
      <c r="B419" s="2"/>
      <c r="C419" t="s">
        <v>191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17"/>
      <c r="AI419" s="1"/>
      <c r="AJ419" s="1"/>
      <c r="AK419" s="1"/>
      <c r="AL419" s="117"/>
      <c r="AM419" s="1"/>
      <c r="AN419" s="1"/>
      <c r="AO419" s="1"/>
      <c r="AP419" s="1"/>
      <c r="AQ419" s="1"/>
      <c r="AR419" s="3">
        <f t="shared" si="859"/>
        <v>0</v>
      </c>
      <c r="AS419" s="11"/>
      <c r="AT419" s="11"/>
      <c r="AU419" s="11"/>
      <c r="AV419" s="1">
        <f t="shared" si="862"/>
        <v>0</v>
      </c>
      <c r="AW419" s="1">
        <f t="shared" si="863"/>
        <v>0</v>
      </c>
      <c r="AX419" s="1">
        <f t="shared" si="864"/>
        <v>0</v>
      </c>
      <c r="AY419" s="1">
        <f t="shared" si="865"/>
        <v>0</v>
      </c>
      <c r="AZ419" s="1">
        <f t="shared" si="866"/>
        <v>0</v>
      </c>
      <c r="BA419" s="1">
        <f t="shared" si="867"/>
        <v>0</v>
      </c>
      <c r="BB419" s="1">
        <f t="shared" si="868"/>
        <v>0</v>
      </c>
      <c r="BC419" s="1">
        <f t="shared" si="869"/>
        <v>0</v>
      </c>
      <c r="BD419" s="1">
        <f t="shared" si="870"/>
        <v>0</v>
      </c>
      <c r="BE419" s="1">
        <f t="shared" si="871"/>
        <v>0</v>
      </c>
      <c r="BG419" s="10">
        <f t="shared" si="872"/>
        <v>0</v>
      </c>
      <c r="BH419" s="10">
        <f t="shared" si="873"/>
        <v>0</v>
      </c>
      <c r="BI419" s="10">
        <f t="shared" si="874"/>
        <v>0</v>
      </c>
      <c r="BJ419" s="10">
        <f t="shared" si="875"/>
        <v>0</v>
      </c>
      <c r="BK419" s="10">
        <f t="shared" si="876"/>
        <v>0</v>
      </c>
      <c r="BL419" s="10">
        <f t="shared" si="877"/>
        <v>0</v>
      </c>
      <c r="BM419" s="10">
        <f t="shared" si="878"/>
        <v>0</v>
      </c>
      <c r="BN419" s="10">
        <f t="shared" si="879"/>
        <v>0</v>
      </c>
      <c r="BO419" s="10">
        <f t="shared" si="880"/>
        <v>0</v>
      </c>
      <c r="BP419" s="10">
        <f t="shared" si="881"/>
        <v>0</v>
      </c>
      <c r="BQ419" s="1">
        <f t="shared" si="861"/>
        <v>0</v>
      </c>
    </row>
    <row r="420" spans="2:69" s="10" customFormat="1" ht="15" customHeight="1" x14ac:dyDescent="0.25">
      <c r="B420" s="2"/>
      <c r="C420" t="s">
        <v>549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17"/>
      <c r="AI420" s="1"/>
      <c r="AJ420" s="1"/>
      <c r="AK420" s="1"/>
      <c r="AL420" s="117"/>
      <c r="AM420" s="1"/>
      <c r="AN420" s="1"/>
      <c r="AO420" s="1"/>
      <c r="AP420" s="1"/>
      <c r="AQ420" s="1"/>
      <c r="AR420" s="3">
        <f t="shared" si="859"/>
        <v>0</v>
      </c>
      <c r="AS420" s="11"/>
      <c r="AT420" s="11"/>
      <c r="AU420" s="11"/>
      <c r="AV420" s="1">
        <f t="shared" si="862"/>
        <v>0</v>
      </c>
      <c r="AW420" s="1">
        <f t="shared" si="863"/>
        <v>0</v>
      </c>
      <c r="AX420" s="1">
        <f t="shared" si="864"/>
        <v>0</v>
      </c>
      <c r="AY420" s="1">
        <f t="shared" si="865"/>
        <v>0</v>
      </c>
      <c r="AZ420" s="1">
        <f t="shared" si="866"/>
        <v>0</v>
      </c>
      <c r="BA420" s="1">
        <f t="shared" si="867"/>
        <v>0</v>
      </c>
      <c r="BB420" s="1">
        <f t="shared" si="868"/>
        <v>0</v>
      </c>
      <c r="BC420" s="1">
        <f t="shared" si="869"/>
        <v>0</v>
      </c>
      <c r="BD420" s="1">
        <f t="shared" si="870"/>
        <v>0</v>
      </c>
      <c r="BE420" s="1">
        <f t="shared" si="871"/>
        <v>0</v>
      </c>
      <c r="BG420" s="10">
        <f t="shared" si="872"/>
        <v>0</v>
      </c>
      <c r="BH420" s="10">
        <f t="shared" si="873"/>
        <v>0</v>
      </c>
      <c r="BI420" s="10">
        <f t="shared" si="874"/>
        <v>0</v>
      </c>
      <c r="BJ420" s="10">
        <f t="shared" si="875"/>
        <v>0</v>
      </c>
      <c r="BK420" s="10">
        <f t="shared" si="876"/>
        <v>0</v>
      </c>
      <c r="BL420" s="10">
        <f t="shared" si="877"/>
        <v>0</v>
      </c>
      <c r="BM420" s="10">
        <f t="shared" si="878"/>
        <v>0</v>
      </c>
      <c r="BN420" s="10">
        <f t="shared" si="879"/>
        <v>0</v>
      </c>
      <c r="BO420" s="10">
        <f t="shared" si="880"/>
        <v>0</v>
      </c>
      <c r="BP420" s="10">
        <f t="shared" si="881"/>
        <v>0</v>
      </c>
      <c r="BQ420" s="1">
        <f t="shared" si="861"/>
        <v>0</v>
      </c>
    </row>
    <row r="421" spans="2:69" s="10" customFormat="1" ht="15" customHeight="1" x14ac:dyDescent="0.25">
      <c r="B421" s="2"/>
      <c r="C421" t="s">
        <v>550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17"/>
      <c r="AI421" s="1"/>
      <c r="AJ421" s="1"/>
      <c r="AK421" s="1"/>
      <c r="AL421" s="117"/>
      <c r="AM421" s="1"/>
      <c r="AN421" s="1"/>
      <c r="AO421" s="1"/>
      <c r="AP421" s="1"/>
      <c r="AQ421" s="1"/>
      <c r="AR421" s="3">
        <f t="shared" si="859"/>
        <v>0</v>
      </c>
      <c r="AS421" s="11"/>
      <c r="AT421" s="11"/>
      <c r="AU421" s="11"/>
      <c r="AV421" s="1">
        <f t="shared" si="862"/>
        <v>0</v>
      </c>
      <c r="AW421" s="1">
        <f t="shared" si="863"/>
        <v>0</v>
      </c>
      <c r="AX421" s="1">
        <f t="shared" si="864"/>
        <v>0</v>
      </c>
      <c r="AY421" s="1">
        <f t="shared" si="865"/>
        <v>0</v>
      </c>
      <c r="AZ421" s="1">
        <f t="shared" si="866"/>
        <v>0</v>
      </c>
      <c r="BA421" s="1">
        <f t="shared" si="867"/>
        <v>0</v>
      </c>
      <c r="BB421" s="1">
        <f t="shared" si="868"/>
        <v>0</v>
      </c>
      <c r="BC421" s="1">
        <f t="shared" si="869"/>
        <v>0</v>
      </c>
      <c r="BD421" s="1">
        <f t="shared" si="870"/>
        <v>0</v>
      </c>
      <c r="BE421" s="1">
        <f t="shared" si="871"/>
        <v>0</v>
      </c>
      <c r="BG421" s="10">
        <f t="shared" si="872"/>
        <v>0</v>
      </c>
      <c r="BH421" s="10">
        <f t="shared" si="873"/>
        <v>0</v>
      </c>
      <c r="BI421" s="10">
        <f t="shared" si="874"/>
        <v>0</v>
      </c>
      <c r="BJ421" s="10">
        <f t="shared" si="875"/>
        <v>0</v>
      </c>
      <c r="BK421" s="10">
        <f t="shared" si="876"/>
        <v>0</v>
      </c>
      <c r="BL421" s="10">
        <f t="shared" si="877"/>
        <v>0</v>
      </c>
      <c r="BM421" s="10">
        <f t="shared" si="878"/>
        <v>0</v>
      </c>
      <c r="BN421" s="10">
        <f t="shared" si="879"/>
        <v>0</v>
      </c>
      <c r="BO421" s="10">
        <f t="shared" si="880"/>
        <v>0</v>
      </c>
      <c r="BP421" s="10">
        <f t="shared" si="881"/>
        <v>0</v>
      </c>
      <c r="BQ421" s="1">
        <f t="shared" si="861"/>
        <v>0</v>
      </c>
    </row>
    <row r="422" spans="2:69" s="10" customFormat="1" ht="15" customHeight="1" x14ac:dyDescent="0.25">
      <c r="B422" s="2"/>
      <c r="C422" t="s">
        <v>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17"/>
      <c r="AI422" s="1"/>
      <c r="AJ422" s="1"/>
      <c r="AK422" s="1"/>
      <c r="AL422" s="117"/>
      <c r="AM422" s="1"/>
      <c r="AN422" s="1"/>
      <c r="AO422" s="1"/>
      <c r="AP422" s="1"/>
      <c r="AQ422" s="1"/>
      <c r="AR422" s="3">
        <f t="shared" si="859"/>
        <v>0</v>
      </c>
      <c r="AS422" s="11"/>
      <c r="AT422" s="11"/>
      <c r="AU422" s="11"/>
      <c r="AV422" s="1">
        <f t="shared" si="862"/>
        <v>0</v>
      </c>
      <c r="AW422" s="1">
        <f t="shared" si="863"/>
        <v>0</v>
      </c>
      <c r="AX422" s="1">
        <f t="shared" si="864"/>
        <v>0</v>
      </c>
      <c r="AY422" s="1">
        <f t="shared" si="865"/>
        <v>0</v>
      </c>
      <c r="AZ422" s="1">
        <f t="shared" si="866"/>
        <v>0</v>
      </c>
      <c r="BA422" s="1">
        <f t="shared" si="867"/>
        <v>0</v>
      </c>
      <c r="BB422" s="1">
        <f t="shared" si="868"/>
        <v>0</v>
      </c>
      <c r="BC422" s="1">
        <f t="shared" si="869"/>
        <v>0</v>
      </c>
      <c r="BD422" s="1">
        <f t="shared" si="870"/>
        <v>0</v>
      </c>
      <c r="BE422" s="1">
        <f t="shared" si="871"/>
        <v>0</v>
      </c>
      <c r="BG422" s="10">
        <f t="shared" si="872"/>
        <v>0</v>
      </c>
      <c r="BH422" s="10">
        <f t="shared" si="873"/>
        <v>0</v>
      </c>
      <c r="BI422" s="10">
        <f t="shared" si="874"/>
        <v>0</v>
      </c>
      <c r="BJ422" s="10">
        <f t="shared" si="875"/>
        <v>0</v>
      </c>
      <c r="BK422" s="10">
        <f t="shared" si="876"/>
        <v>0</v>
      </c>
      <c r="BL422" s="10">
        <f t="shared" si="877"/>
        <v>0</v>
      </c>
      <c r="BM422" s="10">
        <f t="shared" si="878"/>
        <v>0</v>
      </c>
      <c r="BN422" s="10">
        <f t="shared" si="879"/>
        <v>0</v>
      </c>
      <c r="BO422" s="10">
        <f t="shared" si="880"/>
        <v>0</v>
      </c>
      <c r="BP422" s="10">
        <f t="shared" si="881"/>
        <v>0</v>
      </c>
      <c r="BQ422" s="1">
        <f t="shared" si="861"/>
        <v>0</v>
      </c>
    </row>
    <row r="423" spans="2:69" s="10" customFormat="1" ht="15" customHeight="1" x14ac:dyDescent="0.25">
      <c r="B423" s="2"/>
      <c r="C423" t="s">
        <v>262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17"/>
      <c r="AI423" s="1"/>
      <c r="AJ423" s="1"/>
      <c r="AK423" s="1"/>
      <c r="AL423" s="117"/>
      <c r="AM423" s="1"/>
      <c r="AN423" s="1"/>
      <c r="AO423" s="1"/>
      <c r="AP423" s="1"/>
      <c r="AQ423" s="1"/>
      <c r="AR423" s="3">
        <f t="shared" si="859"/>
        <v>0</v>
      </c>
      <c r="AS423" s="11"/>
      <c r="AT423" s="11"/>
      <c r="AU423" s="11"/>
      <c r="AV423" s="1">
        <f t="shared" si="862"/>
        <v>0</v>
      </c>
      <c r="AW423" s="1">
        <f t="shared" si="863"/>
        <v>0</v>
      </c>
      <c r="AX423" s="1">
        <f t="shared" si="864"/>
        <v>0</v>
      </c>
      <c r="AY423" s="1">
        <f t="shared" si="865"/>
        <v>0</v>
      </c>
      <c r="AZ423" s="1">
        <f t="shared" si="866"/>
        <v>0</v>
      </c>
      <c r="BA423" s="1">
        <f t="shared" si="867"/>
        <v>0</v>
      </c>
      <c r="BB423" s="1">
        <f t="shared" si="868"/>
        <v>0</v>
      </c>
      <c r="BC423" s="1">
        <f t="shared" si="869"/>
        <v>0</v>
      </c>
      <c r="BD423" s="1">
        <f t="shared" si="870"/>
        <v>0</v>
      </c>
      <c r="BE423" s="1">
        <f t="shared" si="871"/>
        <v>0</v>
      </c>
      <c r="BG423" s="10">
        <f t="shared" si="872"/>
        <v>0</v>
      </c>
      <c r="BH423" s="10">
        <f t="shared" si="873"/>
        <v>0</v>
      </c>
      <c r="BI423" s="10">
        <f t="shared" si="874"/>
        <v>0</v>
      </c>
      <c r="BJ423" s="10">
        <f t="shared" si="875"/>
        <v>0</v>
      </c>
      <c r="BK423" s="10">
        <f t="shared" si="876"/>
        <v>0</v>
      </c>
      <c r="BL423" s="10">
        <f t="shared" si="877"/>
        <v>0</v>
      </c>
      <c r="BM423" s="10">
        <f t="shared" si="878"/>
        <v>0</v>
      </c>
      <c r="BN423" s="10">
        <f t="shared" si="879"/>
        <v>0</v>
      </c>
      <c r="BO423" s="10">
        <f t="shared" si="880"/>
        <v>0</v>
      </c>
      <c r="BP423" s="10">
        <f t="shared" si="881"/>
        <v>0</v>
      </c>
      <c r="BQ423" s="1">
        <f t="shared" si="861"/>
        <v>0</v>
      </c>
    </row>
    <row r="424" spans="2:69" s="10" customFormat="1" ht="15" customHeight="1" x14ac:dyDescent="0.25">
      <c r="B424" s="2"/>
      <c r="C424" t="s">
        <v>42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17"/>
      <c r="AI424" s="1"/>
      <c r="AJ424" s="1"/>
      <c r="AK424" s="1"/>
      <c r="AL424" s="117"/>
      <c r="AM424" s="1"/>
      <c r="AN424" s="1"/>
      <c r="AO424" s="1"/>
      <c r="AP424" s="1"/>
      <c r="AQ424" s="1"/>
      <c r="AR424" s="3">
        <f t="shared" si="859"/>
        <v>0</v>
      </c>
      <c r="AS424" s="11"/>
      <c r="AT424" s="11"/>
      <c r="AU424" s="11"/>
      <c r="AV424" s="1">
        <f t="shared" si="862"/>
        <v>0</v>
      </c>
      <c r="AW424" s="1">
        <f t="shared" si="863"/>
        <v>0</v>
      </c>
      <c r="AX424" s="1">
        <f t="shared" si="864"/>
        <v>0</v>
      </c>
      <c r="AY424" s="1">
        <f t="shared" si="865"/>
        <v>0</v>
      </c>
      <c r="AZ424" s="1">
        <f t="shared" si="866"/>
        <v>0</v>
      </c>
      <c r="BA424" s="1">
        <f t="shared" si="867"/>
        <v>0</v>
      </c>
      <c r="BB424" s="1">
        <f t="shared" si="868"/>
        <v>0</v>
      </c>
      <c r="BC424" s="1">
        <f t="shared" si="869"/>
        <v>0</v>
      </c>
      <c r="BD424" s="1">
        <f t="shared" si="870"/>
        <v>0</v>
      </c>
      <c r="BE424" s="1">
        <f t="shared" si="871"/>
        <v>0</v>
      </c>
      <c r="BG424" s="10">
        <f t="shared" si="872"/>
        <v>0</v>
      </c>
      <c r="BH424" s="10">
        <f t="shared" si="873"/>
        <v>0</v>
      </c>
      <c r="BI424" s="10">
        <f t="shared" si="874"/>
        <v>0</v>
      </c>
      <c r="BJ424" s="10">
        <f t="shared" si="875"/>
        <v>0</v>
      </c>
      <c r="BK424" s="10">
        <f t="shared" si="876"/>
        <v>0</v>
      </c>
      <c r="BL424" s="10">
        <f t="shared" si="877"/>
        <v>0</v>
      </c>
      <c r="BM424" s="10">
        <f t="shared" si="878"/>
        <v>0</v>
      </c>
      <c r="BN424" s="10">
        <f t="shared" si="879"/>
        <v>0</v>
      </c>
      <c r="BO424" s="10">
        <f t="shared" si="880"/>
        <v>0</v>
      </c>
      <c r="BP424" s="10">
        <f t="shared" si="881"/>
        <v>0</v>
      </c>
      <c r="BQ424" s="1">
        <f t="shared" si="861"/>
        <v>0</v>
      </c>
    </row>
    <row r="425" spans="2:69" s="10" customFormat="1" ht="15" customHeight="1" x14ac:dyDescent="0.25">
      <c r="B425" s="2"/>
      <c r="C425" t="s">
        <v>192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17"/>
      <c r="AI425" s="1"/>
      <c r="AJ425" s="1"/>
      <c r="AK425" s="1"/>
      <c r="AL425" s="117"/>
      <c r="AM425" s="1"/>
      <c r="AN425" s="1"/>
      <c r="AO425" s="1"/>
      <c r="AP425" s="1"/>
      <c r="AQ425" s="1"/>
      <c r="AR425" s="3">
        <f t="shared" si="859"/>
        <v>0</v>
      </c>
      <c r="AS425" s="11"/>
      <c r="AT425" s="11"/>
      <c r="AU425" s="11"/>
      <c r="AV425" s="1">
        <f t="shared" si="862"/>
        <v>0</v>
      </c>
      <c r="AW425" s="1">
        <f t="shared" si="863"/>
        <v>0</v>
      </c>
      <c r="AX425" s="1">
        <f t="shared" si="864"/>
        <v>0</v>
      </c>
      <c r="AY425" s="1">
        <f t="shared" si="865"/>
        <v>0</v>
      </c>
      <c r="AZ425" s="1">
        <f t="shared" si="866"/>
        <v>0</v>
      </c>
      <c r="BA425" s="1">
        <f t="shared" si="867"/>
        <v>0</v>
      </c>
      <c r="BB425" s="1">
        <f t="shared" si="868"/>
        <v>0</v>
      </c>
      <c r="BC425" s="1">
        <f t="shared" si="869"/>
        <v>0</v>
      </c>
      <c r="BD425" s="1">
        <f t="shared" si="870"/>
        <v>0</v>
      </c>
      <c r="BE425" s="1">
        <f t="shared" si="871"/>
        <v>0</v>
      </c>
      <c r="BG425" s="10">
        <f t="shared" si="872"/>
        <v>0</v>
      </c>
      <c r="BH425" s="10">
        <f t="shared" si="873"/>
        <v>0</v>
      </c>
      <c r="BI425" s="10">
        <f t="shared" si="874"/>
        <v>0</v>
      </c>
      <c r="BJ425" s="10">
        <f t="shared" si="875"/>
        <v>0</v>
      </c>
      <c r="BK425" s="10">
        <f t="shared" si="876"/>
        <v>0</v>
      </c>
      <c r="BL425" s="10">
        <f t="shared" si="877"/>
        <v>0</v>
      </c>
      <c r="BM425" s="10">
        <f t="shared" si="878"/>
        <v>0</v>
      </c>
      <c r="BN425" s="10">
        <f t="shared" si="879"/>
        <v>0</v>
      </c>
      <c r="BO425" s="10">
        <f t="shared" si="880"/>
        <v>0</v>
      </c>
      <c r="BP425" s="10">
        <f t="shared" si="881"/>
        <v>0</v>
      </c>
      <c r="BQ425" s="1">
        <f t="shared" si="861"/>
        <v>0</v>
      </c>
    </row>
    <row r="426" spans="2:69" s="10" customFormat="1" ht="15" customHeight="1" x14ac:dyDescent="0.25">
      <c r="B426" s="2"/>
      <c r="C426" t="s">
        <v>133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17"/>
      <c r="AI426" s="1"/>
      <c r="AJ426" s="1"/>
      <c r="AK426" s="1"/>
      <c r="AL426" s="117"/>
      <c r="AM426" s="1"/>
      <c r="AN426" s="1"/>
      <c r="AO426" s="1"/>
      <c r="AP426" s="1"/>
      <c r="AQ426" s="1"/>
      <c r="AR426" s="3">
        <f t="shared" si="859"/>
        <v>0</v>
      </c>
      <c r="AS426" s="11"/>
      <c r="AT426" s="11"/>
      <c r="AU426" s="11"/>
      <c r="AV426" s="1">
        <f t="shared" si="862"/>
        <v>0</v>
      </c>
      <c r="AW426" s="1">
        <f t="shared" si="863"/>
        <v>0</v>
      </c>
      <c r="AX426" s="1">
        <f t="shared" si="864"/>
        <v>0</v>
      </c>
      <c r="AY426" s="1">
        <f t="shared" si="865"/>
        <v>0</v>
      </c>
      <c r="AZ426" s="1">
        <f t="shared" si="866"/>
        <v>0</v>
      </c>
      <c r="BA426" s="1">
        <f t="shared" si="867"/>
        <v>0</v>
      </c>
      <c r="BB426" s="1">
        <f t="shared" si="868"/>
        <v>0</v>
      </c>
      <c r="BC426" s="1">
        <f t="shared" si="869"/>
        <v>0</v>
      </c>
      <c r="BD426" s="1">
        <f t="shared" si="870"/>
        <v>0</v>
      </c>
      <c r="BE426" s="1">
        <f t="shared" si="871"/>
        <v>0</v>
      </c>
      <c r="BG426" s="10">
        <f t="shared" si="872"/>
        <v>0</v>
      </c>
      <c r="BH426" s="10">
        <f t="shared" si="873"/>
        <v>0</v>
      </c>
      <c r="BI426" s="10">
        <f t="shared" si="874"/>
        <v>0</v>
      </c>
      <c r="BJ426" s="10">
        <f t="shared" si="875"/>
        <v>0</v>
      </c>
      <c r="BK426" s="10">
        <f t="shared" si="876"/>
        <v>0</v>
      </c>
      <c r="BL426" s="10">
        <f t="shared" si="877"/>
        <v>0</v>
      </c>
      <c r="BM426" s="10">
        <f t="shared" si="878"/>
        <v>0</v>
      </c>
      <c r="BN426" s="10">
        <f t="shared" si="879"/>
        <v>0</v>
      </c>
      <c r="BO426" s="10">
        <f t="shared" si="880"/>
        <v>0</v>
      </c>
      <c r="BP426" s="10">
        <f t="shared" si="881"/>
        <v>0</v>
      </c>
      <c r="BQ426" s="1">
        <f t="shared" si="861"/>
        <v>0</v>
      </c>
    </row>
    <row r="427" spans="2:69" s="10" customFormat="1" ht="15" customHeight="1" x14ac:dyDescent="0.25">
      <c r="B427" s="2"/>
      <c r="C427" t="s">
        <v>41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17"/>
      <c r="AI427" s="1"/>
      <c r="AJ427" s="1"/>
      <c r="AK427" s="1"/>
      <c r="AL427" s="117"/>
      <c r="AM427" s="1"/>
      <c r="AN427" s="1"/>
      <c r="AO427" s="1"/>
      <c r="AP427" s="1"/>
      <c r="AQ427" s="1"/>
      <c r="AR427" s="3">
        <f t="shared" si="859"/>
        <v>0</v>
      </c>
      <c r="AS427" s="11"/>
      <c r="AT427" s="11"/>
      <c r="AU427" s="11"/>
      <c r="AV427" s="1">
        <f t="shared" si="862"/>
        <v>0</v>
      </c>
      <c r="AW427" s="1">
        <f t="shared" si="863"/>
        <v>0</v>
      </c>
      <c r="AX427" s="1">
        <f t="shared" si="864"/>
        <v>0</v>
      </c>
      <c r="AY427" s="1">
        <f t="shared" si="865"/>
        <v>0</v>
      </c>
      <c r="AZ427" s="1">
        <f t="shared" si="866"/>
        <v>0</v>
      </c>
      <c r="BA427" s="1">
        <f t="shared" si="867"/>
        <v>0</v>
      </c>
      <c r="BB427" s="1">
        <f t="shared" si="868"/>
        <v>0</v>
      </c>
      <c r="BC427" s="1">
        <f t="shared" si="869"/>
        <v>0</v>
      </c>
      <c r="BD427" s="1">
        <f t="shared" si="870"/>
        <v>0</v>
      </c>
      <c r="BE427" s="1">
        <f t="shared" si="871"/>
        <v>0</v>
      </c>
      <c r="BG427" s="10">
        <f t="shared" si="872"/>
        <v>0</v>
      </c>
      <c r="BH427" s="10">
        <f t="shared" si="873"/>
        <v>0</v>
      </c>
      <c r="BI427" s="10">
        <f t="shared" si="874"/>
        <v>0</v>
      </c>
      <c r="BJ427" s="10">
        <f t="shared" si="875"/>
        <v>0</v>
      </c>
      <c r="BK427" s="10">
        <f t="shared" si="876"/>
        <v>0</v>
      </c>
      <c r="BL427" s="10">
        <f t="shared" si="877"/>
        <v>0</v>
      </c>
      <c r="BM427" s="10">
        <f t="shared" si="878"/>
        <v>0</v>
      </c>
      <c r="BN427" s="10">
        <f t="shared" si="879"/>
        <v>0</v>
      </c>
      <c r="BO427" s="10">
        <f t="shared" si="880"/>
        <v>0</v>
      </c>
      <c r="BP427" s="10">
        <f t="shared" si="881"/>
        <v>0</v>
      </c>
      <c r="BQ427" s="1">
        <f t="shared" si="861"/>
        <v>0</v>
      </c>
    </row>
    <row r="428" spans="2:69" s="10" customFormat="1" ht="15" customHeight="1" x14ac:dyDescent="0.25">
      <c r="B428" s="2"/>
      <c r="C428" t="s">
        <v>193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17"/>
      <c r="AI428" s="1"/>
      <c r="AJ428" s="1"/>
      <c r="AK428" s="1"/>
      <c r="AL428" s="117"/>
      <c r="AM428" s="1"/>
      <c r="AN428" s="1"/>
      <c r="AO428" s="1"/>
      <c r="AP428" s="1"/>
      <c r="AQ428" s="1"/>
      <c r="AR428" s="3">
        <f t="shared" si="859"/>
        <v>0</v>
      </c>
      <c r="AS428" s="11"/>
      <c r="AT428" s="11"/>
      <c r="AU428" s="11"/>
      <c r="AV428" s="1">
        <f t="shared" si="862"/>
        <v>0</v>
      </c>
      <c r="AW428" s="1">
        <f t="shared" si="863"/>
        <v>0</v>
      </c>
      <c r="AX428" s="1">
        <f t="shared" si="864"/>
        <v>0</v>
      </c>
      <c r="AY428" s="1">
        <f t="shared" si="865"/>
        <v>0</v>
      </c>
      <c r="AZ428" s="1">
        <f t="shared" si="866"/>
        <v>0</v>
      </c>
      <c r="BA428" s="1">
        <f t="shared" si="867"/>
        <v>0</v>
      </c>
      <c r="BB428" s="1">
        <f t="shared" si="868"/>
        <v>0</v>
      </c>
      <c r="BC428" s="1">
        <f t="shared" si="869"/>
        <v>0</v>
      </c>
      <c r="BD428" s="1">
        <f t="shared" si="870"/>
        <v>0</v>
      </c>
      <c r="BE428" s="1">
        <f t="shared" si="871"/>
        <v>0</v>
      </c>
      <c r="BG428" s="10">
        <f t="shared" si="872"/>
        <v>0</v>
      </c>
      <c r="BH428" s="10">
        <f t="shared" si="873"/>
        <v>0</v>
      </c>
      <c r="BI428" s="10">
        <f t="shared" si="874"/>
        <v>0</v>
      </c>
      <c r="BJ428" s="10">
        <f t="shared" si="875"/>
        <v>0</v>
      </c>
      <c r="BK428" s="10">
        <f t="shared" si="876"/>
        <v>0</v>
      </c>
      <c r="BL428" s="10">
        <f t="shared" si="877"/>
        <v>0</v>
      </c>
      <c r="BM428" s="10">
        <f t="shared" si="878"/>
        <v>0</v>
      </c>
      <c r="BN428" s="10">
        <f t="shared" si="879"/>
        <v>0</v>
      </c>
      <c r="BO428" s="10">
        <f t="shared" si="880"/>
        <v>0</v>
      </c>
      <c r="BP428" s="10">
        <f t="shared" si="881"/>
        <v>0</v>
      </c>
      <c r="BQ428" s="1">
        <f t="shared" si="861"/>
        <v>0</v>
      </c>
    </row>
    <row r="429" spans="2:69" s="10" customFormat="1" ht="15" customHeight="1" x14ac:dyDescent="0.25">
      <c r="B429" s="2"/>
      <c r="C429" t="s">
        <v>297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17"/>
      <c r="AI429" s="1"/>
      <c r="AJ429" s="1"/>
      <c r="AK429" s="1"/>
      <c r="AL429" s="117"/>
      <c r="AM429" s="1"/>
      <c r="AN429" s="1"/>
      <c r="AO429" s="1"/>
      <c r="AP429" s="1"/>
      <c r="AQ429" s="1"/>
      <c r="AR429" s="3">
        <f t="shared" si="859"/>
        <v>0</v>
      </c>
      <c r="AS429" s="11"/>
      <c r="AT429" s="11"/>
      <c r="AU429" s="11"/>
      <c r="AV429" s="1">
        <f t="shared" si="862"/>
        <v>0</v>
      </c>
      <c r="AW429" s="1">
        <f t="shared" si="863"/>
        <v>0</v>
      </c>
      <c r="AX429" s="1">
        <f t="shared" si="864"/>
        <v>0</v>
      </c>
      <c r="AY429" s="1">
        <f t="shared" si="865"/>
        <v>0</v>
      </c>
      <c r="AZ429" s="1">
        <f t="shared" si="866"/>
        <v>0</v>
      </c>
      <c r="BA429" s="1">
        <f t="shared" si="867"/>
        <v>0</v>
      </c>
      <c r="BB429" s="1">
        <f t="shared" si="868"/>
        <v>0</v>
      </c>
      <c r="BC429" s="1">
        <f t="shared" si="869"/>
        <v>0</v>
      </c>
      <c r="BD429" s="1">
        <f t="shared" si="870"/>
        <v>0</v>
      </c>
      <c r="BE429" s="1">
        <f t="shared" si="871"/>
        <v>0</v>
      </c>
      <c r="BG429" s="10">
        <f t="shared" si="872"/>
        <v>0</v>
      </c>
      <c r="BH429" s="10">
        <f t="shared" si="873"/>
        <v>0</v>
      </c>
      <c r="BI429" s="10">
        <f t="shared" si="874"/>
        <v>0</v>
      </c>
      <c r="BJ429" s="10">
        <f t="shared" si="875"/>
        <v>0</v>
      </c>
      <c r="BK429" s="10">
        <f t="shared" si="876"/>
        <v>0</v>
      </c>
      <c r="BL429" s="10">
        <f t="shared" si="877"/>
        <v>0</v>
      </c>
      <c r="BM429" s="10">
        <f t="shared" si="878"/>
        <v>0</v>
      </c>
      <c r="BN429" s="10">
        <f t="shared" si="879"/>
        <v>0</v>
      </c>
      <c r="BO429" s="10">
        <f t="shared" si="880"/>
        <v>0</v>
      </c>
      <c r="BP429" s="10">
        <f t="shared" si="881"/>
        <v>0</v>
      </c>
      <c r="BQ429" s="1">
        <f t="shared" si="861"/>
        <v>0</v>
      </c>
    </row>
    <row r="430" spans="2:69" s="10" customFormat="1" ht="15" customHeight="1" x14ac:dyDescent="0.25">
      <c r="B430" s="2"/>
      <c r="C430" t="s">
        <v>296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17"/>
      <c r="AI430" s="1"/>
      <c r="AJ430" s="1"/>
      <c r="AK430" s="1"/>
      <c r="AL430" s="117"/>
      <c r="AM430" s="1"/>
      <c r="AN430" s="1"/>
      <c r="AO430" s="1"/>
      <c r="AP430" s="1"/>
      <c r="AQ430" s="1"/>
      <c r="AR430" s="3">
        <f t="shared" si="859"/>
        <v>0</v>
      </c>
      <c r="AS430" s="11"/>
      <c r="AT430" s="11"/>
      <c r="AU430" s="11"/>
      <c r="AV430" s="1">
        <f t="shared" si="862"/>
        <v>0</v>
      </c>
      <c r="AW430" s="1">
        <f t="shared" si="863"/>
        <v>0</v>
      </c>
      <c r="AX430" s="1">
        <f t="shared" si="864"/>
        <v>0</v>
      </c>
      <c r="AY430" s="1">
        <f t="shared" si="865"/>
        <v>0</v>
      </c>
      <c r="AZ430" s="1">
        <f t="shared" si="866"/>
        <v>0</v>
      </c>
      <c r="BA430" s="1">
        <f t="shared" si="867"/>
        <v>0</v>
      </c>
      <c r="BB430" s="1">
        <f t="shared" si="868"/>
        <v>0</v>
      </c>
      <c r="BC430" s="1">
        <f t="shared" si="869"/>
        <v>0</v>
      </c>
      <c r="BD430" s="1">
        <f t="shared" si="870"/>
        <v>0</v>
      </c>
      <c r="BE430" s="1">
        <f t="shared" si="871"/>
        <v>0</v>
      </c>
      <c r="BG430" s="10">
        <f t="shared" si="872"/>
        <v>0</v>
      </c>
      <c r="BH430" s="10">
        <f t="shared" si="873"/>
        <v>0</v>
      </c>
      <c r="BI430" s="10">
        <f t="shared" si="874"/>
        <v>0</v>
      </c>
      <c r="BJ430" s="10">
        <f t="shared" si="875"/>
        <v>0</v>
      </c>
      <c r="BK430" s="10">
        <f t="shared" si="876"/>
        <v>0</v>
      </c>
      <c r="BL430" s="10">
        <f t="shared" si="877"/>
        <v>0</v>
      </c>
      <c r="BM430" s="10">
        <f t="shared" si="878"/>
        <v>0</v>
      </c>
      <c r="BN430" s="10">
        <f t="shared" si="879"/>
        <v>0</v>
      </c>
      <c r="BO430" s="10">
        <f t="shared" si="880"/>
        <v>0</v>
      </c>
      <c r="BP430" s="10">
        <f t="shared" si="881"/>
        <v>0</v>
      </c>
      <c r="BQ430" s="1">
        <f t="shared" si="861"/>
        <v>0</v>
      </c>
    </row>
    <row r="431" spans="2:69" s="10" customFormat="1" ht="15" customHeight="1" x14ac:dyDescent="0.25">
      <c r="B431" s="2"/>
      <c r="C431" t="s">
        <v>44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>
        <v>0</v>
      </c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17"/>
      <c r="AI431" s="1"/>
      <c r="AJ431" s="1"/>
      <c r="AK431" s="1"/>
      <c r="AL431" s="117"/>
      <c r="AM431" s="1"/>
      <c r="AN431" s="1"/>
      <c r="AO431" s="1"/>
      <c r="AP431" s="1"/>
      <c r="AQ431" s="1"/>
      <c r="AR431" s="3">
        <f t="shared" si="859"/>
        <v>0</v>
      </c>
      <c r="AS431" s="11"/>
      <c r="AT431" s="11"/>
      <c r="AU431" s="11"/>
      <c r="AV431" s="1">
        <f t="shared" si="862"/>
        <v>0</v>
      </c>
      <c r="AW431" s="1">
        <f t="shared" si="863"/>
        <v>0</v>
      </c>
      <c r="AX431" s="1">
        <f t="shared" si="864"/>
        <v>0</v>
      </c>
      <c r="AY431" s="1">
        <f t="shared" si="865"/>
        <v>0</v>
      </c>
      <c r="AZ431" s="1">
        <f t="shared" si="866"/>
        <v>0</v>
      </c>
      <c r="BA431" s="1">
        <f t="shared" si="867"/>
        <v>0</v>
      </c>
      <c r="BB431" s="1">
        <f t="shared" si="868"/>
        <v>0</v>
      </c>
      <c r="BC431" s="1">
        <f t="shared" si="869"/>
        <v>0</v>
      </c>
      <c r="BD431" s="1">
        <f t="shared" si="870"/>
        <v>0</v>
      </c>
      <c r="BE431" s="1">
        <f t="shared" si="871"/>
        <v>0</v>
      </c>
      <c r="BG431" s="10">
        <f t="shared" si="872"/>
        <v>0</v>
      </c>
      <c r="BH431" s="10">
        <f t="shared" si="873"/>
        <v>0</v>
      </c>
      <c r="BI431" s="10">
        <f t="shared" si="874"/>
        <v>0</v>
      </c>
      <c r="BJ431" s="10">
        <f t="shared" si="875"/>
        <v>0</v>
      </c>
      <c r="BK431" s="10">
        <f t="shared" si="876"/>
        <v>0</v>
      </c>
      <c r="BL431" s="10">
        <f t="shared" si="877"/>
        <v>0</v>
      </c>
      <c r="BM431" s="10">
        <f t="shared" si="878"/>
        <v>0</v>
      </c>
      <c r="BN431" s="10">
        <f t="shared" si="879"/>
        <v>0</v>
      </c>
      <c r="BO431" s="10">
        <f t="shared" si="880"/>
        <v>0</v>
      </c>
      <c r="BP431" s="10">
        <f t="shared" si="881"/>
        <v>0</v>
      </c>
      <c r="BQ431" s="1">
        <f t="shared" si="861"/>
        <v>0</v>
      </c>
    </row>
    <row r="432" spans="2:69" s="10" customFormat="1" ht="15" customHeight="1" x14ac:dyDescent="0.25">
      <c r="B432" s="2" t="s">
        <v>456</v>
      </c>
      <c r="C432" s="2"/>
      <c r="D432" s="3">
        <f t="shared" ref="D432:AQ432" si="882">SUM(D413:D431)</f>
        <v>0</v>
      </c>
      <c r="E432" s="3">
        <f t="shared" si="882"/>
        <v>0</v>
      </c>
      <c r="F432" s="3">
        <f t="shared" si="882"/>
        <v>0</v>
      </c>
      <c r="G432" s="3">
        <f t="shared" si="882"/>
        <v>0</v>
      </c>
      <c r="H432" s="3">
        <f t="shared" si="882"/>
        <v>0</v>
      </c>
      <c r="I432" s="3">
        <f t="shared" si="882"/>
        <v>0</v>
      </c>
      <c r="J432" s="3">
        <f t="shared" si="882"/>
        <v>0</v>
      </c>
      <c r="K432" s="3">
        <f t="shared" si="882"/>
        <v>0</v>
      </c>
      <c r="L432" s="3">
        <f t="shared" si="882"/>
        <v>0</v>
      </c>
      <c r="M432" s="3">
        <f t="shared" si="882"/>
        <v>0</v>
      </c>
      <c r="N432" s="3">
        <f t="shared" si="882"/>
        <v>0</v>
      </c>
      <c r="O432" s="3">
        <f t="shared" si="882"/>
        <v>0</v>
      </c>
      <c r="P432" s="3">
        <f t="shared" si="882"/>
        <v>0</v>
      </c>
      <c r="Q432" s="3">
        <f t="shared" si="882"/>
        <v>0</v>
      </c>
      <c r="R432" s="3">
        <f t="shared" si="882"/>
        <v>0</v>
      </c>
      <c r="S432" s="3">
        <f t="shared" si="882"/>
        <v>0</v>
      </c>
      <c r="T432" s="3">
        <f t="shared" si="882"/>
        <v>0</v>
      </c>
      <c r="U432" s="3">
        <f t="shared" si="882"/>
        <v>0</v>
      </c>
      <c r="V432" s="3">
        <f t="shared" si="882"/>
        <v>0</v>
      </c>
      <c r="W432" s="3">
        <f t="shared" si="882"/>
        <v>0</v>
      </c>
      <c r="X432" s="3">
        <f t="shared" si="882"/>
        <v>0</v>
      </c>
      <c r="Y432" s="3">
        <f t="shared" si="882"/>
        <v>0</v>
      </c>
      <c r="Z432" s="3">
        <f t="shared" si="882"/>
        <v>0</v>
      </c>
      <c r="AA432" s="3">
        <f t="shared" si="882"/>
        <v>0</v>
      </c>
      <c r="AB432" s="3">
        <f t="shared" si="882"/>
        <v>0</v>
      </c>
      <c r="AC432" s="3">
        <f t="shared" si="882"/>
        <v>0</v>
      </c>
      <c r="AD432" s="3">
        <f t="shared" si="882"/>
        <v>0</v>
      </c>
      <c r="AE432" s="3">
        <f t="shared" si="882"/>
        <v>0</v>
      </c>
      <c r="AF432" s="3">
        <f t="shared" si="882"/>
        <v>0</v>
      </c>
      <c r="AG432" s="3">
        <f t="shared" si="882"/>
        <v>0</v>
      </c>
      <c r="AH432" s="150">
        <f t="shared" si="882"/>
        <v>0</v>
      </c>
      <c r="AI432" s="3">
        <f t="shared" si="882"/>
        <v>0</v>
      </c>
      <c r="AJ432" s="3">
        <f t="shared" si="882"/>
        <v>0</v>
      </c>
      <c r="AK432" s="3">
        <f t="shared" si="882"/>
        <v>0</v>
      </c>
      <c r="AL432" s="150">
        <f t="shared" si="882"/>
        <v>0</v>
      </c>
      <c r="AM432" s="3">
        <f t="shared" si="882"/>
        <v>0</v>
      </c>
      <c r="AN432" s="3">
        <f t="shared" si="882"/>
        <v>0</v>
      </c>
      <c r="AO432" s="3">
        <f t="shared" si="882"/>
        <v>0</v>
      </c>
      <c r="AP432" s="3">
        <f t="shared" si="882"/>
        <v>0</v>
      </c>
      <c r="AQ432" s="3">
        <f t="shared" si="882"/>
        <v>0</v>
      </c>
      <c r="AR432" s="3">
        <f t="shared" ref="AR432" si="883">SUM(AR413:AR431)</f>
        <v>0</v>
      </c>
      <c r="AS432" s="11"/>
      <c r="AT432" s="11"/>
      <c r="AU432" s="11"/>
      <c r="AV432" s="3">
        <f>SUM(AV413:AV431)</f>
        <v>0</v>
      </c>
      <c r="AW432" s="3">
        <f>SUM(AW413:AW431)</f>
        <v>0</v>
      </c>
      <c r="AX432" s="3">
        <f t="shared" ref="AX432:BE432" si="884">SUM(AX413:AX431)</f>
        <v>0</v>
      </c>
      <c r="AY432" s="3">
        <f t="shared" si="884"/>
        <v>0</v>
      </c>
      <c r="AZ432" s="3">
        <f t="shared" si="884"/>
        <v>0</v>
      </c>
      <c r="BA432" s="3">
        <f t="shared" si="884"/>
        <v>0</v>
      </c>
      <c r="BB432" s="3">
        <f t="shared" si="884"/>
        <v>0</v>
      </c>
      <c r="BC432" s="3">
        <f t="shared" si="884"/>
        <v>0</v>
      </c>
      <c r="BD432" s="3">
        <f t="shared" si="884"/>
        <v>0</v>
      </c>
      <c r="BE432" s="3">
        <f t="shared" si="884"/>
        <v>0</v>
      </c>
      <c r="BG432" s="3">
        <f t="shared" ref="BG432:BQ432" si="885">SUM(BG413:BG431)</f>
        <v>0</v>
      </c>
      <c r="BH432" s="3">
        <f t="shared" si="885"/>
        <v>0</v>
      </c>
      <c r="BI432" s="3">
        <f t="shared" si="885"/>
        <v>0</v>
      </c>
      <c r="BJ432" s="3">
        <f t="shared" si="885"/>
        <v>0</v>
      </c>
      <c r="BK432" s="3">
        <f t="shared" si="885"/>
        <v>0</v>
      </c>
      <c r="BL432" s="3">
        <f t="shared" si="885"/>
        <v>0</v>
      </c>
      <c r="BM432" s="3">
        <f t="shared" si="885"/>
        <v>0</v>
      </c>
      <c r="BN432" s="3">
        <f t="shared" si="885"/>
        <v>0</v>
      </c>
      <c r="BO432" s="3">
        <f t="shared" si="885"/>
        <v>0</v>
      </c>
      <c r="BP432" s="3">
        <f t="shared" si="885"/>
        <v>0</v>
      </c>
      <c r="BQ432" s="3">
        <f t="shared" si="885"/>
        <v>0</v>
      </c>
    </row>
    <row r="433" spans="2:69" s="10" customFormat="1" ht="15" customHeight="1" x14ac:dyDescent="0.25">
      <c r="B433" s="2"/>
      <c r="C433" s="38" t="s">
        <v>97</v>
      </c>
      <c r="D433" s="11">
        <f>+D432</f>
        <v>0</v>
      </c>
      <c r="E433" s="11">
        <f>+D433+E432</f>
        <v>0</v>
      </c>
      <c r="F433" s="11">
        <f t="shared" ref="F433" si="886">+E433+F432</f>
        <v>0</v>
      </c>
      <c r="G433" s="11">
        <f t="shared" ref="G433" si="887">+F433+G432</f>
        <v>0</v>
      </c>
      <c r="H433" s="11">
        <f t="shared" ref="H433" si="888">+G433+H432</f>
        <v>0</v>
      </c>
      <c r="I433" s="11">
        <f t="shared" ref="I433" si="889">+H433+I432</f>
        <v>0</v>
      </c>
      <c r="J433" s="11">
        <f t="shared" ref="J433" si="890">+I433+J432</f>
        <v>0</v>
      </c>
      <c r="K433" s="11">
        <f t="shared" ref="K433" si="891">+J433+K432</f>
        <v>0</v>
      </c>
      <c r="L433" s="11">
        <f t="shared" ref="L433" si="892">+K433+L432</f>
        <v>0</v>
      </c>
      <c r="M433" s="11">
        <f t="shared" ref="M433" si="893">+L433+M432</f>
        <v>0</v>
      </c>
      <c r="N433" s="11">
        <f t="shared" ref="N433" si="894">+M433+N432</f>
        <v>0</v>
      </c>
      <c r="O433" s="11">
        <f t="shared" ref="O433" si="895">+N433+O432</f>
        <v>0</v>
      </c>
      <c r="P433" s="11">
        <f t="shared" ref="P433" si="896">+O433+P432</f>
        <v>0</v>
      </c>
      <c r="Q433" s="11">
        <f t="shared" ref="Q433" si="897">+P433+Q432</f>
        <v>0</v>
      </c>
      <c r="R433" s="11">
        <f t="shared" ref="R433" si="898">+Q433+R432</f>
        <v>0</v>
      </c>
      <c r="S433" s="11">
        <f t="shared" ref="S433" si="899">+R433+S432</f>
        <v>0</v>
      </c>
      <c r="T433" s="11">
        <f t="shared" ref="T433" si="900">+S433+T432</f>
        <v>0</v>
      </c>
      <c r="U433" s="11">
        <f t="shared" ref="U433" si="901">+T433+U432</f>
        <v>0</v>
      </c>
      <c r="V433" s="11">
        <f t="shared" ref="V433" si="902">+U433+V432</f>
        <v>0</v>
      </c>
      <c r="W433" s="11">
        <f t="shared" ref="W433" si="903">+V433+W432</f>
        <v>0</v>
      </c>
      <c r="X433" s="11">
        <f t="shared" ref="X433" si="904">+W433+X432</f>
        <v>0</v>
      </c>
      <c r="Y433" s="11">
        <f t="shared" ref="Y433" si="905">+X433+Y432</f>
        <v>0</v>
      </c>
      <c r="Z433" s="11">
        <f t="shared" ref="Z433" si="906">+Y433+Z432</f>
        <v>0</v>
      </c>
      <c r="AA433" s="11">
        <f t="shared" ref="AA433" si="907">+Z433+AA432</f>
        <v>0</v>
      </c>
      <c r="AB433" s="11">
        <f t="shared" ref="AB433" si="908">+AA433+AB432</f>
        <v>0</v>
      </c>
      <c r="AC433" s="11">
        <f t="shared" ref="AC433" si="909">+AB433+AC432</f>
        <v>0</v>
      </c>
      <c r="AD433" s="11">
        <f t="shared" ref="AD433" si="910">+AC433+AD432</f>
        <v>0</v>
      </c>
      <c r="AE433" s="11">
        <f t="shared" ref="AE433" si="911">+AD433+AE432</f>
        <v>0</v>
      </c>
      <c r="AF433" s="11">
        <f t="shared" ref="AF433" si="912">+AE433+AF432</f>
        <v>0</v>
      </c>
      <c r="AG433" s="11">
        <f t="shared" ref="AG433" si="913">+AF433+AG432</f>
        <v>0</v>
      </c>
      <c r="AH433" s="147">
        <f t="shared" ref="AH433" si="914">+AG433+AH432</f>
        <v>0</v>
      </c>
      <c r="AI433" s="11">
        <f t="shared" ref="AI433" si="915">+AH433+AI432</f>
        <v>0</v>
      </c>
      <c r="AJ433" s="11">
        <f t="shared" ref="AJ433" si="916">+AI433+AJ432</f>
        <v>0</v>
      </c>
      <c r="AK433" s="11">
        <f t="shared" ref="AK433" si="917">+AJ433+AK432</f>
        <v>0</v>
      </c>
      <c r="AL433" s="147">
        <f t="shared" ref="AL433" si="918">+AK433+AL432</f>
        <v>0</v>
      </c>
      <c r="AM433" s="11">
        <f t="shared" ref="AM433" si="919">+AL433+AM432</f>
        <v>0</v>
      </c>
      <c r="AN433" s="11">
        <f t="shared" ref="AN433" si="920">+AM433+AN432</f>
        <v>0</v>
      </c>
      <c r="AO433" s="11">
        <f t="shared" ref="AO433" si="921">+AN433+AO432</f>
        <v>0</v>
      </c>
      <c r="AP433" s="11">
        <f t="shared" ref="AP433" si="922">+AO433+AP432</f>
        <v>0</v>
      </c>
      <c r="AQ433" s="11">
        <f t="shared" ref="AQ433" si="923">+AP433+AQ432</f>
        <v>0</v>
      </c>
      <c r="AR433" s="40"/>
      <c r="AS433" s="11"/>
      <c r="AT433" s="11"/>
      <c r="AU433" s="11"/>
      <c r="AV433" s="11">
        <f>+AV432</f>
        <v>0</v>
      </c>
      <c r="AW433" s="1">
        <f>+AV433+AW432</f>
        <v>0</v>
      </c>
      <c r="AX433" s="1">
        <f t="shared" ref="AX433" si="924">+AW433+AX432</f>
        <v>0</v>
      </c>
      <c r="AY433" s="1">
        <f t="shared" ref="AY433" si="925">+AX433+AY432</f>
        <v>0</v>
      </c>
      <c r="AZ433" s="1">
        <f t="shared" ref="AZ433" si="926">+AY433+AZ432</f>
        <v>0</v>
      </c>
      <c r="BA433" s="1">
        <f t="shared" ref="BA433" si="927">+AZ433+BA432</f>
        <v>0</v>
      </c>
      <c r="BB433" s="1">
        <f t="shared" ref="BB433" si="928">+BA433+BB432</f>
        <v>0</v>
      </c>
      <c r="BC433" s="1">
        <f t="shared" ref="BC433" si="929">+BB433+BC432</f>
        <v>0</v>
      </c>
      <c r="BD433" s="1">
        <f t="shared" ref="BD433" si="930">+BC433+BD432</f>
        <v>0</v>
      </c>
      <c r="BE433" s="1">
        <f t="shared" ref="BE433" si="931">+BD433+BE432</f>
        <v>0</v>
      </c>
    </row>
    <row r="434" spans="2:69" s="10" customFormat="1" ht="15" customHeight="1" x14ac:dyDescent="0.25">
      <c r="B434" s="2"/>
      <c r="C434" s="38" t="s">
        <v>220</v>
      </c>
      <c r="D434" s="11">
        <f>+D432*10</f>
        <v>0</v>
      </c>
      <c r="E434" s="11">
        <f t="shared" ref="E434:AQ434" si="932">+E432*10</f>
        <v>0</v>
      </c>
      <c r="F434" s="11">
        <f t="shared" si="932"/>
        <v>0</v>
      </c>
      <c r="G434" s="11">
        <f t="shared" si="932"/>
        <v>0</v>
      </c>
      <c r="H434" s="11">
        <f t="shared" si="932"/>
        <v>0</v>
      </c>
      <c r="I434" s="11">
        <f t="shared" si="932"/>
        <v>0</v>
      </c>
      <c r="J434" s="11">
        <f t="shared" si="932"/>
        <v>0</v>
      </c>
      <c r="K434" s="11">
        <f t="shared" si="932"/>
        <v>0</v>
      </c>
      <c r="L434" s="11">
        <f t="shared" si="932"/>
        <v>0</v>
      </c>
      <c r="M434" s="11">
        <f t="shared" si="932"/>
        <v>0</v>
      </c>
      <c r="N434" s="11">
        <f t="shared" si="932"/>
        <v>0</v>
      </c>
      <c r="O434" s="11">
        <f t="shared" si="932"/>
        <v>0</v>
      </c>
      <c r="P434" s="11">
        <f t="shared" si="932"/>
        <v>0</v>
      </c>
      <c r="Q434" s="11">
        <f t="shared" si="932"/>
        <v>0</v>
      </c>
      <c r="R434" s="11">
        <f t="shared" si="932"/>
        <v>0</v>
      </c>
      <c r="S434" s="11">
        <f t="shared" si="932"/>
        <v>0</v>
      </c>
      <c r="T434" s="11">
        <f>+T433</f>
        <v>0</v>
      </c>
      <c r="U434" s="11">
        <f t="shared" si="932"/>
        <v>0</v>
      </c>
      <c r="V434" s="11">
        <f t="shared" si="932"/>
        <v>0</v>
      </c>
      <c r="W434" s="11">
        <f t="shared" si="932"/>
        <v>0</v>
      </c>
      <c r="X434" s="11">
        <f t="shared" si="932"/>
        <v>0</v>
      </c>
      <c r="Y434" s="11">
        <f t="shared" si="932"/>
        <v>0</v>
      </c>
      <c r="Z434" s="11">
        <f t="shared" si="932"/>
        <v>0</v>
      </c>
      <c r="AA434" s="11">
        <f t="shared" si="932"/>
        <v>0</v>
      </c>
      <c r="AB434" s="11">
        <f t="shared" si="932"/>
        <v>0</v>
      </c>
      <c r="AC434" s="11">
        <f t="shared" si="932"/>
        <v>0</v>
      </c>
      <c r="AD434" s="11">
        <f t="shared" si="932"/>
        <v>0</v>
      </c>
      <c r="AE434" s="11">
        <f t="shared" si="932"/>
        <v>0</v>
      </c>
      <c r="AF434" s="11">
        <f t="shared" si="932"/>
        <v>0</v>
      </c>
      <c r="AG434" s="11">
        <f t="shared" si="932"/>
        <v>0</v>
      </c>
      <c r="AH434" s="147">
        <f t="shared" si="932"/>
        <v>0</v>
      </c>
      <c r="AI434" s="11">
        <f t="shared" si="932"/>
        <v>0</v>
      </c>
      <c r="AJ434" s="11">
        <f t="shared" si="932"/>
        <v>0</v>
      </c>
      <c r="AK434" s="11">
        <f t="shared" si="932"/>
        <v>0</v>
      </c>
      <c r="AL434" s="147">
        <f t="shared" si="932"/>
        <v>0</v>
      </c>
      <c r="AM434" s="11">
        <f t="shared" si="932"/>
        <v>0</v>
      </c>
      <c r="AN434" s="11">
        <f t="shared" si="932"/>
        <v>0</v>
      </c>
      <c r="AO434" s="11">
        <f t="shared" si="932"/>
        <v>0</v>
      </c>
      <c r="AP434" s="11">
        <f t="shared" si="932"/>
        <v>0</v>
      </c>
      <c r="AQ434" s="11">
        <f t="shared" si="932"/>
        <v>0</v>
      </c>
      <c r="AR434" s="3">
        <f>SUM(D434:AQ434)</f>
        <v>0</v>
      </c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</row>
    <row r="435" spans="2:69" s="10" customFormat="1" ht="15" customHeight="1" x14ac:dyDescent="0.2">
      <c r="C435" s="38" t="s">
        <v>286</v>
      </c>
      <c r="D435" s="11">
        <f>+(D432-D422-D428)/2</f>
        <v>0</v>
      </c>
      <c r="E435" s="11">
        <f t="shared" ref="E435:AQ435" si="933">+(E432-E422-E428)/2</f>
        <v>0</v>
      </c>
      <c r="F435" s="11">
        <f t="shared" si="933"/>
        <v>0</v>
      </c>
      <c r="G435" s="11">
        <f t="shared" si="933"/>
        <v>0</v>
      </c>
      <c r="H435" s="11">
        <f t="shared" si="933"/>
        <v>0</v>
      </c>
      <c r="I435" s="11">
        <f t="shared" si="933"/>
        <v>0</v>
      </c>
      <c r="J435" s="11">
        <f t="shared" si="933"/>
        <v>0</v>
      </c>
      <c r="K435" s="11">
        <f t="shared" si="933"/>
        <v>0</v>
      </c>
      <c r="L435" s="11">
        <f t="shared" si="933"/>
        <v>0</v>
      </c>
      <c r="M435" s="11">
        <f t="shared" si="933"/>
        <v>0</v>
      </c>
      <c r="N435" s="11">
        <f t="shared" si="933"/>
        <v>0</v>
      </c>
      <c r="O435" s="11">
        <f t="shared" si="933"/>
        <v>0</v>
      </c>
      <c r="P435" s="11">
        <f t="shared" si="933"/>
        <v>0</v>
      </c>
      <c r="Q435" s="11">
        <f t="shared" si="933"/>
        <v>0</v>
      </c>
      <c r="R435" s="11">
        <f t="shared" si="933"/>
        <v>0</v>
      </c>
      <c r="S435" s="11">
        <f t="shared" si="933"/>
        <v>0</v>
      </c>
      <c r="T435" s="11">
        <v>0</v>
      </c>
      <c r="U435" s="11">
        <f t="shared" si="933"/>
        <v>0</v>
      </c>
      <c r="V435" s="11">
        <f t="shared" si="933"/>
        <v>0</v>
      </c>
      <c r="W435" s="11">
        <f t="shared" si="933"/>
        <v>0</v>
      </c>
      <c r="X435" s="11">
        <f t="shared" si="933"/>
        <v>0</v>
      </c>
      <c r="Y435" s="11">
        <f t="shared" si="933"/>
        <v>0</v>
      </c>
      <c r="Z435" s="11">
        <f t="shared" si="933"/>
        <v>0</v>
      </c>
      <c r="AA435" s="11">
        <f t="shared" si="933"/>
        <v>0</v>
      </c>
      <c r="AB435" s="11">
        <f t="shared" si="933"/>
        <v>0</v>
      </c>
      <c r="AC435" s="11">
        <f t="shared" si="933"/>
        <v>0</v>
      </c>
      <c r="AD435" s="11">
        <f t="shared" si="933"/>
        <v>0</v>
      </c>
      <c r="AE435" s="11">
        <f t="shared" si="933"/>
        <v>0</v>
      </c>
      <c r="AF435" s="11">
        <f t="shared" si="933"/>
        <v>0</v>
      </c>
      <c r="AG435" s="11">
        <f t="shared" si="933"/>
        <v>0</v>
      </c>
      <c r="AH435" s="147">
        <f t="shared" si="933"/>
        <v>0</v>
      </c>
      <c r="AI435" s="11">
        <f t="shared" si="933"/>
        <v>0</v>
      </c>
      <c r="AJ435" s="11">
        <f t="shared" si="933"/>
        <v>0</v>
      </c>
      <c r="AK435" s="11">
        <f t="shared" si="933"/>
        <v>0</v>
      </c>
      <c r="AL435" s="147">
        <f t="shared" si="933"/>
        <v>0</v>
      </c>
      <c r="AM435" s="11">
        <f t="shared" si="933"/>
        <v>0</v>
      </c>
      <c r="AN435" s="11">
        <f t="shared" si="933"/>
        <v>0</v>
      </c>
      <c r="AO435" s="11">
        <f t="shared" si="933"/>
        <v>0</v>
      </c>
      <c r="AP435" s="11">
        <f t="shared" si="933"/>
        <v>0</v>
      </c>
      <c r="AQ435" s="11">
        <f t="shared" si="933"/>
        <v>0</v>
      </c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</row>
    <row r="436" spans="2:69" s="10" customFormat="1" ht="15" customHeight="1" x14ac:dyDescent="0.25">
      <c r="B436" s="2" t="s">
        <v>542</v>
      </c>
      <c r="C436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47"/>
      <c r="AI436" s="11"/>
      <c r="AJ436" s="11"/>
      <c r="AK436" s="11"/>
      <c r="AL436" s="147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</row>
    <row r="437" spans="2:69" s="10" customFormat="1" ht="15" customHeight="1" x14ac:dyDescent="0.25">
      <c r="B437" s="2"/>
      <c r="C437" t="s">
        <v>190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17"/>
      <c r="AI437" s="1"/>
      <c r="AJ437" s="1"/>
      <c r="AK437" s="1"/>
      <c r="AL437" s="117"/>
      <c r="AM437" s="1"/>
      <c r="AN437" s="1"/>
      <c r="AO437" s="1"/>
      <c r="AP437" s="1"/>
      <c r="AQ437" s="1"/>
      <c r="AR437" s="3">
        <f t="shared" ref="AR437:AR455" si="934">SUM(D437:AQ437)</f>
        <v>0</v>
      </c>
      <c r="AS437" s="11"/>
      <c r="AT437" s="11"/>
      <c r="AU437" s="11"/>
      <c r="AV437" s="1">
        <f>SUM(D437:G437)</f>
        <v>0</v>
      </c>
      <c r="AW437" s="1">
        <f>SUM(H437:K437)</f>
        <v>0</v>
      </c>
      <c r="AX437" s="1">
        <f>SUM(L437:P437)</f>
        <v>0</v>
      </c>
      <c r="AY437" s="1">
        <f>SUM(Q437:T437)</f>
        <v>0</v>
      </c>
      <c r="AZ437" s="1">
        <f>SUM(U437:X437)</f>
        <v>0</v>
      </c>
      <c r="BA437" s="1">
        <f>SUM(Y437:AC437)</f>
        <v>0</v>
      </c>
      <c r="BB437" s="1">
        <f>SUM(AD437:AG437)</f>
        <v>0</v>
      </c>
      <c r="BC437" s="1">
        <f>SUM(AH437:AK437)</f>
        <v>0</v>
      </c>
      <c r="BD437" s="1">
        <f>SUM(AL437:AP437)</f>
        <v>0</v>
      </c>
      <c r="BE437" s="1">
        <f>+AQ437</f>
        <v>0</v>
      </c>
      <c r="BG437" s="10">
        <f t="shared" ref="BG437:BP437" si="935">+AV437*8</f>
        <v>0</v>
      </c>
      <c r="BH437" s="10">
        <f t="shared" si="935"/>
        <v>0</v>
      </c>
      <c r="BI437" s="10">
        <f t="shared" si="935"/>
        <v>0</v>
      </c>
      <c r="BJ437" s="10">
        <f t="shared" si="935"/>
        <v>0</v>
      </c>
      <c r="BK437" s="10">
        <f t="shared" si="935"/>
        <v>0</v>
      </c>
      <c r="BL437" s="10">
        <f t="shared" si="935"/>
        <v>0</v>
      </c>
      <c r="BM437" s="10">
        <f t="shared" si="935"/>
        <v>0</v>
      </c>
      <c r="BN437" s="10">
        <f t="shared" si="935"/>
        <v>0</v>
      </c>
      <c r="BO437" s="10">
        <f t="shared" si="935"/>
        <v>0</v>
      </c>
      <c r="BP437" s="10">
        <f t="shared" si="935"/>
        <v>0</v>
      </c>
      <c r="BQ437" s="1">
        <f t="shared" ref="BQ437:BQ455" si="936">SUM(BH437:BP437)</f>
        <v>0</v>
      </c>
    </row>
    <row r="438" spans="2:69" s="10" customFormat="1" ht="15" customHeight="1" x14ac:dyDescent="0.25">
      <c r="B438" s="2"/>
      <c r="C438" t="s">
        <v>424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17"/>
      <c r="AI438" s="1"/>
      <c r="AJ438" s="1"/>
      <c r="AK438" s="1"/>
      <c r="AL438" s="117"/>
      <c r="AM438" s="1"/>
      <c r="AN438" s="1"/>
      <c r="AO438" s="1"/>
      <c r="AP438" s="1"/>
      <c r="AQ438" s="1"/>
      <c r="AR438" s="3">
        <f t="shared" si="934"/>
        <v>0</v>
      </c>
      <c r="AS438" s="11"/>
      <c r="AT438" s="11"/>
      <c r="AU438" s="11"/>
      <c r="AV438" s="1">
        <f t="shared" ref="AV438:AV455" si="937">SUM(D438:G438)</f>
        <v>0</v>
      </c>
      <c r="AW438" s="1">
        <f t="shared" ref="AW438:AW455" si="938">SUM(H438:K438)</f>
        <v>0</v>
      </c>
      <c r="AX438" s="1">
        <f t="shared" ref="AX438:AX455" si="939">SUM(L438:P438)</f>
        <v>0</v>
      </c>
      <c r="AY438" s="1">
        <f t="shared" ref="AY438:AY455" si="940">SUM(Q438:T438)</f>
        <v>0</v>
      </c>
      <c r="AZ438" s="1">
        <f t="shared" ref="AZ438:AZ455" si="941">SUM(U438:X438)</f>
        <v>0</v>
      </c>
      <c r="BA438" s="1">
        <f t="shared" ref="BA438:BA455" si="942">SUM(Y438:AC438)</f>
        <v>0</v>
      </c>
      <c r="BB438" s="1">
        <f t="shared" ref="BB438:BB455" si="943">SUM(AD438:AG438)</f>
        <v>0</v>
      </c>
      <c r="BC438" s="1">
        <f t="shared" ref="BC438:BC455" si="944">SUM(AH438:AK438)</f>
        <v>0</v>
      </c>
      <c r="BD438" s="1">
        <f t="shared" ref="BD438:BD455" si="945">SUM(AL438:AP438)</f>
        <v>0</v>
      </c>
      <c r="BE438" s="1">
        <f t="shared" ref="BE438:BE455" si="946">+AQ438</f>
        <v>0</v>
      </c>
      <c r="BG438" s="10">
        <f t="shared" ref="BG438:BG455" si="947">+AV438*8</f>
        <v>0</v>
      </c>
      <c r="BH438" s="10">
        <f t="shared" ref="BH438:BH455" si="948">+AW438*8</f>
        <v>0</v>
      </c>
      <c r="BI438" s="10">
        <f t="shared" ref="BI438:BI455" si="949">+AX438*8</f>
        <v>0</v>
      </c>
      <c r="BJ438" s="10">
        <f t="shared" ref="BJ438:BJ455" si="950">+AY438*8</f>
        <v>0</v>
      </c>
      <c r="BK438" s="10">
        <f t="shared" ref="BK438:BK455" si="951">+AZ438*8</f>
        <v>0</v>
      </c>
      <c r="BL438" s="10">
        <f t="shared" ref="BL438:BL455" si="952">+BA438*8</f>
        <v>0</v>
      </c>
      <c r="BM438" s="10">
        <f t="shared" ref="BM438:BM455" si="953">+BB438*8</f>
        <v>0</v>
      </c>
      <c r="BN438" s="10">
        <f t="shared" ref="BN438:BN455" si="954">+BC438*8</f>
        <v>0</v>
      </c>
      <c r="BO438" s="10">
        <f t="shared" ref="BO438:BO455" si="955">+BD438*8</f>
        <v>0</v>
      </c>
      <c r="BP438" s="10">
        <f t="shared" ref="BP438:BP455" si="956">+BE438*8</f>
        <v>0</v>
      </c>
      <c r="BQ438" s="1">
        <f t="shared" si="936"/>
        <v>0</v>
      </c>
    </row>
    <row r="439" spans="2:69" s="10" customFormat="1" ht="15" customHeight="1" x14ac:dyDescent="0.25">
      <c r="B439" s="2"/>
      <c r="C439" t="s">
        <v>347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17"/>
      <c r="AI439" s="1"/>
      <c r="AJ439" s="1"/>
      <c r="AK439" s="1"/>
      <c r="AL439" s="117"/>
      <c r="AM439" s="1"/>
      <c r="AN439" s="1"/>
      <c r="AO439" s="1"/>
      <c r="AP439" s="1"/>
      <c r="AQ439" s="1"/>
      <c r="AR439" s="3">
        <f t="shared" si="934"/>
        <v>0</v>
      </c>
      <c r="AS439" s="11"/>
      <c r="AT439" s="11"/>
      <c r="AU439" s="11"/>
      <c r="AV439" s="1">
        <f t="shared" si="937"/>
        <v>0</v>
      </c>
      <c r="AW439" s="1">
        <f t="shared" si="938"/>
        <v>0</v>
      </c>
      <c r="AX439" s="1">
        <f t="shared" si="939"/>
        <v>0</v>
      </c>
      <c r="AY439" s="1">
        <f t="shared" si="940"/>
        <v>0</v>
      </c>
      <c r="AZ439" s="1">
        <f t="shared" si="941"/>
        <v>0</v>
      </c>
      <c r="BA439" s="1">
        <f t="shared" si="942"/>
        <v>0</v>
      </c>
      <c r="BB439" s="1">
        <f t="shared" si="943"/>
        <v>0</v>
      </c>
      <c r="BC439" s="1">
        <f t="shared" si="944"/>
        <v>0</v>
      </c>
      <c r="BD439" s="1">
        <f t="shared" si="945"/>
        <v>0</v>
      </c>
      <c r="BE439" s="1">
        <f t="shared" si="946"/>
        <v>0</v>
      </c>
      <c r="BG439" s="10">
        <f t="shared" si="947"/>
        <v>0</v>
      </c>
      <c r="BH439" s="10">
        <f t="shared" si="948"/>
        <v>0</v>
      </c>
      <c r="BI439" s="10">
        <f t="shared" si="949"/>
        <v>0</v>
      </c>
      <c r="BJ439" s="10">
        <f t="shared" si="950"/>
        <v>0</v>
      </c>
      <c r="BK439" s="10">
        <f t="shared" si="951"/>
        <v>0</v>
      </c>
      <c r="BL439" s="10">
        <f t="shared" si="952"/>
        <v>0</v>
      </c>
      <c r="BM439" s="10">
        <f t="shared" si="953"/>
        <v>0</v>
      </c>
      <c r="BN439" s="10">
        <f t="shared" si="954"/>
        <v>0</v>
      </c>
      <c r="BO439" s="10">
        <f t="shared" si="955"/>
        <v>0</v>
      </c>
      <c r="BP439" s="10">
        <f t="shared" si="956"/>
        <v>0</v>
      </c>
      <c r="BQ439" s="1">
        <f t="shared" si="936"/>
        <v>0</v>
      </c>
    </row>
    <row r="440" spans="2:69" s="10" customFormat="1" ht="15" customHeight="1" x14ac:dyDescent="0.25">
      <c r="B440" s="2"/>
      <c r="C440" t="s">
        <v>0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17"/>
      <c r="AI440" s="1"/>
      <c r="AJ440" s="1"/>
      <c r="AK440" s="1"/>
      <c r="AL440" s="117"/>
      <c r="AM440" s="1"/>
      <c r="AN440" s="1"/>
      <c r="AO440" s="1"/>
      <c r="AP440" s="1"/>
      <c r="AQ440" s="1"/>
      <c r="AR440" s="3">
        <f t="shared" si="934"/>
        <v>0</v>
      </c>
      <c r="AS440" s="11"/>
      <c r="AT440" s="11"/>
      <c r="AU440" s="11"/>
      <c r="AV440" s="1">
        <f t="shared" si="937"/>
        <v>0</v>
      </c>
      <c r="AW440" s="1">
        <f t="shared" si="938"/>
        <v>0</v>
      </c>
      <c r="AX440" s="1">
        <f t="shared" si="939"/>
        <v>0</v>
      </c>
      <c r="AY440" s="1">
        <f t="shared" si="940"/>
        <v>0</v>
      </c>
      <c r="AZ440" s="1">
        <f t="shared" si="941"/>
        <v>0</v>
      </c>
      <c r="BA440" s="1">
        <f t="shared" si="942"/>
        <v>0</v>
      </c>
      <c r="BB440" s="1">
        <f t="shared" si="943"/>
        <v>0</v>
      </c>
      <c r="BC440" s="1">
        <f t="shared" si="944"/>
        <v>0</v>
      </c>
      <c r="BD440" s="1">
        <f t="shared" si="945"/>
        <v>0</v>
      </c>
      <c r="BE440" s="1">
        <f t="shared" si="946"/>
        <v>0</v>
      </c>
      <c r="BG440" s="10">
        <f t="shared" si="947"/>
        <v>0</v>
      </c>
      <c r="BH440" s="10">
        <f t="shared" si="948"/>
        <v>0</v>
      </c>
      <c r="BI440" s="10">
        <f t="shared" si="949"/>
        <v>0</v>
      </c>
      <c r="BJ440" s="10">
        <f t="shared" si="950"/>
        <v>0</v>
      </c>
      <c r="BK440" s="10">
        <f t="shared" si="951"/>
        <v>0</v>
      </c>
      <c r="BL440" s="10">
        <f t="shared" si="952"/>
        <v>0</v>
      </c>
      <c r="BM440" s="10">
        <f t="shared" si="953"/>
        <v>0</v>
      </c>
      <c r="BN440" s="10">
        <f t="shared" si="954"/>
        <v>0</v>
      </c>
      <c r="BO440" s="10">
        <f t="shared" si="955"/>
        <v>0</v>
      </c>
      <c r="BP440" s="10">
        <f t="shared" si="956"/>
        <v>0</v>
      </c>
      <c r="BQ440" s="1">
        <f t="shared" si="936"/>
        <v>0</v>
      </c>
    </row>
    <row r="441" spans="2:69" s="10" customFormat="1" ht="15" customHeight="1" x14ac:dyDescent="0.25">
      <c r="B441" s="2"/>
      <c r="C441" t="s">
        <v>354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17"/>
      <c r="AI441" s="1"/>
      <c r="AJ441" s="1"/>
      <c r="AK441" s="1"/>
      <c r="AL441" s="117"/>
      <c r="AM441" s="1"/>
      <c r="AN441" s="1"/>
      <c r="AO441" s="1"/>
      <c r="AP441" s="1"/>
      <c r="AQ441" s="1"/>
      <c r="AR441" s="3">
        <f t="shared" si="934"/>
        <v>0</v>
      </c>
      <c r="AS441" s="11"/>
      <c r="AT441" s="11"/>
      <c r="AU441" s="11"/>
      <c r="AV441" s="1">
        <f t="shared" si="937"/>
        <v>0</v>
      </c>
      <c r="AW441" s="1">
        <f t="shared" si="938"/>
        <v>0</v>
      </c>
      <c r="AX441" s="1">
        <f t="shared" si="939"/>
        <v>0</v>
      </c>
      <c r="AY441" s="1">
        <f t="shared" si="940"/>
        <v>0</v>
      </c>
      <c r="AZ441" s="1">
        <f t="shared" si="941"/>
        <v>0</v>
      </c>
      <c r="BA441" s="1">
        <f t="shared" si="942"/>
        <v>0</v>
      </c>
      <c r="BB441" s="1">
        <f t="shared" si="943"/>
        <v>0</v>
      </c>
      <c r="BC441" s="1">
        <f t="shared" si="944"/>
        <v>0</v>
      </c>
      <c r="BD441" s="1">
        <f t="shared" si="945"/>
        <v>0</v>
      </c>
      <c r="BE441" s="1">
        <f t="shared" si="946"/>
        <v>0</v>
      </c>
      <c r="BG441" s="10">
        <f t="shared" si="947"/>
        <v>0</v>
      </c>
      <c r="BH441" s="10">
        <f t="shared" si="948"/>
        <v>0</v>
      </c>
      <c r="BI441" s="10">
        <f t="shared" si="949"/>
        <v>0</v>
      </c>
      <c r="BJ441" s="10">
        <f t="shared" si="950"/>
        <v>0</v>
      </c>
      <c r="BK441" s="10">
        <f t="shared" si="951"/>
        <v>0</v>
      </c>
      <c r="BL441" s="10">
        <f t="shared" si="952"/>
        <v>0</v>
      </c>
      <c r="BM441" s="10">
        <f t="shared" si="953"/>
        <v>0</v>
      </c>
      <c r="BN441" s="10">
        <f t="shared" si="954"/>
        <v>0</v>
      </c>
      <c r="BO441" s="10">
        <f t="shared" si="955"/>
        <v>0</v>
      </c>
      <c r="BP441" s="10">
        <f t="shared" si="956"/>
        <v>0</v>
      </c>
      <c r="BQ441" s="1">
        <f t="shared" si="936"/>
        <v>0</v>
      </c>
    </row>
    <row r="442" spans="2:69" s="10" customFormat="1" ht="15" customHeight="1" x14ac:dyDescent="0.25">
      <c r="B442" s="2"/>
      <c r="C442" t="s">
        <v>265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17"/>
      <c r="AI442" s="1"/>
      <c r="AJ442" s="1"/>
      <c r="AK442" s="1"/>
      <c r="AL442" s="117"/>
      <c r="AM442" s="1"/>
      <c r="AN442" s="1"/>
      <c r="AO442" s="1"/>
      <c r="AP442" s="1"/>
      <c r="AQ442" s="1"/>
      <c r="AR442" s="3">
        <f t="shared" si="934"/>
        <v>0</v>
      </c>
      <c r="AS442" s="11"/>
      <c r="AT442" s="11"/>
      <c r="AU442" s="11"/>
      <c r="AV442" s="1">
        <f t="shared" si="937"/>
        <v>0</v>
      </c>
      <c r="AW442" s="1">
        <f t="shared" si="938"/>
        <v>0</v>
      </c>
      <c r="AX442" s="1">
        <f t="shared" si="939"/>
        <v>0</v>
      </c>
      <c r="AY442" s="1">
        <f t="shared" si="940"/>
        <v>0</v>
      </c>
      <c r="AZ442" s="1">
        <f t="shared" si="941"/>
        <v>0</v>
      </c>
      <c r="BA442" s="1">
        <f t="shared" si="942"/>
        <v>0</v>
      </c>
      <c r="BB442" s="1">
        <f t="shared" si="943"/>
        <v>0</v>
      </c>
      <c r="BC442" s="1">
        <f t="shared" si="944"/>
        <v>0</v>
      </c>
      <c r="BD442" s="1">
        <f t="shared" si="945"/>
        <v>0</v>
      </c>
      <c r="BE442" s="1">
        <f t="shared" si="946"/>
        <v>0</v>
      </c>
      <c r="BG442" s="10">
        <f t="shared" si="947"/>
        <v>0</v>
      </c>
      <c r="BH442" s="10">
        <f t="shared" si="948"/>
        <v>0</v>
      </c>
      <c r="BI442" s="10">
        <f t="shared" si="949"/>
        <v>0</v>
      </c>
      <c r="BJ442" s="10">
        <f t="shared" si="950"/>
        <v>0</v>
      </c>
      <c r="BK442" s="10">
        <f t="shared" si="951"/>
        <v>0</v>
      </c>
      <c r="BL442" s="10">
        <f t="shared" si="952"/>
        <v>0</v>
      </c>
      <c r="BM442" s="10">
        <f t="shared" si="953"/>
        <v>0</v>
      </c>
      <c r="BN442" s="10">
        <f t="shared" si="954"/>
        <v>0</v>
      </c>
      <c r="BO442" s="10">
        <f t="shared" si="955"/>
        <v>0</v>
      </c>
      <c r="BP442" s="10">
        <f t="shared" si="956"/>
        <v>0</v>
      </c>
      <c r="BQ442" s="1">
        <f t="shared" si="936"/>
        <v>0</v>
      </c>
    </row>
    <row r="443" spans="2:69" s="10" customFormat="1" ht="15" customHeight="1" x14ac:dyDescent="0.25">
      <c r="B443" s="2"/>
      <c r="C443" t="s">
        <v>191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17"/>
      <c r="AI443" s="1"/>
      <c r="AJ443" s="1"/>
      <c r="AK443" s="1"/>
      <c r="AL443" s="117"/>
      <c r="AM443" s="1"/>
      <c r="AN443" s="1"/>
      <c r="AO443" s="1"/>
      <c r="AP443" s="1"/>
      <c r="AQ443" s="1"/>
      <c r="AR443" s="3">
        <f t="shared" si="934"/>
        <v>0</v>
      </c>
      <c r="AS443" s="11"/>
      <c r="AT443" s="11"/>
      <c r="AU443" s="11"/>
      <c r="AV443" s="1">
        <f t="shared" si="937"/>
        <v>0</v>
      </c>
      <c r="AW443" s="1">
        <f t="shared" si="938"/>
        <v>0</v>
      </c>
      <c r="AX443" s="1">
        <f t="shared" si="939"/>
        <v>0</v>
      </c>
      <c r="AY443" s="1">
        <f t="shared" si="940"/>
        <v>0</v>
      </c>
      <c r="AZ443" s="1">
        <f t="shared" si="941"/>
        <v>0</v>
      </c>
      <c r="BA443" s="1">
        <f t="shared" si="942"/>
        <v>0</v>
      </c>
      <c r="BB443" s="1">
        <f t="shared" si="943"/>
        <v>0</v>
      </c>
      <c r="BC443" s="1">
        <f t="shared" si="944"/>
        <v>0</v>
      </c>
      <c r="BD443" s="1">
        <f t="shared" si="945"/>
        <v>0</v>
      </c>
      <c r="BE443" s="1">
        <f t="shared" si="946"/>
        <v>0</v>
      </c>
      <c r="BG443" s="10">
        <f t="shared" si="947"/>
        <v>0</v>
      </c>
      <c r="BH443" s="10">
        <f t="shared" si="948"/>
        <v>0</v>
      </c>
      <c r="BI443" s="10">
        <f t="shared" si="949"/>
        <v>0</v>
      </c>
      <c r="BJ443" s="10">
        <f t="shared" si="950"/>
        <v>0</v>
      </c>
      <c r="BK443" s="10">
        <f t="shared" si="951"/>
        <v>0</v>
      </c>
      <c r="BL443" s="10">
        <f t="shared" si="952"/>
        <v>0</v>
      </c>
      <c r="BM443" s="10">
        <f t="shared" si="953"/>
        <v>0</v>
      </c>
      <c r="BN443" s="10">
        <f t="shared" si="954"/>
        <v>0</v>
      </c>
      <c r="BO443" s="10">
        <f t="shared" si="955"/>
        <v>0</v>
      </c>
      <c r="BP443" s="10">
        <f t="shared" si="956"/>
        <v>0</v>
      </c>
      <c r="BQ443" s="1">
        <f t="shared" si="936"/>
        <v>0</v>
      </c>
    </row>
    <row r="444" spans="2:69" s="10" customFormat="1" ht="15" customHeight="1" x14ac:dyDescent="0.25">
      <c r="B444" s="2"/>
      <c r="C444" t="s">
        <v>549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17"/>
      <c r="AI444" s="1"/>
      <c r="AJ444" s="1"/>
      <c r="AK444" s="1"/>
      <c r="AL444" s="117"/>
      <c r="AM444" s="1"/>
      <c r="AN444" s="1"/>
      <c r="AO444" s="1"/>
      <c r="AP444" s="1"/>
      <c r="AQ444" s="1"/>
      <c r="AR444" s="3">
        <f t="shared" si="934"/>
        <v>0</v>
      </c>
      <c r="AS444" s="11"/>
      <c r="AT444" s="11"/>
      <c r="AU444" s="11"/>
      <c r="AV444" s="1">
        <f t="shared" si="937"/>
        <v>0</v>
      </c>
      <c r="AW444" s="1">
        <f t="shared" si="938"/>
        <v>0</v>
      </c>
      <c r="AX444" s="1">
        <f t="shared" si="939"/>
        <v>0</v>
      </c>
      <c r="AY444" s="1">
        <f t="shared" si="940"/>
        <v>0</v>
      </c>
      <c r="AZ444" s="1">
        <f t="shared" si="941"/>
        <v>0</v>
      </c>
      <c r="BA444" s="1">
        <f t="shared" si="942"/>
        <v>0</v>
      </c>
      <c r="BB444" s="1">
        <f t="shared" si="943"/>
        <v>0</v>
      </c>
      <c r="BC444" s="1">
        <f t="shared" si="944"/>
        <v>0</v>
      </c>
      <c r="BD444" s="1">
        <f t="shared" si="945"/>
        <v>0</v>
      </c>
      <c r="BE444" s="1">
        <f t="shared" si="946"/>
        <v>0</v>
      </c>
      <c r="BG444" s="10">
        <f t="shared" si="947"/>
        <v>0</v>
      </c>
      <c r="BH444" s="10">
        <f t="shared" si="948"/>
        <v>0</v>
      </c>
      <c r="BI444" s="10">
        <f t="shared" si="949"/>
        <v>0</v>
      </c>
      <c r="BJ444" s="10">
        <f t="shared" si="950"/>
        <v>0</v>
      </c>
      <c r="BK444" s="10">
        <f t="shared" si="951"/>
        <v>0</v>
      </c>
      <c r="BL444" s="10">
        <f t="shared" si="952"/>
        <v>0</v>
      </c>
      <c r="BM444" s="10">
        <f t="shared" si="953"/>
        <v>0</v>
      </c>
      <c r="BN444" s="10">
        <f t="shared" si="954"/>
        <v>0</v>
      </c>
      <c r="BO444" s="10">
        <f t="shared" si="955"/>
        <v>0</v>
      </c>
      <c r="BP444" s="10">
        <f t="shared" si="956"/>
        <v>0</v>
      </c>
      <c r="BQ444" s="1">
        <f t="shared" si="936"/>
        <v>0</v>
      </c>
    </row>
    <row r="445" spans="2:69" s="10" customFormat="1" ht="15" customHeight="1" x14ac:dyDescent="0.25">
      <c r="B445" s="2"/>
      <c r="C445" t="s">
        <v>550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17"/>
      <c r="AI445" s="1"/>
      <c r="AJ445" s="1"/>
      <c r="AK445" s="1"/>
      <c r="AL445" s="117"/>
      <c r="AM445" s="1"/>
      <c r="AN445" s="1"/>
      <c r="AO445" s="1"/>
      <c r="AP445" s="1"/>
      <c r="AQ445" s="1"/>
      <c r="AR445" s="3">
        <f t="shared" si="934"/>
        <v>0</v>
      </c>
      <c r="AS445" s="11"/>
      <c r="AT445" s="11"/>
      <c r="AU445" s="11"/>
      <c r="AV445" s="1">
        <f t="shared" si="937"/>
        <v>0</v>
      </c>
      <c r="AW445" s="1">
        <f t="shared" si="938"/>
        <v>0</v>
      </c>
      <c r="AX445" s="1">
        <f t="shared" si="939"/>
        <v>0</v>
      </c>
      <c r="AY445" s="1">
        <f t="shared" si="940"/>
        <v>0</v>
      </c>
      <c r="AZ445" s="1">
        <f t="shared" si="941"/>
        <v>0</v>
      </c>
      <c r="BA445" s="1">
        <f t="shared" si="942"/>
        <v>0</v>
      </c>
      <c r="BB445" s="1">
        <f t="shared" si="943"/>
        <v>0</v>
      </c>
      <c r="BC445" s="1">
        <f t="shared" si="944"/>
        <v>0</v>
      </c>
      <c r="BD445" s="1">
        <f t="shared" si="945"/>
        <v>0</v>
      </c>
      <c r="BE445" s="1">
        <f t="shared" si="946"/>
        <v>0</v>
      </c>
      <c r="BG445" s="10">
        <f t="shared" si="947"/>
        <v>0</v>
      </c>
      <c r="BH445" s="10">
        <f t="shared" si="948"/>
        <v>0</v>
      </c>
      <c r="BI445" s="10">
        <f t="shared" si="949"/>
        <v>0</v>
      </c>
      <c r="BJ445" s="10">
        <f t="shared" si="950"/>
        <v>0</v>
      </c>
      <c r="BK445" s="10">
        <f t="shared" si="951"/>
        <v>0</v>
      </c>
      <c r="BL445" s="10">
        <f t="shared" si="952"/>
        <v>0</v>
      </c>
      <c r="BM445" s="10">
        <f t="shared" si="953"/>
        <v>0</v>
      </c>
      <c r="BN445" s="10">
        <f t="shared" si="954"/>
        <v>0</v>
      </c>
      <c r="BO445" s="10">
        <f t="shared" si="955"/>
        <v>0</v>
      </c>
      <c r="BP445" s="10">
        <f t="shared" si="956"/>
        <v>0</v>
      </c>
      <c r="BQ445" s="1">
        <f t="shared" si="936"/>
        <v>0</v>
      </c>
    </row>
    <row r="446" spans="2:69" s="10" customFormat="1" ht="15" customHeight="1" x14ac:dyDescent="0.25">
      <c r="B446" s="2"/>
      <c r="C446" t="s">
        <v>6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17"/>
      <c r="AI446" s="1"/>
      <c r="AJ446" s="1"/>
      <c r="AK446" s="1"/>
      <c r="AL446" s="117"/>
      <c r="AM446" s="1"/>
      <c r="AN446" s="1"/>
      <c r="AO446" s="1"/>
      <c r="AP446" s="1"/>
      <c r="AQ446" s="1"/>
      <c r="AR446" s="3">
        <f t="shared" si="934"/>
        <v>0</v>
      </c>
      <c r="AS446" s="11"/>
      <c r="AT446" s="11"/>
      <c r="AU446" s="11"/>
      <c r="AV446" s="1">
        <f t="shared" si="937"/>
        <v>0</v>
      </c>
      <c r="AW446" s="1">
        <f t="shared" si="938"/>
        <v>0</v>
      </c>
      <c r="AX446" s="1">
        <f t="shared" si="939"/>
        <v>0</v>
      </c>
      <c r="AY446" s="1">
        <f t="shared" si="940"/>
        <v>0</v>
      </c>
      <c r="AZ446" s="1">
        <f t="shared" si="941"/>
        <v>0</v>
      </c>
      <c r="BA446" s="1">
        <f t="shared" si="942"/>
        <v>0</v>
      </c>
      <c r="BB446" s="1">
        <f t="shared" si="943"/>
        <v>0</v>
      </c>
      <c r="BC446" s="1">
        <f t="shared" si="944"/>
        <v>0</v>
      </c>
      <c r="BD446" s="1">
        <f t="shared" si="945"/>
        <v>0</v>
      </c>
      <c r="BE446" s="1">
        <f t="shared" si="946"/>
        <v>0</v>
      </c>
      <c r="BG446" s="10">
        <f t="shared" si="947"/>
        <v>0</v>
      </c>
      <c r="BH446" s="10">
        <f t="shared" si="948"/>
        <v>0</v>
      </c>
      <c r="BI446" s="10">
        <f t="shared" si="949"/>
        <v>0</v>
      </c>
      <c r="BJ446" s="10">
        <f t="shared" si="950"/>
        <v>0</v>
      </c>
      <c r="BK446" s="10">
        <f t="shared" si="951"/>
        <v>0</v>
      </c>
      <c r="BL446" s="10">
        <f t="shared" si="952"/>
        <v>0</v>
      </c>
      <c r="BM446" s="10">
        <f t="shared" si="953"/>
        <v>0</v>
      </c>
      <c r="BN446" s="10">
        <f t="shared" si="954"/>
        <v>0</v>
      </c>
      <c r="BO446" s="10">
        <f t="shared" si="955"/>
        <v>0</v>
      </c>
      <c r="BP446" s="10">
        <f t="shared" si="956"/>
        <v>0</v>
      </c>
      <c r="BQ446" s="1">
        <f t="shared" si="936"/>
        <v>0</v>
      </c>
    </row>
    <row r="447" spans="2:69" s="10" customFormat="1" ht="15" customHeight="1" x14ac:dyDescent="0.25">
      <c r="B447" s="2"/>
      <c r="C447" t="s">
        <v>262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17"/>
      <c r="AI447" s="1"/>
      <c r="AJ447" s="1"/>
      <c r="AK447" s="1"/>
      <c r="AL447" s="117"/>
      <c r="AM447" s="1"/>
      <c r="AN447" s="1"/>
      <c r="AO447" s="1"/>
      <c r="AP447" s="1"/>
      <c r="AQ447" s="1"/>
      <c r="AR447" s="3">
        <f t="shared" si="934"/>
        <v>0</v>
      </c>
      <c r="AS447" s="11"/>
      <c r="AT447" s="11"/>
      <c r="AU447" s="11"/>
      <c r="AV447" s="1">
        <f t="shared" si="937"/>
        <v>0</v>
      </c>
      <c r="AW447" s="1">
        <f t="shared" si="938"/>
        <v>0</v>
      </c>
      <c r="AX447" s="1">
        <f t="shared" si="939"/>
        <v>0</v>
      </c>
      <c r="AY447" s="1">
        <f t="shared" si="940"/>
        <v>0</v>
      </c>
      <c r="AZ447" s="1">
        <f t="shared" si="941"/>
        <v>0</v>
      </c>
      <c r="BA447" s="1">
        <f t="shared" si="942"/>
        <v>0</v>
      </c>
      <c r="BB447" s="1">
        <f t="shared" si="943"/>
        <v>0</v>
      </c>
      <c r="BC447" s="1">
        <f t="shared" si="944"/>
        <v>0</v>
      </c>
      <c r="BD447" s="1">
        <f t="shared" si="945"/>
        <v>0</v>
      </c>
      <c r="BE447" s="1">
        <f t="shared" si="946"/>
        <v>0</v>
      </c>
      <c r="BG447" s="10">
        <f t="shared" si="947"/>
        <v>0</v>
      </c>
      <c r="BH447" s="10">
        <f t="shared" si="948"/>
        <v>0</v>
      </c>
      <c r="BI447" s="10">
        <f t="shared" si="949"/>
        <v>0</v>
      </c>
      <c r="BJ447" s="10">
        <f t="shared" si="950"/>
        <v>0</v>
      </c>
      <c r="BK447" s="10">
        <f t="shared" si="951"/>
        <v>0</v>
      </c>
      <c r="BL447" s="10">
        <f t="shared" si="952"/>
        <v>0</v>
      </c>
      <c r="BM447" s="10">
        <f t="shared" si="953"/>
        <v>0</v>
      </c>
      <c r="BN447" s="10">
        <f t="shared" si="954"/>
        <v>0</v>
      </c>
      <c r="BO447" s="10">
        <f t="shared" si="955"/>
        <v>0</v>
      </c>
      <c r="BP447" s="10">
        <f t="shared" si="956"/>
        <v>0</v>
      </c>
      <c r="BQ447" s="1">
        <f t="shared" si="936"/>
        <v>0</v>
      </c>
    </row>
    <row r="448" spans="2:69" s="10" customFormat="1" ht="15" customHeight="1" x14ac:dyDescent="0.25">
      <c r="B448" s="2"/>
      <c r="C448" t="s">
        <v>42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17"/>
      <c r="AI448" s="1"/>
      <c r="AJ448" s="1"/>
      <c r="AK448" s="1"/>
      <c r="AL448" s="117"/>
      <c r="AM448" s="1"/>
      <c r="AN448" s="1"/>
      <c r="AO448" s="1"/>
      <c r="AP448" s="1"/>
      <c r="AQ448" s="1"/>
      <c r="AR448" s="3">
        <f t="shared" si="934"/>
        <v>0</v>
      </c>
      <c r="AS448" s="11"/>
      <c r="AT448" s="11"/>
      <c r="AU448" s="11"/>
      <c r="AV448" s="1">
        <f t="shared" si="937"/>
        <v>0</v>
      </c>
      <c r="AW448" s="1">
        <f t="shared" si="938"/>
        <v>0</v>
      </c>
      <c r="AX448" s="1">
        <f t="shared" si="939"/>
        <v>0</v>
      </c>
      <c r="AY448" s="1">
        <f t="shared" si="940"/>
        <v>0</v>
      </c>
      <c r="AZ448" s="1">
        <f t="shared" si="941"/>
        <v>0</v>
      </c>
      <c r="BA448" s="1">
        <f t="shared" si="942"/>
        <v>0</v>
      </c>
      <c r="BB448" s="1">
        <f t="shared" si="943"/>
        <v>0</v>
      </c>
      <c r="BC448" s="1">
        <f t="shared" si="944"/>
        <v>0</v>
      </c>
      <c r="BD448" s="1">
        <f t="shared" si="945"/>
        <v>0</v>
      </c>
      <c r="BE448" s="1">
        <f t="shared" si="946"/>
        <v>0</v>
      </c>
      <c r="BG448" s="10">
        <f t="shared" si="947"/>
        <v>0</v>
      </c>
      <c r="BH448" s="10">
        <f t="shared" si="948"/>
        <v>0</v>
      </c>
      <c r="BI448" s="10">
        <f t="shared" si="949"/>
        <v>0</v>
      </c>
      <c r="BJ448" s="10">
        <f t="shared" si="950"/>
        <v>0</v>
      </c>
      <c r="BK448" s="10">
        <f t="shared" si="951"/>
        <v>0</v>
      </c>
      <c r="BL448" s="10">
        <f t="shared" si="952"/>
        <v>0</v>
      </c>
      <c r="BM448" s="10">
        <f t="shared" si="953"/>
        <v>0</v>
      </c>
      <c r="BN448" s="10">
        <f t="shared" si="954"/>
        <v>0</v>
      </c>
      <c r="BO448" s="10">
        <f t="shared" si="955"/>
        <v>0</v>
      </c>
      <c r="BP448" s="10">
        <f t="shared" si="956"/>
        <v>0</v>
      </c>
      <c r="BQ448" s="1">
        <f t="shared" si="936"/>
        <v>0</v>
      </c>
    </row>
    <row r="449" spans="2:69" s="10" customFormat="1" ht="15" customHeight="1" x14ac:dyDescent="0.25">
      <c r="B449" s="2"/>
      <c r="C449" t="s">
        <v>192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17"/>
      <c r="AI449" s="1"/>
      <c r="AJ449" s="1"/>
      <c r="AK449" s="1"/>
      <c r="AL449" s="117"/>
      <c r="AM449" s="1"/>
      <c r="AN449" s="1"/>
      <c r="AO449" s="1"/>
      <c r="AP449" s="1"/>
      <c r="AQ449" s="1"/>
      <c r="AR449" s="3">
        <f t="shared" si="934"/>
        <v>0</v>
      </c>
      <c r="AS449" s="11"/>
      <c r="AT449" s="11"/>
      <c r="AU449" s="11"/>
      <c r="AV449" s="1">
        <f t="shared" si="937"/>
        <v>0</v>
      </c>
      <c r="AW449" s="1">
        <f t="shared" si="938"/>
        <v>0</v>
      </c>
      <c r="AX449" s="1">
        <f t="shared" si="939"/>
        <v>0</v>
      </c>
      <c r="AY449" s="1">
        <f t="shared" si="940"/>
        <v>0</v>
      </c>
      <c r="AZ449" s="1">
        <f t="shared" si="941"/>
        <v>0</v>
      </c>
      <c r="BA449" s="1">
        <f t="shared" si="942"/>
        <v>0</v>
      </c>
      <c r="BB449" s="1">
        <f t="shared" si="943"/>
        <v>0</v>
      </c>
      <c r="BC449" s="1">
        <f t="shared" si="944"/>
        <v>0</v>
      </c>
      <c r="BD449" s="1">
        <f t="shared" si="945"/>
        <v>0</v>
      </c>
      <c r="BE449" s="1">
        <f t="shared" si="946"/>
        <v>0</v>
      </c>
      <c r="BG449" s="10">
        <f t="shared" si="947"/>
        <v>0</v>
      </c>
      <c r="BH449" s="10">
        <f t="shared" si="948"/>
        <v>0</v>
      </c>
      <c r="BI449" s="10">
        <f t="shared" si="949"/>
        <v>0</v>
      </c>
      <c r="BJ449" s="10">
        <f t="shared" si="950"/>
        <v>0</v>
      </c>
      <c r="BK449" s="10">
        <f t="shared" si="951"/>
        <v>0</v>
      </c>
      <c r="BL449" s="10">
        <f t="shared" si="952"/>
        <v>0</v>
      </c>
      <c r="BM449" s="10">
        <f t="shared" si="953"/>
        <v>0</v>
      </c>
      <c r="BN449" s="10">
        <f t="shared" si="954"/>
        <v>0</v>
      </c>
      <c r="BO449" s="10">
        <f t="shared" si="955"/>
        <v>0</v>
      </c>
      <c r="BP449" s="10">
        <f t="shared" si="956"/>
        <v>0</v>
      </c>
      <c r="BQ449" s="1">
        <f t="shared" si="936"/>
        <v>0</v>
      </c>
    </row>
    <row r="450" spans="2:69" s="10" customFormat="1" ht="15" customHeight="1" x14ac:dyDescent="0.25">
      <c r="B450" s="2"/>
      <c r="C450" t="s">
        <v>133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17"/>
      <c r="AI450" s="1"/>
      <c r="AJ450" s="1"/>
      <c r="AK450" s="1"/>
      <c r="AL450" s="117"/>
      <c r="AM450" s="1"/>
      <c r="AN450" s="1"/>
      <c r="AO450" s="1"/>
      <c r="AP450" s="1"/>
      <c r="AQ450" s="1"/>
      <c r="AR450" s="3">
        <f t="shared" si="934"/>
        <v>0</v>
      </c>
      <c r="AS450" s="11"/>
      <c r="AT450" s="11"/>
      <c r="AU450" s="11"/>
      <c r="AV450" s="1">
        <f t="shared" si="937"/>
        <v>0</v>
      </c>
      <c r="AW450" s="1">
        <f t="shared" si="938"/>
        <v>0</v>
      </c>
      <c r="AX450" s="1">
        <f t="shared" si="939"/>
        <v>0</v>
      </c>
      <c r="AY450" s="1">
        <f t="shared" si="940"/>
        <v>0</v>
      </c>
      <c r="AZ450" s="1">
        <f t="shared" si="941"/>
        <v>0</v>
      </c>
      <c r="BA450" s="1">
        <f t="shared" si="942"/>
        <v>0</v>
      </c>
      <c r="BB450" s="1">
        <f t="shared" si="943"/>
        <v>0</v>
      </c>
      <c r="BC450" s="1">
        <f t="shared" si="944"/>
        <v>0</v>
      </c>
      <c r="BD450" s="1">
        <f t="shared" si="945"/>
        <v>0</v>
      </c>
      <c r="BE450" s="1">
        <f t="shared" si="946"/>
        <v>0</v>
      </c>
      <c r="BG450" s="10">
        <f t="shared" si="947"/>
        <v>0</v>
      </c>
      <c r="BH450" s="10">
        <f t="shared" si="948"/>
        <v>0</v>
      </c>
      <c r="BI450" s="10">
        <f t="shared" si="949"/>
        <v>0</v>
      </c>
      <c r="BJ450" s="10">
        <f t="shared" si="950"/>
        <v>0</v>
      </c>
      <c r="BK450" s="10">
        <f t="shared" si="951"/>
        <v>0</v>
      </c>
      <c r="BL450" s="10">
        <f t="shared" si="952"/>
        <v>0</v>
      </c>
      <c r="BM450" s="10">
        <f t="shared" si="953"/>
        <v>0</v>
      </c>
      <c r="BN450" s="10">
        <f t="shared" si="954"/>
        <v>0</v>
      </c>
      <c r="BO450" s="10">
        <f t="shared" si="955"/>
        <v>0</v>
      </c>
      <c r="BP450" s="10">
        <f t="shared" si="956"/>
        <v>0</v>
      </c>
      <c r="BQ450" s="1">
        <f t="shared" si="936"/>
        <v>0</v>
      </c>
    </row>
    <row r="451" spans="2:69" s="10" customFormat="1" ht="15" customHeight="1" x14ac:dyDescent="0.25">
      <c r="B451" s="2"/>
      <c r="C451" t="s">
        <v>41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17"/>
      <c r="AI451" s="1"/>
      <c r="AJ451" s="1"/>
      <c r="AK451" s="1"/>
      <c r="AL451" s="117"/>
      <c r="AM451" s="1"/>
      <c r="AN451" s="1"/>
      <c r="AO451" s="1"/>
      <c r="AP451" s="1"/>
      <c r="AQ451" s="1"/>
      <c r="AR451" s="3">
        <f t="shared" si="934"/>
        <v>0</v>
      </c>
      <c r="AS451" s="11"/>
      <c r="AT451" s="11"/>
      <c r="AU451" s="11"/>
      <c r="AV451" s="1">
        <f t="shared" si="937"/>
        <v>0</v>
      </c>
      <c r="AW451" s="1">
        <f t="shared" si="938"/>
        <v>0</v>
      </c>
      <c r="AX451" s="1">
        <f t="shared" si="939"/>
        <v>0</v>
      </c>
      <c r="AY451" s="1">
        <f t="shared" si="940"/>
        <v>0</v>
      </c>
      <c r="AZ451" s="1">
        <f t="shared" si="941"/>
        <v>0</v>
      </c>
      <c r="BA451" s="1">
        <f t="shared" si="942"/>
        <v>0</v>
      </c>
      <c r="BB451" s="1">
        <f t="shared" si="943"/>
        <v>0</v>
      </c>
      <c r="BC451" s="1">
        <f t="shared" si="944"/>
        <v>0</v>
      </c>
      <c r="BD451" s="1">
        <f t="shared" si="945"/>
        <v>0</v>
      </c>
      <c r="BE451" s="1">
        <f t="shared" si="946"/>
        <v>0</v>
      </c>
      <c r="BG451" s="10">
        <f t="shared" si="947"/>
        <v>0</v>
      </c>
      <c r="BH451" s="10">
        <f t="shared" si="948"/>
        <v>0</v>
      </c>
      <c r="BI451" s="10">
        <f t="shared" si="949"/>
        <v>0</v>
      </c>
      <c r="BJ451" s="10">
        <f t="shared" si="950"/>
        <v>0</v>
      </c>
      <c r="BK451" s="10">
        <f t="shared" si="951"/>
        <v>0</v>
      </c>
      <c r="BL451" s="10">
        <f t="shared" si="952"/>
        <v>0</v>
      </c>
      <c r="BM451" s="10">
        <f t="shared" si="953"/>
        <v>0</v>
      </c>
      <c r="BN451" s="10">
        <f t="shared" si="954"/>
        <v>0</v>
      </c>
      <c r="BO451" s="10">
        <f t="shared" si="955"/>
        <v>0</v>
      </c>
      <c r="BP451" s="10">
        <f t="shared" si="956"/>
        <v>0</v>
      </c>
      <c r="BQ451" s="1">
        <f t="shared" si="936"/>
        <v>0</v>
      </c>
    </row>
    <row r="452" spans="2:69" s="10" customFormat="1" ht="15" customHeight="1" x14ac:dyDescent="0.25">
      <c r="B452" s="2"/>
      <c r="C452" t="s">
        <v>193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17"/>
      <c r="AI452" s="1"/>
      <c r="AJ452" s="1"/>
      <c r="AK452" s="1"/>
      <c r="AL452" s="117"/>
      <c r="AM452" s="1"/>
      <c r="AN452" s="1"/>
      <c r="AO452" s="1"/>
      <c r="AP452" s="1"/>
      <c r="AQ452" s="1"/>
      <c r="AR452" s="3">
        <f t="shared" si="934"/>
        <v>0</v>
      </c>
      <c r="AS452" s="11"/>
      <c r="AT452" s="11"/>
      <c r="AU452" s="11"/>
      <c r="AV452" s="1">
        <f t="shared" si="937"/>
        <v>0</v>
      </c>
      <c r="AW452" s="1">
        <f t="shared" si="938"/>
        <v>0</v>
      </c>
      <c r="AX452" s="1">
        <f t="shared" si="939"/>
        <v>0</v>
      </c>
      <c r="AY452" s="1">
        <f t="shared" si="940"/>
        <v>0</v>
      </c>
      <c r="AZ452" s="1">
        <f t="shared" si="941"/>
        <v>0</v>
      </c>
      <c r="BA452" s="1">
        <f t="shared" si="942"/>
        <v>0</v>
      </c>
      <c r="BB452" s="1">
        <f t="shared" si="943"/>
        <v>0</v>
      </c>
      <c r="BC452" s="1">
        <f t="shared" si="944"/>
        <v>0</v>
      </c>
      <c r="BD452" s="1">
        <f t="shared" si="945"/>
        <v>0</v>
      </c>
      <c r="BE452" s="1">
        <f t="shared" si="946"/>
        <v>0</v>
      </c>
      <c r="BG452" s="10">
        <f t="shared" si="947"/>
        <v>0</v>
      </c>
      <c r="BH452" s="10">
        <f t="shared" si="948"/>
        <v>0</v>
      </c>
      <c r="BI452" s="10">
        <f t="shared" si="949"/>
        <v>0</v>
      </c>
      <c r="BJ452" s="10">
        <f t="shared" si="950"/>
        <v>0</v>
      </c>
      <c r="BK452" s="10">
        <f t="shared" si="951"/>
        <v>0</v>
      </c>
      <c r="BL452" s="10">
        <f t="shared" si="952"/>
        <v>0</v>
      </c>
      <c r="BM452" s="10">
        <f t="shared" si="953"/>
        <v>0</v>
      </c>
      <c r="BN452" s="10">
        <f t="shared" si="954"/>
        <v>0</v>
      </c>
      <c r="BO452" s="10">
        <f t="shared" si="955"/>
        <v>0</v>
      </c>
      <c r="BP452" s="10">
        <f t="shared" si="956"/>
        <v>0</v>
      </c>
      <c r="BQ452" s="1">
        <f t="shared" si="936"/>
        <v>0</v>
      </c>
    </row>
    <row r="453" spans="2:69" s="10" customFormat="1" ht="15" customHeight="1" x14ac:dyDescent="0.25">
      <c r="B453" s="2"/>
      <c r="C453" t="s">
        <v>297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17"/>
      <c r="AI453" s="1"/>
      <c r="AJ453" s="1"/>
      <c r="AK453" s="1"/>
      <c r="AL453" s="117"/>
      <c r="AM453" s="1"/>
      <c r="AN453" s="1"/>
      <c r="AO453" s="1"/>
      <c r="AP453" s="1"/>
      <c r="AQ453" s="1"/>
      <c r="AR453" s="3">
        <f t="shared" si="934"/>
        <v>0</v>
      </c>
      <c r="AS453" s="11"/>
      <c r="AT453" s="11"/>
      <c r="AU453" s="11"/>
      <c r="AV453" s="1">
        <f t="shared" si="937"/>
        <v>0</v>
      </c>
      <c r="AW453" s="1">
        <f t="shared" si="938"/>
        <v>0</v>
      </c>
      <c r="AX453" s="1">
        <f t="shared" si="939"/>
        <v>0</v>
      </c>
      <c r="AY453" s="1">
        <f t="shared" si="940"/>
        <v>0</v>
      </c>
      <c r="AZ453" s="1">
        <f t="shared" si="941"/>
        <v>0</v>
      </c>
      <c r="BA453" s="1">
        <f t="shared" si="942"/>
        <v>0</v>
      </c>
      <c r="BB453" s="1">
        <f t="shared" si="943"/>
        <v>0</v>
      </c>
      <c r="BC453" s="1">
        <f t="shared" si="944"/>
        <v>0</v>
      </c>
      <c r="BD453" s="1">
        <f t="shared" si="945"/>
        <v>0</v>
      </c>
      <c r="BE453" s="1">
        <f t="shared" si="946"/>
        <v>0</v>
      </c>
      <c r="BG453" s="10">
        <f t="shared" si="947"/>
        <v>0</v>
      </c>
      <c r="BH453" s="10">
        <f t="shared" si="948"/>
        <v>0</v>
      </c>
      <c r="BI453" s="10">
        <f t="shared" si="949"/>
        <v>0</v>
      </c>
      <c r="BJ453" s="10">
        <f t="shared" si="950"/>
        <v>0</v>
      </c>
      <c r="BK453" s="10">
        <f t="shared" si="951"/>
        <v>0</v>
      </c>
      <c r="BL453" s="10">
        <f t="shared" si="952"/>
        <v>0</v>
      </c>
      <c r="BM453" s="10">
        <f t="shared" si="953"/>
        <v>0</v>
      </c>
      <c r="BN453" s="10">
        <f t="shared" si="954"/>
        <v>0</v>
      </c>
      <c r="BO453" s="10">
        <f t="shared" si="955"/>
        <v>0</v>
      </c>
      <c r="BP453" s="10">
        <f t="shared" si="956"/>
        <v>0</v>
      </c>
      <c r="BQ453" s="1">
        <f t="shared" si="936"/>
        <v>0</v>
      </c>
    </row>
    <row r="454" spans="2:69" s="10" customFormat="1" ht="15" customHeight="1" x14ac:dyDescent="0.25">
      <c r="B454" s="2"/>
      <c r="C454" t="s">
        <v>296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17"/>
      <c r="AI454" s="1"/>
      <c r="AJ454" s="1"/>
      <c r="AK454" s="1"/>
      <c r="AL454" s="117"/>
      <c r="AM454" s="1"/>
      <c r="AN454" s="1"/>
      <c r="AO454" s="1"/>
      <c r="AP454" s="1"/>
      <c r="AQ454" s="1"/>
      <c r="AR454" s="3">
        <f t="shared" si="934"/>
        <v>0</v>
      </c>
      <c r="AS454" s="11"/>
      <c r="AT454" s="11"/>
      <c r="AU454" s="11"/>
      <c r="AV454" s="1">
        <f t="shared" si="937"/>
        <v>0</v>
      </c>
      <c r="AW454" s="1">
        <f t="shared" si="938"/>
        <v>0</v>
      </c>
      <c r="AX454" s="1">
        <f t="shared" si="939"/>
        <v>0</v>
      </c>
      <c r="AY454" s="1">
        <f t="shared" si="940"/>
        <v>0</v>
      </c>
      <c r="AZ454" s="1">
        <f t="shared" si="941"/>
        <v>0</v>
      </c>
      <c r="BA454" s="1">
        <f t="shared" si="942"/>
        <v>0</v>
      </c>
      <c r="BB454" s="1">
        <f t="shared" si="943"/>
        <v>0</v>
      </c>
      <c r="BC454" s="1">
        <f t="shared" si="944"/>
        <v>0</v>
      </c>
      <c r="BD454" s="1">
        <f t="shared" si="945"/>
        <v>0</v>
      </c>
      <c r="BE454" s="1">
        <f t="shared" si="946"/>
        <v>0</v>
      </c>
      <c r="BG454" s="10">
        <f t="shared" si="947"/>
        <v>0</v>
      </c>
      <c r="BH454" s="10">
        <f t="shared" si="948"/>
        <v>0</v>
      </c>
      <c r="BI454" s="10">
        <f t="shared" si="949"/>
        <v>0</v>
      </c>
      <c r="BJ454" s="10">
        <f t="shared" si="950"/>
        <v>0</v>
      </c>
      <c r="BK454" s="10">
        <f t="shared" si="951"/>
        <v>0</v>
      </c>
      <c r="BL454" s="10">
        <f t="shared" si="952"/>
        <v>0</v>
      </c>
      <c r="BM454" s="10">
        <f t="shared" si="953"/>
        <v>0</v>
      </c>
      <c r="BN454" s="10">
        <f t="shared" si="954"/>
        <v>0</v>
      </c>
      <c r="BO454" s="10">
        <f t="shared" si="955"/>
        <v>0</v>
      </c>
      <c r="BP454" s="10">
        <f t="shared" si="956"/>
        <v>0</v>
      </c>
      <c r="BQ454" s="1">
        <f t="shared" si="936"/>
        <v>0</v>
      </c>
    </row>
    <row r="455" spans="2:69" s="10" customFormat="1" ht="15" customHeight="1" x14ac:dyDescent="0.25">
      <c r="B455" s="2"/>
      <c r="C455" t="s">
        <v>44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17"/>
      <c r="AI455" s="1"/>
      <c r="AJ455" s="1"/>
      <c r="AK455" s="1"/>
      <c r="AL455" s="117"/>
      <c r="AM455" s="1"/>
      <c r="AN455" s="1"/>
      <c r="AO455" s="1"/>
      <c r="AP455" s="1"/>
      <c r="AQ455" s="1"/>
      <c r="AR455" s="3">
        <f t="shared" si="934"/>
        <v>0</v>
      </c>
      <c r="AS455" s="11"/>
      <c r="AT455" s="11"/>
      <c r="AU455" s="11"/>
      <c r="AV455" s="1">
        <f t="shared" si="937"/>
        <v>0</v>
      </c>
      <c r="AW455" s="1">
        <f t="shared" si="938"/>
        <v>0</v>
      </c>
      <c r="AX455" s="1">
        <f t="shared" si="939"/>
        <v>0</v>
      </c>
      <c r="AY455" s="1">
        <f t="shared" si="940"/>
        <v>0</v>
      </c>
      <c r="AZ455" s="1">
        <f t="shared" si="941"/>
        <v>0</v>
      </c>
      <c r="BA455" s="1">
        <f t="shared" si="942"/>
        <v>0</v>
      </c>
      <c r="BB455" s="1">
        <f t="shared" si="943"/>
        <v>0</v>
      </c>
      <c r="BC455" s="1">
        <f t="shared" si="944"/>
        <v>0</v>
      </c>
      <c r="BD455" s="1">
        <f t="shared" si="945"/>
        <v>0</v>
      </c>
      <c r="BE455" s="1">
        <f t="shared" si="946"/>
        <v>0</v>
      </c>
      <c r="BG455" s="10">
        <f t="shared" si="947"/>
        <v>0</v>
      </c>
      <c r="BH455" s="10">
        <f t="shared" si="948"/>
        <v>0</v>
      </c>
      <c r="BI455" s="10">
        <f t="shared" si="949"/>
        <v>0</v>
      </c>
      <c r="BJ455" s="10">
        <f t="shared" si="950"/>
        <v>0</v>
      </c>
      <c r="BK455" s="10">
        <f t="shared" si="951"/>
        <v>0</v>
      </c>
      <c r="BL455" s="10">
        <f t="shared" si="952"/>
        <v>0</v>
      </c>
      <c r="BM455" s="10">
        <f t="shared" si="953"/>
        <v>0</v>
      </c>
      <c r="BN455" s="10">
        <f t="shared" si="954"/>
        <v>0</v>
      </c>
      <c r="BO455" s="10">
        <f t="shared" si="955"/>
        <v>0</v>
      </c>
      <c r="BP455" s="10">
        <f t="shared" si="956"/>
        <v>0</v>
      </c>
      <c r="BQ455" s="1">
        <f t="shared" si="936"/>
        <v>0</v>
      </c>
    </row>
    <row r="456" spans="2:69" s="10" customFormat="1" ht="15" customHeight="1" x14ac:dyDescent="0.25">
      <c r="B456" s="2" t="s">
        <v>456</v>
      </c>
      <c r="C456" s="2"/>
      <c r="D456" s="3">
        <f t="shared" ref="D456:AQ456" si="957">SUM(D437:D455)</f>
        <v>0</v>
      </c>
      <c r="E456" s="3">
        <f t="shared" si="957"/>
        <v>0</v>
      </c>
      <c r="F456" s="3">
        <f t="shared" si="957"/>
        <v>0</v>
      </c>
      <c r="G456" s="3">
        <f t="shared" si="957"/>
        <v>0</v>
      </c>
      <c r="H456" s="3">
        <f t="shared" si="957"/>
        <v>0</v>
      </c>
      <c r="I456" s="3">
        <f t="shared" si="957"/>
        <v>0</v>
      </c>
      <c r="J456" s="3">
        <f t="shared" si="957"/>
        <v>0</v>
      </c>
      <c r="K456" s="3">
        <f t="shared" si="957"/>
        <v>0</v>
      </c>
      <c r="L456" s="3">
        <f t="shared" si="957"/>
        <v>0</v>
      </c>
      <c r="M456" s="3">
        <f t="shared" si="957"/>
        <v>0</v>
      </c>
      <c r="N456" s="3">
        <f t="shared" si="957"/>
        <v>0</v>
      </c>
      <c r="O456" s="3">
        <f t="shared" si="957"/>
        <v>0</v>
      </c>
      <c r="P456" s="3">
        <f t="shared" si="957"/>
        <v>0</v>
      </c>
      <c r="Q456" s="3">
        <f t="shared" si="957"/>
        <v>0</v>
      </c>
      <c r="R456" s="3">
        <f t="shared" si="957"/>
        <v>0</v>
      </c>
      <c r="S456" s="3">
        <f t="shared" si="957"/>
        <v>0</v>
      </c>
      <c r="T456" s="3">
        <f t="shared" si="957"/>
        <v>0</v>
      </c>
      <c r="U456" s="3">
        <f t="shared" si="957"/>
        <v>0</v>
      </c>
      <c r="V456" s="3">
        <f t="shared" si="957"/>
        <v>0</v>
      </c>
      <c r="W456" s="3">
        <f t="shared" si="957"/>
        <v>0</v>
      </c>
      <c r="X456" s="3">
        <f t="shared" si="957"/>
        <v>0</v>
      </c>
      <c r="Y456" s="3">
        <f t="shared" si="957"/>
        <v>0</v>
      </c>
      <c r="Z456" s="3">
        <f t="shared" si="957"/>
        <v>0</v>
      </c>
      <c r="AA456" s="3">
        <f t="shared" si="957"/>
        <v>0</v>
      </c>
      <c r="AB456" s="3">
        <f t="shared" si="957"/>
        <v>0</v>
      </c>
      <c r="AC456" s="3">
        <f t="shared" si="957"/>
        <v>0</v>
      </c>
      <c r="AD456" s="3">
        <f t="shared" si="957"/>
        <v>0</v>
      </c>
      <c r="AE456" s="3">
        <f t="shared" si="957"/>
        <v>0</v>
      </c>
      <c r="AF456" s="3">
        <f t="shared" si="957"/>
        <v>0</v>
      </c>
      <c r="AG456" s="3">
        <f t="shared" si="957"/>
        <v>0</v>
      </c>
      <c r="AH456" s="150">
        <f t="shared" si="957"/>
        <v>0</v>
      </c>
      <c r="AI456" s="3">
        <f t="shared" si="957"/>
        <v>0</v>
      </c>
      <c r="AJ456" s="3">
        <f t="shared" si="957"/>
        <v>0</v>
      </c>
      <c r="AK456" s="3">
        <f t="shared" si="957"/>
        <v>0</v>
      </c>
      <c r="AL456" s="150">
        <f t="shared" si="957"/>
        <v>0</v>
      </c>
      <c r="AM456" s="3">
        <f t="shared" si="957"/>
        <v>0</v>
      </c>
      <c r="AN456" s="3">
        <f t="shared" si="957"/>
        <v>0</v>
      </c>
      <c r="AO456" s="3">
        <f t="shared" si="957"/>
        <v>0</v>
      </c>
      <c r="AP456" s="3">
        <f t="shared" si="957"/>
        <v>0</v>
      </c>
      <c r="AQ456" s="3">
        <f t="shared" si="957"/>
        <v>0</v>
      </c>
      <c r="AR456" s="3">
        <f t="shared" ref="AR456" si="958">SUM(AR437:AR455)</f>
        <v>0</v>
      </c>
      <c r="AS456" s="11"/>
      <c r="AT456" s="11"/>
      <c r="AU456" s="11"/>
      <c r="AV456" s="3">
        <f>SUM(AV437:AV455)</f>
        <v>0</v>
      </c>
      <c r="AW456" s="3">
        <f>SUM(AW437:AW455)</f>
        <v>0</v>
      </c>
      <c r="AX456" s="3">
        <f t="shared" ref="AX456:BE456" si="959">SUM(AX437:AX455)</f>
        <v>0</v>
      </c>
      <c r="AY456" s="3">
        <f t="shared" si="959"/>
        <v>0</v>
      </c>
      <c r="AZ456" s="3">
        <f t="shared" si="959"/>
        <v>0</v>
      </c>
      <c r="BA456" s="3">
        <f t="shared" si="959"/>
        <v>0</v>
      </c>
      <c r="BB456" s="3">
        <f t="shared" si="959"/>
        <v>0</v>
      </c>
      <c r="BC456" s="3">
        <f t="shared" si="959"/>
        <v>0</v>
      </c>
      <c r="BD456" s="3">
        <f t="shared" si="959"/>
        <v>0</v>
      </c>
      <c r="BE456" s="3">
        <f t="shared" si="959"/>
        <v>0</v>
      </c>
      <c r="BG456" s="3">
        <f t="shared" ref="BG456:BQ456" si="960">SUM(BG437:BG455)</f>
        <v>0</v>
      </c>
      <c r="BH456" s="3">
        <f t="shared" si="960"/>
        <v>0</v>
      </c>
      <c r="BI456" s="3">
        <f t="shared" si="960"/>
        <v>0</v>
      </c>
      <c r="BJ456" s="3">
        <f t="shared" si="960"/>
        <v>0</v>
      </c>
      <c r="BK456" s="3">
        <f t="shared" si="960"/>
        <v>0</v>
      </c>
      <c r="BL456" s="3">
        <f t="shared" si="960"/>
        <v>0</v>
      </c>
      <c r="BM456" s="3">
        <f t="shared" si="960"/>
        <v>0</v>
      </c>
      <c r="BN456" s="3">
        <f t="shared" si="960"/>
        <v>0</v>
      </c>
      <c r="BO456" s="3">
        <f t="shared" si="960"/>
        <v>0</v>
      </c>
      <c r="BP456" s="3">
        <f t="shared" si="960"/>
        <v>0</v>
      </c>
      <c r="BQ456" s="3">
        <f t="shared" si="960"/>
        <v>0</v>
      </c>
    </row>
    <row r="457" spans="2:69" s="10" customFormat="1" ht="15" customHeight="1" x14ac:dyDescent="0.25">
      <c r="B457" s="2"/>
      <c r="C457" s="38" t="s">
        <v>97</v>
      </c>
      <c r="D457" s="11">
        <f>+D456</f>
        <v>0</v>
      </c>
      <c r="E457" s="11">
        <f>+D457+E456</f>
        <v>0</v>
      </c>
      <c r="F457" s="11">
        <f t="shared" ref="F457" si="961">+E457+F456</f>
        <v>0</v>
      </c>
      <c r="G457" s="11">
        <f t="shared" ref="G457" si="962">+F457+G456</f>
        <v>0</v>
      </c>
      <c r="H457" s="11">
        <f t="shared" ref="H457" si="963">+G457+H456</f>
        <v>0</v>
      </c>
      <c r="I457" s="11">
        <f t="shared" ref="I457" si="964">+H457+I456</f>
        <v>0</v>
      </c>
      <c r="J457" s="11">
        <f t="shared" ref="J457" si="965">+I457+J456</f>
        <v>0</v>
      </c>
      <c r="K457" s="11">
        <f t="shared" ref="K457" si="966">+J457+K456</f>
        <v>0</v>
      </c>
      <c r="L457" s="11">
        <f t="shared" ref="L457" si="967">+K457+L456</f>
        <v>0</v>
      </c>
      <c r="M457" s="11">
        <f t="shared" ref="M457" si="968">+L457+M456</f>
        <v>0</v>
      </c>
      <c r="N457" s="11">
        <f t="shared" ref="N457" si="969">+M457+N456</f>
        <v>0</v>
      </c>
      <c r="O457" s="11">
        <f t="shared" ref="O457" si="970">+N457+O456</f>
        <v>0</v>
      </c>
      <c r="P457" s="11">
        <f t="shared" ref="P457" si="971">+O457+P456</f>
        <v>0</v>
      </c>
      <c r="Q457" s="11">
        <f t="shared" ref="Q457" si="972">+P457+Q456</f>
        <v>0</v>
      </c>
      <c r="R457" s="11">
        <f t="shared" ref="R457" si="973">+Q457+R456</f>
        <v>0</v>
      </c>
      <c r="S457" s="11">
        <f t="shared" ref="S457" si="974">+R457+S456</f>
        <v>0</v>
      </c>
      <c r="T457" s="11">
        <f t="shared" ref="T457" si="975">+S457+T456</f>
        <v>0</v>
      </c>
      <c r="U457" s="11">
        <f t="shared" ref="U457" si="976">+T457+U456</f>
        <v>0</v>
      </c>
      <c r="V457" s="11">
        <f t="shared" ref="V457" si="977">+U457+V456</f>
        <v>0</v>
      </c>
      <c r="W457" s="11">
        <f t="shared" ref="W457" si="978">+V457+W456</f>
        <v>0</v>
      </c>
      <c r="X457" s="11">
        <f t="shared" ref="X457" si="979">+W457+X456</f>
        <v>0</v>
      </c>
      <c r="Y457" s="11">
        <f t="shared" ref="Y457" si="980">+X457+Y456</f>
        <v>0</v>
      </c>
      <c r="Z457" s="11">
        <f t="shared" ref="Z457" si="981">+Y457+Z456</f>
        <v>0</v>
      </c>
      <c r="AA457" s="11">
        <f t="shared" ref="AA457" si="982">+Z457+AA456</f>
        <v>0</v>
      </c>
      <c r="AB457" s="11">
        <f t="shared" ref="AB457" si="983">+AA457+AB456</f>
        <v>0</v>
      </c>
      <c r="AC457" s="11">
        <f t="shared" ref="AC457" si="984">+AB457+AC456</f>
        <v>0</v>
      </c>
      <c r="AD457" s="11">
        <f t="shared" ref="AD457" si="985">+AC457+AD456</f>
        <v>0</v>
      </c>
      <c r="AE457" s="11">
        <f t="shared" ref="AE457" si="986">+AD457+AE456</f>
        <v>0</v>
      </c>
      <c r="AF457" s="11">
        <f t="shared" ref="AF457" si="987">+AE457+AF456</f>
        <v>0</v>
      </c>
      <c r="AG457" s="11">
        <f t="shared" ref="AG457" si="988">+AF457+AG456</f>
        <v>0</v>
      </c>
      <c r="AH457" s="147">
        <f t="shared" ref="AH457" si="989">+AG457+AH456</f>
        <v>0</v>
      </c>
      <c r="AI457" s="11">
        <f t="shared" ref="AI457" si="990">+AH457+AI456</f>
        <v>0</v>
      </c>
      <c r="AJ457" s="11">
        <f t="shared" ref="AJ457" si="991">+AI457+AJ456</f>
        <v>0</v>
      </c>
      <c r="AK457" s="11">
        <f t="shared" ref="AK457" si="992">+AJ457+AK456</f>
        <v>0</v>
      </c>
      <c r="AL457" s="147">
        <f t="shared" ref="AL457" si="993">+AK457+AL456</f>
        <v>0</v>
      </c>
      <c r="AM457" s="11">
        <f t="shared" ref="AM457" si="994">+AL457+AM456</f>
        <v>0</v>
      </c>
      <c r="AN457" s="11">
        <f t="shared" ref="AN457" si="995">+AM457+AN456</f>
        <v>0</v>
      </c>
      <c r="AO457" s="11">
        <f t="shared" ref="AO457" si="996">+AN457+AO456</f>
        <v>0</v>
      </c>
      <c r="AP457" s="11">
        <f t="shared" ref="AP457" si="997">+AO457+AP456</f>
        <v>0</v>
      </c>
      <c r="AQ457" s="11">
        <f t="shared" ref="AQ457" si="998">+AP457+AQ456</f>
        <v>0</v>
      </c>
      <c r="AR457" s="40"/>
      <c r="AS457" s="11"/>
      <c r="AT457" s="11"/>
      <c r="AU457" s="11"/>
      <c r="AV457" s="11">
        <f>+AV456</f>
        <v>0</v>
      </c>
      <c r="AW457" s="1">
        <f>+AV457+AW456</f>
        <v>0</v>
      </c>
      <c r="AX457" s="1">
        <f t="shared" ref="AX457" si="999">+AW457+AX456</f>
        <v>0</v>
      </c>
      <c r="AY457" s="1">
        <f t="shared" ref="AY457" si="1000">+AX457+AY456</f>
        <v>0</v>
      </c>
      <c r="AZ457" s="1">
        <f t="shared" ref="AZ457" si="1001">+AY457+AZ456</f>
        <v>0</v>
      </c>
      <c r="BA457" s="1">
        <f t="shared" ref="BA457" si="1002">+AZ457+BA456</f>
        <v>0</v>
      </c>
      <c r="BB457" s="1">
        <f t="shared" ref="BB457" si="1003">+BA457+BB456</f>
        <v>0</v>
      </c>
      <c r="BC457" s="1">
        <f t="shared" ref="BC457" si="1004">+BB457+BC456</f>
        <v>0</v>
      </c>
      <c r="BD457" s="1">
        <f t="shared" ref="BD457" si="1005">+BC457+BD456</f>
        <v>0</v>
      </c>
      <c r="BE457" s="1">
        <f t="shared" ref="BE457" si="1006">+BD457+BE456</f>
        <v>0</v>
      </c>
    </row>
    <row r="458" spans="2:69" s="10" customFormat="1" ht="15" customHeight="1" x14ac:dyDescent="0.25">
      <c r="B458" s="2"/>
      <c r="C458" s="38" t="s">
        <v>220</v>
      </c>
      <c r="D458" s="11">
        <f>+D456*10</f>
        <v>0</v>
      </c>
      <c r="E458" s="11">
        <f t="shared" ref="E458:AQ458" si="1007">+E456*10</f>
        <v>0</v>
      </c>
      <c r="F458" s="11">
        <f t="shared" si="1007"/>
        <v>0</v>
      </c>
      <c r="G458" s="11">
        <f t="shared" si="1007"/>
        <v>0</v>
      </c>
      <c r="H458" s="11">
        <f t="shared" si="1007"/>
        <v>0</v>
      </c>
      <c r="I458" s="11">
        <f t="shared" si="1007"/>
        <v>0</v>
      </c>
      <c r="J458" s="11">
        <f t="shared" si="1007"/>
        <v>0</v>
      </c>
      <c r="K458" s="11">
        <f t="shared" si="1007"/>
        <v>0</v>
      </c>
      <c r="L458" s="11">
        <f t="shared" si="1007"/>
        <v>0</v>
      </c>
      <c r="M458" s="11">
        <f t="shared" si="1007"/>
        <v>0</v>
      </c>
      <c r="N458" s="11">
        <f t="shared" si="1007"/>
        <v>0</v>
      </c>
      <c r="O458" s="11">
        <f t="shared" si="1007"/>
        <v>0</v>
      </c>
      <c r="P458" s="11">
        <f t="shared" si="1007"/>
        <v>0</v>
      </c>
      <c r="Q458" s="11">
        <f t="shared" si="1007"/>
        <v>0</v>
      </c>
      <c r="R458" s="11">
        <f t="shared" si="1007"/>
        <v>0</v>
      </c>
      <c r="S458" s="11">
        <f t="shared" si="1007"/>
        <v>0</v>
      </c>
      <c r="T458" s="11">
        <f>+T457</f>
        <v>0</v>
      </c>
      <c r="U458" s="11">
        <f t="shared" si="1007"/>
        <v>0</v>
      </c>
      <c r="V458" s="11">
        <f t="shared" si="1007"/>
        <v>0</v>
      </c>
      <c r="W458" s="11">
        <f t="shared" si="1007"/>
        <v>0</v>
      </c>
      <c r="X458" s="11">
        <f t="shared" si="1007"/>
        <v>0</v>
      </c>
      <c r="Y458" s="11">
        <f t="shared" si="1007"/>
        <v>0</v>
      </c>
      <c r="Z458" s="11">
        <f t="shared" si="1007"/>
        <v>0</v>
      </c>
      <c r="AA458" s="11">
        <f>+AA456*1</f>
        <v>0</v>
      </c>
      <c r="AB458" s="11">
        <f t="shared" si="1007"/>
        <v>0</v>
      </c>
      <c r="AC458" s="11">
        <f t="shared" si="1007"/>
        <v>0</v>
      </c>
      <c r="AD458" s="11">
        <f t="shared" si="1007"/>
        <v>0</v>
      </c>
      <c r="AE458" s="11">
        <f t="shared" si="1007"/>
        <v>0</v>
      </c>
      <c r="AF458" s="11">
        <f t="shared" si="1007"/>
        <v>0</v>
      </c>
      <c r="AG458" s="11">
        <f t="shared" si="1007"/>
        <v>0</v>
      </c>
      <c r="AH458" s="147">
        <f t="shared" si="1007"/>
        <v>0</v>
      </c>
      <c r="AI458" s="11">
        <f t="shared" si="1007"/>
        <v>0</v>
      </c>
      <c r="AJ458" s="11">
        <f t="shared" si="1007"/>
        <v>0</v>
      </c>
      <c r="AK458" s="11">
        <f t="shared" si="1007"/>
        <v>0</v>
      </c>
      <c r="AL458" s="147">
        <f t="shared" si="1007"/>
        <v>0</v>
      </c>
      <c r="AM458" s="11">
        <f t="shared" si="1007"/>
        <v>0</v>
      </c>
      <c r="AN458" s="11">
        <f t="shared" si="1007"/>
        <v>0</v>
      </c>
      <c r="AO458" s="11">
        <f t="shared" si="1007"/>
        <v>0</v>
      </c>
      <c r="AP458" s="11">
        <f t="shared" si="1007"/>
        <v>0</v>
      </c>
      <c r="AQ458" s="11">
        <f t="shared" si="1007"/>
        <v>0</v>
      </c>
      <c r="AR458" s="3">
        <f>SUM(D458:AQ458)</f>
        <v>0</v>
      </c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</row>
    <row r="459" spans="2:69" s="10" customFormat="1" ht="15" customHeight="1" x14ac:dyDescent="0.2">
      <c r="C459" s="38" t="s">
        <v>286</v>
      </c>
      <c r="D459" s="11">
        <f>+(D456-D446-D452)/2</f>
        <v>0</v>
      </c>
      <c r="E459" s="11">
        <f t="shared" ref="E459:AQ459" si="1008">+(E456-E446-E452)/2</f>
        <v>0</v>
      </c>
      <c r="F459" s="11">
        <f t="shared" si="1008"/>
        <v>0</v>
      </c>
      <c r="G459" s="11">
        <f t="shared" si="1008"/>
        <v>0</v>
      </c>
      <c r="H459" s="11">
        <f t="shared" si="1008"/>
        <v>0</v>
      </c>
      <c r="I459" s="11">
        <f t="shared" si="1008"/>
        <v>0</v>
      </c>
      <c r="J459" s="11">
        <f t="shared" si="1008"/>
        <v>0</v>
      </c>
      <c r="K459" s="11">
        <f t="shared" si="1008"/>
        <v>0</v>
      </c>
      <c r="L459" s="11">
        <f t="shared" si="1008"/>
        <v>0</v>
      </c>
      <c r="M459" s="11">
        <f t="shared" si="1008"/>
        <v>0</v>
      </c>
      <c r="N459" s="11">
        <f t="shared" si="1008"/>
        <v>0</v>
      </c>
      <c r="O459" s="11">
        <f t="shared" si="1008"/>
        <v>0</v>
      </c>
      <c r="P459" s="11">
        <f t="shared" si="1008"/>
        <v>0</v>
      </c>
      <c r="Q459" s="11">
        <f t="shared" si="1008"/>
        <v>0</v>
      </c>
      <c r="R459" s="11">
        <f t="shared" si="1008"/>
        <v>0</v>
      </c>
      <c r="S459" s="11">
        <f t="shared" si="1008"/>
        <v>0</v>
      </c>
      <c r="T459" s="11">
        <v>0</v>
      </c>
      <c r="U459" s="11">
        <f t="shared" si="1008"/>
        <v>0</v>
      </c>
      <c r="V459" s="11">
        <f t="shared" si="1008"/>
        <v>0</v>
      </c>
      <c r="W459" s="11">
        <f t="shared" si="1008"/>
        <v>0</v>
      </c>
      <c r="X459" s="11">
        <f t="shared" si="1008"/>
        <v>0</v>
      </c>
      <c r="Y459" s="11">
        <f t="shared" si="1008"/>
        <v>0</v>
      </c>
      <c r="Z459" s="11">
        <f t="shared" si="1008"/>
        <v>0</v>
      </c>
      <c r="AA459" s="11">
        <f t="shared" si="1008"/>
        <v>0</v>
      </c>
      <c r="AB459" s="11">
        <f t="shared" si="1008"/>
        <v>0</v>
      </c>
      <c r="AC459" s="11">
        <f t="shared" si="1008"/>
        <v>0</v>
      </c>
      <c r="AD459" s="11">
        <f t="shared" si="1008"/>
        <v>0</v>
      </c>
      <c r="AE459" s="11">
        <f t="shared" si="1008"/>
        <v>0</v>
      </c>
      <c r="AF459" s="11">
        <f t="shared" si="1008"/>
        <v>0</v>
      </c>
      <c r="AG459" s="11">
        <f t="shared" si="1008"/>
        <v>0</v>
      </c>
      <c r="AH459" s="147">
        <f t="shared" si="1008"/>
        <v>0</v>
      </c>
      <c r="AI459" s="11">
        <f t="shared" si="1008"/>
        <v>0</v>
      </c>
      <c r="AJ459" s="11">
        <f t="shared" si="1008"/>
        <v>0</v>
      </c>
      <c r="AK459" s="11">
        <f t="shared" si="1008"/>
        <v>0</v>
      </c>
      <c r="AL459" s="147">
        <f t="shared" si="1008"/>
        <v>0</v>
      </c>
      <c r="AM459" s="11">
        <f t="shared" si="1008"/>
        <v>0</v>
      </c>
      <c r="AN459" s="11">
        <f t="shared" si="1008"/>
        <v>0</v>
      </c>
      <c r="AO459" s="11">
        <f t="shared" si="1008"/>
        <v>0</v>
      </c>
      <c r="AP459" s="11">
        <f t="shared" si="1008"/>
        <v>0</v>
      </c>
      <c r="AQ459" s="11">
        <f t="shared" si="1008"/>
        <v>0</v>
      </c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</row>
    <row r="460" spans="2:69" s="10" customFormat="1" ht="15" customHeight="1" x14ac:dyDescent="0.25">
      <c r="B460" s="2" t="s">
        <v>698</v>
      </c>
      <c r="C460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47"/>
      <c r="AI460" s="11"/>
      <c r="AJ460" s="11"/>
      <c r="AK460" s="11"/>
      <c r="AL460" s="147"/>
      <c r="AM460" s="11"/>
      <c r="AN460" s="11"/>
      <c r="AO460" s="11"/>
      <c r="AP460" s="11"/>
      <c r="AQ460" s="11"/>
      <c r="AR460" s="3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</row>
    <row r="461" spans="2:69" s="10" customFormat="1" ht="15" customHeight="1" x14ac:dyDescent="0.25">
      <c r="B461" s="2"/>
      <c r="C461" t="s">
        <v>190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17"/>
      <c r="AI461" s="1"/>
      <c r="AJ461" s="1"/>
      <c r="AK461" s="1"/>
      <c r="AL461" s="117"/>
      <c r="AM461" s="1"/>
      <c r="AN461" s="1"/>
      <c r="AO461" s="1"/>
      <c r="AP461" s="1"/>
      <c r="AQ461" s="1"/>
      <c r="AR461" s="3">
        <f>SUM(D461:AQ461)</f>
        <v>0</v>
      </c>
      <c r="AS461" s="11"/>
      <c r="AT461" s="1">
        <f>+AR461-[2]PassVol!$AN389</f>
        <v>0</v>
      </c>
      <c r="AU461" s="11"/>
      <c r="AV461" s="1">
        <f>SUM(D461:G461)</f>
        <v>0</v>
      </c>
      <c r="AW461" s="1">
        <f>SUM(H461:K461)</f>
        <v>0</v>
      </c>
      <c r="AX461" s="1">
        <f>SUM(L461:P461)</f>
        <v>0</v>
      </c>
      <c r="AY461" s="1">
        <f>SUM(Q461:T461)</f>
        <v>0</v>
      </c>
      <c r="AZ461" s="1">
        <f>SUM(U461:X461)</f>
        <v>0</v>
      </c>
      <c r="BA461" s="1">
        <f>SUM(Y461:AC461)</f>
        <v>0</v>
      </c>
      <c r="BB461" s="1">
        <f>SUM(AD461:AG461)</f>
        <v>0</v>
      </c>
      <c r="BC461" s="1">
        <f>SUM(AH461:AK461)</f>
        <v>0</v>
      </c>
      <c r="BD461" s="1">
        <f>SUM(AL461:AP461)</f>
        <v>0</v>
      </c>
      <c r="BE461" s="1">
        <f>+AQ461</f>
        <v>0</v>
      </c>
      <c r="BG461" s="1">
        <f t="shared" ref="BG461:BP462" si="1009">+AV461*1</f>
        <v>0</v>
      </c>
      <c r="BH461" s="1">
        <f t="shared" si="1009"/>
        <v>0</v>
      </c>
      <c r="BI461" s="1">
        <f t="shared" si="1009"/>
        <v>0</v>
      </c>
      <c r="BJ461" s="1">
        <f t="shared" si="1009"/>
        <v>0</v>
      </c>
      <c r="BK461" s="1">
        <f t="shared" si="1009"/>
        <v>0</v>
      </c>
      <c r="BL461" s="1">
        <f t="shared" si="1009"/>
        <v>0</v>
      </c>
      <c r="BM461" s="1">
        <f t="shared" si="1009"/>
        <v>0</v>
      </c>
      <c r="BN461" s="1">
        <f t="shared" si="1009"/>
        <v>0</v>
      </c>
      <c r="BO461" s="1">
        <f t="shared" si="1009"/>
        <v>0</v>
      </c>
      <c r="BP461" s="1">
        <f t="shared" si="1009"/>
        <v>0</v>
      </c>
      <c r="BQ461" s="1">
        <f t="shared" ref="BQ461:BQ479" si="1010">SUM(BH461:BP461)</f>
        <v>0</v>
      </c>
    </row>
    <row r="462" spans="2:69" s="10" customFormat="1" ht="15" customHeight="1" x14ac:dyDescent="0.25">
      <c r="B462" s="2"/>
      <c r="C462" t="s">
        <v>424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17"/>
      <c r="AI462" s="1"/>
      <c r="AJ462" s="1"/>
      <c r="AK462" s="1"/>
      <c r="AL462" s="117"/>
      <c r="AM462" s="1"/>
      <c r="AN462" s="1"/>
      <c r="AO462" s="1"/>
      <c r="AP462" s="1"/>
      <c r="AQ462" s="1"/>
      <c r="AR462" s="3">
        <f>SUM(D462:AQ462)</f>
        <v>0</v>
      </c>
      <c r="AS462" s="11"/>
      <c r="AT462" s="1">
        <f>+AR462-[2]PassVol!$AN390</f>
        <v>0</v>
      </c>
      <c r="AU462" s="11"/>
      <c r="AV462" s="1">
        <f t="shared" ref="AV462:AV479" si="1011">SUM(D462:G462)</f>
        <v>0</v>
      </c>
      <c r="AW462" s="1">
        <f t="shared" ref="AW462:AW479" si="1012">SUM(H462:K462)</f>
        <v>0</v>
      </c>
      <c r="AX462" s="1">
        <f t="shared" ref="AX462:AX479" si="1013">SUM(L462:P462)</f>
        <v>0</v>
      </c>
      <c r="AY462" s="1">
        <f t="shared" ref="AY462:AY479" si="1014">SUM(Q462:T462)</f>
        <v>0</v>
      </c>
      <c r="AZ462" s="1">
        <f t="shared" ref="AZ462:AZ479" si="1015">SUM(U462:X462)</f>
        <v>0</v>
      </c>
      <c r="BA462" s="1">
        <f t="shared" ref="BA462:BA479" si="1016">SUM(Y462:AC462)</f>
        <v>0</v>
      </c>
      <c r="BB462" s="1">
        <f t="shared" ref="BB462:BB479" si="1017">SUM(AD462:AG462)</f>
        <v>0</v>
      </c>
      <c r="BC462" s="1">
        <f t="shared" ref="BC462:BC479" si="1018">SUM(AH462:AK462)</f>
        <v>0</v>
      </c>
      <c r="BD462" s="1">
        <f t="shared" ref="BD462:BD479" si="1019">SUM(AL462:AP462)</f>
        <v>0</v>
      </c>
      <c r="BE462" s="1">
        <f t="shared" ref="BE462:BE479" si="1020">+AQ462</f>
        <v>0</v>
      </c>
      <c r="BG462" s="1">
        <f t="shared" si="1009"/>
        <v>0</v>
      </c>
      <c r="BH462" s="1">
        <f t="shared" si="1009"/>
        <v>0</v>
      </c>
      <c r="BI462" s="1">
        <f t="shared" si="1009"/>
        <v>0</v>
      </c>
      <c r="BJ462" s="1">
        <f t="shared" si="1009"/>
        <v>0</v>
      </c>
      <c r="BK462" s="1">
        <f t="shared" si="1009"/>
        <v>0</v>
      </c>
      <c r="BL462" s="1">
        <f t="shared" si="1009"/>
        <v>0</v>
      </c>
      <c r="BM462" s="1">
        <f t="shared" si="1009"/>
        <v>0</v>
      </c>
      <c r="BN462" s="1">
        <f t="shared" si="1009"/>
        <v>0</v>
      </c>
      <c r="BO462" s="1">
        <f t="shared" si="1009"/>
        <v>0</v>
      </c>
      <c r="BP462" s="1">
        <f t="shared" si="1009"/>
        <v>0</v>
      </c>
      <c r="BQ462" s="1">
        <f>SUM(BH462:BP462)</f>
        <v>0</v>
      </c>
    </row>
    <row r="463" spans="2:69" s="10" customFormat="1" ht="15" customHeight="1" x14ac:dyDescent="0.25">
      <c r="B463" s="2"/>
      <c r="C463" t="s">
        <v>347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17"/>
      <c r="AI463" s="1"/>
      <c r="AJ463" s="1"/>
      <c r="AK463" s="1"/>
      <c r="AL463" s="117"/>
      <c r="AM463" s="1"/>
      <c r="AN463" s="1"/>
      <c r="AO463" s="1"/>
      <c r="AP463" s="1"/>
      <c r="AQ463" s="1"/>
      <c r="AR463" s="3">
        <f t="shared" ref="AR463:AR479" si="1021">SUM(D463:AQ463)</f>
        <v>0</v>
      </c>
      <c r="AS463" s="11"/>
      <c r="AT463" s="1">
        <f>+AR463-[2]PassVol!$AN391</f>
        <v>0</v>
      </c>
      <c r="AU463" s="11"/>
      <c r="AV463" s="1">
        <f t="shared" si="1011"/>
        <v>0</v>
      </c>
      <c r="AW463" s="1">
        <f t="shared" si="1012"/>
        <v>0</v>
      </c>
      <c r="AX463" s="1">
        <f t="shared" si="1013"/>
        <v>0</v>
      </c>
      <c r="AY463" s="1">
        <f t="shared" si="1014"/>
        <v>0</v>
      </c>
      <c r="AZ463" s="1">
        <f t="shared" si="1015"/>
        <v>0</v>
      </c>
      <c r="BA463" s="1">
        <f t="shared" si="1016"/>
        <v>0</v>
      </c>
      <c r="BB463" s="1">
        <f t="shared" si="1017"/>
        <v>0</v>
      </c>
      <c r="BC463" s="1">
        <f t="shared" si="1018"/>
        <v>0</v>
      </c>
      <c r="BD463" s="1">
        <f t="shared" si="1019"/>
        <v>0</v>
      </c>
      <c r="BE463" s="1">
        <f t="shared" si="1020"/>
        <v>0</v>
      </c>
      <c r="BG463" s="1">
        <f t="shared" ref="BG463:BH479" si="1022">+AV463*1</f>
        <v>0</v>
      </c>
      <c r="BH463" s="1">
        <f t="shared" si="1022"/>
        <v>0</v>
      </c>
      <c r="BI463" s="1">
        <f t="shared" ref="BI463:BI479" si="1023">+AX463*1</f>
        <v>0</v>
      </c>
      <c r="BJ463" s="1">
        <f t="shared" ref="BJ463:BJ479" si="1024">+AY463*1</f>
        <v>0</v>
      </c>
      <c r="BK463" s="1">
        <f t="shared" ref="BK463:BK479" si="1025">+AZ463*1</f>
        <v>0</v>
      </c>
      <c r="BL463" s="1">
        <f t="shared" ref="BL463:BL479" si="1026">+BA463*1</f>
        <v>0</v>
      </c>
      <c r="BM463" s="1">
        <f t="shared" ref="BM463:BM479" si="1027">+BB463*1</f>
        <v>0</v>
      </c>
      <c r="BN463" s="1">
        <f t="shared" ref="BN463:BN479" si="1028">+BC463*1</f>
        <v>0</v>
      </c>
      <c r="BO463" s="1">
        <f t="shared" ref="BO463:BO479" si="1029">+BD463*1</f>
        <v>0</v>
      </c>
      <c r="BP463" s="1">
        <f t="shared" ref="BP463:BP479" si="1030">+BE463*1</f>
        <v>0</v>
      </c>
      <c r="BQ463" s="1">
        <f t="shared" si="1010"/>
        <v>0</v>
      </c>
    </row>
    <row r="464" spans="2:69" s="10" customFormat="1" ht="15" customHeight="1" x14ac:dyDescent="0.25">
      <c r="B464" s="2"/>
      <c r="C464" t="s">
        <v>0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17"/>
      <c r="AI464" s="1"/>
      <c r="AJ464" s="1"/>
      <c r="AK464" s="1"/>
      <c r="AL464" s="117"/>
      <c r="AM464" s="1"/>
      <c r="AN464" s="1"/>
      <c r="AO464" s="1"/>
      <c r="AP464" s="1"/>
      <c r="AQ464" s="1"/>
      <c r="AR464" s="3">
        <f t="shared" si="1021"/>
        <v>0</v>
      </c>
      <c r="AS464" s="11"/>
      <c r="AT464" s="1">
        <f>+AR464-[2]PassVol!$AN392</f>
        <v>0</v>
      </c>
      <c r="AU464" s="11"/>
      <c r="AV464" s="1">
        <f t="shared" si="1011"/>
        <v>0</v>
      </c>
      <c r="AW464" s="1">
        <f t="shared" si="1012"/>
        <v>0</v>
      </c>
      <c r="AX464" s="1">
        <f t="shared" si="1013"/>
        <v>0</v>
      </c>
      <c r="AY464" s="1">
        <f t="shared" si="1014"/>
        <v>0</v>
      </c>
      <c r="AZ464" s="1">
        <f t="shared" si="1015"/>
        <v>0</v>
      </c>
      <c r="BA464" s="1">
        <f t="shared" si="1016"/>
        <v>0</v>
      </c>
      <c r="BB464" s="1">
        <f t="shared" si="1017"/>
        <v>0</v>
      </c>
      <c r="BC464" s="1">
        <f t="shared" si="1018"/>
        <v>0</v>
      </c>
      <c r="BD464" s="1">
        <f t="shared" si="1019"/>
        <v>0</v>
      </c>
      <c r="BE464" s="1">
        <f t="shared" si="1020"/>
        <v>0</v>
      </c>
      <c r="BG464" s="1">
        <f t="shared" si="1022"/>
        <v>0</v>
      </c>
      <c r="BH464" s="1">
        <f t="shared" si="1022"/>
        <v>0</v>
      </c>
      <c r="BI464" s="1">
        <f t="shared" si="1023"/>
        <v>0</v>
      </c>
      <c r="BJ464" s="1">
        <f t="shared" si="1024"/>
        <v>0</v>
      </c>
      <c r="BK464" s="1">
        <f t="shared" si="1025"/>
        <v>0</v>
      </c>
      <c r="BL464" s="1">
        <f t="shared" si="1026"/>
        <v>0</v>
      </c>
      <c r="BM464" s="1">
        <f t="shared" si="1027"/>
        <v>0</v>
      </c>
      <c r="BN464" s="1">
        <f t="shared" si="1028"/>
        <v>0</v>
      </c>
      <c r="BO464" s="1">
        <f t="shared" si="1029"/>
        <v>0</v>
      </c>
      <c r="BP464" s="1">
        <f t="shared" si="1030"/>
        <v>0</v>
      </c>
      <c r="BQ464" s="1">
        <f t="shared" si="1010"/>
        <v>0</v>
      </c>
    </row>
    <row r="465" spans="2:69" s="10" customFormat="1" ht="15" customHeight="1" x14ac:dyDescent="0.25">
      <c r="B465" s="2"/>
      <c r="C465" t="s">
        <v>354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17"/>
      <c r="AI465" s="1"/>
      <c r="AJ465" s="1"/>
      <c r="AK465" s="1"/>
      <c r="AL465" s="117"/>
      <c r="AM465" s="1"/>
      <c r="AN465" s="1"/>
      <c r="AO465" s="1"/>
      <c r="AP465" s="1"/>
      <c r="AQ465" s="1"/>
      <c r="AR465" s="3">
        <f t="shared" si="1021"/>
        <v>0</v>
      </c>
      <c r="AS465" s="11"/>
      <c r="AT465" s="1">
        <f>+AR465-[2]PassVol!$AN393</f>
        <v>0</v>
      </c>
      <c r="AU465" s="11"/>
      <c r="AV465" s="1">
        <f t="shared" si="1011"/>
        <v>0</v>
      </c>
      <c r="AW465" s="1">
        <f t="shared" si="1012"/>
        <v>0</v>
      </c>
      <c r="AX465" s="1">
        <f t="shared" si="1013"/>
        <v>0</v>
      </c>
      <c r="AY465" s="1">
        <f t="shared" si="1014"/>
        <v>0</v>
      </c>
      <c r="AZ465" s="1">
        <f t="shared" si="1015"/>
        <v>0</v>
      </c>
      <c r="BA465" s="1">
        <f t="shared" si="1016"/>
        <v>0</v>
      </c>
      <c r="BB465" s="1">
        <f t="shared" si="1017"/>
        <v>0</v>
      </c>
      <c r="BC465" s="1">
        <f t="shared" si="1018"/>
        <v>0</v>
      </c>
      <c r="BD465" s="1">
        <f t="shared" si="1019"/>
        <v>0</v>
      </c>
      <c r="BE465" s="1">
        <f t="shared" si="1020"/>
        <v>0</v>
      </c>
      <c r="BG465" s="1">
        <f t="shared" si="1022"/>
        <v>0</v>
      </c>
      <c r="BH465" s="1">
        <f t="shared" si="1022"/>
        <v>0</v>
      </c>
      <c r="BI465" s="1">
        <f t="shared" si="1023"/>
        <v>0</v>
      </c>
      <c r="BJ465" s="1">
        <f t="shared" si="1024"/>
        <v>0</v>
      </c>
      <c r="BK465" s="1">
        <f t="shared" si="1025"/>
        <v>0</v>
      </c>
      <c r="BL465" s="1">
        <f t="shared" si="1026"/>
        <v>0</v>
      </c>
      <c r="BM465" s="1">
        <f t="shared" si="1027"/>
        <v>0</v>
      </c>
      <c r="BN465" s="1">
        <f t="shared" si="1028"/>
        <v>0</v>
      </c>
      <c r="BO465" s="1">
        <f t="shared" si="1029"/>
        <v>0</v>
      </c>
      <c r="BP465" s="1">
        <f t="shared" si="1030"/>
        <v>0</v>
      </c>
      <c r="BQ465" s="1">
        <f t="shared" si="1010"/>
        <v>0</v>
      </c>
    </row>
    <row r="466" spans="2:69" s="10" customFormat="1" ht="15" customHeight="1" x14ac:dyDescent="0.25">
      <c r="B466" s="2"/>
      <c r="C466" t="s">
        <v>265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17"/>
      <c r="AI466" s="1"/>
      <c r="AJ466" s="1"/>
      <c r="AK466" s="1"/>
      <c r="AL466" s="117"/>
      <c r="AM466" s="1"/>
      <c r="AN466" s="1"/>
      <c r="AO466" s="1"/>
      <c r="AP466" s="1"/>
      <c r="AQ466" s="1"/>
      <c r="AR466" s="3">
        <f t="shared" si="1021"/>
        <v>0</v>
      </c>
      <c r="AS466" s="11"/>
      <c r="AT466" s="1">
        <f>+AR466-[2]PassVol!$AN394</f>
        <v>0</v>
      </c>
      <c r="AU466" s="11"/>
      <c r="AV466" s="1">
        <f t="shared" si="1011"/>
        <v>0</v>
      </c>
      <c r="AW466" s="1">
        <f t="shared" si="1012"/>
        <v>0</v>
      </c>
      <c r="AX466" s="1">
        <f t="shared" si="1013"/>
        <v>0</v>
      </c>
      <c r="AY466" s="1">
        <f t="shared" si="1014"/>
        <v>0</v>
      </c>
      <c r="AZ466" s="1">
        <f t="shared" si="1015"/>
        <v>0</v>
      </c>
      <c r="BA466" s="1">
        <f t="shared" si="1016"/>
        <v>0</v>
      </c>
      <c r="BB466" s="1">
        <f t="shared" si="1017"/>
        <v>0</v>
      </c>
      <c r="BC466" s="1">
        <f t="shared" si="1018"/>
        <v>0</v>
      </c>
      <c r="BD466" s="1">
        <f t="shared" si="1019"/>
        <v>0</v>
      </c>
      <c r="BE466" s="1">
        <f t="shared" si="1020"/>
        <v>0</v>
      </c>
      <c r="BG466" s="1">
        <f t="shared" si="1022"/>
        <v>0</v>
      </c>
      <c r="BH466" s="1">
        <f t="shared" si="1022"/>
        <v>0</v>
      </c>
      <c r="BI466" s="1">
        <f t="shared" si="1023"/>
        <v>0</v>
      </c>
      <c r="BJ466" s="1">
        <f t="shared" si="1024"/>
        <v>0</v>
      </c>
      <c r="BK466" s="1">
        <f t="shared" si="1025"/>
        <v>0</v>
      </c>
      <c r="BL466" s="1">
        <f t="shared" si="1026"/>
        <v>0</v>
      </c>
      <c r="BM466" s="1">
        <f t="shared" si="1027"/>
        <v>0</v>
      </c>
      <c r="BN466" s="1">
        <f t="shared" si="1028"/>
        <v>0</v>
      </c>
      <c r="BO466" s="1">
        <f t="shared" si="1029"/>
        <v>0</v>
      </c>
      <c r="BP466" s="1">
        <f t="shared" si="1030"/>
        <v>0</v>
      </c>
      <c r="BQ466" s="1">
        <f t="shared" si="1010"/>
        <v>0</v>
      </c>
    </row>
    <row r="467" spans="2:69" s="10" customFormat="1" ht="15" customHeight="1" x14ac:dyDescent="0.25">
      <c r="B467" s="2"/>
      <c r="C467" t="s">
        <v>191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17"/>
      <c r="AI467" s="1"/>
      <c r="AJ467" s="1"/>
      <c r="AK467" s="1"/>
      <c r="AL467" s="117"/>
      <c r="AM467" s="1"/>
      <c r="AN467" s="1"/>
      <c r="AO467" s="1"/>
      <c r="AP467" s="1"/>
      <c r="AQ467" s="1"/>
      <c r="AR467" s="3">
        <f t="shared" si="1021"/>
        <v>0</v>
      </c>
      <c r="AS467" s="11"/>
      <c r="AT467" s="1">
        <f>+AR467-[2]PassVol!$AN395</f>
        <v>0</v>
      </c>
      <c r="AU467" s="11"/>
      <c r="AV467" s="1">
        <f t="shared" si="1011"/>
        <v>0</v>
      </c>
      <c r="AW467" s="1">
        <f t="shared" si="1012"/>
        <v>0</v>
      </c>
      <c r="AX467" s="1">
        <f t="shared" si="1013"/>
        <v>0</v>
      </c>
      <c r="AY467" s="1">
        <f t="shared" si="1014"/>
        <v>0</v>
      </c>
      <c r="AZ467" s="1">
        <f t="shared" si="1015"/>
        <v>0</v>
      </c>
      <c r="BA467" s="1">
        <f t="shared" si="1016"/>
        <v>0</v>
      </c>
      <c r="BB467" s="1">
        <f t="shared" si="1017"/>
        <v>0</v>
      </c>
      <c r="BC467" s="1">
        <f t="shared" si="1018"/>
        <v>0</v>
      </c>
      <c r="BD467" s="1">
        <f t="shared" si="1019"/>
        <v>0</v>
      </c>
      <c r="BE467" s="1">
        <f t="shared" si="1020"/>
        <v>0</v>
      </c>
      <c r="BG467" s="1">
        <f t="shared" si="1022"/>
        <v>0</v>
      </c>
      <c r="BH467" s="1">
        <f t="shared" si="1022"/>
        <v>0</v>
      </c>
      <c r="BI467" s="1">
        <f t="shared" si="1023"/>
        <v>0</v>
      </c>
      <c r="BJ467" s="1">
        <f t="shared" si="1024"/>
        <v>0</v>
      </c>
      <c r="BK467" s="1">
        <f t="shared" si="1025"/>
        <v>0</v>
      </c>
      <c r="BL467" s="1">
        <f t="shared" si="1026"/>
        <v>0</v>
      </c>
      <c r="BM467" s="1">
        <f t="shared" si="1027"/>
        <v>0</v>
      </c>
      <c r="BN467" s="1">
        <f t="shared" si="1028"/>
        <v>0</v>
      </c>
      <c r="BO467" s="1">
        <f t="shared" si="1029"/>
        <v>0</v>
      </c>
      <c r="BP467" s="1">
        <f t="shared" si="1030"/>
        <v>0</v>
      </c>
      <c r="BQ467" s="1">
        <f t="shared" si="1010"/>
        <v>0</v>
      </c>
    </row>
    <row r="468" spans="2:69" s="10" customFormat="1" ht="15" customHeight="1" x14ac:dyDescent="0.25">
      <c r="B468" s="2"/>
      <c r="C468" t="s">
        <v>549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17"/>
      <c r="AI468" s="1"/>
      <c r="AJ468" s="1"/>
      <c r="AK468" s="1"/>
      <c r="AL468" s="117"/>
      <c r="AM468" s="1"/>
      <c r="AN468" s="1"/>
      <c r="AO468" s="1"/>
      <c r="AP468" s="1"/>
      <c r="AQ468" s="1"/>
      <c r="AR468" s="3">
        <f t="shared" si="1021"/>
        <v>0</v>
      </c>
      <c r="AS468" s="11"/>
      <c r="AT468" s="1">
        <f>+AR468-[2]PassVol!$AN396</f>
        <v>0</v>
      </c>
      <c r="AU468" s="11"/>
      <c r="AV468" s="1">
        <f t="shared" si="1011"/>
        <v>0</v>
      </c>
      <c r="AW468" s="1">
        <f t="shared" si="1012"/>
        <v>0</v>
      </c>
      <c r="AX468" s="1">
        <f t="shared" si="1013"/>
        <v>0</v>
      </c>
      <c r="AY468" s="1">
        <f t="shared" si="1014"/>
        <v>0</v>
      </c>
      <c r="AZ468" s="1">
        <f t="shared" si="1015"/>
        <v>0</v>
      </c>
      <c r="BA468" s="1">
        <f t="shared" si="1016"/>
        <v>0</v>
      </c>
      <c r="BB468" s="1">
        <f t="shared" si="1017"/>
        <v>0</v>
      </c>
      <c r="BC468" s="1">
        <f t="shared" si="1018"/>
        <v>0</v>
      </c>
      <c r="BD468" s="1">
        <f t="shared" si="1019"/>
        <v>0</v>
      </c>
      <c r="BE468" s="1">
        <f t="shared" si="1020"/>
        <v>0</v>
      </c>
      <c r="BG468" s="1">
        <f t="shared" si="1022"/>
        <v>0</v>
      </c>
      <c r="BH468" s="1">
        <f t="shared" si="1022"/>
        <v>0</v>
      </c>
      <c r="BI468" s="1">
        <f t="shared" si="1023"/>
        <v>0</v>
      </c>
      <c r="BJ468" s="1">
        <f t="shared" si="1024"/>
        <v>0</v>
      </c>
      <c r="BK468" s="1">
        <f t="shared" si="1025"/>
        <v>0</v>
      </c>
      <c r="BL468" s="1">
        <f t="shared" si="1026"/>
        <v>0</v>
      </c>
      <c r="BM468" s="1">
        <f t="shared" si="1027"/>
        <v>0</v>
      </c>
      <c r="BN468" s="1">
        <f t="shared" si="1028"/>
        <v>0</v>
      </c>
      <c r="BO468" s="1">
        <f t="shared" si="1029"/>
        <v>0</v>
      </c>
      <c r="BP468" s="1">
        <f t="shared" si="1030"/>
        <v>0</v>
      </c>
      <c r="BQ468" s="1">
        <f t="shared" si="1010"/>
        <v>0</v>
      </c>
    </row>
    <row r="469" spans="2:69" s="10" customFormat="1" ht="15" customHeight="1" x14ac:dyDescent="0.25">
      <c r="B469" s="2"/>
      <c r="C469" t="s">
        <v>550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17"/>
      <c r="AI469" s="1"/>
      <c r="AJ469" s="1"/>
      <c r="AK469" s="1"/>
      <c r="AL469" s="117"/>
      <c r="AM469" s="1"/>
      <c r="AN469" s="1"/>
      <c r="AO469" s="1"/>
      <c r="AP469" s="1"/>
      <c r="AQ469" s="1"/>
      <c r="AR469" s="3">
        <f t="shared" si="1021"/>
        <v>0</v>
      </c>
      <c r="AS469" s="11"/>
      <c r="AT469" s="1">
        <f>+AR469-[2]PassVol!$AN397</f>
        <v>0</v>
      </c>
      <c r="AU469" s="11"/>
      <c r="AV469" s="1">
        <f t="shared" si="1011"/>
        <v>0</v>
      </c>
      <c r="AW469" s="1">
        <f t="shared" si="1012"/>
        <v>0</v>
      </c>
      <c r="AX469" s="1">
        <f t="shared" si="1013"/>
        <v>0</v>
      </c>
      <c r="AY469" s="1">
        <f t="shared" si="1014"/>
        <v>0</v>
      </c>
      <c r="AZ469" s="1">
        <f t="shared" si="1015"/>
        <v>0</v>
      </c>
      <c r="BA469" s="1">
        <f t="shared" si="1016"/>
        <v>0</v>
      </c>
      <c r="BB469" s="1">
        <f t="shared" si="1017"/>
        <v>0</v>
      </c>
      <c r="BC469" s="1">
        <f t="shared" si="1018"/>
        <v>0</v>
      </c>
      <c r="BD469" s="1">
        <f t="shared" si="1019"/>
        <v>0</v>
      </c>
      <c r="BE469" s="1">
        <f t="shared" si="1020"/>
        <v>0</v>
      </c>
      <c r="BG469" s="1">
        <f t="shared" si="1022"/>
        <v>0</v>
      </c>
      <c r="BH469" s="1">
        <f t="shared" si="1022"/>
        <v>0</v>
      </c>
      <c r="BI469" s="1">
        <f t="shared" si="1023"/>
        <v>0</v>
      </c>
      <c r="BJ469" s="1">
        <f t="shared" si="1024"/>
        <v>0</v>
      </c>
      <c r="BK469" s="1">
        <f t="shared" si="1025"/>
        <v>0</v>
      </c>
      <c r="BL469" s="1">
        <f t="shared" si="1026"/>
        <v>0</v>
      </c>
      <c r="BM469" s="1">
        <f t="shared" si="1027"/>
        <v>0</v>
      </c>
      <c r="BN469" s="1">
        <f t="shared" si="1028"/>
        <v>0</v>
      </c>
      <c r="BO469" s="1">
        <f t="shared" si="1029"/>
        <v>0</v>
      </c>
      <c r="BP469" s="1">
        <f t="shared" si="1030"/>
        <v>0</v>
      </c>
      <c r="BQ469" s="1">
        <f t="shared" si="1010"/>
        <v>0</v>
      </c>
    </row>
    <row r="470" spans="2:69" s="10" customFormat="1" ht="15" customHeight="1" x14ac:dyDescent="0.25">
      <c r="B470" s="2"/>
      <c r="C470" t="s">
        <v>6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17"/>
      <c r="AI470" s="1"/>
      <c r="AJ470" s="1"/>
      <c r="AK470" s="1"/>
      <c r="AL470" s="117"/>
      <c r="AM470" s="1"/>
      <c r="AN470" s="1"/>
      <c r="AO470" s="1"/>
      <c r="AP470" s="1"/>
      <c r="AQ470" s="1"/>
      <c r="AR470" s="3">
        <f t="shared" si="1021"/>
        <v>0</v>
      </c>
      <c r="AS470" s="11"/>
      <c r="AT470" s="1">
        <f>+AR470-[2]PassVol!$AN398</f>
        <v>0</v>
      </c>
      <c r="AU470" s="11"/>
      <c r="AV470" s="1">
        <f t="shared" si="1011"/>
        <v>0</v>
      </c>
      <c r="AW470" s="1">
        <f t="shared" si="1012"/>
        <v>0</v>
      </c>
      <c r="AX470" s="1">
        <f t="shared" si="1013"/>
        <v>0</v>
      </c>
      <c r="AY470" s="1">
        <f t="shared" si="1014"/>
        <v>0</v>
      </c>
      <c r="AZ470" s="1">
        <f t="shared" si="1015"/>
        <v>0</v>
      </c>
      <c r="BA470" s="1">
        <f t="shared" si="1016"/>
        <v>0</v>
      </c>
      <c r="BB470" s="1">
        <f t="shared" si="1017"/>
        <v>0</v>
      </c>
      <c r="BC470" s="1">
        <f t="shared" si="1018"/>
        <v>0</v>
      </c>
      <c r="BD470" s="1">
        <f t="shared" si="1019"/>
        <v>0</v>
      </c>
      <c r="BE470" s="1">
        <f t="shared" si="1020"/>
        <v>0</v>
      </c>
      <c r="BG470" s="1">
        <f t="shared" si="1022"/>
        <v>0</v>
      </c>
      <c r="BH470" s="1">
        <f t="shared" si="1022"/>
        <v>0</v>
      </c>
      <c r="BI470" s="1">
        <f t="shared" si="1023"/>
        <v>0</v>
      </c>
      <c r="BJ470" s="1">
        <f t="shared" si="1024"/>
        <v>0</v>
      </c>
      <c r="BK470" s="1">
        <f t="shared" si="1025"/>
        <v>0</v>
      </c>
      <c r="BL470" s="1">
        <f t="shared" si="1026"/>
        <v>0</v>
      </c>
      <c r="BM470" s="1">
        <f t="shared" si="1027"/>
        <v>0</v>
      </c>
      <c r="BN470" s="1">
        <f t="shared" si="1028"/>
        <v>0</v>
      </c>
      <c r="BO470" s="1">
        <f t="shared" si="1029"/>
        <v>0</v>
      </c>
      <c r="BP470" s="1">
        <f t="shared" si="1030"/>
        <v>0</v>
      </c>
      <c r="BQ470" s="1">
        <f t="shared" si="1010"/>
        <v>0</v>
      </c>
    </row>
    <row r="471" spans="2:69" s="10" customFormat="1" ht="15" customHeight="1" x14ac:dyDescent="0.25">
      <c r="B471" s="2"/>
      <c r="C471" t="s">
        <v>262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17"/>
      <c r="AI471" s="1"/>
      <c r="AJ471" s="1"/>
      <c r="AK471" s="1"/>
      <c r="AL471" s="117"/>
      <c r="AM471" s="1"/>
      <c r="AN471" s="1"/>
      <c r="AO471" s="1"/>
      <c r="AP471" s="1"/>
      <c r="AQ471" s="1"/>
      <c r="AR471" s="3">
        <f t="shared" si="1021"/>
        <v>0</v>
      </c>
      <c r="AS471" s="11"/>
      <c r="AT471" s="1">
        <f>+AR471-[2]PassVol!$AN399</f>
        <v>0</v>
      </c>
      <c r="AU471" s="11"/>
      <c r="AV471" s="1">
        <f t="shared" si="1011"/>
        <v>0</v>
      </c>
      <c r="AW471" s="1">
        <f t="shared" si="1012"/>
        <v>0</v>
      </c>
      <c r="AX471" s="1">
        <f t="shared" si="1013"/>
        <v>0</v>
      </c>
      <c r="AY471" s="1">
        <f t="shared" si="1014"/>
        <v>0</v>
      </c>
      <c r="AZ471" s="1">
        <f t="shared" si="1015"/>
        <v>0</v>
      </c>
      <c r="BA471" s="1">
        <f t="shared" si="1016"/>
        <v>0</v>
      </c>
      <c r="BB471" s="1">
        <f t="shared" si="1017"/>
        <v>0</v>
      </c>
      <c r="BC471" s="1">
        <f t="shared" si="1018"/>
        <v>0</v>
      </c>
      <c r="BD471" s="1">
        <f t="shared" si="1019"/>
        <v>0</v>
      </c>
      <c r="BE471" s="1">
        <f t="shared" si="1020"/>
        <v>0</v>
      </c>
      <c r="BG471" s="1">
        <f t="shared" si="1022"/>
        <v>0</v>
      </c>
      <c r="BH471" s="1">
        <f t="shared" si="1022"/>
        <v>0</v>
      </c>
      <c r="BI471" s="1">
        <f t="shared" si="1023"/>
        <v>0</v>
      </c>
      <c r="BJ471" s="1">
        <f t="shared" si="1024"/>
        <v>0</v>
      </c>
      <c r="BK471" s="1">
        <f t="shared" si="1025"/>
        <v>0</v>
      </c>
      <c r="BL471" s="1">
        <f t="shared" si="1026"/>
        <v>0</v>
      </c>
      <c r="BM471" s="1">
        <f t="shared" si="1027"/>
        <v>0</v>
      </c>
      <c r="BN471" s="1">
        <f t="shared" si="1028"/>
        <v>0</v>
      </c>
      <c r="BO471" s="1">
        <f t="shared" si="1029"/>
        <v>0</v>
      </c>
      <c r="BP471" s="1">
        <f t="shared" si="1030"/>
        <v>0</v>
      </c>
      <c r="BQ471" s="1">
        <f t="shared" si="1010"/>
        <v>0</v>
      </c>
    </row>
    <row r="472" spans="2:69" s="10" customFormat="1" ht="15" customHeight="1" x14ac:dyDescent="0.25">
      <c r="B472" s="2"/>
      <c r="C472" t="s">
        <v>42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17"/>
      <c r="AI472" s="1"/>
      <c r="AJ472" s="1"/>
      <c r="AK472" s="1"/>
      <c r="AL472" s="117"/>
      <c r="AM472" s="1"/>
      <c r="AN472" s="1"/>
      <c r="AO472" s="1"/>
      <c r="AP472" s="1"/>
      <c r="AQ472" s="1"/>
      <c r="AR472" s="3">
        <f t="shared" si="1021"/>
        <v>0</v>
      </c>
      <c r="AS472" s="11"/>
      <c r="AT472" s="1">
        <f>+AR472-[2]PassVol!$AN400</f>
        <v>0</v>
      </c>
      <c r="AU472" s="11"/>
      <c r="AV472" s="1">
        <f t="shared" si="1011"/>
        <v>0</v>
      </c>
      <c r="AW472" s="1">
        <f t="shared" si="1012"/>
        <v>0</v>
      </c>
      <c r="AX472" s="1">
        <f t="shared" si="1013"/>
        <v>0</v>
      </c>
      <c r="AY472" s="1">
        <f t="shared" si="1014"/>
        <v>0</v>
      </c>
      <c r="AZ472" s="1">
        <f t="shared" si="1015"/>
        <v>0</v>
      </c>
      <c r="BA472" s="1">
        <f t="shared" si="1016"/>
        <v>0</v>
      </c>
      <c r="BB472" s="1">
        <f t="shared" si="1017"/>
        <v>0</v>
      </c>
      <c r="BC472" s="1">
        <f t="shared" si="1018"/>
        <v>0</v>
      </c>
      <c r="BD472" s="1">
        <f t="shared" si="1019"/>
        <v>0</v>
      </c>
      <c r="BE472" s="1">
        <f t="shared" si="1020"/>
        <v>0</v>
      </c>
      <c r="BG472" s="1">
        <f t="shared" si="1022"/>
        <v>0</v>
      </c>
      <c r="BH472" s="1">
        <f t="shared" si="1022"/>
        <v>0</v>
      </c>
      <c r="BI472" s="1">
        <f t="shared" si="1023"/>
        <v>0</v>
      </c>
      <c r="BJ472" s="1">
        <f t="shared" si="1024"/>
        <v>0</v>
      </c>
      <c r="BK472" s="1">
        <f t="shared" si="1025"/>
        <v>0</v>
      </c>
      <c r="BL472" s="1">
        <f t="shared" si="1026"/>
        <v>0</v>
      </c>
      <c r="BM472" s="1">
        <f t="shared" si="1027"/>
        <v>0</v>
      </c>
      <c r="BN472" s="1">
        <f t="shared" si="1028"/>
        <v>0</v>
      </c>
      <c r="BO472" s="1">
        <f t="shared" si="1029"/>
        <v>0</v>
      </c>
      <c r="BP472" s="1">
        <f t="shared" si="1030"/>
        <v>0</v>
      </c>
      <c r="BQ472" s="1">
        <f t="shared" si="1010"/>
        <v>0</v>
      </c>
    </row>
    <row r="473" spans="2:69" s="10" customFormat="1" ht="15" customHeight="1" x14ac:dyDescent="0.25">
      <c r="B473" s="2"/>
      <c r="C473" t="s">
        <v>192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17"/>
      <c r="AI473" s="1"/>
      <c r="AJ473" s="1"/>
      <c r="AK473" s="1"/>
      <c r="AL473" s="117"/>
      <c r="AM473" s="1"/>
      <c r="AN473" s="1"/>
      <c r="AO473" s="1"/>
      <c r="AP473" s="1"/>
      <c r="AQ473" s="1"/>
      <c r="AR473" s="3">
        <f t="shared" si="1021"/>
        <v>0</v>
      </c>
      <c r="AS473" s="11"/>
      <c r="AT473" s="1">
        <f>+AR473-[2]PassVol!$AN401</f>
        <v>0</v>
      </c>
      <c r="AU473" s="11"/>
      <c r="AV473" s="1">
        <f t="shared" si="1011"/>
        <v>0</v>
      </c>
      <c r="AW473" s="1">
        <f t="shared" si="1012"/>
        <v>0</v>
      </c>
      <c r="AX473" s="1">
        <f t="shared" si="1013"/>
        <v>0</v>
      </c>
      <c r="AY473" s="1">
        <f t="shared" si="1014"/>
        <v>0</v>
      </c>
      <c r="AZ473" s="1">
        <f t="shared" si="1015"/>
        <v>0</v>
      </c>
      <c r="BA473" s="1">
        <f t="shared" si="1016"/>
        <v>0</v>
      </c>
      <c r="BB473" s="1">
        <f t="shared" si="1017"/>
        <v>0</v>
      </c>
      <c r="BC473" s="1">
        <f t="shared" si="1018"/>
        <v>0</v>
      </c>
      <c r="BD473" s="1">
        <f t="shared" si="1019"/>
        <v>0</v>
      </c>
      <c r="BE473" s="1">
        <f t="shared" si="1020"/>
        <v>0</v>
      </c>
      <c r="BG473" s="1">
        <f t="shared" si="1022"/>
        <v>0</v>
      </c>
      <c r="BH473" s="1">
        <f t="shared" si="1022"/>
        <v>0</v>
      </c>
      <c r="BI473" s="1">
        <f t="shared" si="1023"/>
        <v>0</v>
      </c>
      <c r="BJ473" s="1">
        <f t="shared" si="1024"/>
        <v>0</v>
      </c>
      <c r="BK473" s="1">
        <f t="shared" si="1025"/>
        <v>0</v>
      </c>
      <c r="BL473" s="1">
        <f t="shared" si="1026"/>
        <v>0</v>
      </c>
      <c r="BM473" s="1">
        <f t="shared" si="1027"/>
        <v>0</v>
      </c>
      <c r="BN473" s="1">
        <f t="shared" si="1028"/>
        <v>0</v>
      </c>
      <c r="BO473" s="1">
        <f t="shared" si="1029"/>
        <v>0</v>
      </c>
      <c r="BP473" s="1">
        <f t="shared" si="1030"/>
        <v>0</v>
      </c>
      <c r="BQ473" s="1">
        <f t="shared" si="1010"/>
        <v>0</v>
      </c>
    </row>
    <row r="474" spans="2:69" s="10" customFormat="1" ht="15" customHeight="1" x14ac:dyDescent="0.25">
      <c r="B474" s="2"/>
      <c r="C474" t="s">
        <v>133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17"/>
      <c r="AI474" s="1"/>
      <c r="AJ474" s="1"/>
      <c r="AK474" s="1"/>
      <c r="AL474" s="117"/>
      <c r="AM474" s="1"/>
      <c r="AN474" s="1"/>
      <c r="AO474" s="1"/>
      <c r="AP474" s="1"/>
      <c r="AQ474" s="1"/>
      <c r="AR474" s="3">
        <f t="shared" si="1021"/>
        <v>0</v>
      </c>
      <c r="AS474" s="11"/>
      <c r="AT474" s="1">
        <f>+AR474-[2]PassVol!$AN402</f>
        <v>0</v>
      </c>
      <c r="AU474" s="11"/>
      <c r="AV474" s="1">
        <f t="shared" si="1011"/>
        <v>0</v>
      </c>
      <c r="AW474" s="1">
        <f t="shared" si="1012"/>
        <v>0</v>
      </c>
      <c r="AX474" s="1">
        <f t="shared" si="1013"/>
        <v>0</v>
      </c>
      <c r="AY474" s="1">
        <f t="shared" si="1014"/>
        <v>0</v>
      </c>
      <c r="AZ474" s="1">
        <f t="shared" si="1015"/>
        <v>0</v>
      </c>
      <c r="BA474" s="1">
        <f t="shared" si="1016"/>
        <v>0</v>
      </c>
      <c r="BB474" s="1">
        <f t="shared" si="1017"/>
        <v>0</v>
      </c>
      <c r="BC474" s="1">
        <f t="shared" si="1018"/>
        <v>0</v>
      </c>
      <c r="BD474" s="1">
        <f t="shared" si="1019"/>
        <v>0</v>
      </c>
      <c r="BE474" s="1">
        <f t="shared" si="1020"/>
        <v>0</v>
      </c>
      <c r="BG474" s="1">
        <f t="shared" si="1022"/>
        <v>0</v>
      </c>
      <c r="BH474" s="1">
        <f t="shared" si="1022"/>
        <v>0</v>
      </c>
      <c r="BI474" s="1">
        <f t="shared" si="1023"/>
        <v>0</v>
      </c>
      <c r="BJ474" s="1">
        <f t="shared" si="1024"/>
        <v>0</v>
      </c>
      <c r="BK474" s="1">
        <f t="shared" si="1025"/>
        <v>0</v>
      </c>
      <c r="BL474" s="1">
        <f t="shared" si="1026"/>
        <v>0</v>
      </c>
      <c r="BM474" s="1">
        <f t="shared" si="1027"/>
        <v>0</v>
      </c>
      <c r="BN474" s="1">
        <f t="shared" si="1028"/>
        <v>0</v>
      </c>
      <c r="BO474" s="1">
        <f t="shared" si="1029"/>
        <v>0</v>
      </c>
      <c r="BP474" s="1">
        <f t="shared" si="1030"/>
        <v>0</v>
      </c>
      <c r="BQ474" s="1">
        <f t="shared" si="1010"/>
        <v>0</v>
      </c>
    </row>
    <row r="475" spans="2:69" s="10" customFormat="1" ht="15" customHeight="1" x14ac:dyDescent="0.25">
      <c r="B475" s="2"/>
      <c r="C475" t="s">
        <v>41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17"/>
      <c r="AI475" s="1"/>
      <c r="AJ475" s="1"/>
      <c r="AK475" s="1"/>
      <c r="AL475" s="117"/>
      <c r="AM475" s="1"/>
      <c r="AN475" s="1"/>
      <c r="AO475" s="1"/>
      <c r="AP475" s="1"/>
      <c r="AQ475" s="1"/>
      <c r="AR475" s="3">
        <f t="shared" si="1021"/>
        <v>0</v>
      </c>
      <c r="AS475" s="11"/>
      <c r="AT475" s="1">
        <f>+AR475-[2]PassVol!$AN403</f>
        <v>0</v>
      </c>
      <c r="AU475" s="11"/>
      <c r="AV475" s="1">
        <f t="shared" si="1011"/>
        <v>0</v>
      </c>
      <c r="AW475" s="1">
        <f t="shared" si="1012"/>
        <v>0</v>
      </c>
      <c r="AX475" s="1">
        <f t="shared" si="1013"/>
        <v>0</v>
      </c>
      <c r="AY475" s="1">
        <f t="shared" si="1014"/>
        <v>0</v>
      </c>
      <c r="AZ475" s="1">
        <f t="shared" si="1015"/>
        <v>0</v>
      </c>
      <c r="BA475" s="1">
        <f t="shared" si="1016"/>
        <v>0</v>
      </c>
      <c r="BB475" s="1">
        <f t="shared" si="1017"/>
        <v>0</v>
      </c>
      <c r="BC475" s="1">
        <f t="shared" si="1018"/>
        <v>0</v>
      </c>
      <c r="BD475" s="1">
        <f t="shared" si="1019"/>
        <v>0</v>
      </c>
      <c r="BE475" s="1">
        <f t="shared" si="1020"/>
        <v>0</v>
      </c>
      <c r="BG475" s="1">
        <f t="shared" si="1022"/>
        <v>0</v>
      </c>
      <c r="BH475" s="1">
        <f t="shared" si="1022"/>
        <v>0</v>
      </c>
      <c r="BI475" s="1">
        <f t="shared" si="1023"/>
        <v>0</v>
      </c>
      <c r="BJ475" s="1">
        <f t="shared" si="1024"/>
        <v>0</v>
      </c>
      <c r="BK475" s="1">
        <f t="shared" si="1025"/>
        <v>0</v>
      </c>
      <c r="BL475" s="1">
        <f t="shared" si="1026"/>
        <v>0</v>
      </c>
      <c r="BM475" s="1">
        <f t="shared" si="1027"/>
        <v>0</v>
      </c>
      <c r="BN475" s="1">
        <f t="shared" si="1028"/>
        <v>0</v>
      </c>
      <c r="BO475" s="1">
        <f t="shared" si="1029"/>
        <v>0</v>
      </c>
      <c r="BP475" s="1">
        <f t="shared" si="1030"/>
        <v>0</v>
      </c>
      <c r="BQ475" s="1">
        <f t="shared" si="1010"/>
        <v>0</v>
      </c>
    </row>
    <row r="476" spans="2:69" s="10" customFormat="1" ht="15" customHeight="1" x14ac:dyDescent="0.25">
      <c r="B476" s="2"/>
      <c r="C476" t="s">
        <v>193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17"/>
      <c r="AI476" s="1"/>
      <c r="AJ476" s="1"/>
      <c r="AK476" s="1"/>
      <c r="AL476" s="117"/>
      <c r="AM476" s="1"/>
      <c r="AN476" s="1"/>
      <c r="AO476" s="1"/>
      <c r="AP476" s="1"/>
      <c r="AQ476" s="1"/>
      <c r="AR476" s="3">
        <f t="shared" si="1021"/>
        <v>0</v>
      </c>
      <c r="AS476" s="11"/>
      <c r="AT476" s="1">
        <f>+AR476-[2]PassVol!$AN404</f>
        <v>0</v>
      </c>
      <c r="AU476" s="11"/>
      <c r="AV476" s="1">
        <f t="shared" si="1011"/>
        <v>0</v>
      </c>
      <c r="AW476" s="1">
        <f t="shared" si="1012"/>
        <v>0</v>
      </c>
      <c r="AX476" s="1">
        <f t="shared" si="1013"/>
        <v>0</v>
      </c>
      <c r="AY476" s="1">
        <f t="shared" si="1014"/>
        <v>0</v>
      </c>
      <c r="AZ476" s="1">
        <f t="shared" si="1015"/>
        <v>0</v>
      </c>
      <c r="BA476" s="1">
        <f t="shared" si="1016"/>
        <v>0</v>
      </c>
      <c r="BB476" s="1">
        <f t="shared" si="1017"/>
        <v>0</v>
      </c>
      <c r="BC476" s="1">
        <f t="shared" si="1018"/>
        <v>0</v>
      </c>
      <c r="BD476" s="1">
        <f t="shared" si="1019"/>
        <v>0</v>
      </c>
      <c r="BE476" s="1">
        <f t="shared" si="1020"/>
        <v>0</v>
      </c>
      <c r="BG476" s="1">
        <f t="shared" si="1022"/>
        <v>0</v>
      </c>
      <c r="BH476" s="1">
        <f t="shared" si="1022"/>
        <v>0</v>
      </c>
      <c r="BI476" s="1">
        <f t="shared" si="1023"/>
        <v>0</v>
      </c>
      <c r="BJ476" s="1">
        <f t="shared" si="1024"/>
        <v>0</v>
      </c>
      <c r="BK476" s="1">
        <f t="shared" si="1025"/>
        <v>0</v>
      </c>
      <c r="BL476" s="1">
        <f t="shared" si="1026"/>
        <v>0</v>
      </c>
      <c r="BM476" s="1">
        <f t="shared" si="1027"/>
        <v>0</v>
      </c>
      <c r="BN476" s="1">
        <f t="shared" si="1028"/>
        <v>0</v>
      </c>
      <c r="BO476" s="1">
        <f t="shared" si="1029"/>
        <v>0</v>
      </c>
      <c r="BP476" s="1">
        <f t="shared" si="1030"/>
        <v>0</v>
      </c>
      <c r="BQ476" s="1">
        <f t="shared" si="1010"/>
        <v>0</v>
      </c>
    </row>
    <row r="477" spans="2:69" s="10" customFormat="1" ht="15" customHeight="1" x14ac:dyDescent="0.25">
      <c r="B477" s="2"/>
      <c r="C477" t="s">
        <v>297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17"/>
      <c r="AI477" s="1"/>
      <c r="AJ477" s="1"/>
      <c r="AK477" s="1"/>
      <c r="AL477" s="117"/>
      <c r="AM477" s="1"/>
      <c r="AN477" s="1"/>
      <c r="AO477" s="1"/>
      <c r="AP477" s="1"/>
      <c r="AQ477" s="1"/>
      <c r="AR477" s="3">
        <f t="shared" si="1021"/>
        <v>0</v>
      </c>
      <c r="AS477" s="11"/>
      <c r="AT477" s="1">
        <f>+AR477-[2]PassVol!$AN405</f>
        <v>0</v>
      </c>
      <c r="AU477" s="11"/>
      <c r="AV477" s="1">
        <f t="shared" si="1011"/>
        <v>0</v>
      </c>
      <c r="AW477" s="1">
        <f t="shared" si="1012"/>
        <v>0</v>
      </c>
      <c r="AX477" s="1">
        <f t="shared" si="1013"/>
        <v>0</v>
      </c>
      <c r="AY477" s="1">
        <f t="shared" si="1014"/>
        <v>0</v>
      </c>
      <c r="AZ477" s="1">
        <f t="shared" si="1015"/>
        <v>0</v>
      </c>
      <c r="BA477" s="1">
        <f t="shared" si="1016"/>
        <v>0</v>
      </c>
      <c r="BB477" s="1">
        <f t="shared" si="1017"/>
        <v>0</v>
      </c>
      <c r="BC477" s="1">
        <f t="shared" si="1018"/>
        <v>0</v>
      </c>
      <c r="BD477" s="1">
        <f t="shared" si="1019"/>
        <v>0</v>
      </c>
      <c r="BE477" s="1">
        <f t="shared" si="1020"/>
        <v>0</v>
      </c>
      <c r="BG477" s="1">
        <f t="shared" si="1022"/>
        <v>0</v>
      </c>
      <c r="BH477" s="1">
        <f t="shared" si="1022"/>
        <v>0</v>
      </c>
      <c r="BI477" s="1">
        <f t="shared" si="1023"/>
        <v>0</v>
      </c>
      <c r="BJ477" s="1">
        <f t="shared" si="1024"/>
        <v>0</v>
      </c>
      <c r="BK477" s="1">
        <f t="shared" si="1025"/>
        <v>0</v>
      </c>
      <c r="BL477" s="1">
        <f t="shared" si="1026"/>
        <v>0</v>
      </c>
      <c r="BM477" s="1">
        <f t="shared" si="1027"/>
        <v>0</v>
      </c>
      <c r="BN477" s="1">
        <f t="shared" si="1028"/>
        <v>0</v>
      </c>
      <c r="BO477" s="1">
        <f t="shared" si="1029"/>
        <v>0</v>
      </c>
      <c r="BP477" s="1">
        <f t="shared" si="1030"/>
        <v>0</v>
      </c>
      <c r="BQ477" s="1">
        <f t="shared" si="1010"/>
        <v>0</v>
      </c>
    </row>
    <row r="478" spans="2:69" s="10" customFormat="1" ht="15" customHeight="1" x14ac:dyDescent="0.25">
      <c r="B478" s="2"/>
      <c r="C478" t="s">
        <v>296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17"/>
      <c r="AI478" s="1"/>
      <c r="AJ478" s="1"/>
      <c r="AK478" s="1"/>
      <c r="AL478" s="117"/>
      <c r="AM478" s="1"/>
      <c r="AN478" s="1"/>
      <c r="AO478" s="1"/>
      <c r="AP478" s="1"/>
      <c r="AQ478" s="1"/>
      <c r="AR478" s="3">
        <f t="shared" si="1021"/>
        <v>0</v>
      </c>
      <c r="AS478" s="11"/>
      <c r="AT478" s="1">
        <f>+AR478-[2]PassVol!$AN406</f>
        <v>0</v>
      </c>
      <c r="AU478" s="11"/>
      <c r="AV478" s="1">
        <f t="shared" si="1011"/>
        <v>0</v>
      </c>
      <c r="AW478" s="1">
        <f t="shared" si="1012"/>
        <v>0</v>
      </c>
      <c r="AX478" s="1">
        <f t="shared" si="1013"/>
        <v>0</v>
      </c>
      <c r="AY478" s="1">
        <f t="shared" si="1014"/>
        <v>0</v>
      </c>
      <c r="AZ478" s="1">
        <f t="shared" si="1015"/>
        <v>0</v>
      </c>
      <c r="BA478" s="1">
        <f t="shared" si="1016"/>
        <v>0</v>
      </c>
      <c r="BB478" s="1">
        <f t="shared" si="1017"/>
        <v>0</v>
      </c>
      <c r="BC478" s="1">
        <f t="shared" si="1018"/>
        <v>0</v>
      </c>
      <c r="BD478" s="1">
        <f t="shared" si="1019"/>
        <v>0</v>
      </c>
      <c r="BE478" s="1">
        <f t="shared" si="1020"/>
        <v>0</v>
      </c>
      <c r="BG478" s="1">
        <f t="shared" si="1022"/>
        <v>0</v>
      </c>
      <c r="BH478" s="1">
        <f t="shared" si="1022"/>
        <v>0</v>
      </c>
      <c r="BI478" s="1">
        <f t="shared" si="1023"/>
        <v>0</v>
      </c>
      <c r="BJ478" s="1">
        <f t="shared" si="1024"/>
        <v>0</v>
      </c>
      <c r="BK478" s="1">
        <f t="shared" si="1025"/>
        <v>0</v>
      </c>
      <c r="BL478" s="1">
        <f t="shared" si="1026"/>
        <v>0</v>
      </c>
      <c r="BM478" s="1">
        <f t="shared" si="1027"/>
        <v>0</v>
      </c>
      <c r="BN478" s="1">
        <f t="shared" si="1028"/>
        <v>0</v>
      </c>
      <c r="BO478" s="1">
        <f t="shared" si="1029"/>
        <v>0</v>
      </c>
      <c r="BP478" s="1">
        <f t="shared" si="1030"/>
        <v>0</v>
      </c>
      <c r="BQ478" s="1">
        <f t="shared" si="1010"/>
        <v>0</v>
      </c>
    </row>
    <row r="479" spans="2:69" s="10" customFormat="1" ht="15" customHeight="1" x14ac:dyDescent="0.25">
      <c r="B479" s="2"/>
      <c r="C479" t="s">
        <v>44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17"/>
      <c r="AI479" s="1"/>
      <c r="AJ479" s="1"/>
      <c r="AK479" s="1"/>
      <c r="AL479" s="117"/>
      <c r="AM479" s="1"/>
      <c r="AN479" s="1"/>
      <c r="AO479" s="1"/>
      <c r="AP479" s="1"/>
      <c r="AQ479" s="1"/>
      <c r="AR479" s="3">
        <f t="shared" si="1021"/>
        <v>0</v>
      </c>
      <c r="AS479" s="11"/>
      <c r="AT479" s="1">
        <f>+AR479-[2]PassVol!$AN407</f>
        <v>0</v>
      </c>
      <c r="AU479" s="11"/>
      <c r="AV479" s="1">
        <f t="shared" si="1011"/>
        <v>0</v>
      </c>
      <c r="AW479" s="1">
        <f t="shared" si="1012"/>
        <v>0</v>
      </c>
      <c r="AX479" s="1">
        <f t="shared" si="1013"/>
        <v>0</v>
      </c>
      <c r="AY479" s="1">
        <f t="shared" si="1014"/>
        <v>0</v>
      </c>
      <c r="AZ479" s="1">
        <f t="shared" si="1015"/>
        <v>0</v>
      </c>
      <c r="BA479" s="1">
        <f t="shared" si="1016"/>
        <v>0</v>
      </c>
      <c r="BB479" s="1">
        <f t="shared" si="1017"/>
        <v>0</v>
      </c>
      <c r="BC479" s="1">
        <f t="shared" si="1018"/>
        <v>0</v>
      </c>
      <c r="BD479" s="1">
        <f t="shared" si="1019"/>
        <v>0</v>
      </c>
      <c r="BE479" s="1">
        <f t="shared" si="1020"/>
        <v>0</v>
      </c>
      <c r="BG479" s="1">
        <f t="shared" si="1022"/>
        <v>0</v>
      </c>
      <c r="BH479" s="1">
        <f t="shared" si="1022"/>
        <v>0</v>
      </c>
      <c r="BI479" s="1">
        <f t="shared" si="1023"/>
        <v>0</v>
      </c>
      <c r="BJ479" s="1">
        <f t="shared" si="1024"/>
        <v>0</v>
      </c>
      <c r="BK479" s="1">
        <f t="shared" si="1025"/>
        <v>0</v>
      </c>
      <c r="BL479" s="1">
        <f t="shared" si="1026"/>
        <v>0</v>
      </c>
      <c r="BM479" s="1">
        <f t="shared" si="1027"/>
        <v>0</v>
      </c>
      <c r="BN479" s="1">
        <f t="shared" si="1028"/>
        <v>0</v>
      </c>
      <c r="BO479" s="1">
        <f t="shared" si="1029"/>
        <v>0</v>
      </c>
      <c r="BP479" s="1">
        <f t="shared" si="1030"/>
        <v>0</v>
      </c>
      <c r="BQ479" s="1">
        <f t="shared" si="1010"/>
        <v>0</v>
      </c>
    </row>
    <row r="480" spans="2:69" s="36" customFormat="1" ht="15" customHeight="1" x14ac:dyDescent="0.25">
      <c r="B480" s="2" t="s">
        <v>339</v>
      </c>
      <c r="C480" s="2"/>
      <c r="D480" s="3">
        <f t="shared" ref="D480:AQ480" si="1031">SUM(D461:D479)</f>
        <v>0</v>
      </c>
      <c r="E480" s="3">
        <f t="shared" si="1031"/>
        <v>0</v>
      </c>
      <c r="F480" s="3">
        <f t="shared" si="1031"/>
        <v>0</v>
      </c>
      <c r="G480" s="3">
        <f t="shared" si="1031"/>
        <v>0</v>
      </c>
      <c r="H480" s="3">
        <f t="shared" si="1031"/>
        <v>0</v>
      </c>
      <c r="I480" s="3">
        <f t="shared" si="1031"/>
        <v>0</v>
      </c>
      <c r="J480" s="3">
        <f t="shared" si="1031"/>
        <v>0</v>
      </c>
      <c r="K480" s="3">
        <f t="shared" si="1031"/>
        <v>0</v>
      </c>
      <c r="L480" s="3">
        <f t="shared" si="1031"/>
        <v>0</v>
      </c>
      <c r="M480" s="3">
        <f t="shared" si="1031"/>
        <v>0</v>
      </c>
      <c r="N480" s="3">
        <f t="shared" si="1031"/>
        <v>0</v>
      </c>
      <c r="O480" s="3">
        <f t="shared" si="1031"/>
        <v>0</v>
      </c>
      <c r="P480" s="3">
        <f t="shared" si="1031"/>
        <v>0</v>
      </c>
      <c r="Q480" s="3">
        <f t="shared" si="1031"/>
        <v>0</v>
      </c>
      <c r="R480" s="3">
        <f t="shared" si="1031"/>
        <v>0</v>
      </c>
      <c r="S480" s="3">
        <f t="shared" si="1031"/>
        <v>0</v>
      </c>
      <c r="T480" s="3">
        <f t="shared" si="1031"/>
        <v>0</v>
      </c>
      <c r="U480" s="3">
        <f t="shared" si="1031"/>
        <v>0</v>
      </c>
      <c r="V480" s="3">
        <f t="shared" si="1031"/>
        <v>0</v>
      </c>
      <c r="W480" s="3">
        <f t="shared" si="1031"/>
        <v>0</v>
      </c>
      <c r="X480" s="3">
        <f t="shared" si="1031"/>
        <v>0</v>
      </c>
      <c r="Y480" s="3">
        <f t="shared" si="1031"/>
        <v>0</v>
      </c>
      <c r="Z480" s="3">
        <f t="shared" si="1031"/>
        <v>0</v>
      </c>
      <c r="AA480" s="3">
        <f t="shared" si="1031"/>
        <v>0</v>
      </c>
      <c r="AB480" s="3">
        <f t="shared" si="1031"/>
        <v>0</v>
      </c>
      <c r="AC480" s="3">
        <f t="shared" si="1031"/>
        <v>0</v>
      </c>
      <c r="AD480" s="3">
        <f t="shared" si="1031"/>
        <v>0</v>
      </c>
      <c r="AE480" s="3">
        <f t="shared" si="1031"/>
        <v>0</v>
      </c>
      <c r="AF480" s="3">
        <f t="shared" si="1031"/>
        <v>0</v>
      </c>
      <c r="AG480" s="3">
        <f t="shared" si="1031"/>
        <v>0</v>
      </c>
      <c r="AH480" s="150">
        <f t="shared" si="1031"/>
        <v>0</v>
      </c>
      <c r="AI480" s="3">
        <f t="shared" si="1031"/>
        <v>0</v>
      </c>
      <c r="AJ480" s="3">
        <f t="shared" si="1031"/>
        <v>0</v>
      </c>
      <c r="AK480" s="3">
        <f t="shared" si="1031"/>
        <v>0</v>
      </c>
      <c r="AL480" s="150">
        <f t="shared" si="1031"/>
        <v>0</v>
      </c>
      <c r="AM480" s="3">
        <f t="shared" si="1031"/>
        <v>0</v>
      </c>
      <c r="AN480" s="3">
        <f t="shared" si="1031"/>
        <v>0</v>
      </c>
      <c r="AO480" s="3">
        <f t="shared" si="1031"/>
        <v>0</v>
      </c>
      <c r="AP480" s="3">
        <f t="shared" si="1031"/>
        <v>0</v>
      </c>
      <c r="AQ480" s="3">
        <f t="shared" si="1031"/>
        <v>0</v>
      </c>
      <c r="AR480" s="3">
        <f t="shared" ref="AR480" si="1032">SUM(AR461:AR479)</f>
        <v>0</v>
      </c>
      <c r="AS480" s="35"/>
      <c r="AT480" s="1">
        <f>+AR480-[2]PassVol!$AN408</f>
        <v>0</v>
      </c>
      <c r="AU480" s="35"/>
      <c r="AV480" s="3">
        <f>SUM(AV461:AV479)</f>
        <v>0</v>
      </c>
      <c r="AW480" s="3">
        <f>SUM(AW461:AW479)</f>
        <v>0</v>
      </c>
      <c r="AX480" s="3">
        <f t="shared" ref="AX480:BE480" si="1033">SUM(AX461:AX479)</f>
        <v>0</v>
      </c>
      <c r="AY480" s="3">
        <f t="shared" si="1033"/>
        <v>0</v>
      </c>
      <c r="AZ480" s="3">
        <f t="shared" si="1033"/>
        <v>0</v>
      </c>
      <c r="BA480" s="3">
        <f t="shared" si="1033"/>
        <v>0</v>
      </c>
      <c r="BB480" s="3">
        <f t="shared" si="1033"/>
        <v>0</v>
      </c>
      <c r="BC480" s="3">
        <f t="shared" si="1033"/>
        <v>0</v>
      </c>
      <c r="BD480" s="3">
        <f t="shared" si="1033"/>
        <v>0</v>
      </c>
      <c r="BE480" s="3">
        <f t="shared" si="1033"/>
        <v>0</v>
      </c>
      <c r="BG480" s="3">
        <f>SUM(BG461:BG479)</f>
        <v>0</v>
      </c>
      <c r="BH480" s="3">
        <f>SUM(BH461:BH479)</f>
        <v>0</v>
      </c>
      <c r="BI480" s="3">
        <f t="shared" ref="BI480:BQ480" si="1034">SUM(BI461:BI479)</f>
        <v>0</v>
      </c>
      <c r="BJ480" s="3">
        <f t="shared" si="1034"/>
        <v>0</v>
      </c>
      <c r="BK480" s="3">
        <f t="shared" si="1034"/>
        <v>0</v>
      </c>
      <c r="BL480" s="3">
        <f t="shared" si="1034"/>
        <v>0</v>
      </c>
      <c r="BM480" s="3">
        <f t="shared" si="1034"/>
        <v>0</v>
      </c>
      <c r="BN480" s="3">
        <f t="shared" si="1034"/>
        <v>0</v>
      </c>
      <c r="BO480" s="3">
        <f t="shared" si="1034"/>
        <v>0</v>
      </c>
      <c r="BP480" s="3">
        <f t="shared" si="1034"/>
        <v>0</v>
      </c>
      <c r="BQ480" s="3">
        <f t="shared" si="1034"/>
        <v>0</v>
      </c>
    </row>
    <row r="481" spans="2:69" s="10" customFormat="1" ht="15" customHeight="1" x14ac:dyDescent="0.25">
      <c r="B481" s="2"/>
      <c r="C481" s="38" t="s">
        <v>97</v>
      </c>
      <c r="D481" s="11">
        <f>+D480</f>
        <v>0</v>
      </c>
      <c r="E481" s="11">
        <f>+D481+E480</f>
        <v>0</v>
      </c>
      <c r="F481" s="11">
        <f t="shared" ref="F481" si="1035">+E481+F480</f>
        <v>0</v>
      </c>
      <c r="G481" s="11">
        <f t="shared" ref="G481" si="1036">+F481+G480</f>
        <v>0</v>
      </c>
      <c r="H481" s="11">
        <f t="shared" ref="H481" si="1037">+G481+H480</f>
        <v>0</v>
      </c>
      <c r="I481" s="11">
        <f t="shared" ref="I481" si="1038">+H481+I480</f>
        <v>0</v>
      </c>
      <c r="J481" s="11">
        <f t="shared" ref="J481" si="1039">+I481+J480</f>
        <v>0</v>
      </c>
      <c r="K481" s="11">
        <f t="shared" ref="K481" si="1040">+J481+K480</f>
        <v>0</v>
      </c>
      <c r="L481" s="11">
        <f t="shared" ref="L481" si="1041">+K481+L480</f>
        <v>0</v>
      </c>
      <c r="M481" s="11">
        <f t="shared" ref="M481" si="1042">+L481+M480</f>
        <v>0</v>
      </c>
      <c r="N481" s="11">
        <f t="shared" ref="N481" si="1043">+M481+N480</f>
        <v>0</v>
      </c>
      <c r="O481" s="11">
        <f t="shared" ref="O481" si="1044">+N481+O480</f>
        <v>0</v>
      </c>
      <c r="P481" s="11">
        <f t="shared" ref="P481" si="1045">+O481+P480</f>
        <v>0</v>
      </c>
      <c r="Q481" s="11">
        <f t="shared" ref="Q481" si="1046">+P481+Q480</f>
        <v>0</v>
      </c>
      <c r="R481" s="11">
        <f t="shared" ref="R481" si="1047">+Q481+R480</f>
        <v>0</v>
      </c>
      <c r="S481" s="11">
        <f t="shared" ref="S481" si="1048">+R481+S480</f>
        <v>0</v>
      </c>
      <c r="T481" s="11">
        <f t="shared" ref="T481" si="1049">+S481+T480</f>
        <v>0</v>
      </c>
      <c r="U481" s="11">
        <f t="shared" ref="U481:V481" si="1050">+T481+U480</f>
        <v>0</v>
      </c>
      <c r="V481" s="11">
        <f t="shared" si="1050"/>
        <v>0</v>
      </c>
      <c r="W481" s="11">
        <f t="shared" ref="W481:X481" si="1051">+W480*8</f>
        <v>0</v>
      </c>
      <c r="X481" s="11">
        <f t="shared" si="1051"/>
        <v>0</v>
      </c>
      <c r="Y481" s="11">
        <f t="shared" ref="Y481" si="1052">+X481+Y480</f>
        <v>0</v>
      </c>
      <c r="Z481" s="11">
        <f t="shared" ref="Z481" si="1053">+Y481+Z480</f>
        <v>0</v>
      </c>
      <c r="AA481" s="11">
        <f t="shared" ref="AA481" si="1054">+Z481+AA480</f>
        <v>0</v>
      </c>
      <c r="AB481" s="11">
        <f t="shared" ref="AB481" si="1055">+AA481+AB480</f>
        <v>0</v>
      </c>
      <c r="AC481" s="11">
        <f t="shared" ref="AC481" si="1056">+AB481+AC480</f>
        <v>0</v>
      </c>
      <c r="AD481" s="11">
        <f t="shared" ref="AD481" si="1057">+AC481+AD480</f>
        <v>0</v>
      </c>
      <c r="AE481" s="11">
        <f t="shared" ref="AE481" si="1058">+AD481+AE480</f>
        <v>0</v>
      </c>
      <c r="AF481" s="11">
        <f t="shared" ref="AF481" si="1059">+AE481+AF480</f>
        <v>0</v>
      </c>
      <c r="AG481" s="11">
        <f t="shared" ref="AG481" si="1060">+AF481+AG480</f>
        <v>0</v>
      </c>
      <c r="AH481" s="147">
        <f t="shared" ref="AH481" si="1061">+AG481+AH480</f>
        <v>0</v>
      </c>
      <c r="AI481" s="11">
        <f t="shared" ref="AI481" si="1062">+AH481+AI480</f>
        <v>0</v>
      </c>
      <c r="AJ481" s="11">
        <f t="shared" ref="AJ481" si="1063">+AI481+AJ480</f>
        <v>0</v>
      </c>
      <c r="AK481" s="11">
        <f t="shared" ref="AK481" si="1064">+AJ481+AK480</f>
        <v>0</v>
      </c>
      <c r="AL481" s="147">
        <f t="shared" ref="AL481" si="1065">+AK481+AL480</f>
        <v>0</v>
      </c>
      <c r="AM481" s="11">
        <f t="shared" ref="AM481" si="1066">+AL481+AM480</f>
        <v>0</v>
      </c>
      <c r="AN481" s="11">
        <f t="shared" ref="AN481" si="1067">+AM481+AN480</f>
        <v>0</v>
      </c>
      <c r="AO481" s="11">
        <f t="shared" ref="AO481" si="1068">+AN481+AO480</f>
        <v>0</v>
      </c>
      <c r="AP481" s="11">
        <f t="shared" ref="AP481" si="1069">+AO481+AP480</f>
        <v>0</v>
      </c>
      <c r="AQ481" s="11">
        <f t="shared" ref="AQ481" si="1070">+AP481+AQ480</f>
        <v>0</v>
      </c>
      <c r="AR481" s="40"/>
      <c r="AS481" s="11"/>
      <c r="AT481" s="11"/>
      <c r="AU481" s="11"/>
      <c r="AV481" s="11">
        <f>+AV480</f>
        <v>0</v>
      </c>
      <c r="AW481" s="1">
        <f>+AV481+AW480</f>
        <v>0</v>
      </c>
      <c r="AX481" s="1">
        <f t="shared" ref="AX481" si="1071">+AW481+AX480</f>
        <v>0</v>
      </c>
      <c r="AY481" s="1">
        <f t="shared" ref="AY481" si="1072">+AX481+AY480</f>
        <v>0</v>
      </c>
      <c r="AZ481" s="1">
        <f t="shared" ref="AZ481" si="1073">+AY481+AZ480</f>
        <v>0</v>
      </c>
      <c r="BA481" s="1">
        <f t="shared" ref="BA481" si="1074">+AZ481+BA480</f>
        <v>0</v>
      </c>
      <c r="BB481" s="1">
        <f t="shared" ref="BB481" si="1075">+BA481+BB480</f>
        <v>0</v>
      </c>
      <c r="BC481" s="1">
        <f t="shared" ref="BC481" si="1076">+BB481+BC480</f>
        <v>0</v>
      </c>
      <c r="BD481" s="1">
        <f t="shared" ref="BD481" si="1077">+BC481+BD480</f>
        <v>0</v>
      </c>
      <c r="BE481" s="1">
        <f t="shared" ref="BE481" si="1078">+BD481+BE480</f>
        <v>0</v>
      </c>
    </row>
    <row r="482" spans="2:69" s="10" customFormat="1" ht="15" customHeight="1" x14ac:dyDescent="0.25">
      <c r="B482" s="2"/>
      <c r="C482" s="38" t="s">
        <v>220</v>
      </c>
      <c r="D482" s="11">
        <f>+D480</f>
        <v>0</v>
      </c>
      <c r="E482" s="11">
        <f t="shared" ref="E482:AQ482" si="1079">+E480</f>
        <v>0</v>
      </c>
      <c r="F482" s="11">
        <f t="shared" si="1079"/>
        <v>0</v>
      </c>
      <c r="G482" s="11">
        <f t="shared" si="1079"/>
        <v>0</v>
      </c>
      <c r="H482" s="11">
        <f t="shared" si="1079"/>
        <v>0</v>
      </c>
      <c r="I482" s="11">
        <f t="shared" si="1079"/>
        <v>0</v>
      </c>
      <c r="J482" s="11">
        <f t="shared" si="1079"/>
        <v>0</v>
      </c>
      <c r="K482" s="11">
        <f t="shared" si="1079"/>
        <v>0</v>
      </c>
      <c r="L482" s="11">
        <f t="shared" si="1079"/>
        <v>0</v>
      </c>
      <c r="M482" s="11">
        <f t="shared" si="1079"/>
        <v>0</v>
      </c>
      <c r="N482" s="11">
        <f t="shared" si="1079"/>
        <v>0</v>
      </c>
      <c r="O482" s="11">
        <f t="shared" si="1079"/>
        <v>0</v>
      </c>
      <c r="P482" s="11">
        <f t="shared" si="1079"/>
        <v>0</v>
      </c>
      <c r="Q482" s="11">
        <f t="shared" si="1079"/>
        <v>0</v>
      </c>
      <c r="R482" s="11">
        <f t="shared" si="1079"/>
        <v>0</v>
      </c>
      <c r="S482" s="11">
        <f t="shared" si="1079"/>
        <v>0</v>
      </c>
      <c r="T482" s="11">
        <f t="shared" si="1079"/>
        <v>0</v>
      </c>
      <c r="U482" s="11">
        <f t="shared" si="1079"/>
        <v>0</v>
      </c>
      <c r="V482" s="11">
        <f>+V480*8</f>
        <v>0</v>
      </c>
      <c r="W482" s="11">
        <f t="shared" si="1079"/>
        <v>0</v>
      </c>
      <c r="X482" s="11">
        <f t="shared" si="1079"/>
        <v>0</v>
      </c>
      <c r="Y482" s="11">
        <f t="shared" si="1079"/>
        <v>0</v>
      </c>
      <c r="Z482" s="11">
        <f t="shared" si="1079"/>
        <v>0</v>
      </c>
      <c r="AA482" s="11">
        <f t="shared" si="1079"/>
        <v>0</v>
      </c>
      <c r="AB482" s="11">
        <f t="shared" si="1079"/>
        <v>0</v>
      </c>
      <c r="AC482" s="11">
        <f t="shared" si="1079"/>
        <v>0</v>
      </c>
      <c r="AD482" s="11">
        <f t="shared" si="1079"/>
        <v>0</v>
      </c>
      <c r="AE482" s="11">
        <f t="shared" si="1079"/>
        <v>0</v>
      </c>
      <c r="AF482" s="11">
        <f t="shared" si="1079"/>
        <v>0</v>
      </c>
      <c r="AG482" s="11">
        <f t="shared" si="1079"/>
        <v>0</v>
      </c>
      <c r="AH482" s="147">
        <f t="shared" si="1079"/>
        <v>0</v>
      </c>
      <c r="AI482" s="11">
        <f t="shared" si="1079"/>
        <v>0</v>
      </c>
      <c r="AJ482" s="11">
        <f t="shared" si="1079"/>
        <v>0</v>
      </c>
      <c r="AK482" s="11">
        <f t="shared" si="1079"/>
        <v>0</v>
      </c>
      <c r="AL482" s="147">
        <f t="shared" si="1079"/>
        <v>0</v>
      </c>
      <c r="AM482" s="11">
        <f t="shared" si="1079"/>
        <v>0</v>
      </c>
      <c r="AN482" s="11">
        <f t="shared" si="1079"/>
        <v>0</v>
      </c>
      <c r="AO482" s="11">
        <f t="shared" si="1079"/>
        <v>0</v>
      </c>
      <c r="AP482" s="11">
        <f t="shared" si="1079"/>
        <v>0</v>
      </c>
      <c r="AQ482" s="11">
        <f t="shared" si="1079"/>
        <v>0</v>
      </c>
      <c r="AR482" s="3">
        <f>SUM(D482:AQ482)</f>
        <v>0</v>
      </c>
      <c r="AS482" s="11"/>
      <c r="AT482" s="11"/>
      <c r="AU482" s="35"/>
      <c r="AV482" s="35"/>
      <c r="AW482" s="11"/>
      <c r="AX482" s="11"/>
      <c r="AY482" s="11"/>
      <c r="AZ482" s="11"/>
      <c r="BA482" s="11"/>
      <c r="BB482" s="11"/>
      <c r="BC482" s="11"/>
      <c r="BD482" s="11"/>
      <c r="BE482" s="11"/>
    </row>
    <row r="483" spans="2:69" s="10" customFormat="1" ht="15" customHeight="1" x14ac:dyDescent="0.2">
      <c r="C483" s="38" t="s">
        <v>443</v>
      </c>
      <c r="D483" s="11">
        <f>+(D480-D470)/50</f>
        <v>0</v>
      </c>
      <c r="E483" s="11">
        <f t="shared" ref="E483:AQ483" si="1080">+(E480-E470)/50</f>
        <v>0</v>
      </c>
      <c r="F483" s="11">
        <f t="shared" si="1080"/>
        <v>0</v>
      </c>
      <c r="G483" s="11">
        <f t="shared" si="1080"/>
        <v>0</v>
      </c>
      <c r="H483" s="11">
        <f t="shared" si="1080"/>
        <v>0</v>
      </c>
      <c r="I483" s="11">
        <f t="shared" si="1080"/>
        <v>0</v>
      </c>
      <c r="J483" s="11">
        <f t="shared" si="1080"/>
        <v>0</v>
      </c>
      <c r="K483" s="11">
        <f t="shared" si="1080"/>
        <v>0</v>
      </c>
      <c r="L483" s="11">
        <f t="shared" si="1080"/>
        <v>0</v>
      </c>
      <c r="M483" s="11">
        <f t="shared" si="1080"/>
        <v>0</v>
      </c>
      <c r="N483" s="11">
        <f t="shared" si="1080"/>
        <v>0</v>
      </c>
      <c r="O483" s="11">
        <f t="shared" si="1080"/>
        <v>0</v>
      </c>
      <c r="P483" s="11">
        <f t="shared" si="1080"/>
        <v>0</v>
      </c>
      <c r="Q483" s="11">
        <f t="shared" si="1080"/>
        <v>0</v>
      </c>
      <c r="R483" s="11">
        <f t="shared" si="1080"/>
        <v>0</v>
      </c>
      <c r="S483" s="11">
        <f t="shared" si="1080"/>
        <v>0</v>
      </c>
      <c r="T483" s="11">
        <f t="shared" si="1080"/>
        <v>0</v>
      </c>
      <c r="U483" s="11">
        <f t="shared" si="1080"/>
        <v>0</v>
      </c>
      <c r="V483" s="11">
        <f t="shared" si="1080"/>
        <v>0</v>
      </c>
      <c r="W483" s="11">
        <f t="shared" si="1080"/>
        <v>0</v>
      </c>
      <c r="X483" s="11">
        <f t="shared" si="1080"/>
        <v>0</v>
      </c>
      <c r="Y483" s="11">
        <f t="shared" si="1080"/>
        <v>0</v>
      </c>
      <c r="Z483" s="11">
        <f t="shared" si="1080"/>
        <v>0</v>
      </c>
      <c r="AA483" s="11">
        <f t="shared" si="1080"/>
        <v>0</v>
      </c>
      <c r="AB483" s="11">
        <f t="shared" si="1080"/>
        <v>0</v>
      </c>
      <c r="AC483" s="11">
        <f t="shared" si="1080"/>
        <v>0</v>
      </c>
      <c r="AD483" s="11">
        <f t="shared" si="1080"/>
        <v>0</v>
      </c>
      <c r="AE483" s="11">
        <f t="shared" si="1080"/>
        <v>0</v>
      </c>
      <c r="AF483" s="11">
        <f t="shared" si="1080"/>
        <v>0</v>
      </c>
      <c r="AG483" s="11">
        <f t="shared" si="1080"/>
        <v>0</v>
      </c>
      <c r="AH483" s="147">
        <f t="shared" si="1080"/>
        <v>0</v>
      </c>
      <c r="AI483" s="11">
        <f t="shared" si="1080"/>
        <v>0</v>
      </c>
      <c r="AJ483" s="11">
        <f t="shared" si="1080"/>
        <v>0</v>
      </c>
      <c r="AK483" s="11">
        <f t="shared" si="1080"/>
        <v>0</v>
      </c>
      <c r="AL483" s="147">
        <f t="shared" si="1080"/>
        <v>0</v>
      </c>
      <c r="AM483" s="11">
        <f t="shared" si="1080"/>
        <v>0</v>
      </c>
      <c r="AN483" s="11">
        <f t="shared" si="1080"/>
        <v>0</v>
      </c>
      <c r="AO483" s="11">
        <f t="shared" si="1080"/>
        <v>0</v>
      </c>
      <c r="AP483" s="11">
        <f t="shared" si="1080"/>
        <v>0</v>
      </c>
      <c r="AQ483" s="11">
        <f t="shared" si="1080"/>
        <v>0</v>
      </c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</row>
    <row r="484" spans="2:69" s="10" customFormat="1" ht="15" customHeight="1" x14ac:dyDescent="0.25">
      <c r="B484" s="2" t="s">
        <v>442</v>
      </c>
      <c r="C484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47"/>
      <c r="AI484" s="11"/>
      <c r="AJ484" s="11"/>
      <c r="AK484" s="11"/>
      <c r="AL484" s="147"/>
      <c r="AM484" s="11"/>
      <c r="AN484" s="11"/>
      <c r="AO484" s="11"/>
      <c r="AP484" s="11"/>
      <c r="AQ484" s="11"/>
      <c r="AR484" s="3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</row>
    <row r="485" spans="2:69" s="10" customFormat="1" ht="15" customHeight="1" x14ac:dyDescent="0.25">
      <c r="B485" s="2"/>
      <c r="C485" t="s">
        <v>190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17"/>
      <c r="AI485" s="1"/>
      <c r="AJ485" s="1"/>
      <c r="AK485" s="1"/>
      <c r="AL485" s="117"/>
      <c r="AM485" s="1"/>
      <c r="AN485" s="1"/>
      <c r="AO485" s="1"/>
      <c r="AP485" s="1"/>
      <c r="AQ485" s="1"/>
      <c r="AR485" s="3">
        <f>SUM(D485:AQ485)</f>
        <v>0</v>
      </c>
      <c r="AS485" s="11"/>
      <c r="AT485" s="11"/>
      <c r="AU485" s="11"/>
      <c r="AV485" s="1">
        <f>SUM(D485:G485)</f>
        <v>0</v>
      </c>
      <c r="AW485" s="1">
        <f>SUM(H485:K485)</f>
        <v>0</v>
      </c>
      <c r="AX485" s="1">
        <f>SUM(L485:P485)</f>
        <v>0</v>
      </c>
      <c r="AY485" s="1">
        <f>SUM(Q485:T485)</f>
        <v>0</v>
      </c>
      <c r="AZ485" s="1">
        <f>SUM(U485:X485)</f>
        <v>0</v>
      </c>
      <c r="BA485" s="1">
        <f>SUM(Y485:AC485)</f>
        <v>0</v>
      </c>
      <c r="BB485" s="1">
        <f>SUM(AD485:AG485)</f>
        <v>0</v>
      </c>
      <c r="BC485" s="1">
        <f>SUM(AH485:AK485)</f>
        <v>0</v>
      </c>
      <c r="BD485" s="1">
        <f>SUM(AL485:AP485)</f>
        <v>0</v>
      </c>
      <c r="BE485" s="1">
        <f>+AQ485</f>
        <v>0</v>
      </c>
      <c r="BG485" s="1">
        <f>+AV485*1</f>
        <v>0</v>
      </c>
      <c r="BH485" s="1">
        <f>+AW485*1</f>
        <v>0</v>
      </c>
      <c r="BI485" s="1">
        <f t="shared" ref="BI485:BI503" si="1081">+AX485*1</f>
        <v>0</v>
      </c>
      <c r="BJ485" s="1">
        <f t="shared" ref="BJ485:BJ503" si="1082">+AY485*1</f>
        <v>0</v>
      </c>
      <c r="BK485" s="1">
        <f t="shared" ref="BK485:BK503" si="1083">+AZ485*1</f>
        <v>0</v>
      </c>
      <c r="BL485" s="1">
        <f t="shared" ref="BL485:BL503" si="1084">+BA485*1</f>
        <v>0</v>
      </c>
      <c r="BM485" s="1">
        <f t="shared" ref="BM485:BM503" si="1085">+BB485*1</f>
        <v>0</v>
      </c>
      <c r="BN485" s="1">
        <f t="shared" ref="BN485:BN503" si="1086">+BC485*1</f>
        <v>0</v>
      </c>
      <c r="BO485" s="1">
        <f t="shared" ref="BO485:BO503" si="1087">+BD485*1</f>
        <v>0</v>
      </c>
      <c r="BP485" s="1">
        <f t="shared" ref="BP485:BP503" si="1088">+BE485*1</f>
        <v>0</v>
      </c>
      <c r="BQ485" s="1">
        <f t="shared" ref="BQ485:BQ503" si="1089">SUM(BH485:BP485)</f>
        <v>0</v>
      </c>
    </row>
    <row r="486" spans="2:69" s="10" customFormat="1" ht="15" customHeight="1" x14ac:dyDescent="0.25">
      <c r="B486" s="2"/>
      <c r="C486" t="s">
        <v>424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17"/>
      <c r="AI486" s="1"/>
      <c r="AJ486" s="1"/>
      <c r="AK486" s="1"/>
      <c r="AL486" s="117"/>
      <c r="AM486" s="1"/>
      <c r="AN486" s="1"/>
      <c r="AO486" s="1"/>
      <c r="AP486" s="1"/>
      <c r="AQ486" s="1"/>
      <c r="AR486" s="3">
        <f>SUM(D486:AQ486)</f>
        <v>0</v>
      </c>
      <c r="AS486" s="11"/>
      <c r="AT486" s="11"/>
      <c r="AU486" s="11"/>
      <c r="AV486" s="1">
        <f t="shared" ref="AV486:AV503" si="1090">SUM(D486:G486)</f>
        <v>0</v>
      </c>
      <c r="AW486" s="1">
        <f t="shared" ref="AW486:AW503" si="1091">SUM(H486:K486)</f>
        <v>0</v>
      </c>
      <c r="AX486" s="1">
        <f t="shared" ref="AX486:AX503" si="1092">SUM(L486:P486)</f>
        <v>0</v>
      </c>
      <c r="AY486" s="1">
        <f t="shared" ref="AY486:AY503" si="1093">SUM(Q486:T486)</f>
        <v>0</v>
      </c>
      <c r="AZ486" s="1">
        <f t="shared" ref="AZ486:AZ503" si="1094">SUM(U486:X486)</f>
        <v>0</v>
      </c>
      <c r="BA486" s="1">
        <f t="shared" ref="BA486:BA503" si="1095">SUM(Y486:AC486)</f>
        <v>0</v>
      </c>
      <c r="BB486" s="1">
        <f t="shared" ref="BB486:BB503" si="1096">SUM(AD486:AG486)</f>
        <v>0</v>
      </c>
      <c r="BC486" s="1">
        <f t="shared" ref="BC486:BC503" si="1097">SUM(AH486:AK486)</f>
        <v>0</v>
      </c>
      <c r="BD486" s="1">
        <f t="shared" ref="BD486:BD503" si="1098">SUM(AL486:AP486)</f>
        <v>0</v>
      </c>
      <c r="BE486" s="1">
        <f t="shared" ref="BE486:BE503" si="1099">+AQ486</f>
        <v>0</v>
      </c>
      <c r="BG486" s="1">
        <f>+AV486*1</f>
        <v>0</v>
      </c>
      <c r="BH486" s="1">
        <f>+AW486*1</f>
        <v>0</v>
      </c>
      <c r="BI486" s="1">
        <f t="shared" ref="BI486:BP486" si="1100">+AX486*1</f>
        <v>0</v>
      </c>
      <c r="BJ486" s="1">
        <f t="shared" si="1100"/>
        <v>0</v>
      </c>
      <c r="BK486" s="1">
        <f t="shared" si="1100"/>
        <v>0</v>
      </c>
      <c r="BL486" s="1">
        <f t="shared" si="1100"/>
        <v>0</v>
      </c>
      <c r="BM486" s="1">
        <f t="shared" si="1100"/>
        <v>0</v>
      </c>
      <c r="BN486" s="1">
        <f t="shared" si="1100"/>
        <v>0</v>
      </c>
      <c r="BO486" s="1">
        <f t="shared" si="1100"/>
        <v>0</v>
      </c>
      <c r="BP486" s="1">
        <f t="shared" si="1100"/>
        <v>0</v>
      </c>
      <c r="BQ486" s="1">
        <f>SUM(BH486:BP486)</f>
        <v>0</v>
      </c>
    </row>
    <row r="487" spans="2:69" s="10" customFormat="1" ht="15" customHeight="1" x14ac:dyDescent="0.25">
      <c r="B487" s="2"/>
      <c r="C487" t="s">
        <v>347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17"/>
      <c r="AI487" s="1"/>
      <c r="AJ487" s="1"/>
      <c r="AK487" s="1"/>
      <c r="AL487" s="117"/>
      <c r="AM487" s="1"/>
      <c r="AN487" s="1"/>
      <c r="AO487" s="1"/>
      <c r="AP487" s="1"/>
      <c r="AQ487" s="1"/>
      <c r="AR487" s="3">
        <f t="shared" ref="AR487:AR503" si="1101">SUM(D487:AQ487)</f>
        <v>0</v>
      </c>
      <c r="AS487" s="11"/>
      <c r="AT487" s="11"/>
      <c r="AU487" s="11"/>
      <c r="AV487" s="1">
        <f t="shared" si="1090"/>
        <v>0</v>
      </c>
      <c r="AW487" s="1">
        <f t="shared" si="1091"/>
        <v>0</v>
      </c>
      <c r="AX487" s="1">
        <f t="shared" si="1092"/>
        <v>0</v>
      </c>
      <c r="AY487" s="1">
        <f t="shared" si="1093"/>
        <v>0</v>
      </c>
      <c r="AZ487" s="1">
        <f t="shared" si="1094"/>
        <v>0</v>
      </c>
      <c r="BA487" s="1">
        <f t="shared" si="1095"/>
        <v>0</v>
      </c>
      <c r="BB487" s="1">
        <f t="shared" si="1096"/>
        <v>0</v>
      </c>
      <c r="BC487" s="1">
        <f t="shared" si="1097"/>
        <v>0</v>
      </c>
      <c r="BD487" s="1">
        <f t="shared" si="1098"/>
        <v>0</v>
      </c>
      <c r="BE487" s="1">
        <f t="shared" si="1099"/>
        <v>0</v>
      </c>
      <c r="BG487" s="1">
        <f t="shared" ref="BG487:BH503" si="1102">+AV487*1</f>
        <v>0</v>
      </c>
      <c r="BH487" s="1">
        <f t="shared" si="1102"/>
        <v>0</v>
      </c>
      <c r="BI487" s="1">
        <f t="shared" si="1081"/>
        <v>0</v>
      </c>
      <c r="BJ487" s="1">
        <f t="shared" si="1082"/>
        <v>0</v>
      </c>
      <c r="BK487" s="1">
        <f t="shared" si="1083"/>
        <v>0</v>
      </c>
      <c r="BL487" s="1">
        <f t="shared" si="1084"/>
        <v>0</v>
      </c>
      <c r="BM487" s="1">
        <f t="shared" si="1085"/>
        <v>0</v>
      </c>
      <c r="BN487" s="1">
        <f t="shared" si="1086"/>
        <v>0</v>
      </c>
      <c r="BO487" s="1">
        <f t="shared" si="1087"/>
        <v>0</v>
      </c>
      <c r="BP487" s="1">
        <f t="shared" si="1088"/>
        <v>0</v>
      </c>
      <c r="BQ487" s="1">
        <f t="shared" si="1089"/>
        <v>0</v>
      </c>
    </row>
    <row r="488" spans="2:69" s="10" customFormat="1" ht="15" customHeight="1" x14ac:dyDescent="0.25">
      <c r="B488" s="2"/>
      <c r="C488" t="s">
        <v>0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17"/>
      <c r="AI488" s="1"/>
      <c r="AJ488" s="1"/>
      <c r="AK488" s="1"/>
      <c r="AL488" s="117"/>
      <c r="AM488" s="1"/>
      <c r="AN488" s="1"/>
      <c r="AO488" s="1"/>
      <c r="AP488" s="1"/>
      <c r="AQ488" s="1"/>
      <c r="AR488" s="3">
        <f t="shared" si="1101"/>
        <v>0</v>
      </c>
      <c r="AS488" s="11"/>
      <c r="AT488" s="11"/>
      <c r="AU488" s="11"/>
      <c r="AV488" s="1">
        <f t="shared" si="1090"/>
        <v>0</v>
      </c>
      <c r="AW488" s="1">
        <f t="shared" si="1091"/>
        <v>0</v>
      </c>
      <c r="AX488" s="1">
        <f t="shared" si="1092"/>
        <v>0</v>
      </c>
      <c r="AY488" s="1">
        <f t="shared" si="1093"/>
        <v>0</v>
      </c>
      <c r="AZ488" s="1">
        <f t="shared" si="1094"/>
        <v>0</v>
      </c>
      <c r="BA488" s="1">
        <f t="shared" si="1095"/>
        <v>0</v>
      </c>
      <c r="BB488" s="1">
        <f t="shared" si="1096"/>
        <v>0</v>
      </c>
      <c r="BC488" s="1">
        <f t="shared" si="1097"/>
        <v>0</v>
      </c>
      <c r="BD488" s="1">
        <f t="shared" si="1098"/>
        <v>0</v>
      </c>
      <c r="BE488" s="1">
        <f t="shared" si="1099"/>
        <v>0</v>
      </c>
      <c r="BG488" s="1">
        <f t="shared" si="1102"/>
        <v>0</v>
      </c>
      <c r="BH488" s="1">
        <f t="shared" si="1102"/>
        <v>0</v>
      </c>
      <c r="BI488" s="1">
        <f t="shared" si="1081"/>
        <v>0</v>
      </c>
      <c r="BJ488" s="1">
        <f t="shared" si="1082"/>
        <v>0</v>
      </c>
      <c r="BK488" s="1">
        <f t="shared" si="1083"/>
        <v>0</v>
      </c>
      <c r="BL488" s="1">
        <f t="shared" si="1084"/>
        <v>0</v>
      </c>
      <c r="BM488" s="1">
        <f t="shared" si="1085"/>
        <v>0</v>
      </c>
      <c r="BN488" s="1">
        <f t="shared" si="1086"/>
        <v>0</v>
      </c>
      <c r="BO488" s="1">
        <f t="shared" si="1087"/>
        <v>0</v>
      </c>
      <c r="BP488" s="1">
        <f t="shared" si="1088"/>
        <v>0</v>
      </c>
      <c r="BQ488" s="1">
        <f t="shared" si="1089"/>
        <v>0</v>
      </c>
    </row>
    <row r="489" spans="2:69" s="10" customFormat="1" ht="15" customHeight="1" x14ac:dyDescent="0.25">
      <c r="B489" s="2"/>
      <c r="C489" t="s">
        <v>354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17"/>
      <c r="AI489" s="1"/>
      <c r="AJ489" s="1"/>
      <c r="AK489" s="1"/>
      <c r="AL489" s="117"/>
      <c r="AM489" s="1"/>
      <c r="AN489" s="1"/>
      <c r="AO489" s="1"/>
      <c r="AP489" s="1"/>
      <c r="AQ489" s="1"/>
      <c r="AR489" s="3">
        <f t="shared" si="1101"/>
        <v>0</v>
      </c>
      <c r="AS489" s="11"/>
      <c r="AT489" s="11"/>
      <c r="AU489" s="11"/>
      <c r="AV489" s="1">
        <f t="shared" si="1090"/>
        <v>0</v>
      </c>
      <c r="AW489" s="1">
        <f t="shared" si="1091"/>
        <v>0</v>
      </c>
      <c r="AX489" s="1">
        <f t="shared" si="1092"/>
        <v>0</v>
      </c>
      <c r="AY489" s="1">
        <f t="shared" si="1093"/>
        <v>0</v>
      </c>
      <c r="AZ489" s="1">
        <f t="shared" si="1094"/>
        <v>0</v>
      </c>
      <c r="BA489" s="1">
        <f t="shared" si="1095"/>
        <v>0</v>
      </c>
      <c r="BB489" s="1">
        <f t="shared" si="1096"/>
        <v>0</v>
      </c>
      <c r="BC489" s="1">
        <f t="shared" si="1097"/>
        <v>0</v>
      </c>
      <c r="BD489" s="1">
        <f t="shared" si="1098"/>
        <v>0</v>
      </c>
      <c r="BE489" s="1">
        <f t="shared" si="1099"/>
        <v>0</v>
      </c>
      <c r="BG489" s="1">
        <f t="shared" si="1102"/>
        <v>0</v>
      </c>
      <c r="BH489" s="1">
        <f t="shared" si="1102"/>
        <v>0</v>
      </c>
      <c r="BI489" s="1">
        <f t="shared" si="1081"/>
        <v>0</v>
      </c>
      <c r="BJ489" s="1">
        <f t="shared" si="1082"/>
        <v>0</v>
      </c>
      <c r="BK489" s="1">
        <f t="shared" si="1083"/>
        <v>0</v>
      </c>
      <c r="BL489" s="1">
        <f t="shared" si="1084"/>
        <v>0</v>
      </c>
      <c r="BM489" s="1">
        <f t="shared" si="1085"/>
        <v>0</v>
      </c>
      <c r="BN489" s="1">
        <f t="shared" si="1086"/>
        <v>0</v>
      </c>
      <c r="BO489" s="1">
        <f t="shared" si="1087"/>
        <v>0</v>
      </c>
      <c r="BP489" s="1">
        <f t="shared" si="1088"/>
        <v>0</v>
      </c>
      <c r="BQ489" s="1">
        <f t="shared" si="1089"/>
        <v>0</v>
      </c>
    </row>
    <row r="490" spans="2:69" s="10" customFormat="1" ht="15" customHeight="1" x14ac:dyDescent="0.25">
      <c r="B490" s="2"/>
      <c r="C490" t="s">
        <v>265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17"/>
      <c r="AI490" s="1"/>
      <c r="AJ490" s="1"/>
      <c r="AK490" s="1"/>
      <c r="AL490" s="117"/>
      <c r="AM490" s="1"/>
      <c r="AN490" s="1"/>
      <c r="AO490" s="1"/>
      <c r="AP490" s="1"/>
      <c r="AQ490" s="1"/>
      <c r="AR490" s="3">
        <f t="shared" si="1101"/>
        <v>0</v>
      </c>
      <c r="AS490" s="11"/>
      <c r="AT490" s="11"/>
      <c r="AU490" s="11"/>
      <c r="AV490" s="1">
        <f t="shared" si="1090"/>
        <v>0</v>
      </c>
      <c r="AW490" s="1">
        <f t="shared" si="1091"/>
        <v>0</v>
      </c>
      <c r="AX490" s="1">
        <f t="shared" si="1092"/>
        <v>0</v>
      </c>
      <c r="AY490" s="1">
        <f t="shared" si="1093"/>
        <v>0</v>
      </c>
      <c r="AZ490" s="1">
        <f t="shared" si="1094"/>
        <v>0</v>
      </c>
      <c r="BA490" s="1">
        <f t="shared" si="1095"/>
        <v>0</v>
      </c>
      <c r="BB490" s="1">
        <f t="shared" si="1096"/>
        <v>0</v>
      </c>
      <c r="BC490" s="1">
        <f t="shared" si="1097"/>
        <v>0</v>
      </c>
      <c r="BD490" s="1">
        <f t="shared" si="1098"/>
        <v>0</v>
      </c>
      <c r="BE490" s="1">
        <f t="shared" si="1099"/>
        <v>0</v>
      </c>
      <c r="BG490" s="1">
        <f t="shared" si="1102"/>
        <v>0</v>
      </c>
      <c r="BH490" s="1">
        <f t="shared" si="1102"/>
        <v>0</v>
      </c>
      <c r="BI490" s="1">
        <f t="shared" si="1081"/>
        <v>0</v>
      </c>
      <c r="BJ490" s="1">
        <f t="shared" si="1082"/>
        <v>0</v>
      </c>
      <c r="BK490" s="1">
        <f t="shared" si="1083"/>
        <v>0</v>
      </c>
      <c r="BL490" s="1">
        <f t="shared" si="1084"/>
        <v>0</v>
      </c>
      <c r="BM490" s="1">
        <f t="shared" si="1085"/>
        <v>0</v>
      </c>
      <c r="BN490" s="1">
        <f t="shared" si="1086"/>
        <v>0</v>
      </c>
      <c r="BO490" s="1">
        <f t="shared" si="1087"/>
        <v>0</v>
      </c>
      <c r="BP490" s="1">
        <f t="shared" si="1088"/>
        <v>0</v>
      </c>
      <c r="BQ490" s="1">
        <f t="shared" si="1089"/>
        <v>0</v>
      </c>
    </row>
    <row r="491" spans="2:69" s="10" customFormat="1" ht="15" customHeight="1" x14ac:dyDescent="0.25">
      <c r="B491" s="2"/>
      <c r="C491" t="s">
        <v>191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17"/>
      <c r="AI491" s="1"/>
      <c r="AJ491" s="1"/>
      <c r="AK491" s="1"/>
      <c r="AL491" s="117"/>
      <c r="AM491" s="1"/>
      <c r="AN491" s="1"/>
      <c r="AO491" s="1"/>
      <c r="AP491" s="1"/>
      <c r="AQ491" s="1"/>
      <c r="AR491" s="3">
        <f t="shared" si="1101"/>
        <v>0</v>
      </c>
      <c r="AS491" s="11"/>
      <c r="AT491" s="11"/>
      <c r="AU491" s="11"/>
      <c r="AV491" s="1">
        <f t="shared" si="1090"/>
        <v>0</v>
      </c>
      <c r="AW491" s="1">
        <f t="shared" si="1091"/>
        <v>0</v>
      </c>
      <c r="AX491" s="1">
        <f t="shared" si="1092"/>
        <v>0</v>
      </c>
      <c r="AY491" s="1">
        <f t="shared" si="1093"/>
        <v>0</v>
      </c>
      <c r="AZ491" s="1">
        <f t="shared" si="1094"/>
        <v>0</v>
      </c>
      <c r="BA491" s="1">
        <f t="shared" si="1095"/>
        <v>0</v>
      </c>
      <c r="BB491" s="1">
        <f t="shared" si="1096"/>
        <v>0</v>
      </c>
      <c r="BC491" s="1">
        <f t="shared" si="1097"/>
        <v>0</v>
      </c>
      <c r="BD491" s="1">
        <f t="shared" si="1098"/>
        <v>0</v>
      </c>
      <c r="BE491" s="1">
        <f t="shared" si="1099"/>
        <v>0</v>
      </c>
      <c r="BG491" s="1">
        <f t="shared" si="1102"/>
        <v>0</v>
      </c>
      <c r="BH491" s="1">
        <f t="shared" si="1102"/>
        <v>0</v>
      </c>
      <c r="BI491" s="1">
        <f t="shared" si="1081"/>
        <v>0</v>
      </c>
      <c r="BJ491" s="1">
        <f t="shared" si="1082"/>
        <v>0</v>
      </c>
      <c r="BK491" s="1">
        <f t="shared" si="1083"/>
        <v>0</v>
      </c>
      <c r="BL491" s="1">
        <f t="shared" si="1084"/>
        <v>0</v>
      </c>
      <c r="BM491" s="1">
        <f t="shared" si="1085"/>
        <v>0</v>
      </c>
      <c r="BN491" s="1">
        <f t="shared" si="1086"/>
        <v>0</v>
      </c>
      <c r="BO491" s="1">
        <f t="shared" si="1087"/>
        <v>0</v>
      </c>
      <c r="BP491" s="1">
        <f t="shared" si="1088"/>
        <v>0</v>
      </c>
      <c r="BQ491" s="1">
        <f t="shared" si="1089"/>
        <v>0</v>
      </c>
    </row>
    <row r="492" spans="2:69" s="10" customFormat="1" ht="15" customHeight="1" x14ac:dyDescent="0.25">
      <c r="B492" s="2"/>
      <c r="C492" t="s">
        <v>549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17"/>
      <c r="AI492" s="1"/>
      <c r="AJ492" s="1"/>
      <c r="AK492" s="1"/>
      <c r="AL492" s="117"/>
      <c r="AM492" s="1"/>
      <c r="AN492" s="1"/>
      <c r="AO492" s="1"/>
      <c r="AP492" s="1"/>
      <c r="AQ492" s="1"/>
      <c r="AR492" s="3">
        <f t="shared" si="1101"/>
        <v>0</v>
      </c>
      <c r="AS492" s="11"/>
      <c r="AT492" s="11"/>
      <c r="AU492" s="11"/>
      <c r="AV492" s="1">
        <f t="shared" si="1090"/>
        <v>0</v>
      </c>
      <c r="AW492" s="1">
        <f t="shared" si="1091"/>
        <v>0</v>
      </c>
      <c r="AX492" s="1">
        <f t="shared" si="1092"/>
        <v>0</v>
      </c>
      <c r="AY492" s="1">
        <f t="shared" si="1093"/>
        <v>0</v>
      </c>
      <c r="AZ492" s="1">
        <f t="shared" si="1094"/>
        <v>0</v>
      </c>
      <c r="BA492" s="1">
        <f t="shared" si="1095"/>
        <v>0</v>
      </c>
      <c r="BB492" s="1">
        <f t="shared" si="1096"/>
        <v>0</v>
      </c>
      <c r="BC492" s="1">
        <f t="shared" si="1097"/>
        <v>0</v>
      </c>
      <c r="BD492" s="1">
        <f t="shared" si="1098"/>
        <v>0</v>
      </c>
      <c r="BE492" s="1">
        <f t="shared" si="1099"/>
        <v>0</v>
      </c>
      <c r="BG492" s="1">
        <f t="shared" si="1102"/>
        <v>0</v>
      </c>
      <c r="BH492" s="1">
        <f t="shared" si="1102"/>
        <v>0</v>
      </c>
      <c r="BI492" s="1">
        <f t="shared" si="1081"/>
        <v>0</v>
      </c>
      <c r="BJ492" s="1">
        <f t="shared" si="1082"/>
        <v>0</v>
      </c>
      <c r="BK492" s="1">
        <f t="shared" si="1083"/>
        <v>0</v>
      </c>
      <c r="BL492" s="1">
        <f t="shared" si="1084"/>
        <v>0</v>
      </c>
      <c r="BM492" s="1">
        <f t="shared" si="1085"/>
        <v>0</v>
      </c>
      <c r="BN492" s="1">
        <f t="shared" si="1086"/>
        <v>0</v>
      </c>
      <c r="BO492" s="1">
        <f t="shared" si="1087"/>
        <v>0</v>
      </c>
      <c r="BP492" s="1">
        <f t="shared" si="1088"/>
        <v>0</v>
      </c>
      <c r="BQ492" s="1">
        <f t="shared" si="1089"/>
        <v>0</v>
      </c>
    </row>
    <row r="493" spans="2:69" s="10" customFormat="1" ht="15" customHeight="1" x14ac:dyDescent="0.25">
      <c r="B493" s="2"/>
      <c r="C493" t="s">
        <v>550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17"/>
      <c r="AI493" s="1"/>
      <c r="AJ493" s="1"/>
      <c r="AK493" s="1"/>
      <c r="AL493" s="117"/>
      <c r="AM493" s="1"/>
      <c r="AN493" s="1"/>
      <c r="AO493" s="1"/>
      <c r="AP493" s="1"/>
      <c r="AQ493" s="1"/>
      <c r="AR493" s="3">
        <f t="shared" si="1101"/>
        <v>0</v>
      </c>
      <c r="AS493" s="11"/>
      <c r="AT493" s="11"/>
      <c r="AU493" s="11"/>
      <c r="AV493" s="1">
        <f t="shared" si="1090"/>
        <v>0</v>
      </c>
      <c r="AW493" s="1">
        <f t="shared" si="1091"/>
        <v>0</v>
      </c>
      <c r="AX493" s="1">
        <f t="shared" si="1092"/>
        <v>0</v>
      </c>
      <c r="AY493" s="1">
        <f t="shared" si="1093"/>
        <v>0</v>
      </c>
      <c r="AZ493" s="1">
        <f t="shared" si="1094"/>
        <v>0</v>
      </c>
      <c r="BA493" s="1">
        <f t="shared" si="1095"/>
        <v>0</v>
      </c>
      <c r="BB493" s="1">
        <f t="shared" si="1096"/>
        <v>0</v>
      </c>
      <c r="BC493" s="1">
        <f t="shared" si="1097"/>
        <v>0</v>
      </c>
      <c r="BD493" s="1">
        <f t="shared" si="1098"/>
        <v>0</v>
      </c>
      <c r="BE493" s="1">
        <f t="shared" si="1099"/>
        <v>0</v>
      </c>
      <c r="BG493" s="1">
        <f t="shared" si="1102"/>
        <v>0</v>
      </c>
      <c r="BH493" s="1">
        <f t="shared" si="1102"/>
        <v>0</v>
      </c>
      <c r="BI493" s="1">
        <f t="shared" si="1081"/>
        <v>0</v>
      </c>
      <c r="BJ493" s="1">
        <f t="shared" si="1082"/>
        <v>0</v>
      </c>
      <c r="BK493" s="1">
        <f t="shared" si="1083"/>
        <v>0</v>
      </c>
      <c r="BL493" s="1">
        <f t="shared" si="1084"/>
        <v>0</v>
      </c>
      <c r="BM493" s="1">
        <f t="shared" si="1085"/>
        <v>0</v>
      </c>
      <c r="BN493" s="1">
        <f t="shared" si="1086"/>
        <v>0</v>
      </c>
      <c r="BO493" s="1">
        <f t="shared" si="1087"/>
        <v>0</v>
      </c>
      <c r="BP493" s="1">
        <f t="shared" si="1088"/>
        <v>0</v>
      </c>
      <c r="BQ493" s="1">
        <f t="shared" si="1089"/>
        <v>0</v>
      </c>
    </row>
    <row r="494" spans="2:69" s="10" customFormat="1" ht="15" customHeight="1" x14ac:dyDescent="0.25">
      <c r="B494" s="2"/>
      <c r="C494" t="s">
        <v>6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17"/>
      <c r="AI494" s="1"/>
      <c r="AJ494" s="1"/>
      <c r="AK494" s="1"/>
      <c r="AL494" s="117"/>
      <c r="AM494" s="1"/>
      <c r="AN494" s="1"/>
      <c r="AO494" s="1"/>
      <c r="AP494" s="1"/>
      <c r="AQ494" s="1"/>
      <c r="AR494" s="3">
        <f t="shared" si="1101"/>
        <v>0</v>
      </c>
      <c r="AS494" s="11"/>
      <c r="AT494" s="11"/>
      <c r="AU494" s="11"/>
      <c r="AV494" s="1">
        <f t="shared" si="1090"/>
        <v>0</v>
      </c>
      <c r="AW494" s="1">
        <f t="shared" si="1091"/>
        <v>0</v>
      </c>
      <c r="AX494" s="1">
        <f t="shared" si="1092"/>
        <v>0</v>
      </c>
      <c r="AY494" s="1">
        <f t="shared" si="1093"/>
        <v>0</v>
      </c>
      <c r="AZ494" s="1">
        <f t="shared" si="1094"/>
        <v>0</v>
      </c>
      <c r="BA494" s="1">
        <f t="shared" si="1095"/>
        <v>0</v>
      </c>
      <c r="BB494" s="1">
        <f t="shared" si="1096"/>
        <v>0</v>
      </c>
      <c r="BC494" s="1">
        <f t="shared" si="1097"/>
        <v>0</v>
      </c>
      <c r="BD494" s="1">
        <f t="shared" si="1098"/>
        <v>0</v>
      </c>
      <c r="BE494" s="1">
        <f t="shared" si="1099"/>
        <v>0</v>
      </c>
      <c r="BG494" s="1">
        <f t="shared" si="1102"/>
        <v>0</v>
      </c>
      <c r="BH494" s="1">
        <f t="shared" si="1102"/>
        <v>0</v>
      </c>
      <c r="BI494" s="1">
        <f t="shared" si="1081"/>
        <v>0</v>
      </c>
      <c r="BJ494" s="1">
        <f t="shared" si="1082"/>
        <v>0</v>
      </c>
      <c r="BK494" s="1">
        <f t="shared" si="1083"/>
        <v>0</v>
      </c>
      <c r="BL494" s="1">
        <f t="shared" si="1084"/>
        <v>0</v>
      </c>
      <c r="BM494" s="1">
        <f t="shared" si="1085"/>
        <v>0</v>
      </c>
      <c r="BN494" s="1">
        <f t="shared" si="1086"/>
        <v>0</v>
      </c>
      <c r="BO494" s="1">
        <f t="shared" si="1087"/>
        <v>0</v>
      </c>
      <c r="BP494" s="1">
        <f t="shared" si="1088"/>
        <v>0</v>
      </c>
      <c r="BQ494" s="1">
        <f t="shared" si="1089"/>
        <v>0</v>
      </c>
    </row>
    <row r="495" spans="2:69" s="10" customFormat="1" ht="15" customHeight="1" x14ac:dyDescent="0.25">
      <c r="B495" s="2"/>
      <c r="C495" t="s">
        <v>262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17"/>
      <c r="AI495" s="1"/>
      <c r="AJ495" s="1"/>
      <c r="AK495" s="1"/>
      <c r="AL495" s="117"/>
      <c r="AM495" s="1"/>
      <c r="AN495" s="1"/>
      <c r="AO495" s="1"/>
      <c r="AP495" s="1"/>
      <c r="AQ495" s="1"/>
      <c r="AR495" s="3">
        <f t="shared" si="1101"/>
        <v>0</v>
      </c>
      <c r="AS495" s="11"/>
      <c r="AT495" s="11"/>
      <c r="AU495" s="11"/>
      <c r="AV495" s="1">
        <f t="shared" si="1090"/>
        <v>0</v>
      </c>
      <c r="AW495" s="1">
        <f t="shared" si="1091"/>
        <v>0</v>
      </c>
      <c r="AX495" s="1">
        <f t="shared" si="1092"/>
        <v>0</v>
      </c>
      <c r="AY495" s="1">
        <f t="shared" si="1093"/>
        <v>0</v>
      </c>
      <c r="AZ495" s="1">
        <f t="shared" si="1094"/>
        <v>0</v>
      </c>
      <c r="BA495" s="1">
        <f t="shared" si="1095"/>
        <v>0</v>
      </c>
      <c r="BB495" s="1">
        <f t="shared" si="1096"/>
        <v>0</v>
      </c>
      <c r="BC495" s="1">
        <f t="shared" si="1097"/>
        <v>0</v>
      </c>
      <c r="BD495" s="1">
        <f t="shared" si="1098"/>
        <v>0</v>
      </c>
      <c r="BE495" s="1">
        <f t="shared" si="1099"/>
        <v>0</v>
      </c>
      <c r="BG495" s="1">
        <f t="shared" si="1102"/>
        <v>0</v>
      </c>
      <c r="BH495" s="1">
        <f t="shared" si="1102"/>
        <v>0</v>
      </c>
      <c r="BI495" s="1">
        <f t="shared" si="1081"/>
        <v>0</v>
      </c>
      <c r="BJ495" s="1">
        <f t="shared" si="1082"/>
        <v>0</v>
      </c>
      <c r="BK495" s="1">
        <f t="shared" si="1083"/>
        <v>0</v>
      </c>
      <c r="BL495" s="1">
        <f t="shared" si="1084"/>
        <v>0</v>
      </c>
      <c r="BM495" s="1">
        <f t="shared" si="1085"/>
        <v>0</v>
      </c>
      <c r="BN495" s="1">
        <f t="shared" si="1086"/>
        <v>0</v>
      </c>
      <c r="BO495" s="1">
        <f t="shared" si="1087"/>
        <v>0</v>
      </c>
      <c r="BP495" s="1">
        <f t="shared" si="1088"/>
        <v>0</v>
      </c>
      <c r="BQ495" s="1">
        <f t="shared" si="1089"/>
        <v>0</v>
      </c>
    </row>
    <row r="496" spans="2:69" s="10" customFormat="1" ht="15" customHeight="1" x14ac:dyDescent="0.25">
      <c r="B496" s="2"/>
      <c r="C496" t="s">
        <v>42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17"/>
      <c r="AI496" s="1"/>
      <c r="AJ496" s="1"/>
      <c r="AK496" s="1"/>
      <c r="AL496" s="117"/>
      <c r="AM496" s="1"/>
      <c r="AN496" s="1"/>
      <c r="AO496" s="1"/>
      <c r="AP496" s="1"/>
      <c r="AQ496" s="1"/>
      <c r="AR496" s="3">
        <f t="shared" si="1101"/>
        <v>0</v>
      </c>
      <c r="AS496" s="11"/>
      <c r="AT496" s="11"/>
      <c r="AU496" s="11"/>
      <c r="AV496" s="1">
        <f t="shared" si="1090"/>
        <v>0</v>
      </c>
      <c r="AW496" s="1">
        <f t="shared" si="1091"/>
        <v>0</v>
      </c>
      <c r="AX496" s="1">
        <f t="shared" si="1092"/>
        <v>0</v>
      </c>
      <c r="AY496" s="1">
        <f t="shared" si="1093"/>
        <v>0</v>
      </c>
      <c r="AZ496" s="1">
        <f t="shared" si="1094"/>
        <v>0</v>
      </c>
      <c r="BA496" s="1">
        <f t="shared" si="1095"/>
        <v>0</v>
      </c>
      <c r="BB496" s="1">
        <f t="shared" si="1096"/>
        <v>0</v>
      </c>
      <c r="BC496" s="1">
        <f t="shared" si="1097"/>
        <v>0</v>
      </c>
      <c r="BD496" s="1">
        <f t="shared" si="1098"/>
        <v>0</v>
      </c>
      <c r="BE496" s="1">
        <f t="shared" si="1099"/>
        <v>0</v>
      </c>
      <c r="BG496" s="1">
        <f t="shared" si="1102"/>
        <v>0</v>
      </c>
      <c r="BH496" s="1">
        <f t="shared" si="1102"/>
        <v>0</v>
      </c>
      <c r="BI496" s="1">
        <f t="shared" si="1081"/>
        <v>0</v>
      </c>
      <c r="BJ496" s="1">
        <f t="shared" si="1082"/>
        <v>0</v>
      </c>
      <c r="BK496" s="1">
        <f t="shared" si="1083"/>
        <v>0</v>
      </c>
      <c r="BL496" s="1">
        <f t="shared" si="1084"/>
        <v>0</v>
      </c>
      <c r="BM496" s="1">
        <f t="shared" si="1085"/>
        <v>0</v>
      </c>
      <c r="BN496" s="1">
        <f t="shared" si="1086"/>
        <v>0</v>
      </c>
      <c r="BO496" s="1">
        <f t="shared" si="1087"/>
        <v>0</v>
      </c>
      <c r="BP496" s="1">
        <f t="shared" si="1088"/>
        <v>0</v>
      </c>
      <c r="BQ496" s="1">
        <f t="shared" si="1089"/>
        <v>0</v>
      </c>
    </row>
    <row r="497" spans="2:69" s="10" customFormat="1" ht="15" customHeight="1" x14ac:dyDescent="0.25">
      <c r="B497" s="2"/>
      <c r="C497" t="s">
        <v>192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17"/>
      <c r="AI497" s="1"/>
      <c r="AJ497" s="1"/>
      <c r="AK497" s="1"/>
      <c r="AL497" s="117"/>
      <c r="AM497" s="1"/>
      <c r="AN497" s="1"/>
      <c r="AO497" s="1"/>
      <c r="AP497" s="1"/>
      <c r="AQ497" s="1"/>
      <c r="AR497" s="3">
        <f t="shared" si="1101"/>
        <v>0</v>
      </c>
      <c r="AS497" s="11"/>
      <c r="AT497" s="11"/>
      <c r="AU497" s="11"/>
      <c r="AV497" s="1">
        <f t="shared" si="1090"/>
        <v>0</v>
      </c>
      <c r="AW497" s="1">
        <f t="shared" si="1091"/>
        <v>0</v>
      </c>
      <c r="AX497" s="1">
        <f t="shared" si="1092"/>
        <v>0</v>
      </c>
      <c r="AY497" s="1">
        <f t="shared" si="1093"/>
        <v>0</v>
      </c>
      <c r="AZ497" s="1">
        <f t="shared" si="1094"/>
        <v>0</v>
      </c>
      <c r="BA497" s="1">
        <f t="shared" si="1095"/>
        <v>0</v>
      </c>
      <c r="BB497" s="1">
        <f t="shared" si="1096"/>
        <v>0</v>
      </c>
      <c r="BC497" s="1">
        <f t="shared" si="1097"/>
        <v>0</v>
      </c>
      <c r="BD497" s="1">
        <f t="shared" si="1098"/>
        <v>0</v>
      </c>
      <c r="BE497" s="1">
        <f t="shared" si="1099"/>
        <v>0</v>
      </c>
      <c r="BG497" s="1">
        <f t="shared" si="1102"/>
        <v>0</v>
      </c>
      <c r="BH497" s="1">
        <f t="shared" si="1102"/>
        <v>0</v>
      </c>
      <c r="BI497" s="1">
        <f t="shared" si="1081"/>
        <v>0</v>
      </c>
      <c r="BJ497" s="1">
        <f t="shared" si="1082"/>
        <v>0</v>
      </c>
      <c r="BK497" s="1">
        <f t="shared" si="1083"/>
        <v>0</v>
      </c>
      <c r="BL497" s="1">
        <f t="shared" si="1084"/>
        <v>0</v>
      </c>
      <c r="BM497" s="1">
        <f t="shared" si="1085"/>
        <v>0</v>
      </c>
      <c r="BN497" s="1">
        <f t="shared" si="1086"/>
        <v>0</v>
      </c>
      <c r="BO497" s="1">
        <f t="shared" si="1087"/>
        <v>0</v>
      </c>
      <c r="BP497" s="1">
        <f t="shared" si="1088"/>
        <v>0</v>
      </c>
      <c r="BQ497" s="1">
        <f t="shared" si="1089"/>
        <v>0</v>
      </c>
    </row>
    <row r="498" spans="2:69" s="10" customFormat="1" ht="15" customHeight="1" x14ac:dyDescent="0.25">
      <c r="B498" s="2"/>
      <c r="C498" t="s">
        <v>133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17"/>
      <c r="AI498" s="1"/>
      <c r="AJ498" s="1"/>
      <c r="AK498" s="1"/>
      <c r="AL498" s="117"/>
      <c r="AM498" s="1"/>
      <c r="AN498" s="1"/>
      <c r="AO498" s="1"/>
      <c r="AP498" s="1"/>
      <c r="AQ498" s="1"/>
      <c r="AR498" s="3">
        <f t="shared" si="1101"/>
        <v>0</v>
      </c>
      <c r="AS498" s="11"/>
      <c r="AT498" s="11"/>
      <c r="AU498" s="11"/>
      <c r="AV498" s="1">
        <f t="shared" si="1090"/>
        <v>0</v>
      </c>
      <c r="AW498" s="1">
        <f t="shared" si="1091"/>
        <v>0</v>
      </c>
      <c r="AX498" s="1">
        <f t="shared" si="1092"/>
        <v>0</v>
      </c>
      <c r="AY498" s="1">
        <f t="shared" si="1093"/>
        <v>0</v>
      </c>
      <c r="AZ498" s="1">
        <f t="shared" si="1094"/>
        <v>0</v>
      </c>
      <c r="BA498" s="1">
        <f t="shared" si="1095"/>
        <v>0</v>
      </c>
      <c r="BB498" s="1">
        <f t="shared" si="1096"/>
        <v>0</v>
      </c>
      <c r="BC498" s="1">
        <f t="shared" si="1097"/>
        <v>0</v>
      </c>
      <c r="BD498" s="1">
        <f t="shared" si="1098"/>
        <v>0</v>
      </c>
      <c r="BE498" s="1">
        <f t="shared" si="1099"/>
        <v>0</v>
      </c>
      <c r="BG498" s="1">
        <f t="shared" si="1102"/>
        <v>0</v>
      </c>
      <c r="BH498" s="1">
        <f t="shared" si="1102"/>
        <v>0</v>
      </c>
      <c r="BI498" s="1">
        <f t="shared" si="1081"/>
        <v>0</v>
      </c>
      <c r="BJ498" s="1">
        <f t="shared" si="1082"/>
        <v>0</v>
      </c>
      <c r="BK498" s="1">
        <f t="shared" si="1083"/>
        <v>0</v>
      </c>
      <c r="BL498" s="1">
        <f t="shared" si="1084"/>
        <v>0</v>
      </c>
      <c r="BM498" s="1">
        <f t="shared" si="1085"/>
        <v>0</v>
      </c>
      <c r="BN498" s="1">
        <f t="shared" si="1086"/>
        <v>0</v>
      </c>
      <c r="BO498" s="1">
        <f t="shared" si="1087"/>
        <v>0</v>
      </c>
      <c r="BP498" s="1">
        <f t="shared" si="1088"/>
        <v>0</v>
      </c>
      <c r="BQ498" s="1">
        <f t="shared" si="1089"/>
        <v>0</v>
      </c>
    </row>
    <row r="499" spans="2:69" s="10" customFormat="1" ht="15" customHeight="1" x14ac:dyDescent="0.25">
      <c r="B499" s="2"/>
      <c r="C499" t="s">
        <v>41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17"/>
      <c r="AI499" s="1"/>
      <c r="AJ499" s="1"/>
      <c r="AK499" s="1"/>
      <c r="AL499" s="117"/>
      <c r="AM499" s="1"/>
      <c r="AN499" s="1"/>
      <c r="AO499" s="1"/>
      <c r="AP499" s="1"/>
      <c r="AQ499" s="1"/>
      <c r="AR499" s="3">
        <f t="shared" si="1101"/>
        <v>0</v>
      </c>
      <c r="AS499" s="11"/>
      <c r="AT499" s="11"/>
      <c r="AU499" s="11"/>
      <c r="AV499" s="1">
        <f t="shared" si="1090"/>
        <v>0</v>
      </c>
      <c r="AW499" s="1">
        <f t="shared" si="1091"/>
        <v>0</v>
      </c>
      <c r="AX499" s="1">
        <f t="shared" si="1092"/>
        <v>0</v>
      </c>
      <c r="AY499" s="1">
        <f t="shared" si="1093"/>
        <v>0</v>
      </c>
      <c r="AZ499" s="1">
        <f t="shared" si="1094"/>
        <v>0</v>
      </c>
      <c r="BA499" s="1">
        <f t="shared" si="1095"/>
        <v>0</v>
      </c>
      <c r="BB499" s="1">
        <f t="shared" si="1096"/>
        <v>0</v>
      </c>
      <c r="BC499" s="1">
        <f t="shared" si="1097"/>
        <v>0</v>
      </c>
      <c r="BD499" s="1">
        <f t="shared" si="1098"/>
        <v>0</v>
      </c>
      <c r="BE499" s="1">
        <f t="shared" si="1099"/>
        <v>0</v>
      </c>
      <c r="BG499" s="1">
        <f t="shared" si="1102"/>
        <v>0</v>
      </c>
      <c r="BH499" s="1">
        <f t="shared" si="1102"/>
        <v>0</v>
      </c>
      <c r="BI499" s="1">
        <f t="shared" si="1081"/>
        <v>0</v>
      </c>
      <c r="BJ499" s="1">
        <f t="shared" si="1082"/>
        <v>0</v>
      </c>
      <c r="BK499" s="1">
        <f t="shared" si="1083"/>
        <v>0</v>
      </c>
      <c r="BL499" s="1">
        <f t="shared" si="1084"/>
        <v>0</v>
      </c>
      <c r="BM499" s="1">
        <f t="shared" si="1085"/>
        <v>0</v>
      </c>
      <c r="BN499" s="1">
        <f t="shared" si="1086"/>
        <v>0</v>
      </c>
      <c r="BO499" s="1">
        <f t="shared" si="1087"/>
        <v>0</v>
      </c>
      <c r="BP499" s="1">
        <f t="shared" si="1088"/>
        <v>0</v>
      </c>
      <c r="BQ499" s="1">
        <f t="shared" si="1089"/>
        <v>0</v>
      </c>
    </row>
    <row r="500" spans="2:69" s="10" customFormat="1" ht="15" customHeight="1" x14ac:dyDescent="0.25">
      <c r="B500" s="2"/>
      <c r="C500" t="s">
        <v>193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17"/>
      <c r="AI500" s="1"/>
      <c r="AJ500" s="1"/>
      <c r="AK500" s="1"/>
      <c r="AL500" s="117"/>
      <c r="AM500" s="1"/>
      <c r="AN500" s="1"/>
      <c r="AO500" s="1"/>
      <c r="AP500" s="1"/>
      <c r="AQ500" s="1"/>
      <c r="AR500" s="3">
        <f t="shared" si="1101"/>
        <v>0</v>
      </c>
      <c r="AS500" s="11"/>
      <c r="AT500" s="11"/>
      <c r="AU500" s="11"/>
      <c r="AV500" s="1">
        <f t="shared" si="1090"/>
        <v>0</v>
      </c>
      <c r="AW500" s="1">
        <f t="shared" si="1091"/>
        <v>0</v>
      </c>
      <c r="AX500" s="1">
        <f t="shared" si="1092"/>
        <v>0</v>
      </c>
      <c r="AY500" s="1">
        <f t="shared" si="1093"/>
        <v>0</v>
      </c>
      <c r="AZ500" s="1">
        <f t="shared" si="1094"/>
        <v>0</v>
      </c>
      <c r="BA500" s="1">
        <f t="shared" si="1095"/>
        <v>0</v>
      </c>
      <c r="BB500" s="1">
        <f t="shared" si="1096"/>
        <v>0</v>
      </c>
      <c r="BC500" s="1">
        <f t="shared" si="1097"/>
        <v>0</v>
      </c>
      <c r="BD500" s="1">
        <f t="shared" si="1098"/>
        <v>0</v>
      </c>
      <c r="BE500" s="1">
        <f t="shared" si="1099"/>
        <v>0</v>
      </c>
      <c r="BG500" s="1">
        <f t="shared" si="1102"/>
        <v>0</v>
      </c>
      <c r="BH500" s="1">
        <f t="shared" si="1102"/>
        <v>0</v>
      </c>
      <c r="BI500" s="1">
        <f t="shared" si="1081"/>
        <v>0</v>
      </c>
      <c r="BJ500" s="1">
        <f t="shared" si="1082"/>
        <v>0</v>
      </c>
      <c r="BK500" s="1">
        <f t="shared" si="1083"/>
        <v>0</v>
      </c>
      <c r="BL500" s="1">
        <f t="shared" si="1084"/>
        <v>0</v>
      </c>
      <c r="BM500" s="1">
        <f t="shared" si="1085"/>
        <v>0</v>
      </c>
      <c r="BN500" s="1">
        <f t="shared" si="1086"/>
        <v>0</v>
      </c>
      <c r="BO500" s="1">
        <f t="shared" si="1087"/>
        <v>0</v>
      </c>
      <c r="BP500" s="1">
        <f t="shared" si="1088"/>
        <v>0</v>
      </c>
      <c r="BQ500" s="1">
        <f t="shared" si="1089"/>
        <v>0</v>
      </c>
    </row>
    <row r="501" spans="2:69" s="10" customFormat="1" ht="15" customHeight="1" x14ac:dyDescent="0.25">
      <c r="B501" s="2"/>
      <c r="C501" t="s">
        <v>297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17"/>
      <c r="AI501" s="1"/>
      <c r="AJ501" s="1"/>
      <c r="AK501" s="1"/>
      <c r="AL501" s="117"/>
      <c r="AM501" s="1"/>
      <c r="AN501" s="1"/>
      <c r="AO501" s="1"/>
      <c r="AP501" s="1"/>
      <c r="AQ501" s="1"/>
      <c r="AR501" s="3">
        <f t="shared" si="1101"/>
        <v>0</v>
      </c>
      <c r="AS501" s="11"/>
      <c r="AT501" s="11"/>
      <c r="AU501" s="11"/>
      <c r="AV501" s="1">
        <f t="shared" si="1090"/>
        <v>0</v>
      </c>
      <c r="AW501" s="1">
        <f t="shared" si="1091"/>
        <v>0</v>
      </c>
      <c r="AX501" s="1">
        <f t="shared" si="1092"/>
        <v>0</v>
      </c>
      <c r="AY501" s="1">
        <f t="shared" si="1093"/>
        <v>0</v>
      </c>
      <c r="AZ501" s="1">
        <f t="shared" si="1094"/>
        <v>0</v>
      </c>
      <c r="BA501" s="1">
        <f t="shared" si="1095"/>
        <v>0</v>
      </c>
      <c r="BB501" s="1">
        <f t="shared" si="1096"/>
        <v>0</v>
      </c>
      <c r="BC501" s="1">
        <f t="shared" si="1097"/>
        <v>0</v>
      </c>
      <c r="BD501" s="1">
        <f t="shared" si="1098"/>
        <v>0</v>
      </c>
      <c r="BE501" s="1">
        <f t="shared" si="1099"/>
        <v>0</v>
      </c>
      <c r="BG501" s="1">
        <f t="shared" si="1102"/>
        <v>0</v>
      </c>
      <c r="BH501" s="1">
        <f t="shared" si="1102"/>
        <v>0</v>
      </c>
      <c r="BI501" s="1">
        <f t="shared" si="1081"/>
        <v>0</v>
      </c>
      <c r="BJ501" s="1">
        <f t="shared" si="1082"/>
        <v>0</v>
      </c>
      <c r="BK501" s="1">
        <f t="shared" si="1083"/>
        <v>0</v>
      </c>
      <c r="BL501" s="1">
        <f t="shared" si="1084"/>
        <v>0</v>
      </c>
      <c r="BM501" s="1">
        <f t="shared" si="1085"/>
        <v>0</v>
      </c>
      <c r="BN501" s="1">
        <f t="shared" si="1086"/>
        <v>0</v>
      </c>
      <c r="BO501" s="1">
        <f t="shared" si="1087"/>
        <v>0</v>
      </c>
      <c r="BP501" s="1">
        <f t="shared" si="1088"/>
        <v>0</v>
      </c>
      <c r="BQ501" s="1">
        <f t="shared" si="1089"/>
        <v>0</v>
      </c>
    </row>
    <row r="502" spans="2:69" s="10" customFormat="1" ht="15" customHeight="1" x14ac:dyDescent="0.25">
      <c r="B502" s="2"/>
      <c r="C502" t="s">
        <v>296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17"/>
      <c r="AI502" s="1"/>
      <c r="AJ502" s="1"/>
      <c r="AK502" s="1"/>
      <c r="AL502" s="117"/>
      <c r="AM502" s="1"/>
      <c r="AN502" s="1"/>
      <c r="AO502" s="1"/>
      <c r="AP502" s="1"/>
      <c r="AQ502" s="1"/>
      <c r="AR502" s="3">
        <f t="shared" si="1101"/>
        <v>0</v>
      </c>
      <c r="AS502" s="11"/>
      <c r="AT502" s="11"/>
      <c r="AU502" s="11"/>
      <c r="AV502" s="1">
        <f t="shared" si="1090"/>
        <v>0</v>
      </c>
      <c r="AW502" s="1">
        <f t="shared" si="1091"/>
        <v>0</v>
      </c>
      <c r="AX502" s="1">
        <f t="shared" si="1092"/>
        <v>0</v>
      </c>
      <c r="AY502" s="1">
        <f t="shared" si="1093"/>
        <v>0</v>
      </c>
      <c r="AZ502" s="1">
        <f t="shared" si="1094"/>
        <v>0</v>
      </c>
      <c r="BA502" s="1">
        <f t="shared" si="1095"/>
        <v>0</v>
      </c>
      <c r="BB502" s="1">
        <f t="shared" si="1096"/>
        <v>0</v>
      </c>
      <c r="BC502" s="1">
        <f t="shared" si="1097"/>
        <v>0</v>
      </c>
      <c r="BD502" s="1">
        <f t="shared" si="1098"/>
        <v>0</v>
      </c>
      <c r="BE502" s="1">
        <f t="shared" si="1099"/>
        <v>0</v>
      </c>
      <c r="BG502" s="1">
        <f t="shared" si="1102"/>
        <v>0</v>
      </c>
      <c r="BH502" s="1">
        <f t="shared" si="1102"/>
        <v>0</v>
      </c>
      <c r="BI502" s="1">
        <f t="shared" si="1081"/>
        <v>0</v>
      </c>
      <c r="BJ502" s="1">
        <f t="shared" si="1082"/>
        <v>0</v>
      </c>
      <c r="BK502" s="1">
        <f t="shared" si="1083"/>
        <v>0</v>
      </c>
      <c r="BL502" s="1">
        <f t="shared" si="1084"/>
        <v>0</v>
      </c>
      <c r="BM502" s="1">
        <f t="shared" si="1085"/>
        <v>0</v>
      </c>
      <c r="BN502" s="1">
        <f t="shared" si="1086"/>
        <v>0</v>
      </c>
      <c r="BO502" s="1">
        <f t="shared" si="1087"/>
        <v>0</v>
      </c>
      <c r="BP502" s="1">
        <f t="shared" si="1088"/>
        <v>0</v>
      </c>
      <c r="BQ502" s="1">
        <f t="shared" si="1089"/>
        <v>0</v>
      </c>
    </row>
    <row r="503" spans="2:69" s="10" customFormat="1" ht="15" customHeight="1" x14ac:dyDescent="0.25">
      <c r="B503" s="2"/>
      <c r="C503" t="s">
        <v>44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17"/>
      <c r="AI503" s="1"/>
      <c r="AJ503" s="1"/>
      <c r="AK503" s="1"/>
      <c r="AL503" s="117"/>
      <c r="AM503" s="1"/>
      <c r="AN503" s="1"/>
      <c r="AO503" s="1"/>
      <c r="AP503" s="1"/>
      <c r="AQ503" s="1"/>
      <c r="AR503" s="3">
        <f t="shared" si="1101"/>
        <v>0</v>
      </c>
      <c r="AS503" s="11"/>
      <c r="AT503" s="11"/>
      <c r="AU503" s="11"/>
      <c r="AV503" s="1">
        <f t="shared" si="1090"/>
        <v>0</v>
      </c>
      <c r="AW503" s="1">
        <f t="shared" si="1091"/>
        <v>0</v>
      </c>
      <c r="AX503" s="1">
        <f t="shared" si="1092"/>
        <v>0</v>
      </c>
      <c r="AY503" s="1">
        <f t="shared" si="1093"/>
        <v>0</v>
      </c>
      <c r="AZ503" s="1">
        <f t="shared" si="1094"/>
        <v>0</v>
      </c>
      <c r="BA503" s="1">
        <f t="shared" si="1095"/>
        <v>0</v>
      </c>
      <c r="BB503" s="1">
        <f t="shared" si="1096"/>
        <v>0</v>
      </c>
      <c r="BC503" s="1">
        <f t="shared" si="1097"/>
        <v>0</v>
      </c>
      <c r="BD503" s="1">
        <f t="shared" si="1098"/>
        <v>0</v>
      </c>
      <c r="BE503" s="1">
        <f t="shared" si="1099"/>
        <v>0</v>
      </c>
      <c r="BG503" s="1">
        <f t="shared" si="1102"/>
        <v>0</v>
      </c>
      <c r="BH503" s="1">
        <f t="shared" si="1102"/>
        <v>0</v>
      </c>
      <c r="BI503" s="1">
        <f t="shared" si="1081"/>
        <v>0</v>
      </c>
      <c r="BJ503" s="1">
        <f t="shared" si="1082"/>
        <v>0</v>
      </c>
      <c r="BK503" s="1">
        <f t="shared" si="1083"/>
        <v>0</v>
      </c>
      <c r="BL503" s="1">
        <f t="shared" si="1084"/>
        <v>0</v>
      </c>
      <c r="BM503" s="1">
        <f t="shared" si="1085"/>
        <v>0</v>
      </c>
      <c r="BN503" s="1">
        <f t="shared" si="1086"/>
        <v>0</v>
      </c>
      <c r="BO503" s="1">
        <f t="shared" si="1087"/>
        <v>0</v>
      </c>
      <c r="BP503" s="1">
        <f t="shared" si="1088"/>
        <v>0</v>
      </c>
      <c r="BQ503" s="1">
        <f t="shared" si="1089"/>
        <v>0</v>
      </c>
    </row>
    <row r="504" spans="2:69" s="10" customFormat="1" ht="15" customHeight="1" x14ac:dyDescent="0.25">
      <c r="B504" s="2" t="s">
        <v>338</v>
      </c>
      <c r="C504" s="2"/>
      <c r="D504" s="3">
        <f t="shared" ref="D504:AQ504" si="1103">SUM(D485:D503)</f>
        <v>0</v>
      </c>
      <c r="E504" s="3">
        <f t="shared" si="1103"/>
        <v>0</v>
      </c>
      <c r="F504" s="3">
        <f t="shared" si="1103"/>
        <v>0</v>
      </c>
      <c r="G504" s="3">
        <f t="shared" si="1103"/>
        <v>0</v>
      </c>
      <c r="H504" s="3">
        <f t="shared" si="1103"/>
        <v>0</v>
      </c>
      <c r="I504" s="3">
        <f t="shared" si="1103"/>
        <v>0</v>
      </c>
      <c r="J504" s="3">
        <f t="shared" si="1103"/>
        <v>0</v>
      </c>
      <c r="K504" s="3">
        <f t="shared" si="1103"/>
        <v>0</v>
      </c>
      <c r="L504" s="3">
        <f t="shared" si="1103"/>
        <v>0</v>
      </c>
      <c r="M504" s="3">
        <f t="shared" si="1103"/>
        <v>0</v>
      </c>
      <c r="N504" s="3">
        <f t="shared" si="1103"/>
        <v>0</v>
      </c>
      <c r="O504" s="3">
        <f t="shared" si="1103"/>
        <v>0</v>
      </c>
      <c r="P504" s="3">
        <f t="shared" si="1103"/>
        <v>0</v>
      </c>
      <c r="Q504" s="3">
        <f t="shared" si="1103"/>
        <v>0</v>
      </c>
      <c r="R504" s="3">
        <f t="shared" si="1103"/>
        <v>0</v>
      </c>
      <c r="S504" s="3">
        <f t="shared" si="1103"/>
        <v>0</v>
      </c>
      <c r="T504" s="3">
        <f t="shared" si="1103"/>
        <v>0</v>
      </c>
      <c r="U504" s="3">
        <f t="shared" si="1103"/>
        <v>0</v>
      </c>
      <c r="V504" s="3">
        <f t="shared" si="1103"/>
        <v>0</v>
      </c>
      <c r="W504" s="3">
        <f t="shared" si="1103"/>
        <v>0</v>
      </c>
      <c r="X504" s="3">
        <f t="shared" si="1103"/>
        <v>0</v>
      </c>
      <c r="Y504" s="3">
        <f t="shared" si="1103"/>
        <v>0</v>
      </c>
      <c r="Z504" s="3">
        <f t="shared" si="1103"/>
        <v>0</v>
      </c>
      <c r="AA504" s="3">
        <f t="shared" si="1103"/>
        <v>0</v>
      </c>
      <c r="AB504" s="3">
        <f t="shared" si="1103"/>
        <v>0</v>
      </c>
      <c r="AC504" s="3">
        <f t="shared" si="1103"/>
        <v>0</v>
      </c>
      <c r="AD504" s="3">
        <f t="shared" si="1103"/>
        <v>0</v>
      </c>
      <c r="AE504" s="3">
        <f t="shared" si="1103"/>
        <v>0</v>
      </c>
      <c r="AF504" s="3">
        <f t="shared" si="1103"/>
        <v>0</v>
      </c>
      <c r="AG504" s="3">
        <f t="shared" si="1103"/>
        <v>0</v>
      </c>
      <c r="AH504" s="150">
        <f t="shared" si="1103"/>
        <v>0</v>
      </c>
      <c r="AI504" s="3">
        <f t="shared" si="1103"/>
        <v>0</v>
      </c>
      <c r="AJ504" s="3">
        <f t="shared" si="1103"/>
        <v>0</v>
      </c>
      <c r="AK504" s="3">
        <f t="shared" si="1103"/>
        <v>0</v>
      </c>
      <c r="AL504" s="150">
        <f t="shared" si="1103"/>
        <v>0</v>
      </c>
      <c r="AM504" s="3">
        <f t="shared" si="1103"/>
        <v>0</v>
      </c>
      <c r="AN504" s="3">
        <f t="shared" si="1103"/>
        <v>0</v>
      </c>
      <c r="AO504" s="3">
        <f t="shared" si="1103"/>
        <v>0</v>
      </c>
      <c r="AP504" s="3">
        <f t="shared" si="1103"/>
        <v>0</v>
      </c>
      <c r="AQ504" s="3">
        <f t="shared" si="1103"/>
        <v>0</v>
      </c>
      <c r="AR504" s="3">
        <f t="shared" ref="AR504" si="1104">SUM(AR485:AR503)</f>
        <v>0</v>
      </c>
      <c r="AS504" s="11"/>
      <c r="AT504" s="11"/>
      <c r="AU504" s="11"/>
      <c r="AV504" s="3">
        <f>SUM(AV485:AV503)</f>
        <v>0</v>
      </c>
      <c r="AW504" s="3">
        <f>SUM(AW485:AW503)</f>
        <v>0</v>
      </c>
      <c r="AX504" s="3">
        <f t="shared" ref="AX504:BE504" si="1105">SUM(AX485:AX503)</f>
        <v>0</v>
      </c>
      <c r="AY504" s="3">
        <f t="shared" si="1105"/>
        <v>0</v>
      </c>
      <c r="AZ504" s="3">
        <f t="shared" si="1105"/>
        <v>0</v>
      </c>
      <c r="BA504" s="3">
        <f t="shared" si="1105"/>
        <v>0</v>
      </c>
      <c r="BB504" s="3">
        <f t="shared" si="1105"/>
        <v>0</v>
      </c>
      <c r="BC504" s="3">
        <f t="shared" si="1105"/>
        <v>0</v>
      </c>
      <c r="BD504" s="3">
        <f t="shared" si="1105"/>
        <v>0</v>
      </c>
      <c r="BE504" s="3">
        <f t="shared" si="1105"/>
        <v>0</v>
      </c>
      <c r="BG504" s="3">
        <f t="shared" ref="BG504" si="1106">SUM(BG485:BG503)</f>
        <v>0</v>
      </c>
      <c r="BH504" s="3">
        <f t="shared" ref="BH504:BQ504" si="1107">SUM(BH485:BH503)</f>
        <v>0</v>
      </c>
      <c r="BI504" s="3">
        <f t="shared" si="1107"/>
        <v>0</v>
      </c>
      <c r="BJ504" s="3">
        <f t="shared" si="1107"/>
        <v>0</v>
      </c>
      <c r="BK504" s="3">
        <f t="shared" si="1107"/>
        <v>0</v>
      </c>
      <c r="BL504" s="3">
        <f t="shared" si="1107"/>
        <v>0</v>
      </c>
      <c r="BM504" s="3">
        <f t="shared" si="1107"/>
        <v>0</v>
      </c>
      <c r="BN504" s="3">
        <f t="shared" si="1107"/>
        <v>0</v>
      </c>
      <c r="BO504" s="3">
        <f t="shared" si="1107"/>
        <v>0</v>
      </c>
      <c r="BP504" s="3">
        <f t="shared" si="1107"/>
        <v>0</v>
      </c>
      <c r="BQ504" s="3">
        <f t="shared" si="1107"/>
        <v>0</v>
      </c>
    </row>
    <row r="505" spans="2:69" s="10" customFormat="1" ht="15" customHeight="1" x14ac:dyDescent="0.25">
      <c r="B505" s="2"/>
      <c r="C505" s="38" t="s">
        <v>97</v>
      </c>
      <c r="D505" s="11">
        <f>+D504</f>
        <v>0</v>
      </c>
      <c r="E505" s="11">
        <f>+D505+E504</f>
        <v>0</v>
      </c>
      <c r="F505" s="11">
        <f t="shared" ref="F505" si="1108">+E505+F504</f>
        <v>0</v>
      </c>
      <c r="G505" s="11">
        <f t="shared" ref="G505" si="1109">+F505+G504</f>
        <v>0</v>
      </c>
      <c r="H505" s="11">
        <f t="shared" ref="H505" si="1110">+G505+H504</f>
        <v>0</v>
      </c>
      <c r="I505" s="11">
        <f t="shared" ref="I505" si="1111">+H505+I504</f>
        <v>0</v>
      </c>
      <c r="J505" s="11">
        <f t="shared" ref="J505" si="1112">+I505+J504</f>
        <v>0</v>
      </c>
      <c r="K505" s="11">
        <f t="shared" ref="K505" si="1113">+J505+K504</f>
        <v>0</v>
      </c>
      <c r="L505" s="11">
        <f t="shared" ref="L505" si="1114">+K505+L504</f>
        <v>0</v>
      </c>
      <c r="M505" s="11">
        <f t="shared" ref="M505" si="1115">+L505+M504</f>
        <v>0</v>
      </c>
      <c r="N505" s="11">
        <f t="shared" ref="N505" si="1116">+M505+N504</f>
        <v>0</v>
      </c>
      <c r="O505" s="11">
        <f t="shared" ref="O505" si="1117">+N505+O504</f>
        <v>0</v>
      </c>
      <c r="P505" s="11">
        <f t="shared" ref="P505" si="1118">+O505+P504</f>
        <v>0</v>
      </c>
      <c r="Q505" s="11">
        <f t="shared" ref="Q505" si="1119">+P505+Q504</f>
        <v>0</v>
      </c>
      <c r="R505" s="11">
        <f t="shared" ref="R505" si="1120">+Q505+R504</f>
        <v>0</v>
      </c>
      <c r="S505" s="11">
        <f t="shared" ref="S505" si="1121">+R505+S504</f>
        <v>0</v>
      </c>
      <c r="T505" s="11">
        <f t="shared" ref="T505" si="1122">+S505+T504</f>
        <v>0</v>
      </c>
      <c r="U505" s="11">
        <f t="shared" ref="U505" si="1123">+T505+U504</f>
        <v>0</v>
      </c>
      <c r="V505" s="11">
        <f t="shared" ref="V505" si="1124">+U505+V504</f>
        <v>0</v>
      </c>
      <c r="W505" s="11">
        <f t="shared" ref="W505" si="1125">+V505+W504</f>
        <v>0</v>
      </c>
      <c r="X505" s="11">
        <f t="shared" ref="X505" si="1126">+W505+X504</f>
        <v>0</v>
      </c>
      <c r="Y505" s="11">
        <f t="shared" ref="Y505" si="1127">+X505+Y504</f>
        <v>0</v>
      </c>
      <c r="Z505" s="11">
        <f t="shared" ref="Z505" si="1128">+Y505+Z504</f>
        <v>0</v>
      </c>
      <c r="AA505" s="11">
        <f t="shared" ref="AA505" si="1129">+Z505+AA504</f>
        <v>0</v>
      </c>
      <c r="AB505" s="11">
        <f t="shared" ref="AB505" si="1130">+AA505+AB504</f>
        <v>0</v>
      </c>
      <c r="AC505" s="11">
        <f t="shared" ref="AC505" si="1131">+AB505+AC504</f>
        <v>0</v>
      </c>
      <c r="AD505" s="11">
        <f t="shared" ref="AD505" si="1132">+AC505+AD504</f>
        <v>0</v>
      </c>
      <c r="AE505" s="11">
        <f t="shared" ref="AE505" si="1133">+AD505+AE504</f>
        <v>0</v>
      </c>
      <c r="AF505" s="11">
        <f t="shared" ref="AF505" si="1134">+AE505+AF504</f>
        <v>0</v>
      </c>
      <c r="AG505" s="11">
        <f t="shared" ref="AG505" si="1135">+AF505+AG504</f>
        <v>0</v>
      </c>
      <c r="AH505" s="147">
        <f t="shared" ref="AH505" si="1136">+AG505+AH504</f>
        <v>0</v>
      </c>
      <c r="AI505" s="11">
        <f t="shared" ref="AI505" si="1137">+AH505+AI504</f>
        <v>0</v>
      </c>
      <c r="AJ505" s="11">
        <f t="shared" ref="AJ505" si="1138">+AI505+AJ504</f>
        <v>0</v>
      </c>
      <c r="AK505" s="11">
        <f t="shared" ref="AK505" si="1139">+AJ505+AK504</f>
        <v>0</v>
      </c>
      <c r="AL505" s="147">
        <f t="shared" ref="AL505" si="1140">+AK505+AL504</f>
        <v>0</v>
      </c>
      <c r="AM505" s="11">
        <f t="shared" ref="AM505" si="1141">+AL505+AM504</f>
        <v>0</v>
      </c>
      <c r="AN505" s="11">
        <f t="shared" ref="AN505" si="1142">+AM505+AN504</f>
        <v>0</v>
      </c>
      <c r="AO505" s="11">
        <f t="shared" ref="AO505" si="1143">+AN505+AO504</f>
        <v>0</v>
      </c>
      <c r="AP505" s="11">
        <f t="shared" ref="AP505" si="1144">+AO505+AP504</f>
        <v>0</v>
      </c>
      <c r="AQ505" s="11">
        <f t="shared" ref="AQ505" si="1145">+AP505+AQ504</f>
        <v>0</v>
      </c>
      <c r="AR505" s="40"/>
      <c r="AS505" s="11"/>
      <c r="AT505" s="11"/>
      <c r="AU505" s="11"/>
      <c r="AV505" s="11">
        <f>+AV504</f>
        <v>0</v>
      </c>
      <c r="AW505" s="1">
        <f>+AV505+AW504</f>
        <v>0</v>
      </c>
      <c r="AX505" s="1">
        <f t="shared" ref="AX505" si="1146">+AW505+AX504</f>
        <v>0</v>
      </c>
      <c r="AY505" s="1">
        <f t="shared" ref="AY505" si="1147">+AX505+AY504</f>
        <v>0</v>
      </c>
      <c r="AZ505" s="1">
        <f t="shared" ref="AZ505" si="1148">+AY505+AZ504</f>
        <v>0</v>
      </c>
      <c r="BA505" s="1">
        <f t="shared" ref="BA505" si="1149">+AZ505+BA504</f>
        <v>0</v>
      </c>
      <c r="BB505" s="1">
        <f t="shared" ref="BB505" si="1150">+BA505+BB504</f>
        <v>0</v>
      </c>
      <c r="BC505" s="1">
        <f t="shared" ref="BC505" si="1151">+BB505+BC504</f>
        <v>0</v>
      </c>
      <c r="BD505" s="1">
        <f t="shared" ref="BD505" si="1152">+BC505+BD504</f>
        <v>0</v>
      </c>
      <c r="BE505" s="1">
        <f t="shared" ref="BE505" si="1153">+BD505+BE504</f>
        <v>0</v>
      </c>
    </row>
    <row r="506" spans="2:69" s="10" customFormat="1" ht="15" customHeight="1" x14ac:dyDescent="0.25">
      <c r="B506" s="2"/>
      <c r="C506" s="38" t="s">
        <v>220</v>
      </c>
      <c r="D506" s="11">
        <f>+D504</f>
        <v>0</v>
      </c>
      <c r="E506" s="11">
        <f t="shared" ref="E506:AQ506" si="1154">+E504</f>
        <v>0</v>
      </c>
      <c r="F506" s="11">
        <f t="shared" si="1154"/>
        <v>0</v>
      </c>
      <c r="G506" s="11">
        <f t="shared" si="1154"/>
        <v>0</v>
      </c>
      <c r="H506" s="11">
        <f t="shared" si="1154"/>
        <v>0</v>
      </c>
      <c r="I506" s="11">
        <f t="shared" si="1154"/>
        <v>0</v>
      </c>
      <c r="J506" s="11">
        <f t="shared" si="1154"/>
        <v>0</v>
      </c>
      <c r="K506" s="11">
        <f t="shared" si="1154"/>
        <v>0</v>
      </c>
      <c r="L506" s="11">
        <f t="shared" si="1154"/>
        <v>0</v>
      </c>
      <c r="M506" s="11">
        <f t="shared" si="1154"/>
        <v>0</v>
      </c>
      <c r="N506" s="11">
        <f t="shared" si="1154"/>
        <v>0</v>
      </c>
      <c r="O506" s="11">
        <f t="shared" si="1154"/>
        <v>0</v>
      </c>
      <c r="P506" s="11">
        <f t="shared" si="1154"/>
        <v>0</v>
      </c>
      <c r="Q506" s="11">
        <f t="shared" si="1154"/>
        <v>0</v>
      </c>
      <c r="R506" s="11">
        <f t="shared" si="1154"/>
        <v>0</v>
      </c>
      <c r="S506" s="11">
        <f t="shared" si="1154"/>
        <v>0</v>
      </c>
      <c r="T506" s="11">
        <f t="shared" si="1154"/>
        <v>0</v>
      </c>
      <c r="U506" s="11">
        <f t="shared" si="1154"/>
        <v>0</v>
      </c>
      <c r="V506" s="11">
        <f t="shared" si="1154"/>
        <v>0</v>
      </c>
      <c r="W506" s="11">
        <f t="shared" si="1154"/>
        <v>0</v>
      </c>
      <c r="X506" s="11">
        <f t="shared" si="1154"/>
        <v>0</v>
      </c>
      <c r="Y506" s="11">
        <f t="shared" si="1154"/>
        <v>0</v>
      </c>
      <c r="Z506" s="11">
        <f t="shared" si="1154"/>
        <v>0</v>
      </c>
      <c r="AA506" s="11">
        <f t="shared" si="1154"/>
        <v>0</v>
      </c>
      <c r="AB506" s="11">
        <f t="shared" si="1154"/>
        <v>0</v>
      </c>
      <c r="AC506" s="11">
        <f t="shared" si="1154"/>
        <v>0</v>
      </c>
      <c r="AD506" s="11">
        <f t="shared" si="1154"/>
        <v>0</v>
      </c>
      <c r="AE506" s="11">
        <f t="shared" si="1154"/>
        <v>0</v>
      </c>
      <c r="AF506" s="11">
        <f t="shared" si="1154"/>
        <v>0</v>
      </c>
      <c r="AG506" s="11">
        <f t="shared" si="1154"/>
        <v>0</v>
      </c>
      <c r="AH506" s="147">
        <f t="shared" si="1154"/>
        <v>0</v>
      </c>
      <c r="AI506" s="11">
        <f t="shared" si="1154"/>
        <v>0</v>
      </c>
      <c r="AJ506" s="11">
        <f t="shared" si="1154"/>
        <v>0</v>
      </c>
      <c r="AK506" s="11">
        <f t="shared" si="1154"/>
        <v>0</v>
      </c>
      <c r="AL506" s="147">
        <f t="shared" si="1154"/>
        <v>0</v>
      </c>
      <c r="AM506" s="11">
        <f t="shared" si="1154"/>
        <v>0</v>
      </c>
      <c r="AN506" s="11">
        <f t="shared" si="1154"/>
        <v>0</v>
      </c>
      <c r="AO506" s="11">
        <f t="shared" si="1154"/>
        <v>0</v>
      </c>
      <c r="AP506" s="11">
        <f t="shared" si="1154"/>
        <v>0</v>
      </c>
      <c r="AQ506" s="11">
        <f t="shared" si="1154"/>
        <v>0</v>
      </c>
      <c r="AR506" s="3">
        <f>SUM(D506:AQ506)</f>
        <v>0</v>
      </c>
      <c r="AS506" s="11"/>
      <c r="AT506" s="11"/>
      <c r="AU506" s="35"/>
      <c r="AV506" s="35"/>
      <c r="AW506" s="11"/>
      <c r="AX506" s="11"/>
      <c r="AY506" s="11"/>
      <c r="AZ506" s="11"/>
      <c r="BA506" s="11"/>
      <c r="BB506" s="11"/>
      <c r="BC506" s="11"/>
      <c r="BD506" s="11"/>
      <c r="BE506" s="11"/>
    </row>
    <row r="507" spans="2:69" s="10" customFormat="1" ht="15" customHeight="1" x14ac:dyDescent="0.2">
      <c r="C507" s="38" t="s">
        <v>443</v>
      </c>
      <c r="D507" s="11">
        <f>+(D504-D494)/84</f>
        <v>0</v>
      </c>
      <c r="E507" s="11">
        <f t="shared" ref="E507:AQ507" si="1155">+(E504-E494)/84</f>
        <v>0</v>
      </c>
      <c r="F507" s="11">
        <f t="shared" si="1155"/>
        <v>0</v>
      </c>
      <c r="G507" s="11">
        <f t="shared" si="1155"/>
        <v>0</v>
      </c>
      <c r="H507" s="11">
        <f t="shared" si="1155"/>
        <v>0</v>
      </c>
      <c r="I507" s="11">
        <f t="shared" si="1155"/>
        <v>0</v>
      </c>
      <c r="J507" s="11">
        <f t="shared" si="1155"/>
        <v>0</v>
      </c>
      <c r="K507" s="11">
        <f t="shared" si="1155"/>
        <v>0</v>
      </c>
      <c r="L507" s="11">
        <f t="shared" si="1155"/>
        <v>0</v>
      </c>
      <c r="M507" s="11">
        <f t="shared" si="1155"/>
        <v>0</v>
      </c>
      <c r="N507" s="11">
        <f t="shared" si="1155"/>
        <v>0</v>
      </c>
      <c r="O507" s="11">
        <f t="shared" si="1155"/>
        <v>0</v>
      </c>
      <c r="P507" s="11">
        <f t="shared" si="1155"/>
        <v>0</v>
      </c>
      <c r="Q507" s="11">
        <f t="shared" si="1155"/>
        <v>0</v>
      </c>
      <c r="R507" s="11">
        <f t="shared" si="1155"/>
        <v>0</v>
      </c>
      <c r="S507" s="11">
        <f t="shared" si="1155"/>
        <v>0</v>
      </c>
      <c r="T507" s="11">
        <f t="shared" si="1155"/>
        <v>0</v>
      </c>
      <c r="U507" s="11">
        <f t="shared" si="1155"/>
        <v>0</v>
      </c>
      <c r="V507" s="11">
        <f t="shared" si="1155"/>
        <v>0</v>
      </c>
      <c r="W507" s="11">
        <f t="shared" si="1155"/>
        <v>0</v>
      </c>
      <c r="X507" s="11">
        <f t="shared" si="1155"/>
        <v>0</v>
      </c>
      <c r="Y507" s="11">
        <f t="shared" si="1155"/>
        <v>0</v>
      </c>
      <c r="Z507" s="11">
        <f t="shared" si="1155"/>
        <v>0</v>
      </c>
      <c r="AA507" s="11">
        <f t="shared" si="1155"/>
        <v>0</v>
      </c>
      <c r="AB507" s="11">
        <f t="shared" si="1155"/>
        <v>0</v>
      </c>
      <c r="AC507" s="11">
        <f t="shared" si="1155"/>
        <v>0</v>
      </c>
      <c r="AD507" s="11">
        <f t="shared" si="1155"/>
        <v>0</v>
      </c>
      <c r="AE507" s="11">
        <f t="shared" si="1155"/>
        <v>0</v>
      </c>
      <c r="AF507" s="11">
        <f t="shared" si="1155"/>
        <v>0</v>
      </c>
      <c r="AG507" s="11">
        <f t="shared" si="1155"/>
        <v>0</v>
      </c>
      <c r="AH507" s="147">
        <f t="shared" si="1155"/>
        <v>0</v>
      </c>
      <c r="AI507" s="11">
        <f t="shared" si="1155"/>
        <v>0</v>
      </c>
      <c r="AJ507" s="11">
        <f t="shared" si="1155"/>
        <v>0</v>
      </c>
      <c r="AK507" s="11">
        <f t="shared" si="1155"/>
        <v>0</v>
      </c>
      <c r="AL507" s="147">
        <f t="shared" si="1155"/>
        <v>0</v>
      </c>
      <c r="AM507" s="11">
        <f t="shared" si="1155"/>
        <v>0</v>
      </c>
      <c r="AN507" s="11">
        <f t="shared" si="1155"/>
        <v>0</v>
      </c>
      <c r="AO507" s="11">
        <f t="shared" si="1155"/>
        <v>0</v>
      </c>
      <c r="AP507" s="11">
        <f t="shared" si="1155"/>
        <v>0</v>
      </c>
      <c r="AQ507" s="11">
        <f t="shared" si="1155"/>
        <v>0</v>
      </c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</row>
    <row r="508" spans="2:69" s="10" customFormat="1" ht="15" customHeight="1" x14ac:dyDescent="0.25">
      <c r="B508" s="2" t="s">
        <v>735</v>
      </c>
      <c r="C508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47"/>
      <c r="AI508" s="11"/>
      <c r="AJ508" s="11"/>
      <c r="AK508" s="11"/>
      <c r="AL508" s="147"/>
      <c r="AM508" s="11"/>
      <c r="AN508" s="11"/>
      <c r="AO508" s="11"/>
      <c r="AP508" s="11"/>
      <c r="AQ508" s="11"/>
      <c r="AR508" s="3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</row>
    <row r="509" spans="2:69" s="10" customFormat="1" ht="15" customHeight="1" x14ac:dyDescent="0.25">
      <c r="B509" s="2"/>
      <c r="C509" t="s">
        <v>190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17"/>
      <c r="AI509" s="1"/>
      <c r="AJ509" s="1"/>
      <c r="AK509" s="1"/>
      <c r="AL509" s="117"/>
      <c r="AM509" s="1"/>
      <c r="AN509" s="1"/>
      <c r="AO509" s="1"/>
      <c r="AP509" s="1"/>
      <c r="AQ509" s="1"/>
      <c r="AR509" s="3">
        <f>SUM(D509:AQ509)</f>
        <v>0</v>
      </c>
      <c r="AS509" s="11"/>
      <c r="AT509" s="11"/>
      <c r="AU509" s="11"/>
      <c r="AV509" s="1">
        <f>SUM(D509:G509)</f>
        <v>0</v>
      </c>
      <c r="AW509" s="1">
        <f>SUM(H509:K509)</f>
        <v>0</v>
      </c>
      <c r="AX509" s="1">
        <f>SUM(L509:P509)</f>
        <v>0</v>
      </c>
      <c r="AY509" s="1">
        <f>SUM(Q509:T509)</f>
        <v>0</v>
      </c>
      <c r="AZ509" s="1">
        <f>SUM(U509:X509)</f>
        <v>0</v>
      </c>
      <c r="BA509" s="1">
        <f>SUM(Y509:AC509)</f>
        <v>0</v>
      </c>
      <c r="BB509" s="1">
        <f>SUM(AD509:AG509)</f>
        <v>0</v>
      </c>
      <c r="BC509" s="1">
        <f>SUM(AH509:AK509)</f>
        <v>0</v>
      </c>
      <c r="BD509" s="1">
        <f>SUM(AL509:AP509)</f>
        <v>0</v>
      </c>
      <c r="BE509" s="1">
        <f>+AQ509</f>
        <v>0</v>
      </c>
      <c r="BG509" s="1">
        <f>+AV509*1</f>
        <v>0</v>
      </c>
      <c r="BH509" s="1">
        <f>+AW509*1</f>
        <v>0</v>
      </c>
      <c r="BI509" s="1">
        <f t="shared" ref="BI509:BI527" si="1156">+AX509*1</f>
        <v>0</v>
      </c>
      <c r="BJ509" s="1">
        <f t="shared" ref="BJ509:BJ527" si="1157">+AY509*1</f>
        <v>0</v>
      </c>
      <c r="BK509" s="1">
        <f t="shared" ref="BK509:BK527" si="1158">+AZ509*1</f>
        <v>0</v>
      </c>
      <c r="BL509" s="1">
        <f t="shared" ref="BL509:BL527" si="1159">+BA509*1</f>
        <v>0</v>
      </c>
      <c r="BM509" s="1">
        <f t="shared" ref="BM509:BM527" si="1160">+BB509*1</f>
        <v>0</v>
      </c>
      <c r="BN509" s="1">
        <f t="shared" ref="BN509:BN527" si="1161">+BC509*1</f>
        <v>0</v>
      </c>
      <c r="BO509" s="1">
        <f t="shared" ref="BO509:BO527" si="1162">+BD509*1</f>
        <v>0</v>
      </c>
      <c r="BP509" s="1">
        <f t="shared" ref="BP509:BP527" si="1163">+BE509*1</f>
        <v>0</v>
      </c>
      <c r="BQ509" s="1">
        <f t="shared" ref="BQ509:BQ527" si="1164">SUM(BH509:BP509)</f>
        <v>0</v>
      </c>
    </row>
    <row r="510" spans="2:69" s="10" customFormat="1" ht="15" customHeight="1" x14ac:dyDescent="0.25">
      <c r="B510" s="2"/>
      <c r="C510" t="s">
        <v>424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>
        <v>32</v>
      </c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17"/>
      <c r="AI510" s="1"/>
      <c r="AJ510" s="1"/>
      <c r="AK510" s="1"/>
      <c r="AL510" s="117"/>
      <c r="AM510" s="1"/>
      <c r="AN510" s="1"/>
      <c r="AO510" s="1"/>
      <c r="AP510" s="1"/>
      <c r="AQ510" s="1"/>
      <c r="AR510" s="3">
        <f>SUM(D510:AQ510)</f>
        <v>32</v>
      </c>
      <c r="AS510" s="11"/>
      <c r="AT510" s="11"/>
      <c r="AU510" s="11"/>
      <c r="AV510" s="1">
        <f t="shared" ref="AV510:AV527" si="1165">SUM(D510:G510)</f>
        <v>0</v>
      </c>
      <c r="AW510" s="1">
        <f t="shared" ref="AW510:AW527" si="1166">SUM(H510:K510)</f>
        <v>0</v>
      </c>
      <c r="AX510" s="1">
        <f t="shared" ref="AX510:AX527" si="1167">SUM(L510:P510)</f>
        <v>32</v>
      </c>
      <c r="AY510" s="1">
        <f t="shared" ref="AY510:AY527" si="1168">SUM(Q510:T510)</f>
        <v>0</v>
      </c>
      <c r="AZ510" s="1">
        <f t="shared" ref="AZ510:AZ527" si="1169">SUM(U510:X510)</f>
        <v>0</v>
      </c>
      <c r="BA510" s="1">
        <f t="shared" ref="BA510:BA527" si="1170">SUM(Y510:AC510)</f>
        <v>0</v>
      </c>
      <c r="BB510" s="1">
        <f t="shared" ref="BB510:BB527" si="1171">SUM(AD510:AG510)</f>
        <v>0</v>
      </c>
      <c r="BC510" s="1">
        <f t="shared" ref="BC510:BC527" si="1172">SUM(AH510:AK510)</f>
        <v>0</v>
      </c>
      <c r="BD510" s="1">
        <f t="shared" ref="BD510:BD527" si="1173">SUM(AL510:AP510)</f>
        <v>0</v>
      </c>
      <c r="BE510" s="1">
        <f t="shared" ref="BE510:BE527" si="1174">+AQ510</f>
        <v>0</v>
      </c>
      <c r="BG510" s="1">
        <f>+AV510*1</f>
        <v>0</v>
      </c>
      <c r="BH510" s="1">
        <f>+AW510*1</f>
        <v>0</v>
      </c>
      <c r="BI510" s="1">
        <f t="shared" ref="BI510:BP510" si="1175">+AX510*1</f>
        <v>32</v>
      </c>
      <c r="BJ510" s="1">
        <f t="shared" si="1175"/>
        <v>0</v>
      </c>
      <c r="BK510" s="1">
        <f t="shared" si="1175"/>
        <v>0</v>
      </c>
      <c r="BL510" s="1">
        <f t="shared" si="1175"/>
        <v>0</v>
      </c>
      <c r="BM510" s="1">
        <f t="shared" si="1175"/>
        <v>0</v>
      </c>
      <c r="BN510" s="1">
        <f t="shared" si="1175"/>
        <v>0</v>
      </c>
      <c r="BO510" s="1">
        <f t="shared" si="1175"/>
        <v>0</v>
      </c>
      <c r="BP510" s="1">
        <f t="shared" si="1175"/>
        <v>0</v>
      </c>
      <c r="BQ510" s="1">
        <f>SUM(BH510:BP510)</f>
        <v>32</v>
      </c>
    </row>
    <row r="511" spans="2:69" s="10" customFormat="1" ht="15" customHeight="1" x14ac:dyDescent="0.25">
      <c r="B511" s="2"/>
      <c r="C511" t="s">
        <v>347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>
        <v>64</v>
      </c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17"/>
      <c r="AI511" s="1"/>
      <c r="AJ511" s="1"/>
      <c r="AK511" s="1"/>
      <c r="AL511" s="117"/>
      <c r="AM511" s="1"/>
      <c r="AN511" s="1"/>
      <c r="AO511" s="1"/>
      <c r="AP511" s="1"/>
      <c r="AQ511" s="1"/>
      <c r="AR511" s="3">
        <f t="shared" ref="AR511:AR527" si="1176">SUM(D511:AQ511)</f>
        <v>64</v>
      </c>
      <c r="AS511" s="11"/>
      <c r="AT511" s="11"/>
      <c r="AU511" s="11"/>
      <c r="AV511" s="1">
        <f t="shared" si="1165"/>
        <v>0</v>
      </c>
      <c r="AW511" s="1">
        <f t="shared" si="1166"/>
        <v>0</v>
      </c>
      <c r="AX511" s="1">
        <f t="shared" si="1167"/>
        <v>64</v>
      </c>
      <c r="AY511" s="1">
        <f t="shared" si="1168"/>
        <v>0</v>
      </c>
      <c r="AZ511" s="1">
        <f t="shared" si="1169"/>
        <v>0</v>
      </c>
      <c r="BA511" s="1">
        <f t="shared" si="1170"/>
        <v>0</v>
      </c>
      <c r="BB511" s="1">
        <f t="shared" si="1171"/>
        <v>0</v>
      </c>
      <c r="BC511" s="1">
        <f t="shared" si="1172"/>
        <v>0</v>
      </c>
      <c r="BD511" s="1">
        <f t="shared" si="1173"/>
        <v>0</v>
      </c>
      <c r="BE511" s="1">
        <f t="shared" si="1174"/>
        <v>0</v>
      </c>
      <c r="BG511" s="1">
        <f t="shared" ref="BG511:BH527" si="1177">+AV511*1</f>
        <v>0</v>
      </c>
      <c r="BH511" s="1">
        <f t="shared" si="1177"/>
        <v>0</v>
      </c>
      <c r="BI511" s="1">
        <f t="shared" si="1156"/>
        <v>64</v>
      </c>
      <c r="BJ511" s="1">
        <f t="shared" si="1157"/>
        <v>0</v>
      </c>
      <c r="BK511" s="1">
        <f t="shared" si="1158"/>
        <v>0</v>
      </c>
      <c r="BL511" s="1">
        <f t="shared" si="1159"/>
        <v>0</v>
      </c>
      <c r="BM511" s="1">
        <f t="shared" si="1160"/>
        <v>0</v>
      </c>
      <c r="BN511" s="1">
        <f t="shared" si="1161"/>
        <v>0</v>
      </c>
      <c r="BO511" s="1">
        <f t="shared" si="1162"/>
        <v>0</v>
      </c>
      <c r="BP511" s="1">
        <f t="shared" si="1163"/>
        <v>0</v>
      </c>
      <c r="BQ511" s="1">
        <f t="shared" si="1164"/>
        <v>64</v>
      </c>
    </row>
    <row r="512" spans="2:69" s="10" customFormat="1" ht="15" customHeight="1" x14ac:dyDescent="0.25">
      <c r="B512" s="2"/>
      <c r="C512" t="s">
        <v>0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17"/>
      <c r="AI512" s="1"/>
      <c r="AJ512" s="1"/>
      <c r="AK512" s="1"/>
      <c r="AL512" s="117"/>
      <c r="AM512" s="1"/>
      <c r="AN512" s="1"/>
      <c r="AO512" s="1"/>
      <c r="AP512" s="1"/>
      <c r="AQ512" s="1"/>
      <c r="AR512" s="3">
        <f t="shared" si="1176"/>
        <v>0</v>
      </c>
      <c r="AS512" s="11"/>
      <c r="AT512" s="11"/>
      <c r="AU512" s="11"/>
      <c r="AV512" s="1">
        <f t="shared" si="1165"/>
        <v>0</v>
      </c>
      <c r="AW512" s="1">
        <f t="shared" si="1166"/>
        <v>0</v>
      </c>
      <c r="AX512" s="1">
        <f t="shared" si="1167"/>
        <v>0</v>
      </c>
      <c r="AY512" s="1">
        <f t="shared" si="1168"/>
        <v>0</v>
      </c>
      <c r="AZ512" s="1">
        <f t="shared" si="1169"/>
        <v>0</v>
      </c>
      <c r="BA512" s="1">
        <f t="shared" si="1170"/>
        <v>0</v>
      </c>
      <c r="BB512" s="1">
        <f t="shared" si="1171"/>
        <v>0</v>
      </c>
      <c r="BC512" s="1">
        <f t="shared" si="1172"/>
        <v>0</v>
      </c>
      <c r="BD512" s="1">
        <f t="shared" si="1173"/>
        <v>0</v>
      </c>
      <c r="BE512" s="1">
        <f t="shared" si="1174"/>
        <v>0</v>
      </c>
      <c r="BG512" s="1">
        <f t="shared" si="1177"/>
        <v>0</v>
      </c>
      <c r="BH512" s="1">
        <f t="shared" si="1177"/>
        <v>0</v>
      </c>
      <c r="BI512" s="1">
        <f t="shared" si="1156"/>
        <v>0</v>
      </c>
      <c r="BJ512" s="1">
        <f t="shared" si="1157"/>
        <v>0</v>
      </c>
      <c r="BK512" s="1">
        <f t="shared" si="1158"/>
        <v>0</v>
      </c>
      <c r="BL512" s="1">
        <f t="shared" si="1159"/>
        <v>0</v>
      </c>
      <c r="BM512" s="1">
        <f t="shared" si="1160"/>
        <v>0</v>
      </c>
      <c r="BN512" s="1">
        <f t="shared" si="1161"/>
        <v>0</v>
      </c>
      <c r="BO512" s="1">
        <f t="shared" si="1162"/>
        <v>0</v>
      </c>
      <c r="BP512" s="1">
        <f t="shared" si="1163"/>
        <v>0</v>
      </c>
      <c r="BQ512" s="1">
        <f t="shared" si="1164"/>
        <v>0</v>
      </c>
    </row>
    <row r="513" spans="2:69" s="10" customFormat="1" ht="15" customHeight="1" x14ac:dyDescent="0.25">
      <c r="B513" s="2"/>
      <c r="C513" t="s">
        <v>354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17"/>
      <c r="AI513" s="1"/>
      <c r="AJ513" s="1"/>
      <c r="AK513" s="1"/>
      <c r="AL513" s="117"/>
      <c r="AM513" s="1"/>
      <c r="AN513" s="1"/>
      <c r="AO513" s="1"/>
      <c r="AP513" s="1"/>
      <c r="AQ513" s="1"/>
      <c r="AR513" s="3">
        <f t="shared" si="1176"/>
        <v>0</v>
      </c>
      <c r="AS513" s="11"/>
      <c r="AT513" s="11"/>
      <c r="AU513" s="11"/>
      <c r="AV513" s="1">
        <f t="shared" si="1165"/>
        <v>0</v>
      </c>
      <c r="AW513" s="1">
        <f t="shared" si="1166"/>
        <v>0</v>
      </c>
      <c r="AX513" s="1">
        <f t="shared" si="1167"/>
        <v>0</v>
      </c>
      <c r="AY513" s="1">
        <f t="shared" si="1168"/>
        <v>0</v>
      </c>
      <c r="AZ513" s="1">
        <f t="shared" si="1169"/>
        <v>0</v>
      </c>
      <c r="BA513" s="1">
        <f t="shared" si="1170"/>
        <v>0</v>
      </c>
      <c r="BB513" s="1">
        <f t="shared" si="1171"/>
        <v>0</v>
      </c>
      <c r="BC513" s="1">
        <f t="shared" si="1172"/>
        <v>0</v>
      </c>
      <c r="BD513" s="1">
        <f t="shared" si="1173"/>
        <v>0</v>
      </c>
      <c r="BE513" s="1">
        <f t="shared" si="1174"/>
        <v>0</v>
      </c>
      <c r="BG513" s="1">
        <f t="shared" si="1177"/>
        <v>0</v>
      </c>
      <c r="BH513" s="1">
        <f t="shared" si="1177"/>
        <v>0</v>
      </c>
      <c r="BI513" s="1">
        <f t="shared" si="1156"/>
        <v>0</v>
      </c>
      <c r="BJ513" s="1">
        <f t="shared" si="1157"/>
        <v>0</v>
      </c>
      <c r="BK513" s="1">
        <f t="shared" si="1158"/>
        <v>0</v>
      </c>
      <c r="BL513" s="1">
        <f t="shared" si="1159"/>
        <v>0</v>
      </c>
      <c r="BM513" s="1">
        <f t="shared" si="1160"/>
        <v>0</v>
      </c>
      <c r="BN513" s="1">
        <f t="shared" si="1161"/>
        <v>0</v>
      </c>
      <c r="BO513" s="1">
        <f t="shared" si="1162"/>
        <v>0</v>
      </c>
      <c r="BP513" s="1">
        <f t="shared" si="1163"/>
        <v>0</v>
      </c>
      <c r="BQ513" s="1">
        <f t="shared" si="1164"/>
        <v>0</v>
      </c>
    </row>
    <row r="514" spans="2:69" s="10" customFormat="1" ht="15" customHeight="1" x14ac:dyDescent="0.25">
      <c r="B514" s="2"/>
      <c r="C514" t="s">
        <v>265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>
        <v>80</v>
      </c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17"/>
      <c r="AI514" s="1"/>
      <c r="AJ514" s="1"/>
      <c r="AK514" s="1"/>
      <c r="AL514" s="117"/>
      <c r="AM514" s="1"/>
      <c r="AN514" s="1"/>
      <c r="AO514" s="1"/>
      <c r="AP514" s="1"/>
      <c r="AQ514" s="1"/>
      <c r="AR514" s="3">
        <f t="shared" si="1176"/>
        <v>80</v>
      </c>
      <c r="AS514" s="11"/>
      <c r="AT514" s="11"/>
      <c r="AU514" s="11"/>
      <c r="AV514" s="1">
        <f t="shared" si="1165"/>
        <v>0</v>
      </c>
      <c r="AW514" s="1">
        <f t="shared" si="1166"/>
        <v>0</v>
      </c>
      <c r="AX514" s="1">
        <f t="shared" si="1167"/>
        <v>80</v>
      </c>
      <c r="AY514" s="1">
        <f t="shared" si="1168"/>
        <v>0</v>
      </c>
      <c r="AZ514" s="1">
        <f t="shared" si="1169"/>
        <v>0</v>
      </c>
      <c r="BA514" s="1">
        <f t="shared" si="1170"/>
        <v>0</v>
      </c>
      <c r="BB514" s="1">
        <f t="shared" si="1171"/>
        <v>0</v>
      </c>
      <c r="BC514" s="1">
        <f t="shared" si="1172"/>
        <v>0</v>
      </c>
      <c r="BD514" s="1">
        <f t="shared" si="1173"/>
        <v>0</v>
      </c>
      <c r="BE514" s="1">
        <f t="shared" si="1174"/>
        <v>0</v>
      </c>
      <c r="BG514" s="1">
        <f t="shared" si="1177"/>
        <v>0</v>
      </c>
      <c r="BH514" s="1">
        <f t="shared" si="1177"/>
        <v>0</v>
      </c>
      <c r="BI514" s="1">
        <f t="shared" si="1156"/>
        <v>80</v>
      </c>
      <c r="BJ514" s="1">
        <f t="shared" si="1157"/>
        <v>0</v>
      </c>
      <c r="BK514" s="1">
        <f t="shared" si="1158"/>
        <v>0</v>
      </c>
      <c r="BL514" s="1">
        <f t="shared" si="1159"/>
        <v>0</v>
      </c>
      <c r="BM514" s="1">
        <f t="shared" si="1160"/>
        <v>0</v>
      </c>
      <c r="BN514" s="1">
        <f t="shared" si="1161"/>
        <v>0</v>
      </c>
      <c r="BO514" s="1">
        <f t="shared" si="1162"/>
        <v>0</v>
      </c>
      <c r="BP514" s="1">
        <f t="shared" si="1163"/>
        <v>0</v>
      </c>
      <c r="BQ514" s="1">
        <f t="shared" si="1164"/>
        <v>80</v>
      </c>
    </row>
    <row r="515" spans="2:69" s="10" customFormat="1" ht="15" customHeight="1" x14ac:dyDescent="0.25">
      <c r="B515" s="2"/>
      <c r="C515" t="s">
        <v>191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17"/>
      <c r="AI515" s="1"/>
      <c r="AJ515" s="1"/>
      <c r="AK515" s="1"/>
      <c r="AL515" s="117"/>
      <c r="AM515" s="1"/>
      <c r="AN515" s="1"/>
      <c r="AO515" s="1"/>
      <c r="AP515" s="1"/>
      <c r="AQ515" s="1"/>
      <c r="AR515" s="3">
        <f t="shared" si="1176"/>
        <v>0</v>
      </c>
      <c r="AS515" s="11"/>
      <c r="AT515" s="11"/>
      <c r="AU515" s="11"/>
      <c r="AV515" s="1">
        <f t="shared" si="1165"/>
        <v>0</v>
      </c>
      <c r="AW515" s="1">
        <f t="shared" si="1166"/>
        <v>0</v>
      </c>
      <c r="AX515" s="1">
        <f t="shared" si="1167"/>
        <v>0</v>
      </c>
      <c r="AY515" s="1">
        <f t="shared" si="1168"/>
        <v>0</v>
      </c>
      <c r="AZ515" s="1">
        <f t="shared" si="1169"/>
        <v>0</v>
      </c>
      <c r="BA515" s="1">
        <f t="shared" si="1170"/>
        <v>0</v>
      </c>
      <c r="BB515" s="1">
        <f t="shared" si="1171"/>
        <v>0</v>
      </c>
      <c r="BC515" s="1">
        <f t="shared" si="1172"/>
        <v>0</v>
      </c>
      <c r="BD515" s="1">
        <f t="shared" si="1173"/>
        <v>0</v>
      </c>
      <c r="BE515" s="1">
        <f t="shared" si="1174"/>
        <v>0</v>
      </c>
      <c r="BG515" s="1">
        <f t="shared" si="1177"/>
        <v>0</v>
      </c>
      <c r="BH515" s="1">
        <f t="shared" si="1177"/>
        <v>0</v>
      </c>
      <c r="BI515" s="1">
        <f t="shared" si="1156"/>
        <v>0</v>
      </c>
      <c r="BJ515" s="1">
        <f t="shared" si="1157"/>
        <v>0</v>
      </c>
      <c r="BK515" s="1">
        <f t="shared" si="1158"/>
        <v>0</v>
      </c>
      <c r="BL515" s="1">
        <f t="shared" si="1159"/>
        <v>0</v>
      </c>
      <c r="BM515" s="1">
        <f t="shared" si="1160"/>
        <v>0</v>
      </c>
      <c r="BN515" s="1">
        <f t="shared" si="1161"/>
        <v>0</v>
      </c>
      <c r="BO515" s="1">
        <f t="shared" si="1162"/>
        <v>0</v>
      </c>
      <c r="BP515" s="1">
        <f t="shared" si="1163"/>
        <v>0</v>
      </c>
      <c r="BQ515" s="1">
        <f t="shared" si="1164"/>
        <v>0</v>
      </c>
    </row>
    <row r="516" spans="2:69" s="10" customFormat="1" ht="15" customHeight="1" x14ac:dyDescent="0.25">
      <c r="B516" s="2"/>
      <c r="C516" t="s">
        <v>549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17"/>
      <c r="AI516" s="1"/>
      <c r="AJ516" s="1"/>
      <c r="AK516" s="1"/>
      <c r="AL516" s="117"/>
      <c r="AM516" s="1"/>
      <c r="AN516" s="1"/>
      <c r="AO516" s="1"/>
      <c r="AP516" s="1"/>
      <c r="AQ516" s="1"/>
      <c r="AR516" s="3">
        <f t="shared" si="1176"/>
        <v>0</v>
      </c>
      <c r="AS516" s="11"/>
      <c r="AT516" s="11"/>
      <c r="AU516" s="11"/>
      <c r="AV516" s="1">
        <f t="shared" si="1165"/>
        <v>0</v>
      </c>
      <c r="AW516" s="1">
        <f t="shared" si="1166"/>
        <v>0</v>
      </c>
      <c r="AX516" s="1">
        <f t="shared" si="1167"/>
        <v>0</v>
      </c>
      <c r="AY516" s="1">
        <f t="shared" si="1168"/>
        <v>0</v>
      </c>
      <c r="AZ516" s="1">
        <f t="shared" si="1169"/>
        <v>0</v>
      </c>
      <c r="BA516" s="1">
        <f t="shared" si="1170"/>
        <v>0</v>
      </c>
      <c r="BB516" s="1">
        <f t="shared" si="1171"/>
        <v>0</v>
      </c>
      <c r="BC516" s="1">
        <f t="shared" si="1172"/>
        <v>0</v>
      </c>
      <c r="BD516" s="1">
        <f t="shared" si="1173"/>
        <v>0</v>
      </c>
      <c r="BE516" s="1">
        <f t="shared" si="1174"/>
        <v>0</v>
      </c>
      <c r="BG516" s="1">
        <f t="shared" si="1177"/>
        <v>0</v>
      </c>
      <c r="BH516" s="1">
        <f t="shared" si="1177"/>
        <v>0</v>
      </c>
      <c r="BI516" s="1">
        <f t="shared" si="1156"/>
        <v>0</v>
      </c>
      <c r="BJ516" s="1">
        <f t="shared" si="1157"/>
        <v>0</v>
      </c>
      <c r="BK516" s="1">
        <f t="shared" si="1158"/>
        <v>0</v>
      </c>
      <c r="BL516" s="1">
        <f t="shared" si="1159"/>
        <v>0</v>
      </c>
      <c r="BM516" s="1">
        <f t="shared" si="1160"/>
        <v>0</v>
      </c>
      <c r="BN516" s="1">
        <f t="shared" si="1161"/>
        <v>0</v>
      </c>
      <c r="BO516" s="1">
        <f t="shared" si="1162"/>
        <v>0</v>
      </c>
      <c r="BP516" s="1">
        <f t="shared" si="1163"/>
        <v>0</v>
      </c>
      <c r="BQ516" s="1">
        <f t="shared" si="1164"/>
        <v>0</v>
      </c>
    </row>
    <row r="517" spans="2:69" s="10" customFormat="1" ht="15" customHeight="1" x14ac:dyDescent="0.25">
      <c r="B517" s="2"/>
      <c r="C517" t="s">
        <v>550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17"/>
      <c r="AI517" s="1"/>
      <c r="AJ517" s="1"/>
      <c r="AK517" s="1"/>
      <c r="AL517" s="117"/>
      <c r="AM517" s="1"/>
      <c r="AN517" s="1"/>
      <c r="AO517" s="1"/>
      <c r="AP517" s="1"/>
      <c r="AQ517" s="1"/>
      <c r="AR517" s="3">
        <f t="shared" si="1176"/>
        <v>0</v>
      </c>
      <c r="AS517" s="11"/>
      <c r="AT517" s="11"/>
      <c r="AU517" s="11"/>
      <c r="AV517" s="1">
        <f t="shared" si="1165"/>
        <v>0</v>
      </c>
      <c r="AW517" s="1">
        <f t="shared" si="1166"/>
        <v>0</v>
      </c>
      <c r="AX517" s="1">
        <f t="shared" si="1167"/>
        <v>0</v>
      </c>
      <c r="AY517" s="1">
        <f t="shared" si="1168"/>
        <v>0</v>
      </c>
      <c r="AZ517" s="1">
        <f t="shared" si="1169"/>
        <v>0</v>
      </c>
      <c r="BA517" s="1">
        <f t="shared" si="1170"/>
        <v>0</v>
      </c>
      <c r="BB517" s="1">
        <f t="shared" si="1171"/>
        <v>0</v>
      </c>
      <c r="BC517" s="1">
        <f t="shared" si="1172"/>
        <v>0</v>
      </c>
      <c r="BD517" s="1">
        <f t="shared" si="1173"/>
        <v>0</v>
      </c>
      <c r="BE517" s="1">
        <f t="shared" si="1174"/>
        <v>0</v>
      </c>
      <c r="BG517" s="1">
        <f t="shared" si="1177"/>
        <v>0</v>
      </c>
      <c r="BH517" s="1">
        <f t="shared" si="1177"/>
        <v>0</v>
      </c>
      <c r="BI517" s="1">
        <f t="shared" si="1156"/>
        <v>0</v>
      </c>
      <c r="BJ517" s="1">
        <f t="shared" si="1157"/>
        <v>0</v>
      </c>
      <c r="BK517" s="1">
        <f t="shared" si="1158"/>
        <v>0</v>
      </c>
      <c r="BL517" s="1">
        <f t="shared" si="1159"/>
        <v>0</v>
      </c>
      <c r="BM517" s="1">
        <f t="shared" si="1160"/>
        <v>0</v>
      </c>
      <c r="BN517" s="1">
        <f t="shared" si="1161"/>
        <v>0</v>
      </c>
      <c r="BO517" s="1">
        <f t="shared" si="1162"/>
        <v>0</v>
      </c>
      <c r="BP517" s="1">
        <f t="shared" si="1163"/>
        <v>0</v>
      </c>
      <c r="BQ517" s="1">
        <f t="shared" si="1164"/>
        <v>0</v>
      </c>
    </row>
    <row r="518" spans="2:69" s="10" customFormat="1" ht="15" customHeight="1" x14ac:dyDescent="0.25">
      <c r="B518" s="2"/>
      <c r="C518" t="s">
        <v>6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17"/>
      <c r="AI518" s="1"/>
      <c r="AJ518" s="1"/>
      <c r="AK518" s="1"/>
      <c r="AL518" s="117"/>
      <c r="AM518" s="1"/>
      <c r="AN518" s="1"/>
      <c r="AO518" s="1"/>
      <c r="AP518" s="1"/>
      <c r="AQ518" s="1"/>
      <c r="AR518" s="3">
        <f t="shared" si="1176"/>
        <v>0</v>
      </c>
      <c r="AS518" s="11"/>
      <c r="AT518" s="11"/>
      <c r="AU518" s="11"/>
      <c r="AV518" s="1">
        <f t="shared" si="1165"/>
        <v>0</v>
      </c>
      <c r="AW518" s="1">
        <f t="shared" si="1166"/>
        <v>0</v>
      </c>
      <c r="AX518" s="1">
        <f t="shared" si="1167"/>
        <v>0</v>
      </c>
      <c r="AY518" s="1">
        <f t="shared" si="1168"/>
        <v>0</v>
      </c>
      <c r="AZ518" s="1">
        <f t="shared" si="1169"/>
        <v>0</v>
      </c>
      <c r="BA518" s="1">
        <f t="shared" si="1170"/>
        <v>0</v>
      </c>
      <c r="BB518" s="1">
        <f t="shared" si="1171"/>
        <v>0</v>
      </c>
      <c r="BC518" s="1">
        <f t="shared" si="1172"/>
        <v>0</v>
      </c>
      <c r="BD518" s="1">
        <f t="shared" si="1173"/>
        <v>0</v>
      </c>
      <c r="BE518" s="1">
        <f t="shared" si="1174"/>
        <v>0</v>
      </c>
      <c r="BG518" s="1">
        <f t="shared" si="1177"/>
        <v>0</v>
      </c>
      <c r="BH518" s="1">
        <f t="shared" si="1177"/>
        <v>0</v>
      </c>
      <c r="BI518" s="1">
        <f t="shared" si="1156"/>
        <v>0</v>
      </c>
      <c r="BJ518" s="1">
        <f t="shared" si="1157"/>
        <v>0</v>
      </c>
      <c r="BK518" s="1">
        <f t="shared" si="1158"/>
        <v>0</v>
      </c>
      <c r="BL518" s="1">
        <f t="shared" si="1159"/>
        <v>0</v>
      </c>
      <c r="BM518" s="1">
        <f t="shared" si="1160"/>
        <v>0</v>
      </c>
      <c r="BN518" s="1">
        <f t="shared" si="1161"/>
        <v>0</v>
      </c>
      <c r="BO518" s="1">
        <f t="shared" si="1162"/>
        <v>0</v>
      </c>
      <c r="BP518" s="1">
        <f t="shared" si="1163"/>
        <v>0</v>
      </c>
      <c r="BQ518" s="1">
        <f t="shared" si="1164"/>
        <v>0</v>
      </c>
    </row>
    <row r="519" spans="2:69" s="10" customFormat="1" ht="15" customHeight="1" x14ac:dyDescent="0.25">
      <c r="B519" s="2"/>
      <c r="C519" t="s">
        <v>262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17"/>
      <c r="AI519" s="1"/>
      <c r="AJ519" s="1"/>
      <c r="AK519" s="1"/>
      <c r="AL519" s="117"/>
      <c r="AM519" s="1"/>
      <c r="AN519" s="1"/>
      <c r="AO519" s="1"/>
      <c r="AP519" s="1"/>
      <c r="AQ519" s="1"/>
      <c r="AR519" s="3">
        <f t="shared" si="1176"/>
        <v>0</v>
      </c>
      <c r="AS519" s="11"/>
      <c r="AT519" s="11"/>
      <c r="AU519" s="11"/>
      <c r="AV519" s="1">
        <f t="shared" si="1165"/>
        <v>0</v>
      </c>
      <c r="AW519" s="1">
        <f t="shared" si="1166"/>
        <v>0</v>
      </c>
      <c r="AX519" s="1">
        <f t="shared" si="1167"/>
        <v>0</v>
      </c>
      <c r="AY519" s="1">
        <f t="shared" si="1168"/>
        <v>0</v>
      </c>
      <c r="AZ519" s="1">
        <f t="shared" si="1169"/>
        <v>0</v>
      </c>
      <c r="BA519" s="1">
        <f t="shared" si="1170"/>
        <v>0</v>
      </c>
      <c r="BB519" s="1">
        <f t="shared" si="1171"/>
        <v>0</v>
      </c>
      <c r="BC519" s="1">
        <f t="shared" si="1172"/>
        <v>0</v>
      </c>
      <c r="BD519" s="1">
        <f t="shared" si="1173"/>
        <v>0</v>
      </c>
      <c r="BE519" s="1">
        <f t="shared" si="1174"/>
        <v>0</v>
      </c>
      <c r="BG519" s="1">
        <f t="shared" si="1177"/>
        <v>0</v>
      </c>
      <c r="BH519" s="1">
        <f t="shared" si="1177"/>
        <v>0</v>
      </c>
      <c r="BI519" s="1">
        <f t="shared" si="1156"/>
        <v>0</v>
      </c>
      <c r="BJ519" s="1">
        <f t="shared" si="1157"/>
        <v>0</v>
      </c>
      <c r="BK519" s="1">
        <f t="shared" si="1158"/>
        <v>0</v>
      </c>
      <c r="BL519" s="1">
        <f t="shared" si="1159"/>
        <v>0</v>
      </c>
      <c r="BM519" s="1">
        <f t="shared" si="1160"/>
        <v>0</v>
      </c>
      <c r="BN519" s="1">
        <f t="shared" si="1161"/>
        <v>0</v>
      </c>
      <c r="BO519" s="1">
        <f t="shared" si="1162"/>
        <v>0</v>
      </c>
      <c r="BP519" s="1">
        <f t="shared" si="1163"/>
        <v>0</v>
      </c>
      <c r="BQ519" s="1">
        <f t="shared" si="1164"/>
        <v>0</v>
      </c>
    </row>
    <row r="520" spans="2:69" s="10" customFormat="1" ht="15" customHeight="1" x14ac:dyDescent="0.25">
      <c r="B520" s="2"/>
      <c r="C520" t="s">
        <v>42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>
        <v>96</v>
      </c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17"/>
      <c r="AI520" s="1"/>
      <c r="AJ520" s="1"/>
      <c r="AK520" s="1"/>
      <c r="AL520" s="117"/>
      <c r="AM520" s="1"/>
      <c r="AN520" s="1"/>
      <c r="AO520" s="1"/>
      <c r="AP520" s="1"/>
      <c r="AQ520" s="1"/>
      <c r="AR520" s="3">
        <f t="shared" si="1176"/>
        <v>96</v>
      </c>
      <c r="AS520" s="11"/>
      <c r="AT520" s="11"/>
      <c r="AU520" s="11"/>
      <c r="AV520" s="1">
        <f t="shared" si="1165"/>
        <v>0</v>
      </c>
      <c r="AW520" s="1">
        <f t="shared" si="1166"/>
        <v>0</v>
      </c>
      <c r="AX520" s="1">
        <f t="shared" si="1167"/>
        <v>96</v>
      </c>
      <c r="AY520" s="1">
        <f t="shared" si="1168"/>
        <v>0</v>
      </c>
      <c r="AZ520" s="1">
        <f t="shared" si="1169"/>
        <v>0</v>
      </c>
      <c r="BA520" s="1">
        <f t="shared" si="1170"/>
        <v>0</v>
      </c>
      <c r="BB520" s="1">
        <f t="shared" si="1171"/>
        <v>0</v>
      </c>
      <c r="BC520" s="1">
        <f t="shared" si="1172"/>
        <v>0</v>
      </c>
      <c r="BD520" s="1">
        <f t="shared" si="1173"/>
        <v>0</v>
      </c>
      <c r="BE520" s="1">
        <f t="shared" si="1174"/>
        <v>0</v>
      </c>
      <c r="BG520" s="1">
        <f t="shared" si="1177"/>
        <v>0</v>
      </c>
      <c r="BH520" s="1">
        <f t="shared" si="1177"/>
        <v>0</v>
      </c>
      <c r="BI520" s="1">
        <f t="shared" si="1156"/>
        <v>96</v>
      </c>
      <c r="BJ520" s="1">
        <f t="shared" si="1157"/>
        <v>0</v>
      </c>
      <c r="BK520" s="1">
        <f t="shared" si="1158"/>
        <v>0</v>
      </c>
      <c r="BL520" s="1">
        <f t="shared" si="1159"/>
        <v>0</v>
      </c>
      <c r="BM520" s="1">
        <f t="shared" si="1160"/>
        <v>0</v>
      </c>
      <c r="BN520" s="1">
        <f t="shared" si="1161"/>
        <v>0</v>
      </c>
      <c r="BO520" s="1">
        <f t="shared" si="1162"/>
        <v>0</v>
      </c>
      <c r="BP520" s="1">
        <f t="shared" si="1163"/>
        <v>0</v>
      </c>
      <c r="BQ520" s="1">
        <f t="shared" si="1164"/>
        <v>96</v>
      </c>
    </row>
    <row r="521" spans="2:69" s="10" customFormat="1" ht="15" customHeight="1" x14ac:dyDescent="0.25">
      <c r="B521" s="2"/>
      <c r="C521" t="s">
        <v>192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17"/>
      <c r="AI521" s="1"/>
      <c r="AJ521" s="1"/>
      <c r="AK521" s="1"/>
      <c r="AL521" s="117"/>
      <c r="AM521" s="1"/>
      <c r="AN521" s="1"/>
      <c r="AO521" s="1"/>
      <c r="AP521" s="1"/>
      <c r="AQ521" s="1"/>
      <c r="AR521" s="3">
        <f t="shared" si="1176"/>
        <v>0</v>
      </c>
      <c r="AS521" s="11"/>
      <c r="AT521" s="11"/>
      <c r="AU521" s="11"/>
      <c r="AV521" s="1">
        <f t="shared" si="1165"/>
        <v>0</v>
      </c>
      <c r="AW521" s="1">
        <f t="shared" si="1166"/>
        <v>0</v>
      </c>
      <c r="AX521" s="1">
        <f t="shared" si="1167"/>
        <v>0</v>
      </c>
      <c r="AY521" s="1">
        <f t="shared" si="1168"/>
        <v>0</v>
      </c>
      <c r="AZ521" s="1">
        <f t="shared" si="1169"/>
        <v>0</v>
      </c>
      <c r="BA521" s="1">
        <f t="shared" si="1170"/>
        <v>0</v>
      </c>
      <c r="BB521" s="1">
        <f t="shared" si="1171"/>
        <v>0</v>
      </c>
      <c r="BC521" s="1">
        <f t="shared" si="1172"/>
        <v>0</v>
      </c>
      <c r="BD521" s="1">
        <f t="shared" si="1173"/>
        <v>0</v>
      </c>
      <c r="BE521" s="1">
        <f t="shared" si="1174"/>
        <v>0</v>
      </c>
      <c r="BG521" s="1">
        <f t="shared" si="1177"/>
        <v>0</v>
      </c>
      <c r="BH521" s="1">
        <f t="shared" si="1177"/>
        <v>0</v>
      </c>
      <c r="BI521" s="1">
        <f t="shared" si="1156"/>
        <v>0</v>
      </c>
      <c r="BJ521" s="1">
        <f t="shared" si="1157"/>
        <v>0</v>
      </c>
      <c r="BK521" s="1">
        <f t="shared" si="1158"/>
        <v>0</v>
      </c>
      <c r="BL521" s="1">
        <f t="shared" si="1159"/>
        <v>0</v>
      </c>
      <c r="BM521" s="1">
        <f t="shared" si="1160"/>
        <v>0</v>
      </c>
      <c r="BN521" s="1">
        <f t="shared" si="1161"/>
        <v>0</v>
      </c>
      <c r="BO521" s="1">
        <f t="shared" si="1162"/>
        <v>0</v>
      </c>
      <c r="BP521" s="1">
        <f t="shared" si="1163"/>
        <v>0</v>
      </c>
      <c r="BQ521" s="1">
        <f t="shared" si="1164"/>
        <v>0</v>
      </c>
    </row>
    <row r="522" spans="2:69" s="10" customFormat="1" ht="15" customHeight="1" x14ac:dyDescent="0.25">
      <c r="B522" s="2"/>
      <c r="C522" t="s">
        <v>133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>
        <v>64</v>
      </c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17"/>
      <c r="AI522" s="1"/>
      <c r="AJ522" s="1"/>
      <c r="AK522" s="1"/>
      <c r="AL522" s="117"/>
      <c r="AM522" s="1"/>
      <c r="AN522" s="1"/>
      <c r="AO522" s="1"/>
      <c r="AP522" s="1"/>
      <c r="AQ522" s="1"/>
      <c r="AR522" s="3">
        <f t="shared" si="1176"/>
        <v>64</v>
      </c>
      <c r="AS522" s="11"/>
      <c r="AT522" s="11"/>
      <c r="AU522" s="11"/>
      <c r="AV522" s="1">
        <f t="shared" si="1165"/>
        <v>0</v>
      </c>
      <c r="AW522" s="1">
        <f t="shared" si="1166"/>
        <v>0</v>
      </c>
      <c r="AX522" s="1">
        <f t="shared" si="1167"/>
        <v>64</v>
      </c>
      <c r="AY522" s="1">
        <f t="shared" si="1168"/>
        <v>0</v>
      </c>
      <c r="AZ522" s="1">
        <f t="shared" si="1169"/>
        <v>0</v>
      </c>
      <c r="BA522" s="1">
        <f t="shared" si="1170"/>
        <v>0</v>
      </c>
      <c r="BB522" s="1">
        <f t="shared" si="1171"/>
        <v>0</v>
      </c>
      <c r="BC522" s="1">
        <f t="shared" si="1172"/>
        <v>0</v>
      </c>
      <c r="BD522" s="1">
        <f t="shared" si="1173"/>
        <v>0</v>
      </c>
      <c r="BE522" s="1">
        <f t="shared" si="1174"/>
        <v>0</v>
      </c>
      <c r="BG522" s="1">
        <f t="shared" si="1177"/>
        <v>0</v>
      </c>
      <c r="BH522" s="1">
        <f t="shared" si="1177"/>
        <v>0</v>
      </c>
      <c r="BI522" s="1">
        <f t="shared" si="1156"/>
        <v>64</v>
      </c>
      <c r="BJ522" s="1">
        <f t="shared" si="1157"/>
        <v>0</v>
      </c>
      <c r="BK522" s="1">
        <f t="shared" si="1158"/>
        <v>0</v>
      </c>
      <c r="BL522" s="1">
        <f t="shared" si="1159"/>
        <v>0</v>
      </c>
      <c r="BM522" s="1">
        <f t="shared" si="1160"/>
        <v>0</v>
      </c>
      <c r="BN522" s="1">
        <f t="shared" si="1161"/>
        <v>0</v>
      </c>
      <c r="BO522" s="1">
        <f t="shared" si="1162"/>
        <v>0</v>
      </c>
      <c r="BP522" s="1">
        <f t="shared" si="1163"/>
        <v>0</v>
      </c>
      <c r="BQ522" s="1">
        <f t="shared" si="1164"/>
        <v>64</v>
      </c>
    </row>
    <row r="523" spans="2:69" s="10" customFormat="1" ht="15" customHeight="1" x14ac:dyDescent="0.25">
      <c r="B523" s="2"/>
      <c r="C523" t="s">
        <v>41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17"/>
      <c r="AI523" s="1"/>
      <c r="AJ523" s="1"/>
      <c r="AK523" s="1"/>
      <c r="AL523" s="117"/>
      <c r="AM523" s="1"/>
      <c r="AN523" s="1"/>
      <c r="AO523" s="1"/>
      <c r="AP523" s="1"/>
      <c r="AQ523" s="1"/>
      <c r="AR523" s="3">
        <f t="shared" si="1176"/>
        <v>0</v>
      </c>
      <c r="AS523" s="11"/>
      <c r="AT523" s="11"/>
      <c r="AU523" s="11"/>
      <c r="AV523" s="1">
        <f t="shared" si="1165"/>
        <v>0</v>
      </c>
      <c r="AW523" s="1">
        <f t="shared" si="1166"/>
        <v>0</v>
      </c>
      <c r="AX523" s="1">
        <f t="shared" si="1167"/>
        <v>0</v>
      </c>
      <c r="AY523" s="1">
        <f t="shared" si="1168"/>
        <v>0</v>
      </c>
      <c r="AZ523" s="1">
        <f t="shared" si="1169"/>
        <v>0</v>
      </c>
      <c r="BA523" s="1">
        <f t="shared" si="1170"/>
        <v>0</v>
      </c>
      <c r="BB523" s="1">
        <f t="shared" si="1171"/>
        <v>0</v>
      </c>
      <c r="BC523" s="1">
        <f t="shared" si="1172"/>
        <v>0</v>
      </c>
      <c r="BD523" s="1">
        <f t="shared" si="1173"/>
        <v>0</v>
      </c>
      <c r="BE523" s="1">
        <f t="shared" si="1174"/>
        <v>0</v>
      </c>
      <c r="BG523" s="1">
        <f t="shared" si="1177"/>
        <v>0</v>
      </c>
      <c r="BH523" s="1">
        <f t="shared" si="1177"/>
        <v>0</v>
      </c>
      <c r="BI523" s="1">
        <f t="shared" si="1156"/>
        <v>0</v>
      </c>
      <c r="BJ523" s="1">
        <f t="shared" si="1157"/>
        <v>0</v>
      </c>
      <c r="BK523" s="1">
        <f t="shared" si="1158"/>
        <v>0</v>
      </c>
      <c r="BL523" s="1">
        <f t="shared" si="1159"/>
        <v>0</v>
      </c>
      <c r="BM523" s="1">
        <f t="shared" si="1160"/>
        <v>0</v>
      </c>
      <c r="BN523" s="1">
        <f t="shared" si="1161"/>
        <v>0</v>
      </c>
      <c r="BO523" s="1">
        <f t="shared" si="1162"/>
        <v>0</v>
      </c>
      <c r="BP523" s="1">
        <f t="shared" si="1163"/>
        <v>0</v>
      </c>
      <c r="BQ523" s="1">
        <f t="shared" si="1164"/>
        <v>0</v>
      </c>
    </row>
    <row r="524" spans="2:69" s="10" customFormat="1" ht="15" customHeight="1" x14ac:dyDescent="0.25">
      <c r="B524" s="2"/>
      <c r="C524" t="s">
        <v>193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17"/>
      <c r="AI524" s="1"/>
      <c r="AJ524" s="1"/>
      <c r="AK524" s="1"/>
      <c r="AL524" s="117"/>
      <c r="AM524" s="1"/>
      <c r="AN524" s="1"/>
      <c r="AO524" s="1"/>
      <c r="AP524" s="1"/>
      <c r="AQ524" s="1"/>
      <c r="AR524" s="3">
        <f t="shared" si="1176"/>
        <v>0</v>
      </c>
      <c r="AS524" s="11"/>
      <c r="AT524" s="11"/>
      <c r="AU524" s="11"/>
      <c r="AV524" s="1">
        <f t="shared" si="1165"/>
        <v>0</v>
      </c>
      <c r="AW524" s="1">
        <f t="shared" si="1166"/>
        <v>0</v>
      </c>
      <c r="AX524" s="1">
        <f t="shared" si="1167"/>
        <v>0</v>
      </c>
      <c r="AY524" s="1">
        <f t="shared" si="1168"/>
        <v>0</v>
      </c>
      <c r="AZ524" s="1">
        <f t="shared" si="1169"/>
        <v>0</v>
      </c>
      <c r="BA524" s="1">
        <f t="shared" si="1170"/>
        <v>0</v>
      </c>
      <c r="BB524" s="1">
        <f t="shared" si="1171"/>
        <v>0</v>
      </c>
      <c r="BC524" s="1">
        <f t="shared" si="1172"/>
        <v>0</v>
      </c>
      <c r="BD524" s="1">
        <f t="shared" si="1173"/>
        <v>0</v>
      </c>
      <c r="BE524" s="1">
        <f t="shared" si="1174"/>
        <v>0</v>
      </c>
      <c r="BG524" s="1">
        <f t="shared" si="1177"/>
        <v>0</v>
      </c>
      <c r="BH524" s="1">
        <f t="shared" si="1177"/>
        <v>0</v>
      </c>
      <c r="BI524" s="1">
        <f t="shared" si="1156"/>
        <v>0</v>
      </c>
      <c r="BJ524" s="1">
        <f t="shared" si="1157"/>
        <v>0</v>
      </c>
      <c r="BK524" s="1">
        <f t="shared" si="1158"/>
        <v>0</v>
      </c>
      <c r="BL524" s="1">
        <f t="shared" si="1159"/>
        <v>0</v>
      </c>
      <c r="BM524" s="1">
        <f t="shared" si="1160"/>
        <v>0</v>
      </c>
      <c r="BN524" s="1">
        <f t="shared" si="1161"/>
        <v>0</v>
      </c>
      <c r="BO524" s="1">
        <f t="shared" si="1162"/>
        <v>0</v>
      </c>
      <c r="BP524" s="1">
        <f t="shared" si="1163"/>
        <v>0</v>
      </c>
      <c r="BQ524" s="1">
        <f t="shared" si="1164"/>
        <v>0</v>
      </c>
    </row>
    <row r="525" spans="2:69" s="10" customFormat="1" ht="15" customHeight="1" x14ac:dyDescent="0.25">
      <c r="B525" s="2"/>
      <c r="C525" t="s">
        <v>297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17"/>
      <c r="AI525" s="1"/>
      <c r="AJ525" s="1"/>
      <c r="AK525" s="1"/>
      <c r="AL525" s="117"/>
      <c r="AM525" s="1"/>
      <c r="AN525" s="1"/>
      <c r="AO525" s="1"/>
      <c r="AP525" s="1"/>
      <c r="AQ525" s="1"/>
      <c r="AR525" s="3">
        <f t="shared" si="1176"/>
        <v>0</v>
      </c>
      <c r="AS525" s="11"/>
      <c r="AT525" s="11"/>
      <c r="AU525" s="11"/>
      <c r="AV525" s="1">
        <f t="shared" si="1165"/>
        <v>0</v>
      </c>
      <c r="AW525" s="1">
        <f t="shared" si="1166"/>
        <v>0</v>
      </c>
      <c r="AX525" s="1">
        <f t="shared" si="1167"/>
        <v>0</v>
      </c>
      <c r="AY525" s="1">
        <f t="shared" si="1168"/>
        <v>0</v>
      </c>
      <c r="AZ525" s="1">
        <f t="shared" si="1169"/>
        <v>0</v>
      </c>
      <c r="BA525" s="1">
        <f t="shared" si="1170"/>
        <v>0</v>
      </c>
      <c r="BB525" s="1">
        <f t="shared" si="1171"/>
        <v>0</v>
      </c>
      <c r="BC525" s="1">
        <f t="shared" si="1172"/>
        <v>0</v>
      </c>
      <c r="BD525" s="1">
        <f t="shared" si="1173"/>
        <v>0</v>
      </c>
      <c r="BE525" s="1">
        <f t="shared" si="1174"/>
        <v>0</v>
      </c>
      <c r="BG525" s="1">
        <f t="shared" si="1177"/>
        <v>0</v>
      </c>
      <c r="BH525" s="1">
        <f t="shared" si="1177"/>
        <v>0</v>
      </c>
      <c r="BI525" s="1">
        <f t="shared" si="1156"/>
        <v>0</v>
      </c>
      <c r="BJ525" s="1">
        <f t="shared" si="1157"/>
        <v>0</v>
      </c>
      <c r="BK525" s="1">
        <f t="shared" si="1158"/>
        <v>0</v>
      </c>
      <c r="BL525" s="1">
        <f t="shared" si="1159"/>
        <v>0</v>
      </c>
      <c r="BM525" s="1">
        <f t="shared" si="1160"/>
        <v>0</v>
      </c>
      <c r="BN525" s="1">
        <f t="shared" si="1161"/>
        <v>0</v>
      </c>
      <c r="BO525" s="1">
        <f t="shared" si="1162"/>
        <v>0</v>
      </c>
      <c r="BP525" s="1">
        <f t="shared" si="1163"/>
        <v>0</v>
      </c>
      <c r="BQ525" s="1">
        <f t="shared" si="1164"/>
        <v>0</v>
      </c>
    </row>
    <row r="526" spans="2:69" s="10" customFormat="1" ht="15" customHeight="1" x14ac:dyDescent="0.25">
      <c r="B526" s="2"/>
      <c r="C526" t="s">
        <v>296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17"/>
      <c r="AI526" s="1"/>
      <c r="AJ526" s="1"/>
      <c r="AK526" s="1"/>
      <c r="AL526" s="117"/>
      <c r="AM526" s="1"/>
      <c r="AN526" s="1"/>
      <c r="AO526" s="1"/>
      <c r="AP526" s="1"/>
      <c r="AQ526" s="1"/>
      <c r="AR526" s="3">
        <f t="shared" si="1176"/>
        <v>0</v>
      </c>
      <c r="AS526" s="11"/>
      <c r="AT526" s="11"/>
      <c r="AU526" s="11"/>
      <c r="AV526" s="1">
        <f t="shared" si="1165"/>
        <v>0</v>
      </c>
      <c r="AW526" s="1">
        <f t="shared" si="1166"/>
        <v>0</v>
      </c>
      <c r="AX526" s="1">
        <f t="shared" si="1167"/>
        <v>0</v>
      </c>
      <c r="AY526" s="1">
        <f t="shared" si="1168"/>
        <v>0</v>
      </c>
      <c r="AZ526" s="1">
        <f t="shared" si="1169"/>
        <v>0</v>
      </c>
      <c r="BA526" s="1">
        <f t="shared" si="1170"/>
        <v>0</v>
      </c>
      <c r="BB526" s="1">
        <f t="shared" si="1171"/>
        <v>0</v>
      </c>
      <c r="BC526" s="1">
        <f t="shared" si="1172"/>
        <v>0</v>
      </c>
      <c r="BD526" s="1">
        <f t="shared" si="1173"/>
        <v>0</v>
      </c>
      <c r="BE526" s="1">
        <f t="shared" si="1174"/>
        <v>0</v>
      </c>
      <c r="BG526" s="1">
        <f t="shared" si="1177"/>
        <v>0</v>
      </c>
      <c r="BH526" s="1">
        <f t="shared" si="1177"/>
        <v>0</v>
      </c>
      <c r="BI526" s="1">
        <f t="shared" si="1156"/>
        <v>0</v>
      </c>
      <c r="BJ526" s="1">
        <f t="shared" si="1157"/>
        <v>0</v>
      </c>
      <c r="BK526" s="1">
        <f t="shared" si="1158"/>
        <v>0</v>
      </c>
      <c r="BL526" s="1">
        <f t="shared" si="1159"/>
        <v>0</v>
      </c>
      <c r="BM526" s="1">
        <f t="shared" si="1160"/>
        <v>0</v>
      </c>
      <c r="BN526" s="1">
        <f t="shared" si="1161"/>
        <v>0</v>
      </c>
      <c r="BO526" s="1">
        <f t="shared" si="1162"/>
        <v>0</v>
      </c>
      <c r="BP526" s="1">
        <f t="shared" si="1163"/>
        <v>0</v>
      </c>
      <c r="BQ526" s="1">
        <f t="shared" si="1164"/>
        <v>0</v>
      </c>
    </row>
    <row r="527" spans="2:69" s="10" customFormat="1" ht="15" customHeight="1" x14ac:dyDescent="0.25">
      <c r="B527" s="2"/>
      <c r="C527" t="s">
        <v>44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>
        <f>368-336</f>
        <v>32</v>
      </c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17"/>
      <c r="AI527" s="1"/>
      <c r="AJ527" s="1"/>
      <c r="AK527" s="1"/>
      <c r="AL527" s="117"/>
      <c r="AM527" s="1"/>
      <c r="AN527" s="1"/>
      <c r="AO527" s="1"/>
      <c r="AP527" s="1"/>
      <c r="AQ527" s="1"/>
      <c r="AR527" s="3">
        <f t="shared" si="1176"/>
        <v>32</v>
      </c>
      <c r="AS527" s="11"/>
      <c r="AT527" s="11"/>
      <c r="AU527" s="11"/>
      <c r="AV527" s="1">
        <f t="shared" si="1165"/>
        <v>0</v>
      </c>
      <c r="AW527" s="1">
        <f t="shared" si="1166"/>
        <v>0</v>
      </c>
      <c r="AX527" s="1">
        <f t="shared" si="1167"/>
        <v>32</v>
      </c>
      <c r="AY527" s="1">
        <f t="shared" si="1168"/>
        <v>0</v>
      </c>
      <c r="AZ527" s="1">
        <f t="shared" si="1169"/>
        <v>0</v>
      </c>
      <c r="BA527" s="1">
        <f t="shared" si="1170"/>
        <v>0</v>
      </c>
      <c r="BB527" s="1">
        <f t="shared" si="1171"/>
        <v>0</v>
      </c>
      <c r="BC527" s="1">
        <f t="shared" si="1172"/>
        <v>0</v>
      </c>
      <c r="BD527" s="1">
        <f t="shared" si="1173"/>
        <v>0</v>
      </c>
      <c r="BE527" s="1">
        <f t="shared" si="1174"/>
        <v>0</v>
      </c>
      <c r="BG527" s="1">
        <f t="shared" si="1177"/>
        <v>0</v>
      </c>
      <c r="BH527" s="1">
        <f t="shared" si="1177"/>
        <v>0</v>
      </c>
      <c r="BI527" s="1">
        <f t="shared" si="1156"/>
        <v>32</v>
      </c>
      <c r="BJ527" s="1">
        <f t="shared" si="1157"/>
        <v>0</v>
      </c>
      <c r="BK527" s="1">
        <f t="shared" si="1158"/>
        <v>0</v>
      </c>
      <c r="BL527" s="1">
        <f t="shared" si="1159"/>
        <v>0</v>
      </c>
      <c r="BM527" s="1">
        <f t="shared" si="1160"/>
        <v>0</v>
      </c>
      <c r="BN527" s="1">
        <f t="shared" si="1161"/>
        <v>0</v>
      </c>
      <c r="BO527" s="1">
        <f t="shared" si="1162"/>
        <v>0</v>
      </c>
      <c r="BP527" s="1">
        <f t="shared" si="1163"/>
        <v>0</v>
      </c>
      <c r="BQ527" s="1">
        <f t="shared" si="1164"/>
        <v>32</v>
      </c>
    </row>
    <row r="528" spans="2:69" s="10" customFormat="1" ht="15" customHeight="1" x14ac:dyDescent="0.25">
      <c r="B528" s="2" t="s">
        <v>735</v>
      </c>
      <c r="C528" s="2"/>
      <c r="D528" s="3">
        <f t="shared" ref="D528:AQ528" si="1178">SUM(D509:D527)</f>
        <v>0</v>
      </c>
      <c r="E528" s="3">
        <f t="shared" si="1178"/>
        <v>0</v>
      </c>
      <c r="F528" s="3">
        <f t="shared" si="1178"/>
        <v>0</v>
      </c>
      <c r="G528" s="3">
        <f t="shared" si="1178"/>
        <v>0</v>
      </c>
      <c r="H528" s="3">
        <f t="shared" si="1178"/>
        <v>0</v>
      </c>
      <c r="I528" s="3">
        <f t="shared" si="1178"/>
        <v>0</v>
      </c>
      <c r="J528" s="3">
        <f t="shared" si="1178"/>
        <v>0</v>
      </c>
      <c r="K528" s="3">
        <f t="shared" si="1178"/>
        <v>0</v>
      </c>
      <c r="L528" s="3">
        <f t="shared" si="1178"/>
        <v>0</v>
      </c>
      <c r="M528" s="3">
        <f t="shared" si="1178"/>
        <v>0</v>
      </c>
      <c r="N528" s="3">
        <f t="shared" si="1178"/>
        <v>0</v>
      </c>
      <c r="O528" s="3">
        <f t="shared" si="1178"/>
        <v>0</v>
      </c>
      <c r="P528" s="3">
        <f t="shared" si="1178"/>
        <v>368</v>
      </c>
      <c r="Q528" s="3">
        <f t="shared" si="1178"/>
        <v>0</v>
      </c>
      <c r="R528" s="3">
        <f t="shared" si="1178"/>
        <v>0</v>
      </c>
      <c r="S528" s="3">
        <f t="shared" si="1178"/>
        <v>0</v>
      </c>
      <c r="T528" s="3">
        <f t="shared" si="1178"/>
        <v>0</v>
      </c>
      <c r="U528" s="3">
        <f t="shared" si="1178"/>
        <v>0</v>
      </c>
      <c r="V528" s="3">
        <f t="shared" si="1178"/>
        <v>0</v>
      </c>
      <c r="W528" s="3">
        <f t="shared" si="1178"/>
        <v>0</v>
      </c>
      <c r="X528" s="3">
        <f t="shared" si="1178"/>
        <v>0</v>
      </c>
      <c r="Y528" s="3">
        <f t="shared" si="1178"/>
        <v>0</v>
      </c>
      <c r="Z528" s="3">
        <f t="shared" si="1178"/>
        <v>0</v>
      </c>
      <c r="AA528" s="3">
        <f t="shared" si="1178"/>
        <v>0</v>
      </c>
      <c r="AB528" s="3">
        <f t="shared" si="1178"/>
        <v>0</v>
      </c>
      <c r="AC528" s="3">
        <f t="shared" si="1178"/>
        <v>0</v>
      </c>
      <c r="AD528" s="3">
        <f t="shared" si="1178"/>
        <v>0</v>
      </c>
      <c r="AE528" s="3">
        <f t="shared" si="1178"/>
        <v>0</v>
      </c>
      <c r="AF528" s="3">
        <f t="shared" si="1178"/>
        <v>0</v>
      </c>
      <c r="AG528" s="3">
        <f t="shared" si="1178"/>
        <v>0</v>
      </c>
      <c r="AH528" s="150">
        <f t="shared" si="1178"/>
        <v>0</v>
      </c>
      <c r="AI528" s="3">
        <f t="shared" si="1178"/>
        <v>0</v>
      </c>
      <c r="AJ528" s="3">
        <f t="shared" si="1178"/>
        <v>0</v>
      </c>
      <c r="AK528" s="3">
        <f t="shared" si="1178"/>
        <v>0</v>
      </c>
      <c r="AL528" s="150">
        <f t="shared" si="1178"/>
        <v>0</v>
      </c>
      <c r="AM528" s="3">
        <f t="shared" si="1178"/>
        <v>0</v>
      </c>
      <c r="AN528" s="3">
        <f t="shared" si="1178"/>
        <v>0</v>
      </c>
      <c r="AO528" s="3">
        <f t="shared" si="1178"/>
        <v>0</v>
      </c>
      <c r="AP528" s="3">
        <f t="shared" si="1178"/>
        <v>0</v>
      </c>
      <c r="AQ528" s="3">
        <f t="shared" si="1178"/>
        <v>0</v>
      </c>
      <c r="AR528" s="3">
        <f t="shared" ref="AR528" si="1179">SUM(AR509:AR527)</f>
        <v>368</v>
      </c>
      <c r="AS528" s="11"/>
      <c r="AT528" s="11"/>
      <c r="AU528" s="11"/>
      <c r="AV528" s="3">
        <f>SUM(AV509:AV527)</f>
        <v>0</v>
      </c>
      <c r="AW528" s="3">
        <f>SUM(AW509:AW527)</f>
        <v>0</v>
      </c>
      <c r="AX528" s="3">
        <f t="shared" ref="AX528:BE528" si="1180">SUM(AX509:AX527)</f>
        <v>368</v>
      </c>
      <c r="AY528" s="3">
        <f t="shared" si="1180"/>
        <v>0</v>
      </c>
      <c r="AZ528" s="3">
        <f t="shared" si="1180"/>
        <v>0</v>
      </c>
      <c r="BA528" s="3">
        <f t="shared" si="1180"/>
        <v>0</v>
      </c>
      <c r="BB528" s="3">
        <f t="shared" si="1180"/>
        <v>0</v>
      </c>
      <c r="BC528" s="3">
        <f t="shared" si="1180"/>
        <v>0</v>
      </c>
      <c r="BD528" s="3">
        <f t="shared" si="1180"/>
        <v>0</v>
      </c>
      <c r="BE528" s="3">
        <f t="shared" si="1180"/>
        <v>0</v>
      </c>
      <c r="BG528" s="3">
        <f t="shared" ref="BG528" si="1181">SUM(BG509:BG527)</f>
        <v>0</v>
      </c>
      <c r="BH528" s="3">
        <f t="shared" ref="BH528:BQ528" si="1182">SUM(BH509:BH527)</f>
        <v>0</v>
      </c>
      <c r="BI528" s="3">
        <f t="shared" si="1182"/>
        <v>368</v>
      </c>
      <c r="BJ528" s="3">
        <f t="shared" si="1182"/>
        <v>0</v>
      </c>
      <c r="BK528" s="3">
        <f t="shared" si="1182"/>
        <v>0</v>
      </c>
      <c r="BL528" s="3">
        <f t="shared" si="1182"/>
        <v>0</v>
      </c>
      <c r="BM528" s="3">
        <f t="shared" si="1182"/>
        <v>0</v>
      </c>
      <c r="BN528" s="3">
        <f t="shared" si="1182"/>
        <v>0</v>
      </c>
      <c r="BO528" s="3">
        <f t="shared" si="1182"/>
        <v>0</v>
      </c>
      <c r="BP528" s="3">
        <f t="shared" si="1182"/>
        <v>0</v>
      </c>
      <c r="BQ528" s="3">
        <f t="shared" si="1182"/>
        <v>368</v>
      </c>
    </row>
    <row r="529" spans="2:57" s="10" customFormat="1" ht="15" customHeight="1" x14ac:dyDescent="0.25">
      <c r="B529" s="2"/>
      <c r="C529" s="38" t="s">
        <v>97</v>
      </c>
      <c r="D529" s="11">
        <f>+D528</f>
        <v>0</v>
      </c>
      <c r="E529" s="11">
        <f>+D529+E528</f>
        <v>0</v>
      </c>
      <c r="F529" s="11">
        <f t="shared" ref="F529" si="1183">+E529+F528</f>
        <v>0</v>
      </c>
      <c r="G529" s="11">
        <f t="shared" ref="G529" si="1184">+F529+G528</f>
        <v>0</v>
      </c>
      <c r="H529" s="11">
        <f t="shared" ref="H529" si="1185">+G529+H528</f>
        <v>0</v>
      </c>
      <c r="I529" s="11">
        <f t="shared" ref="I529" si="1186">+H529+I528</f>
        <v>0</v>
      </c>
      <c r="J529" s="11">
        <f t="shared" ref="J529" si="1187">+I529+J528</f>
        <v>0</v>
      </c>
      <c r="K529" s="11">
        <f t="shared" ref="K529" si="1188">+J529+K528</f>
        <v>0</v>
      </c>
      <c r="L529" s="11">
        <f t="shared" ref="L529" si="1189">+K529+L528</f>
        <v>0</v>
      </c>
      <c r="M529" s="11">
        <f t="shared" ref="M529" si="1190">+L529+M528</f>
        <v>0</v>
      </c>
      <c r="N529" s="11">
        <f t="shared" ref="N529" si="1191">+M529+N528</f>
        <v>0</v>
      </c>
      <c r="O529" s="11">
        <f t="shared" ref="O529" si="1192">+N529+O528</f>
        <v>0</v>
      </c>
      <c r="P529" s="11">
        <f t="shared" ref="P529" si="1193">+O529+P528</f>
        <v>368</v>
      </c>
      <c r="Q529" s="11">
        <f t="shared" ref="Q529" si="1194">+P529+Q528</f>
        <v>368</v>
      </c>
      <c r="R529" s="11">
        <f t="shared" ref="R529" si="1195">+Q529+R528</f>
        <v>368</v>
      </c>
      <c r="S529" s="11">
        <f t="shared" ref="S529" si="1196">+R529+S528</f>
        <v>368</v>
      </c>
      <c r="T529" s="11">
        <f t="shared" ref="T529" si="1197">+S529+T528</f>
        <v>368</v>
      </c>
      <c r="U529" s="11">
        <f t="shared" ref="U529" si="1198">+T529+U528</f>
        <v>368</v>
      </c>
      <c r="V529" s="11">
        <f t="shared" ref="V529" si="1199">+U529+V528</f>
        <v>368</v>
      </c>
      <c r="W529" s="11">
        <f t="shared" ref="W529" si="1200">+V529+W528</f>
        <v>368</v>
      </c>
      <c r="X529" s="11">
        <f t="shared" ref="X529" si="1201">+W529+X528</f>
        <v>368</v>
      </c>
      <c r="Y529" s="11">
        <f t="shared" ref="Y529" si="1202">+X529+Y528</f>
        <v>368</v>
      </c>
      <c r="Z529" s="11">
        <f t="shared" ref="Z529" si="1203">+Y529+Z528</f>
        <v>368</v>
      </c>
      <c r="AA529" s="11">
        <f t="shared" ref="AA529" si="1204">+Z529+AA528</f>
        <v>368</v>
      </c>
      <c r="AB529" s="11">
        <f t="shared" ref="AB529" si="1205">+AA529+AB528</f>
        <v>368</v>
      </c>
      <c r="AC529" s="11">
        <f t="shared" ref="AC529" si="1206">+AB529+AC528</f>
        <v>368</v>
      </c>
      <c r="AD529" s="11">
        <f t="shared" ref="AD529" si="1207">+AC529+AD528</f>
        <v>368</v>
      </c>
      <c r="AE529" s="11">
        <f t="shared" ref="AE529" si="1208">+AD529+AE528</f>
        <v>368</v>
      </c>
      <c r="AF529" s="11">
        <f t="shared" ref="AF529" si="1209">+AE529+AF528</f>
        <v>368</v>
      </c>
      <c r="AG529" s="11">
        <f t="shared" ref="AG529" si="1210">+AF529+AG528</f>
        <v>368</v>
      </c>
      <c r="AH529" s="147">
        <f t="shared" ref="AH529" si="1211">+AG529+AH528</f>
        <v>368</v>
      </c>
      <c r="AI529" s="11">
        <f t="shared" ref="AI529" si="1212">+AH529+AI528</f>
        <v>368</v>
      </c>
      <c r="AJ529" s="11">
        <f t="shared" ref="AJ529" si="1213">+AI529+AJ528</f>
        <v>368</v>
      </c>
      <c r="AK529" s="11">
        <f t="shared" ref="AK529" si="1214">+AJ529+AK528</f>
        <v>368</v>
      </c>
      <c r="AL529" s="147">
        <f t="shared" ref="AL529" si="1215">+AK529+AL528</f>
        <v>368</v>
      </c>
      <c r="AM529" s="11">
        <f t="shared" ref="AM529" si="1216">+AL529+AM528</f>
        <v>368</v>
      </c>
      <c r="AN529" s="11">
        <f t="shared" ref="AN529" si="1217">+AM529+AN528</f>
        <v>368</v>
      </c>
      <c r="AO529" s="11">
        <f t="shared" ref="AO529" si="1218">+AN529+AO528</f>
        <v>368</v>
      </c>
      <c r="AP529" s="11">
        <f t="shared" ref="AP529" si="1219">+AO529+AP528</f>
        <v>368</v>
      </c>
      <c r="AQ529" s="11">
        <f t="shared" ref="AQ529" si="1220">+AP529+AQ528</f>
        <v>368</v>
      </c>
      <c r="AR529" s="40"/>
      <c r="AS529" s="11"/>
      <c r="AT529" s="11"/>
      <c r="AU529" s="11"/>
      <c r="AV529" s="11">
        <f>+AV528</f>
        <v>0</v>
      </c>
      <c r="AW529" s="1">
        <f>+AV529+AW528</f>
        <v>0</v>
      </c>
      <c r="AX529" s="1">
        <f t="shared" ref="AX529" si="1221">+AW529+AX528</f>
        <v>368</v>
      </c>
      <c r="AY529" s="1">
        <f t="shared" ref="AY529" si="1222">+AX529+AY528</f>
        <v>368</v>
      </c>
      <c r="AZ529" s="1">
        <f t="shared" ref="AZ529" si="1223">+AY529+AZ528</f>
        <v>368</v>
      </c>
      <c r="BA529" s="1">
        <f t="shared" ref="BA529" si="1224">+AZ529+BA528</f>
        <v>368</v>
      </c>
      <c r="BB529" s="1">
        <f t="shared" ref="BB529" si="1225">+BA529+BB528</f>
        <v>368</v>
      </c>
      <c r="BC529" s="1">
        <f t="shared" ref="BC529" si="1226">+BB529+BC528</f>
        <v>368</v>
      </c>
      <c r="BD529" s="1">
        <f t="shared" ref="BD529" si="1227">+BC529+BD528</f>
        <v>368</v>
      </c>
      <c r="BE529" s="1">
        <f t="shared" ref="BE529" si="1228">+BD529+BE528</f>
        <v>368</v>
      </c>
    </row>
    <row r="530" spans="2:57" s="10" customFormat="1" ht="15" customHeight="1" x14ac:dyDescent="0.25">
      <c r="B530" s="2"/>
      <c r="C530" s="38" t="s">
        <v>220</v>
      </c>
      <c r="D530" s="11">
        <f>+D528*18</f>
        <v>0</v>
      </c>
      <c r="E530" s="11">
        <f t="shared" ref="E530:AQ530" si="1229">+E528*18</f>
        <v>0</v>
      </c>
      <c r="F530" s="11">
        <f t="shared" si="1229"/>
        <v>0</v>
      </c>
      <c r="G530" s="11">
        <f t="shared" si="1229"/>
        <v>0</v>
      </c>
      <c r="H530" s="11">
        <f t="shared" si="1229"/>
        <v>0</v>
      </c>
      <c r="I530" s="11">
        <f t="shared" si="1229"/>
        <v>0</v>
      </c>
      <c r="J530" s="11">
        <f t="shared" si="1229"/>
        <v>0</v>
      </c>
      <c r="K530" s="11">
        <f t="shared" si="1229"/>
        <v>0</v>
      </c>
      <c r="L530" s="11">
        <f t="shared" si="1229"/>
        <v>0</v>
      </c>
      <c r="M530" s="11">
        <f t="shared" si="1229"/>
        <v>0</v>
      </c>
      <c r="N530" s="11">
        <f t="shared" si="1229"/>
        <v>0</v>
      </c>
      <c r="O530" s="11">
        <f t="shared" si="1229"/>
        <v>0</v>
      </c>
      <c r="P530" s="11">
        <f t="shared" si="1229"/>
        <v>6624</v>
      </c>
      <c r="Q530" s="11">
        <f t="shared" si="1229"/>
        <v>0</v>
      </c>
      <c r="R530" s="11">
        <f t="shared" si="1229"/>
        <v>0</v>
      </c>
      <c r="S530" s="11">
        <f t="shared" si="1229"/>
        <v>0</v>
      </c>
      <c r="T530" s="11">
        <f t="shared" si="1229"/>
        <v>0</v>
      </c>
      <c r="U530" s="11">
        <f t="shared" si="1229"/>
        <v>0</v>
      </c>
      <c r="V530" s="11">
        <f t="shared" si="1229"/>
        <v>0</v>
      </c>
      <c r="W530" s="11">
        <f t="shared" si="1229"/>
        <v>0</v>
      </c>
      <c r="X530" s="11">
        <f t="shared" si="1229"/>
        <v>0</v>
      </c>
      <c r="Y530" s="11">
        <f t="shared" si="1229"/>
        <v>0</v>
      </c>
      <c r="Z530" s="11">
        <f t="shared" si="1229"/>
        <v>0</v>
      </c>
      <c r="AA530" s="11">
        <f t="shared" si="1229"/>
        <v>0</v>
      </c>
      <c r="AB530" s="11">
        <f t="shared" si="1229"/>
        <v>0</v>
      </c>
      <c r="AC530" s="11">
        <f t="shared" si="1229"/>
        <v>0</v>
      </c>
      <c r="AD530" s="11">
        <f t="shared" si="1229"/>
        <v>0</v>
      </c>
      <c r="AE530" s="11">
        <f t="shared" si="1229"/>
        <v>0</v>
      </c>
      <c r="AF530" s="11">
        <f t="shared" si="1229"/>
        <v>0</v>
      </c>
      <c r="AG530" s="11">
        <f t="shared" si="1229"/>
        <v>0</v>
      </c>
      <c r="AH530" s="147">
        <f t="shared" si="1229"/>
        <v>0</v>
      </c>
      <c r="AI530" s="11">
        <f t="shared" si="1229"/>
        <v>0</v>
      </c>
      <c r="AJ530" s="11">
        <f t="shared" si="1229"/>
        <v>0</v>
      </c>
      <c r="AK530" s="11">
        <f t="shared" si="1229"/>
        <v>0</v>
      </c>
      <c r="AL530" s="147">
        <f t="shared" si="1229"/>
        <v>0</v>
      </c>
      <c r="AM530" s="11">
        <f t="shared" si="1229"/>
        <v>0</v>
      </c>
      <c r="AN530" s="11">
        <f t="shared" si="1229"/>
        <v>0</v>
      </c>
      <c r="AO530" s="11">
        <f t="shared" si="1229"/>
        <v>0</v>
      </c>
      <c r="AP530" s="11">
        <f t="shared" si="1229"/>
        <v>0</v>
      </c>
      <c r="AQ530" s="11">
        <f t="shared" si="1229"/>
        <v>0</v>
      </c>
      <c r="AR530" s="3">
        <f>SUM(D530:AQ530)</f>
        <v>6624</v>
      </c>
      <c r="AS530" s="11"/>
      <c r="AT530" s="11"/>
      <c r="AU530" s="35"/>
      <c r="AV530" s="35"/>
      <c r="AW530" s="11"/>
      <c r="AX530" s="11"/>
      <c r="AY530" s="11"/>
      <c r="AZ530" s="11"/>
      <c r="BA530" s="11"/>
      <c r="BB530" s="11"/>
      <c r="BC530" s="11"/>
      <c r="BD530" s="11"/>
      <c r="BE530" s="11"/>
    </row>
    <row r="531" spans="2:57" s="10" customFormat="1" ht="15" customHeight="1" x14ac:dyDescent="0.2">
      <c r="C531" s="38" t="s">
        <v>443</v>
      </c>
      <c r="D531" s="11">
        <f>+(D528-D518)/72</f>
        <v>0</v>
      </c>
      <c r="E531" s="11">
        <f t="shared" ref="E531:AQ531" si="1230">+(E528-E518)/72</f>
        <v>0</v>
      </c>
      <c r="F531" s="11">
        <f t="shared" si="1230"/>
        <v>0</v>
      </c>
      <c r="G531" s="11">
        <f t="shared" si="1230"/>
        <v>0</v>
      </c>
      <c r="H531" s="11">
        <f t="shared" si="1230"/>
        <v>0</v>
      </c>
      <c r="I531" s="11">
        <f t="shared" si="1230"/>
        <v>0</v>
      </c>
      <c r="J531" s="11">
        <f t="shared" si="1230"/>
        <v>0</v>
      </c>
      <c r="K531" s="11">
        <f t="shared" si="1230"/>
        <v>0</v>
      </c>
      <c r="L531" s="11">
        <f t="shared" si="1230"/>
        <v>0</v>
      </c>
      <c r="M531" s="11">
        <f t="shared" si="1230"/>
        <v>0</v>
      </c>
      <c r="N531" s="11">
        <f t="shared" si="1230"/>
        <v>0</v>
      </c>
      <c r="O531" s="11">
        <f t="shared" si="1230"/>
        <v>0</v>
      </c>
      <c r="P531" s="11">
        <f t="shared" si="1230"/>
        <v>5.1111111111111107</v>
      </c>
      <c r="Q531" s="11">
        <f t="shared" si="1230"/>
        <v>0</v>
      </c>
      <c r="R531" s="11">
        <f t="shared" si="1230"/>
        <v>0</v>
      </c>
      <c r="S531" s="11">
        <f t="shared" si="1230"/>
        <v>0</v>
      </c>
      <c r="T531" s="11">
        <f t="shared" si="1230"/>
        <v>0</v>
      </c>
      <c r="U531" s="11">
        <f t="shared" si="1230"/>
        <v>0</v>
      </c>
      <c r="V531" s="11">
        <f t="shared" si="1230"/>
        <v>0</v>
      </c>
      <c r="W531" s="11">
        <f t="shared" si="1230"/>
        <v>0</v>
      </c>
      <c r="X531" s="11">
        <f t="shared" si="1230"/>
        <v>0</v>
      </c>
      <c r="Y531" s="11">
        <f t="shared" si="1230"/>
        <v>0</v>
      </c>
      <c r="Z531" s="11">
        <f t="shared" si="1230"/>
        <v>0</v>
      </c>
      <c r="AA531" s="11">
        <f t="shared" si="1230"/>
        <v>0</v>
      </c>
      <c r="AB531" s="11">
        <f t="shared" si="1230"/>
        <v>0</v>
      </c>
      <c r="AC531" s="11">
        <f t="shared" si="1230"/>
        <v>0</v>
      </c>
      <c r="AD531" s="11">
        <f t="shared" si="1230"/>
        <v>0</v>
      </c>
      <c r="AE531" s="11">
        <f t="shared" si="1230"/>
        <v>0</v>
      </c>
      <c r="AF531" s="11">
        <f t="shared" si="1230"/>
        <v>0</v>
      </c>
      <c r="AG531" s="11">
        <f t="shared" si="1230"/>
        <v>0</v>
      </c>
      <c r="AH531" s="147">
        <f t="shared" si="1230"/>
        <v>0</v>
      </c>
      <c r="AI531" s="11">
        <f t="shared" si="1230"/>
        <v>0</v>
      </c>
      <c r="AJ531" s="11">
        <f t="shared" si="1230"/>
        <v>0</v>
      </c>
      <c r="AK531" s="11">
        <f t="shared" si="1230"/>
        <v>0</v>
      </c>
      <c r="AL531" s="147">
        <f t="shared" si="1230"/>
        <v>0</v>
      </c>
      <c r="AM531" s="11">
        <f t="shared" si="1230"/>
        <v>0</v>
      </c>
      <c r="AN531" s="11">
        <f t="shared" si="1230"/>
        <v>0</v>
      </c>
      <c r="AO531" s="11">
        <f t="shared" si="1230"/>
        <v>0</v>
      </c>
      <c r="AP531" s="11">
        <f t="shared" si="1230"/>
        <v>0</v>
      </c>
      <c r="AQ531" s="11">
        <f t="shared" si="1230"/>
        <v>0</v>
      </c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</row>
    <row r="532" spans="2:57" s="10" customFormat="1" ht="15" customHeight="1" x14ac:dyDescent="0.25">
      <c r="B532" s="2" t="s">
        <v>74</v>
      </c>
      <c r="C532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47"/>
      <c r="AI532" s="11"/>
      <c r="AJ532" s="11"/>
      <c r="AK532" s="11"/>
      <c r="AL532" s="147"/>
      <c r="AM532" s="11"/>
      <c r="AN532" s="11"/>
      <c r="AO532" s="11"/>
      <c r="AP532" s="11"/>
      <c r="AQ532" s="11"/>
      <c r="AR532" s="40"/>
      <c r="AS532" s="11"/>
      <c r="AT532" s="11"/>
      <c r="AU532" s="35"/>
      <c r="AV532" s="35"/>
      <c r="AW532" s="11"/>
      <c r="AX532" s="11"/>
      <c r="AY532" s="11"/>
      <c r="AZ532" s="11"/>
      <c r="BA532" s="11"/>
      <c r="BB532" s="11"/>
      <c r="BC532" s="11"/>
      <c r="BD532" s="11"/>
      <c r="BE532" s="11"/>
    </row>
    <row r="533" spans="2:57" s="10" customFormat="1" ht="15" customHeight="1" x14ac:dyDescent="0.25">
      <c r="B533" s="2"/>
      <c r="C533" t="s">
        <v>190</v>
      </c>
      <c r="D533" s="1">
        <f>+D509+D485+D461+D437+D413+D389+D365+D341+D317+D293+D269+D245+D221+D197+D173++D149+D125+D101</f>
        <v>0</v>
      </c>
      <c r="E533" s="1">
        <f t="shared" ref="E533:AQ533" si="1231">+E509+E485+E461+E437+E413+E389+E365+E341+E317+E293+E269+E245+E221+E197+E173++E149+E125+E101</f>
        <v>0</v>
      </c>
      <c r="F533" s="1">
        <f t="shared" si="1231"/>
        <v>0</v>
      </c>
      <c r="G533" s="1">
        <f t="shared" si="1231"/>
        <v>624</v>
      </c>
      <c r="H533" s="1">
        <f t="shared" si="1231"/>
        <v>0</v>
      </c>
      <c r="I533" s="1">
        <f t="shared" si="1231"/>
        <v>0</v>
      </c>
      <c r="J533" s="1">
        <f t="shared" si="1231"/>
        <v>30</v>
      </c>
      <c r="K533" s="1">
        <f t="shared" si="1231"/>
        <v>62</v>
      </c>
      <c r="L533" s="1">
        <f t="shared" si="1231"/>
        <v>1002</v>
      </c>
      <c r="M533" s="1">
        <f t="shared" si="1231"/>
        <v>0</v>
      </c>
      <c r="N533" s="1">
        <f t="shared" si="1231"/>
        <v>174</v>
      </c>
      <c r="O533" s="1">
        <f t="shared" si="1231"/>
        <v>210</v>
      </c>
      <c r="P533" s="1">
        <f t="shared" si="1231"/>
        <v>508</v>
      </c>
      <c r="Q533" s="1">
        <f t="shared" si="1231"/>
        <v>2490</v>
      </c>
      <c r="R533" s="1">
        <f t="shared" si="1231"/>
        <v>1089</v>
      </c>
      <c r="S533" s="1">
        <f t="shared" si="1231"/>
        <v>1344</v>
      </c>
      <c r="T533" s="1">
        <f t="shared" si="1231"/>
        <v>1179</v>
      </c>
      <c r="U533" s="1">
        <f t="shared" si="1231"/>
        <v>715</v>
      </c>
      <c r="V533" s="1">
        <f t="shared" si="1231"/>
        <v>703</v>
      </c>
      <c r="W533" s="1">
        <f t="shared" si="1231"/>
        <v>530</v>
      </c>
      <c r="X533" s="1">
        <f t="shared" si="1231"/>
        <v>1165</v>
      </c>
      <c r="Y533" s="1">
        <f t="shared" si="1231"/>
        <v>256</v>
      </c>
      <c r="Z533" s="1">
        <f t="shared" si="1231"/>
        <v>168</v>
      </c>
      <c r="AA533" s="1">
        <f t="shared" si="1231"/>
        <v>132</v>
      </c>
      <c r="AB533" s="1">
        <f t="shared" si="1231"/>
        <v>186</v>
      </c>
      <c r="AC533" s="1">
        <f t="shared" si="1231"/>
        <v>132</v>
      </c>
      <c r="AD533" s="1">
        <f t="shared" si="1231"/>
        <v>90</v>
      </c>
      <c r="AE533" s="1">
        <f t="shared" si="1231"/>
        <v>104</v>
      </c>
      <c r="AF533" s="1">
        <f t="shared" si="1231"/>
        <v>158</v>
      </c>
      <c r="AG533" s="1">
        <f t="shared" si="1231"/>
        <v>108</v>
      </c>
      <c r="AH533" s="117">
        <f t="shared" si="1231"/>
        <v>356</v>
      </c>
      <c r="AI533" s="1">
        <f t="shared" si="1231"/>
        <v>272</v>
      </c>
      <c r="AJ533" s="1">
        <f t="shared" si="1231"/>
        <v>884</v>
      </c>
      <c r="AK533" s="1">
        <f t="shared" si="1231"/>
        <v>116</v>
      </c>
      <c r="AL533" s="117">
        <f t="shared" si="1231"/>
        <v>124</v>
      </c>
      <c r="AM533" s="1">
        <f t="shared" si="1231"/>
        <v>74</v>
      </c>
      <c r="AN533" s="1">
        <f t="shared" si="1231"/>
        <v>0</v>
      </c>
      <c r="AO533" s="1">
        <f t="shared" si="1231"/>
        <v>0</v>
      </c>
      <c r="AP533" s="1">
        <f t="shared" si="1231"/>
        <v>0</v>
      </c>
      <c r="AQ533" s="1">
        <f t="shared" si="1231"/>
        <v>0</v>
      </c>
      <c r="AR533" s="3">
        <f t="shared" ref="AR533:AR551" si="1232">SUM(D533:AQ533)</f>
        <v>14985</v>
      </c>
      <c r="AS533" s="11"/>
      <c r="AT533" s="11"/>
      <c r="AU533" s="11"/>
      <c r="AV533" s="1">
        <f>SUM(D533:G533)</f>
        <v>624</v>
      </c>
      <c r="AW533" s="1">
        <f>SUM(H533:K533)</f>
        <v>92</v>
      </c>
      <c r="AX533" s="1">
        <f>SUM(L533:P533)</f>
        <v>1894</v>
      </c>
      <c r="AY533" s="1">
        <f>SUM(Q533:T533)</f>
        <v>6102</v>
      </c>
      <c r="AZ533" s="1">
        <f>SUM(U533:X533)</f>
        <v>3113</v>
      </c>
      <c r="BA533" s="1">
        <f>SUM(Y533:AC533)</f>
        <v>874</v>
      </c>
      <c r="BB533" s="1">
        <f>SUM(AD533:AG533)</f>
        <v>460</v>
      </c>
      <c r="BC533" s="1">
        <f>SUM(AH533:AK533)</f>
        <v>1628</v>
      </c>
      <c r="BD533" s="1">
        <f>SUM(AL533:AP533)</f>
        <v>198</v>
      </c>
      <c r="BE533" s="1">
        <f>+AQ533</f>
        <v>0</v>
      </c>
    </row>
    <row r="534" spans="2:57" s="10" customFormat="1" ht="15" customHeight="1" x14ac:dyDescent="0.25">
      <c r="B534" s="2"/>
      <c r="C534" t="s">
        <v>424</v>
      </c>
      <c r="D534" s="1">
        <f t="shared" ref="D534:D551" si="1233">+D510+D486+D462+D438+D414+D390+D366+D342+D318+D294+D270+D246+D222+D198+D174++D150+D126+D102</f>
        <v>0</v>
      </c>
      <c r="E534" s="1">
        <f t="shared" ref="E534:AQ534" si="1234">+E510+E486+E462+E438+E414+E390+E366+E342+E318+E294+E270+E246+E222+E198+E174++E150+E126+E102</f>
        <v>0</v>
      </c>
      <c r="F534" s="1">
        <f t="shared" si="1234"/>
        <v>0</v>
      </c>
      <c r="G534" s="1">
        <f t="shared" si="1234"/>
        <v>0</v>
      </c>
      <c r="H534" s="1">
        <f t="shared" si="1234"/>
        <v>30</v>
      </c>
      <c r="I534" s="1">
        <f t="shared" si="1234"/>
        <v>42</v>
      </c>
      <c r="J534" s="1">
        <f t="shared" si="1234"/>
        <v>0</v>
      </c>
      <c r="K534" s="1">
        <f t="shared" si="1234"/>
        <v>0</v>
      </c>
      <c r="L534" s="1">
        <f t="shared" si="1234"/>
        <v>128</v>
      </c>
      <c r="M534" s="1">
        <f t="shared" si="1234"/>
        <v>392</v>
      </c>
      <c r="N534" s="1">
        <f t="shared" si="1234"/>
        <v>150</v>
      </c>
      <c r="O534" s="1">
        <f t="shared" si="1234"/>
        <v>412</v>
      </c>
      <c r="P534" s="1">
        <f t="shared" si="1234"/>
        <v>526</v>
      </c>
      <c r="Q534" s="1">
        <f t="shared" si="1234"/>
        <v>665</v>
      </c>
      <c r="R534" s="1">
        <f t="shared" si="1234"/>
        <v>700</v>
      </c>
      <c r="S534" s="1">
        <f t="shared" si="1234"/>
        <v>869</v>
      </c>
      <c r="T534" s="1">
        <f t="shared" si="1234"/>
        <v>1002</v>
      </c>
      <c r="U534" s="1">
        <f t="shared" si="1234"/>
        <v>792</v>
      </c>
      <c r="V534" s="1">
        <f t="shared" si="1234"/>
        <v>638</v>
      </c>
      <c r="W534" s="1">
        <f t="shared" si="1234"/>
        <v>852</v>
      </c>
      <c r="X534" s="1">
        <f t="shared" si="1234"/>
        <v>308</v>
      </c>
      <c r="Y534" s="1">
        <f t="shared" si="1234"/>
        <v>385</v>
      </c>
      <c r="Z534" s="1">
        <f t="shared" si="1234"/>
        <v>174</v>
      </c>
      <c r="AA534" s="1">
        <f t="shared" si="1234"/>
        <v>84</v>
      </c>
      <c r="AB534" s="1">
        <f t="shared" si="1234"/>
        <v>60</v>
      </c>
      <c r="AC534" s="1">
        <f t="shared" si="1234"/>
        <v>42</v>
      </c>
      <c r="AD534" s="1">
        <f t="shared" si="1234"/>
        <v>30</v>
      </c>
      <c r="AE534" s="1">
        <f t="shared" si="1234"/>
        <v>38</v>
      </c>
      <c r="AF534" s="1">
        <f t="shared" si="1234"/>
        <v>14</v>
      </c>
      <c r="AG534" s="1">
        <f t="shared" si="1234"/>
        <v>0</v>
      </c>
      <c r="AH534" s="117">
        <f t="shared" si="1234"/>
        <v>0</v>
      </c>
      <c r="AI534" s="1">
        <f t="shared" si="1234"/>
        <v>0</v>
      </c>
      <c r="AJ534" s="1">
        <f t="shared" si="1234"/>
        <v>24</v>
      </c>
      <c r="AK534" s="1">
        <f t="shared" si="1234"/>
        <v>0</v>
      </c>
      <c r="AL534" s="117">
        <f t="shared" si="1234"/>
        <v>36</v>
      </c>
      <c r="AM534" s="1">
        <f t="shared" si="1234"/>
        <v>0</v>
      </c>
      <c r="AN534" s="1">
        <f t="shared" si="1234"/>
        <v>0</v>
      </c>
      <c r="AO534" s="1">
        <f t="shared" si="1234"/>
        <v>0</v>
      </c>
      <c r="AP534" s="1">
        <f t="shared" si="1234"/>
        <v>0</v>
      </c>
      <c r="AQ534" s="1">
        <f t="shared" si="1234"/>
        <v>0</v>
      </c>
      <c r="AR534" s="3">
        <f>SUM(D534:AQ534)</f>
        <v>8393</v>
      </c>
      <c r="AS534" s="11"/>
      <c r="AT534" s="11"/>
      <c r="AU534" s="11"/>
      <c r="AV534" s="1">
        <f t="shared" ref="AV534:AV551" si="1235">SUM(D534:G534)</f>
        <v>0</v>
      </c>
      <c r="AW534" s="1">
        <f t="shared" ref="AW534:AW551" si="1236">SUM(H534:K534)</f>
        <v>72</v>
      </c>
      <c r="AX534" s="1">
        <f t="shared" ref="AX534:AX551" si="1237">SUM(L534:P534)</f>
        <v>1608</v>
      </c>
      <c r="AY534" s="1">
        <f t="shared" ref="AY534:AY551" si="1238">SUM(Q534:T534)</f>
        <v>3236</v>
      </c>
      <c r="AZ534" s="1">
        <f t="shared" ref="AZ534:AZ551" si="1239">SUM(U534:X534)</f>
        <v>2590</v>
      </c>
      <c r="BA534" s="1">
        <f t="shared" ref="BA534:BA551" si="1240">SUM(Y534:AC534)</f>
        <v>745</v>
      </c>
      <c r="BB534" s="1">
        <f t="shared" ref="BB534:BB551" si="1241">SUM(AD534:AG534)</f>
        <v>82</v>
      </c>
      <c r="BC534" s="1">
        <f t="shared" ref="BC534:BC551" si="1242">SUM(AH534:AK534)</f>
        <v>24</v>
      </c>
      <c r="BD534" s="1">
        <f t="shared" ref="BD534:BD551" si="1243">SUM(AL534:AP534)</f>
        <v>36</v>
      </c>
      <c r="BE534" s="1">
        <f t="shared" ref="BE534:BE551" si="1244">+AQ534</f>
        <v>0</v>
      </c>
    </row>
    <row r="535" spans="2:57" s="10" customFormat="1" ht="15" customHeight="1" x14ac:dyDescent="0.25">
      <c r="B535" s="2"/>
      <c r="C535" t="s">
        <v>347</v>
      </c>
      <c r="D535" s="1">
        <f t="shared" si="1233"/>
        <v>0</v>
      </c>
      <c r="E535" s="1">
        <f t="shared" ref="E535:AQ535" si="1245">+E511+E487+E463+E439+E415+E391+E367+E343+E319+E295+E271+E247+E223+E199+E175++E151+E127+E103</f>
        <v>0</v>
      </c>
      <c r="F535" s="1">
        <f t="shared" si="1245"/>
        <v>0</v>
      </c>
      <c r="G535" s="1">
        <f t="shared" si="1245"/>
        <v>0</v>
      </c>
      <c r="H535" s="1">
        <f t="shared" si="1245"/>
        <v>0</v>
      </c>
      <c r="I535" s="1">
        <f t="shared" si="1245"/>
        <v>0</v>
      </c>
      <c r="J535" s="1">
        <f t="shared" si="1245"/>
        <v>0</v>
      </c>
      <c r="K535" s="1">
        <f t="shared" si="1245"/>
        <v>0</v>
      </c>
      <c r="L535" s="1">
        <f t="shared" si="1245"/>
        <v>82</v>
      </c>
      <c r="M535" s="1">
        <f t="shared" si="1245"/>
        <v>262</v>
      </c>
      <c r="N535" s="1">
        <f t="shared" si="1245"/>
        <v>142</v>
      </c>
      <c r="O535" s="1">
        <f t="shared" si="1245"/>
        <v>198</v>
      </c>
      <c r="P535" s="1">
        <f t="shared" si="1245"/>
        <v>514</v>
      </c>
      <c r="Q535" s="1">
        <f t="shared" si="1245"/>
        <v>645</v>
      </c>
      <c r="R535" s="1">
        <f t="shared" si="1245"/>
        <v>930</v>
      </c>
      <c r="S535" s="1">
        <f t="shared" si="1245"/>
        <v>884</v>
      </c>
      <c r="T535" s="1">
        <f t="shared" si="1245"/>
        <v>870</v>
      </c>
      <c r="U535" s="1">
        <f t="shared" si="1245"/>
        <v>996</v>
      </c>
      <c r="V535" s="1">
        <f t="shared" si="1245"/>
        <v>626</v>
      </c>
      <c r="W535" s="1">
        <f t="shared" si="1245"/>
        <v>698</v>
      </c>
      <c r="X535" s="1">
        <f t="shared" si="1245"/>
        <v>404</v>
      </c>
      <c r="Y535" s="1">
        <f t="shared" si="1245"/>
        <v>236</v>
      </c>
      <c r="Z535" s="1">
        <f t="shared" si="1245"/>
        <v>40</v>
      </c>
      <c r="AA535" s="1">
        <f t="shared" si="1245"/>
        <v>12</v>
      </c>
      <c r="AB535" s="1">
        <f t="shared" si="1245"/>
        <v>14</v>
      </c>
      <c r="AC535" s="1">
        <f t="shared" si="1245"/>
        <v>16</v>
      </c>
      <c r="AD535" s="1">
        <f t="shared" si="1245"/>
        <v>22</v>
      </c>
      <c r="AE535" s="1">
        <f t="shared" si="1245"/>
        <v>0</v>
      </c>
      <c r="AF535" s="1">
        <f t="shared" si="1245"/>
        <v>6</v>
      </c>
      <c r="AG535" s="1">
        <f t="shared" si="1245"/>
        <v>30</v>
      </c>
      <c r="AH535" s="117">
        <f t="shared" si="1245"/>
        <v>0</v>
      </c>
      <c r="AI535" s="1">
        <f t="shared" si="1245"/>
        <v>10</v>
      </c>
      <c r="AJ535" s="1">
        <f t="shared" si="1245"/>
        <v>12</v>
      </c>
      <c r="AK535" s="1">
        <f t="shared" si="1245"/>
        <v>22</v>
      </c>
      <c r="AL535" s="117">
        <f t="shared" si="1245"/>
        <v>0</v>
      </c>
      <c r="AM535" s="1">
        <f t="shared" si="1245"/>
        <v>0</v>
      </c>
      <c r="AN535" s="1">
        <f t="shared" si="1245"/>
        <v>0</v>
      </c>
      <c r="AO535" s="1">
        <f t="shared" si="1245"/>
        <v>0</v>
      </c>
      <c r="AP535" s="1">
        <f t="shared" si="1245"/>
        <v>0</v>
      </c>
      <c r="AQ535" s="1">
        <f t="shared" si="1245"/>
        <v>0</v>
      </c>
      <c r="AR535" s="3">
        <f t="shared" si="1232"/>
        <v>7671</v>
      </c>
      <c r="AS535" s="11"/>
      <c r="AT535" s="11"/>
      <c r="AU535" s="11"/>
      <c r="AV535" s="1">
        <f t="shared" si="1235"/>
        <v>0</v>
      </c>
      <c r="AW535" s="1">
        <f t="shared" si="1236"/>
        <v>0</v>
      </c>
      <c r="AX535" s="1">
        <f t="shared" si="1237"/>
        <v>1198</v>
      </c>
      <c r="AY535" s="1">
        <f t="shared" si="1238"/>
        <v>3329</v>
      </c>
      <c r="AZ535" s="1">
        <f t="shared" si="1239"/>
        <v>2724</v>
      </c>
      <c r="BA535" s="1">
        <f t="shared" si="1240"/>
        <v>318</v>
      </c>
      <c r="BB535" s="1">
        <f t="shared" si="1241"/>
        <v>58</v>
      </c>
      <c r="BC535" s="1">
        <f t="shared" si="1242"/>
        <v>44</v>
      </c>
      <c r="BD535" s="1">
        <f t="shared" si="1243"/>
        <v>0</v>
      </c>
      <c r="BE535" s="1">
        <f t="shared" si="1244"/>
        <v>0</v>
      </c>
    </row>
    <row r="536" spans="2:57" s="10" customFormat="1" ht="15" customHeight="1" x14ac:dyDescent="0.25">
      <c r="B536" s="2"/>
      <c r="C536" t="s">
        <v>0</v>
      </c>
      <c r="D536" s="1">
        <f t="shared" si="1233"/>
        <v>0</v>
      </c>
      <c r="E536" s="1">
        <f t="shared" ref="E536:AQ536" si="1246">+E512+E488+E464+E440+E416+E392+E368+E344+E320+E296+E272+E248+E224+E200+E176++E152+E128+E104</f>
        <v>0</v>
      </c>
      <c r="F536" s="1">
        <f t="shared" si="1246"/>
        <v>0</v>
      </c>
      <c r="G536" s="1">
        <f t="shared" si="1246"/>
        <v>4517</v>
      </c>
      <c r="H536" s="1">
        <f t="shared" si="1246"/>
        <v>0</v>
      </c>
      <c r="I536" s="1">
        <f t="shared" si="1246"/>
        <v>0</v>
      </c>
      <c r="J536" s="1">
        <f t="shared" si="1246"/>
        <v>1200</v>
      </c>
      <c r="K536" s="1">
        <f t="shared" si="1246"/>
        <v>1635</v>
      </c>
      <c r="L536" s="1">
        <f t="shared" si="1246"/>
        <v>88</v>
      </c>
      <c r="M536" s="1">
        <f t="shared" si="1246"/>
        <v>3808</v>
      </c>
      <c r="N536" s="1">
        <f t="shared" si="1246"/>
        <v>3250</v>
      </c>
      <c r="O536" s="1">
        <f t="shared" si="1246"/>
        <v>2930</v>
      </c>
      <c r="P536" s="1">
        <f t="shared" si="1246"/>
        <v>2765</v>
      </c>
      <c r="Q536" s="1">
        <f t="shared" si="1246"/>
        <v>5676</v>
      </c>
      <c r="R536" s="1">
        <f t="shared" si="1246"/>
        <v>4767</v>
      </c>
      <c r="S536" s="1">
        <f t="shared" si="1246"/>
        <v>5558</v>
      </c>
      <c r="T536" s="1">
        <f t="shared" si="1246"/>
        <v>5306</v>
      </c>
      <c r="U536" s="1">
        <f t="shared" si="1246"/>
        <v>5817</v>
      </c>
      <c r="V536" s="1">
        <f t="shared" si="1246"/>
        <v>3264</v>
      </c>
      <c r="W536" s="1">
        <f t="shared" si="1246"/>
        <v>3710</v>
      </c>
      <c r="X536" s="1">
        <f t="shared" si="1246"/>
        <v>4690</v>
      </c>
      <c r="Y536" s="1">
        <f t="shared" si="1246"/>
        <v>3677</v>
      </c>
      <c r="Z536" s="1">
        <f t="shared" si="1246"/>
        <v>2612</v>
      </c>
      <c r="AA536" s="1">
        <f t="shared" si="1246"/>
        <v>1640</v>
      </c>
      <c r="AB536" s="1">
        <f t="shared" si="1246"/>
        <v>1515</v>
      </c>
      <c r="AC536" s="1">
        <f t="shared" si="1246"/>
        <v>682</v>
      </c>
      <c r="AD536" s="1">
        <f t="shared" si="1246"/>
        <v>1263</v>
      </c>
      <c r="AE536" s="1">
        <f t="shared" si="1246"/>
        <v>195</v>
      </c>
      <c r="AF536" s="1">
        <f t="shared" si="1246"/>
        <v>105</v>
      </c>
      <c r="AG536" s="1">
        <f t="shared" si="1246"/>
        <v>326</v>
      </c>
      <c r="AH536" s="117">
        <f t="shared" si="1246"/>
        <v>125</v>
      </c>
      <c r="AI536" s="1">
        <f t="shared" si="1246"/>
        <v>510</v>
      </c>
      <c r="AJ536" s="1">
        <f t="shared" si="1246"/>
        <v>450</v>
      </c>
      <c r="AK536" s="1">
        <f t="shared" si="1246"/>
        <v>413</v>
      </c>
      <c r="AL536" s="117">
        <f t="shared" si="1246"/>
        <v>252</v>
      </c>
      <c r="AM536" s="1">
        <f t="shared" si="1246"/>
        <v>120</v>
      </c>
      <c r="AN536" s="1">
        <f t="shared" si="1246"/>
        <v>210</v>
      </c>
      <c r="AO536" s="1">
        <f t="shared" si="1246"/>
        <v>0</v>
      </c>
      <c r="AP536" s="1">
        <f t="shared" si="1246"/>
        <v>0</v>
      </c>
      <c r="AQ536" s="1">
        <f t="shared" si="1246"/>
        <v>0</v>
      </c>
      <c r="AR536" s="3">
        <f t="shared" si="1232"/>
        <v>73076</v>
      </c>
      <c r="AS536" s="11"/>
      <c r="AT536" s="11"/>
      <c r="AU536" s="11"/>
      <c r="AV536" s="1">
        <f t="shared" si="1235"/>
        <v>4517</v>
      </c>
      <c r="AW536" s="1">
        <f t="shared" si="1236"/>
        <v>2835</v>
      </c>
      <c r="AX536" s="1">
        <f t="shared" si="1237"/>
        <v>12841</v>
      </c>
      <c r="AY536" s="1">
        <f t="shared" si="1238"/>
        <v>21307</v>
      </c>
      <c r="AZ536" s="1">
        <f t="shared" si="1239"/>
        <v>17481</v>
      </c>
      <c r="BA536" s="1">
        <f t="shared" si="1240"/>
        <v>10126</v>
      </c>
      <c r="BB536" s="1">
        <f t="shared" si="1241"/>
        <v>1889</v>
      </c>
      <c r="BC536" s="1">
        <f t="shared" si="1242"/>
        <v>1498</v>
      </c>
      <c r="BD536" s="1">
        <f t="shared" si="1243"/>
        <v>582</v>
      </c>
      <c r="BE536" s="1">
        <f t="shared" si="1244"/>
        <v>0</v>
      </c>
    </row>
    <row r="537" spans="2:57" s="10" customFormat="1" ht="15" customHeight="1" x14ac:dyDescent="0.25">
      <c r="B537" s="2"/>
      <c r="C537" t="s">
        <v>354</v>
      </c>
      <c r="D537" s="1">
        <f t="shared" si="1233"/>
        <v>0</v>
      </c>
      <c r="E537" s="1">
        <f t="shared" ref="E537:AQ537" si="1247">+E513+E489+E465+E441+E417+E393+E369+E345+E321+E297+E273+E249+E225+E201+E177++E153+E129+E105</f>
        <v>0</v>
      </c>
      <c r="F537" s="1">
        <f t="shared" si="1247"/>
        <v>0</v>
      </c>
      <c r="G537" s="1">
        <f t="shared" si="1247"/>
        <v>0</v>
      </c>
      <c r="H537" s="1">
        <f t="shared" si="1247"/>
        <v>0</v>
      </c>
      <c r="I537" s="1">
        <f t="shared" si="1247"/>
        <v>0</v>
      </c>
      <c r="J537" s="1">
        <f t="shared" si="1247"/>
        <v>0</v>
      </c>
      <c r="K537" s="1">
        <f t="shared" si="1247"/>
        <v>0</v>
      </c>
      <c r="L537" s="1">
        <f t="shared" si="1247"/>
        <v>64</v>
      </c>
      <c r="M537" s="1">
        <f t="shared" si="1247"/>
        <v>4</v>
      </c>
      <c r="N537" s="1">
        <f t="shared" si="1247"/>
        <v>42</v>
      </c>
      <c r="O537" s="1">
        <f t="shared" si="1247"/>
        <v>110</v>
      </c>
      <c r="P537" s="1">
        <f t="shared" si="1247"/>
        <v>130</v>
      </c>
      <c r="Q537" s="1">
        <f t="shared" si="1247"/>
        <v>110</v>
      </c>
      <c r="R537" s="1">
        <f t="shared" si="1247"/>
        <v>182</v>
      </c>
      <c r="S537" s="1">
        <f t="shared" si="1247"/>
        <v>206</v>
      </c>
      <c r="T537" s="1">
        <f t="shared" si="1247"/>
        <v>258</v>
      </c>
      <c r="U537" s="1">
        <f t="shared" si="1247"/>
        <v>92</v>
      </c>
      <c r="V537" s="1">
        <f t="shared" si="1247"/>
        <v>54</v>
      </c>
      <c r="W537" s="1">
        <f t="shared" si="1247"/>
        <v>120</v>
      </c>
      <c r="X537" s="1">
        <f t="shared" si="1247"/>
        <v>106</v>
      </c>
      <c r="Y537" s="1">
        <f t="shared" si="1247"/>
        <v>202</v>
      </c>
      <c r="Z537" s="1">
        <f t="shared" si="1247"/>
        <v>36</v>
      </c>
      <c r="AA537" s="1">
        <f t="shared" si="1247"/>
        <v>44</v>
      </c>
      <c r="AB537" s="1">
        <f t="shared" si="1247"/>
        <v>10</v>
      </c>
      <c r="AC537" s="1">
        <f t="shared" si="1247"/>
        <v>0</v>
      </c>
      <c r="AD537" s="1">
        <f t="shared" si="1247"/>
        <v>0</v>
      </c>
      <c r="AE537" s="1">
        <f t="shared" si="1247"/>
        <v>0</v>
      </c>
      <c r="AF537" s="1">
        <f t="shared" si="1247"/>
        <v>0</v>
      </c>
      <c r="AG537" s="1">
        <f t="shared" si="1247"/>
        <v>0</v>
      </c>
      <c r="AH537" s="117">
        <f t="shared" si="1247"/>
        <v>0</v>
      </c>
      <c r="AI537" s="1">
        <f t="shared" si="1247"/>
        <v>0</v>
      </c>
      <c r="AJ537" s="1">
        <f t="shared" si="1247"/>
        <v>0</v>
      </c>
      <c r="AK537" s="1">
        <f t="shared" si="1247"/>
        <v>0</v>
      </c>
      <c r="AL537" s="117">
        <f t="shared" si="1247"/>
        <v>0</v>
      </c>
      <c r="AM537" s="1">
        <f t="shared" si="1247"/>
        <v>0</v>
      </c>
      <c r="AN537" s="1">
        <f t="shared" si="1247"/>
        <v>0</v>
      </c>
      <c r="AO537" s="1">
        <f t="shared" si="1247"/>
        <v>0</v>
      </c>
      <c r="AP537" s="1">
        <f t="shared" si="1247"/>
        <v>0</v>
      </c>
      <c r="AQ537" s="1">
        <f t="shared" si="1247"/>
        <v>0</v>
      </c>
      <c r="AR537" s="3">
        <f t="shared" si="1232"/>
        <v>1770</v>
      </c>
      <c r="AS537" s="11"/>
      <c r="AT537" s="11"/>
      <c r="AU537" s="11"/>
      <c r="AV537" s="1">
        <f t="shared" si="1235"/>
        <v>0</v>
      </c>
      <c r="AW537" s="1">
        <f t="shared" si="1236"/>
        <v>0</v>
      </c>
      <c r="AX537" s="1">
        <f t="shared" si="1237"/>
        <v>350</v>
      </c>
      <c r="AY537" s="1">
        <f t="shared" si="1238"/>
        <v>756</v>
      </c>
      <c r="AZ537" s="1">
        <f t="shared" si="1239"/>
        <v>372</v>
      </c>
      <c r="BA537" s="1">
        <f t="shared" si="1240"/>
        <v>292</v>
      </c>
      <c r="BB537" s="1">
        <f t="shared" si="1241"/>
        <v>0</v>
      </c>
      <c r="BC537" s="1">
        <f t="shared" si="1242"/>
        <v>0</v>
      </c>
      <c r="BD537" s="1">
        <f t="shared" si="1243"/>
        <v>0</v>
      </c>
      <c r="BE537" s="1">
        <f t="shared" si="1244"/>
        <v>0</v>
      </c>
    </row>
    <row r="538" spans="2:57" s="10" customFormat="1" ht="15" customHeight="1" x14ac:dyDescent="0.25">
      <c r="B538" s="2"/>
      <c r="C538" t="s">
        <v>265</v>
      </c>
      <c r="D538" s="1">
        <f t="shared" si="1233"/>
        <v>0</v>
      </c>
      <c r="E538" s="1">
        <f t="shared" ref="E538:AQ538" si="1248">+E514+E490+E466+E442+E418+E394+E370+E346+E322+E298+E274+E250+E226+E202+E178++E154+E130+E106</f>
        <v>0</v>
      </c>
      <c r="F538" s="1">
        <f t="shared" si="1248"/>
        <v>0</v>
      </c>
      <c r="G538" s="1">
        <f t="shared" si="1248"/>
        <v>0</v>
      </c>
      <c r="H538" s="1">
        <f t="shared" si="1248"/>
        <v>0</v>
      </c>
      <c r="I538" s="1">
        <f t="shared" si="1248"/>
        <v>150</v>
      </c>
      <c r="J538" s="1">
        <f t="shared" si="1248"/>
        <v>0</v>
      </c>
      <c r="K538" s="1">
        <f t="shared" si="1248"/>
        <v>0</v>
      </c>
      <c r="L538" s="1">
        <f t="shared" si="1248"/>
        <v>47</v>
      </c>
      <c r="M538" s="1">
        <f t="shared" si="1248"/>
        <v>265</v>
      </c>
      <c r="N538" s="1">
        <f t="shared" si="1248"/>
        <v>148</v>
      </c>
      <c r="O538" s="1">
        <f t="shared" si="1248"/>
        <v>192</v>
      </c>
      <c r="P538" s="1">
        <f t="shared" si="1248"/>
        <v>576</v>
      </c>
      <c r="Q538" s="1">
        <f t="shared" si="1248"/>
        <v>716</v>
      </c>
      <c r="R538" s="1">
        <f t="shared" si="1248"/>
        <v>640</v>
      </c>
      <c r="S538" s="1">
        <f t="shared" si="1248"/>
        <v>889</v>
      </c>
      <c r="T538" s="1">
        <f t="shared" si="1248"/>
        <v>571</v>
      </c>
      <c r="U538" s="1">
        <f t="shared" si="1248"/>
        <v>909</v>
      </c>
      <c r="V538" s="1">
        <f t="shared" si="1248"/>
        <v>485</v>
      </c>
      <c r="W538" s="1">
        <f t="shared" si="1248"/>
        <v>481</v>
      </c>
      <c r="X538" s="1">
        <f t="shared" si="1248"/>
        <v>442</v>
      </c>
      <c r="Y538" s="1">
        <f t="shared" si="1248"/>
        <v>202</v>
      </c>
      <c r="Z538" s="1">
        <f t="shared" si="1248"/>
        <v>0</v>
      </c>
      <c r="AA538" s="1">
        <f t="shared" si="1248"/>
        <v>88</v>
      </c>
      <c r="AB538" s="1">
        <f t="shared" si="1248"/>
        <v>0</v>
      </c>
      <c r="AC538" s="1">
        <f t="shared" si="1248"/>
        <v>0</v>
      </c>
      <c r="AD538" s="1">
        <f t="shared" si="1248"/>
        <v>0</v>
      </c>
      <c r="AE538" s="1">
        <f t="shared" si="1248"/>
        <v>0</v>
      </c>
      <c r="AF538" s="1">
        <f t="shared" si="1248"/>
        <v>0</v>
      </c>
      <c r="AG538" s="1">
        <f t="shared" si="1248"/>
        <v>0</v>
      </c>
      <c r="AH538" s="117">
        <f t="shared" si="1248"/>
        <v>102</v>
      </c>
      <c r="AI538" s="1">
        <f t="shared" si="1248"/>
        <v>0</v>
      </c>
      <c r="AJ538" s="1">
        <f t="shared" si="1248"/>
        <v>0</v>
      </c>
      <c r="AK538" s="1">
        <f t="shared" si="1248"/>
        <v>35</v>
      </c>
      <c r="AL538" s="117">
        <f t="shared" si="1248"/>
        <v>0</v>
      </c>
      <c r="AM538" s="1">
        <f t="shared" si="1248"/>
        <v>0</v>
      </c>
      <c r="AN538" s="1">
        <f t="shared" si="1248"/>
        <v>0</v>
      </c>
      <c r="AO538" s="1">
        <f t="shared" si="1248"/>
        <v>0</v>
      </c>
      <c r="AP538" s="1">
        <f t="shared" si="1248"/>
        <v>0</v>
      </c>
      <c r="AQ538" s="1">
        <f t="shared" si="1248"/>
        <v>0</v>
      </c>
      <c r="AR538" s="3">
        <f t="shared" si="1232"/>
        <v>6938</v>
      </c>
      <c r="AS538" s="11"/>
      <c r="AT538" s="11"/>
      <c r="AU538" s="11"/>
      <c r="AV538" s="1">
        <f t="shared" si="1235"/>
        <v>0</v>
      </c>
      <c r="AW538" s="1">
        <f t="shared" si="1236"/>
        <v>150</v>
      </c>
      <c r="AX538" s="1">
        <f t="shared" si="1237"/>
        <v>1228</v>
      </c>
      <c r="AY538" s="1">
        <f t="shared" si="1238"/>
        <v>2816</v>
      </c>
      <c r="AZ538" s="1">
        <f t="shared" si="1239"/>
        <v>2317</v>
      </c>
      <c r="BA538" s="1">
        <f t="shared" si="1240"/>
        <v>290</v>
      </c>
      <c r="BB538" s="1">
        <f t="shared" si="1241"/>
        <v>0</v>
      </c>
      <c r="BC538" s="1">
        <f t="shared" si="1242"/>
        <v>137</v>
      </c>
      <c r="BD538" s="1">
        <f t="shared" si="1243"/>
        <v>0</v>
      </c>
      <c r="BE538" s="1">
        <f t="shared" si="1244"/>
        <v>0</v>
      </c>
    </row>
    <row r="539" spans="2:57" s="10" customFormat="1" ht="15" customHeight="1" x14ac:dyDescent="0.25">
      <c r="B539" s="2"/>
      <c r="C539" t="s">
        <v>191</v>
      </c>
      <c r="D539" s="1">
        <f t="shared" si="1233"/>
        <v>0</v>
      </c>
      <c r="E539" s="1">
        <f t="shared" ref="E539:AQ539" si="1249">+E515+E491+E467+E443+E419+E395+E371+E347+E323+E299+E275+E251+E227+E203+E179++E155+E131+E107</f>
        <v>0</v>
      </c>
      <c r="F539" s="1">
        <f t="shared" si="1249"/>
        <v>0</v>
      </c>
      <c r="G539" s="1">
        <f t="shared" si="1249"/>
        <v>0</v>
      </c>
      <c r="H539" s="1">
        <f t="shared" si="1249"/>
        <v>660</v>
      </c>
      <c r="I539" s="1">
        <f t="shared" si="1249"/>
        <v>0</v>
      </c>
      <c r="J539" s="1">
        <f t="shared" si="1249"/>
        <v>0</v>
      </c>
      <c r="K539" s="1">
        <f t="shared" si="1249"/>
        <v>660</v>
      </c>
      <c r="L539" s="1">
        <f t="shared" si="1249"/>
        <v>0</v>
      </c>
      <c r="M539" s="1">
        <f t="shared" si="1249"/>
        <v>761</v>
      </c>
      <c r="N539" s="1">
        <f t="shared" si="1249"/>
        <v>233</v>
      </c>
      <c r="O539" s="1">
        <f t="shared" si="1249"/>
        <v>234</v>
      </c>
      <c r="P539" s="1">
        <f t="shared" si="1249"/>
        <v>718</v>
      </c>
      <c r="Q539" s="1">
        <f t="shared" si="1249"/>
        <v>1370</v>
      </c>
      <c r="R539" s="1">
        <f t="shared" si="1249"/>
        <v>1694</v>
      </c>
      <c r="S539" s="1">
        <f t="shared" si="1249"/>
        <v>1368</v>
      </c>
      <c r="T539" s="1">
        <f t="shared" si="1249"/>
        <v>506</v>
      </c>
      <c r="U539" s="1">
        <f t="shared" si="1249"/>
        <v>857</v>
      </c>
      <c r="V539" s="1">
        <f t="shared" si="1249"/>
        <v>22</v>
      </c>
      <c r="W539" s="1">
        <f t="shared" si="1249"/>
        <v>1066</v>
      </c>
      <c r="X539" s="1">
        <f t="shared" si="1249"/>
        <v>653</v>
      </c>
      <c r="Y539" s="1">
        <f t="shared" si="1249"/>
        <v>558</v>
      </c>
      <c r="Z539" s="1">
        <f t="shared" si="1249"/>
        <v>291</v>
      </c>
      <c r="AA539" s="1">
        <f t="shared" si="1249"/>
        <v>578</v>
      </c>
      <c r="AB539" s="1">
        <f t="shared" si="1249"/>
        <v>22</v>
      </c>
      <c r="AC539" s="1">
        <f t="shared" si="1249"/>
        <v>38</v>
      </c>
      <c r="AD539" s="1">
        <f t="shared" si="1249"/>
        <v>0</v>
      </c>
      <c r="AE539" s="1">
        <f t="shared" si="1249"/>
        <v>0</v>
      </c>
      <c r="AF539" s="1">
        <f t="shared" si="1249"/>
        <v>0</v>
      </c>
      <c r="AG539" s="1">
        <f t="shared" si="1249"/>
        <v>0</v>
      </c>
      <c r="AH539" s="117">
        <f t="shared" si="1249"/>
        <v>0</v>
      </c>
      <c r="AI539" s="1">
        <f t="shared" si="1249"/>
        <v>0</v>
      </c>
      <c r="AJ539" s="1">
        <f t="shared" si="1249"/>
        <v>0</v>
      </c>
      <c r="AK539" s="1">
        <f t="shared" si="1249"/>
        <v>0</v>
      </c>
      <c r="AL539" s="117">
        <f t="shared" si="1249"/>
        <v>6</v>
      </c>
      <c r="AM539" s="1">
        <f t="shared" si="1249"/>
        <v>40</v>
      </c>
      <c r="AN539" s="1">
        <f t="shared" si="1249"/>
        <v>18</v>
      </c>
      <c r="AO539" s="1">
        <f t="shared" si="1249"/>
        <v>0</v>
      </c>
      <c r="AP539" s="1">
        <f t="shared" si="1249"/>
        <v>30</v>
      </c>
      <c r="AQ539" s="1">
        <f t="shared" si="1249"/>
        <v>0</v>
      </c>
      <c r="AR539" s="3">
        <f t="shared" si="1232"/>
        <v>12383</v>
      </c>
      <c r="AS539" s="11"/>
      <c r="AT539" s="11"/>
      <c r="AU539" s="11"/>
      <c r="AV539" s="1">
        <f t="shared" si="1235"/>
        <v>0</v>
      </c>
      <c r="AW539" s="1">
        <f t="shared" si="1236"/>
        <v>1320</v>
      </c>
      <c r="AX539" s="1">
        <f t="shared" si="1237"/>
        <v>1946</v>
      </c>
      <c r="AY539" s="1">
        <f t="shared" si="1238"/>
        <v>4938</v>
      </c>
      <c r="AZ539" s="1">
        <f t="shared" si="1239"/>
        <v>2598</v>
      </c>
      <c r="BA539" s="1">
        <f t="shared" si="1240"/>
        <v>1487</v>
      </c>
      <c r="BB539" s="1">
        <f t="shared" si="1241"/>
        <v>0</v>
      </c>
      <c r="BC539" s="1">
        <f t="shared" si="1242"/>
        <v>0</v>
      </c>
      <c r="BD539" s="1">
        <f t="shared" si="1243"/>
        <v>94</v>
      </c>
      <c r="BE539" s="1">
        <f t="shared" si="1244"/>
        <v>0</v>
      </c>
    </row>
    <row r="540" spans="2:57" s="10" customFormat="1" ht="15" customHeight="1" x14ac:dyDescent="0.25">
      <c r="B540" s="2"/>
      <c r="C540" t="s">
        <v>549</v>
      </c>
      <c r="D540" s="1">
        <f t="shared" si="1233"/>
        <v>0</v>
      </c>
      <c r="E540" s="1">
        <f t="shared" ref="E540:AQ540" si="1250">+E516+E492+E468+E444+E420+E396+E372+E348+E324+E300+E276+E252+E228+E204+E180++E156+E132+E108</f>
        <v>0</v>
      </c>
      <c r="F540" s="1">
        <f t="shared" si="1250"/>
        <v>0</v>
      </c>
      <c r="G540" s="1">
        <f t="shared" si="1250"/>
        <v>0</v>
      </c>
      <c r="H540" s="1">
        <f t="shared" si="1250"/>
        <v>0</v>
      </c>
      <c r="I540" s="1">
        <f t="shared" si="1250"/>
        <v>0</v>
      </c>
      <c r="J540" s="1">
        <f t="shared" si="1250"/>
        <v>0</v>
      </c>
      <c r="K540" s="1">
        <f t="shared" si="1250"/>
        <v>0</v>
      </c>
      <c r="L540" s="1">
        <f t="shared" si="1250"/>
        <v>0</v>
      </c>
      <c r="M540" s="1">
        <f t="shared" si="1250"/>
        <v>0</v>
      </c>
      <c r="N540" s="1">
        <f t="shared" si="1250"/>
        <v>0</v>
      </c>
      <c r="O540" s="1">
        <f t="shared" si="1250"/>
        <v>0</v>
      </c>
      <c r="P540" s="1">
        <f t="shared" si="1250"/>
        <v>0</v>
      </c>
      <c r="Q540" s="1">
        <f t="shared" si="1250"/>
        <v>0</v>
      </c>
      <c r="R540" s="1">
        <f t="shared" si="1250"/>
        <v>0</v>
      </c>
      <c r="S540" s="1">
        <f t="shared" si="1250"/>
        <v>0</v>
      </c>
      <c r="T540" s="1">
        <f t="shared" si="1250"/>
        <v>0</v>
      </c>
      <c r="U540" s="1">
        <f t="shared" si="1250"/>
        <v>0</v>
      </c>
      <c r="V540" s="1">
        <f t="shared" si="1250"/>
        <v>0</v>
      </c>
      <c r="W540" s="1">
        <f t="shared" si="1250"/>
        <v>0</v>
      </c>
      <c r="X540" s="1">
        <f t="shared" si="1250"/>
        <v>0</v>
      </c>
      <c r="Y540" s="1">
        <f t="shared" si="1250"/>
        <v>0</v>
      </c>
      <c r="Z540" s="1">
        <f t="shared" si="1250"/>
        <v>0</v>
      </c>
      <c r="AA540" s="1">
        <f t="shared" si="1250"/>
        <v>0</v>
      </c>
      <c r="AB540" s="1">
        <f t="shared" si="1250"/>
        <v>0</v>
      </c>
      <c r="AC540" s="1">
        <f t="shared" si="1250"/>
        <v>0</v>
      </c>
      <c r="AD540" s="1">
        <f t="shared" si="1250"/>
        <v>0</v>
      </c>
      <c r="AE540" s="1">
        <f t="shared" si="1250"/>
        <v>0</v>
      </c>
      <c r="AF540" s="1">
        <f t="shared" si="1250"/>
        <v>0</v>
      </c>
      <c r="AG540" s="1">
        <f t="shared" si="1250"/>
        <v>0</v>
      </c>
      <c r="AH540" s="117">
        <f t="shared" si="1250"/>
        <v>0</v>
      </c>
      <c r="AI540" s="1">
        <f t="shared" si="1250"/>
        <v>0</v>
      </c>
      <c r="AJ540" s="1">
        <f t="shared" si="1250"/>
        <v>0</v>
      </c>
      <c r="AK540" s="1">
        <f t="shared" si="1250"/>
        <v>0</v>
      </c>
      <c r="AL540" s="117">
        <f t="shared" si="1250"/>
        <v>0</v>
      </c>
      <c r="AM540" s="1">
        <f t="shared" si="1250"/>
        <v>0</v>
      </c>
      <c r="AN540" s="1">
        <f t="shared" si="1250"/>
        <v>0</v>
      </c>
      <c r="AO540" s="1">
        <f t="shared" si="1250"/>
        <v>0</v>
      </c>
      <c r="AP540" s="1">
        <f t="shared" si="1250"/>
        <v>0</v>
      </c>
      <c r="AQ540" s="1">
        <f t="shared" si="1250"/>
        <v>0</v>
      </c>
      <c r="AR540" s="3">
        <f t="shared" si="1232"/>
        <v>0</v>
      </c>
      <c r="AS540" s="11"/>
      <c r="AT540" s="11"/>
      <c r="AU540" s="11"/>
      <c r="AV540" s="1">
        <f t="shared" si="1235"/>
        <v>0</v>
      </c>
      <c r="AW540" s="1">
        <f t="shared" si="1236"/>
        <v>0</v>
      </c>
      <c r="AX540" s="1">
        <f t="shared" si="1237"/>
        <v>0</v>
      </c>
      <c r="AY540" s="1">
        <f t="shared" si="1238"/>
        <v>0</v>
      </c>
      <c r="AZ540" s="1">
        <f t="shared" si="1239"/>
        <v>0</v>
      </c>
      <c r="BA540" s="1">
        <f t="shared" si="1240"/>
        <v>0</v>
      </c>
      <c r="BB540" s="1">
        <f t="shared" si="1241"/>
        <v>0</v>
      </c>
      <c r="BC540" s="1">
        <f t="shared" si="1242"/>
        <v>0</v>
      </c>
      <c r="BD540" s="1">
        <f t="shared" si="1243"/>
        <v>0</v>
      </c>
      <c r="BE540" s="1">
        <f t="shared" si="1244"/>
        <v>0</v>
      </c>
    </row>
    <row r="541" spans="2:57" s="10" customFormat="1" ht="15" customHeight="1" x14ac:dyDescent="0.25">
      <c r="B541" s="2"/>
      <c r="C541" t="s">
        <v>550</v>
      </c>
      <c r="D541" s="1">
        <f t="shared" si="1233"/>
        <v>0</v>
      </c>
      <c r="E541" s="1">
        <f t="shared" ref="E541:AQ541" si="1251">+E517+E493+E469+E445+E421+E397+E373+E349+E325+E301+E277+E253+E229+E205+E181++E157+E133+E109</f>
        <v>0</v>
      </c>
      <c r="F541" s="1">
        <f t="shared" si="1251"/>
        <v>0</v>
      </c>
      <c r="G541" s="1">
        <f t="shared" si="1251"/>
        <v>0</v>
      </c>
      <c r="H541" s="1">
        <f t="shared" si="1251"/>
        <v>0</v>
      </c>
      <c r="I541" s="1">
        <f t="shared" si="1251"/>
        <v>0</v>
      </c>
      <c r="J541" s="1">
        <f t="shared" si="1251"/>
        <v>0</v>
      </c>
      <c r="K541" s="1">
        <f t="shared" si="1251"/>
        <v>0</v>
      </c>
      <c r="L541" s="1">
        <f t="shared" si="1251"/>
        <v>0</v>
      </c>
      <c r="M541" s="1">
        <f t="shared" si="1251"/>
        <v>552</v>
      </c>
      <c r="N541" s="1">
        <f t="shared" si="1251"/>
        <v>0</v>
      </c>
      <c r="O541" s="1">
        <f t="shared" si="1251"/>
        <v>52</v>
      </c>
      <c r="P541" s="1">
        <f t="shared" si="1251"/>
        <v>0</v>
      </c>
      <c r="Q541" s="1">
        <f t="shared" si="1251"/>
        <v>905</v>
      </c>
      <c r="R541" s="1">
        <f t="shared" si="1251"/>
        <v>392</v>
      </c>
      <c r="S541" s="1">
        <f t="shared" si="1251"/>
        <v>470</v>
      </c>
      <c r="T541" s="1">
        <f t="shared" si="1251"/>
        <v>1959</v>
      </c>
      <c r="U541" s="1">
        <f t="shared" si="1251"/>
        <v>307</v>
      </c>
      <c r="V541" s="1">
        <f t="shared" si="1251"/>
        <v>736</v>
      </c>
      <c r="W541" s="1">
        <f t="shared" si="1251"/>
        <v>495</v>
      </c>
      <c r="X541" s="1">
        <f t="shared" si="1251"/>
        <v>342</v>
      </c>
      <c r="Y541" s="1">
        <f t="shared" si="1251"/>
        <v>688</v>
      </c>
      <c r="Z541" s="1">
        <f t="shared" si="1251"/>
        <v>151</v>
      </c>
      <c r="AA541" s="1">
        <f t="shared" si="1251"/>
        <v>250</v>
      </c>
      <c r="AB541" s="1">
        <f t="shared" si="1251"/>
        <v>113</v>
      </c>
      <c r="AC541" s="1">
        <f t="shared" si="1251"/>
        <v>133</v>
      </c>
      <c r="AD541" s="1">
        <f t="shared" si="1251"/>
        <v>123</v>
      </c>
      <c r="AE541" s="1">
        <f t="shared" si="1251"/>
        <v>194</v>
      </c>
      <c r="AF541" s="1">
        <f t="shared" si="1251"/>
        <v>34</v>
      </c>
      <c r="AG541" s="1">
        <f t="shared" si="1251"/>
        <v>83</v>
      </c>
      <c r="AH541" s="117">
        <f t="shared" si="1251"/>
        <v>72</v>
      </c>
      <c r="AI541" s="1">
        <f t="shared" si="1251"/>
        <v>50</v>
      </c>
      <c r="AJ541" s="1">
        <f t="shared" si="1251"/>
        <v>61</v>
      </c>
      <c r="AK541" s="1">
        <f t="shared" si="1251"/>
        <v>61</v>
      </c>
      <c r="AL541" s="117">
        <f t="shared" si="1251"/>
        <v>52</v>
      </c>
      <c r="AM541" s="1">
        <f t="shared" si="1251"/>
        <v>86</v>
      </c>
      <c r="AN541" s="1">
        <f t="shared" si="1251"/>
        <v>72</v>
      </c>
      <c r="AO541" s="1">
        <f t="shared" si="1251"/>
        <v>0</v>
      </c>
      <c r="AP541" s="1">
        <f t="shared" si="1251"/>
        <v>0</v>
      </c>
      <c r="AQ541" s="1">
        <f t="shared" si="1251"/>
        <v>0</v>
      </c>
      <c r="AR541" s="3">
        <f t="shared" si="1232"/>
        <v>8433</v>
      </c>
      <c r="AS541" s="11"/>
      <c r="AT541" s="11"/>
      <c r="AU541" s="11"/>
      <c r="AV541" s="1">
        <f t="shared" si="1235"/>
        <v>0</v>
      </c>
      <c r="AW541" s="1">
        <f t="shared" si="1236"/>
        <v>0</v>
      </c>
      <c r="AX541" s="1">
        <f t="shared" si="1237"/>
        <v>604</v>
      </c>
      <c r="AY541" s="1">
        <f t="shared" si="1238"/>
        <v>3726</v>
      </c>
      <c r="AZ541" s="1">
        <f t="shared" si="1239"/>
        <v>1880</v>
      </c>
      <c r="BA541" s="1">
        <f t="shared" si="1240"/>
        <v>1335</v>
      </c>
      <c r="BB541" s="1">
        <f t="shared" si="1241"/>
        <v>434</v>
      </c>
      <c r="BC541" s="1">
        <f t="shared" si="1242"/>
        <v>244</v>
      </c>
      <c r="BD541" s="1">
        <f t="shared" si="1243"/>
        <v>210</v>
      </c>
      <c r="BE541" s="1">
        <f t="shared" si="1244"/>
        <v>0</v>
      </c>
    </row>
    <row r="542" spans="2:57" ht="15" customHeight="1" x14ac:dyDescent="0.25">
      <c r="C542" t="s">
        <v>6</v>
      </c>
      <c r="D542" s="1">
        <f t="shared" si="1233"/>
        <v>0</v>
      </c>
      <c r="E542" s="1">
        <f t="shared" ref="E542:AQ542" si="1252">+E518+E494+E470+E446+E422+E398+E374+E350+E326+E302+E278+E254+E230+E206+E182++E158+E134+E110</f>
        <v>0</v>
      </c>
      <c r="F542" s="1">
        <f t="shared" si="1252"/>
        <v>0</v>
      </c>
      <c r="G542" s="1">
        <f t="shared" si="1252"/>
        <v>0</v>
      </c>
      <c r="H542" s="1">
        <f t="shared" si="1252"/>
        <v>0</v>
      </c>
      <c r="I542" s="1">
        <f t="shared" si="1252"/>
        <v>0</v>
      </c>
      <c r="J542" s="1">
        <f t="shared" si="1252"/>
        <v>0</v>
      </c>
      <c r="K542" s="1">
        <f t="shared" si="1252"/>
        <v>0</v>
      </c>
      <c r="L542" s="1">
        <f t="shared" si="1252"/>
        <v>0</v>
      </c>
      <c r="M542" s="1">
        <f t="shared" si="1252"/>
        <v>0</v>
      </c>
      <c r="N542" s="1">
        <f t="shared" si="1252"/>
        <v>0</v>
      </c>
      <c r="O542" s="1">
        <f t="shared" si="1252"/>
        <v>0</v>
      </c>
      <c r="P542" s="1">
        <f t="shared" si="1252"/>
        <v>0</v>
      </c>
      <c r="Q542" s="1">
        <f t="shared" si="1252"/>
        <v>0</v>
      </c>
      <c r="R542" s="1">
        <f t="shared" si="1252"/>
        <v>1800</v>
      </c>
      <c r="S542" s="1">
        <f t="shared" si="1252"/>
        <v>0</v>
      </c>
      <c r="T542" s="1">
        <f t="shared" si="1252"/>
        <v>1350</v>
      </c>
      <c r="U542" s="1">
        <f t="shared" si="1252"/>
        <v>240</v>
      </c>
      <c r="V542" s="1">
        <f t="shared" si="1252"/>
        <v>1186</v>
      </c>
      <c r="W542" s="1">
        <f t="shared" si="1252"/>
        <v>0</v>
      </c>
      <c r="X542" s="1">
        <f t="shared" si="1252"/>
        <v>0</v>
      </c>
      <c r="Y542" s="1">
        <f t="shared" si="1252"/>
        <v>0</v>
      </c>
      <c r="Z542" s="1">
        <f t="shared" si="1252"/>
        <v>0</v>
      </c>
      <c r="AA542" s="1">
        <f t="shared" si="1252"/>
        <v>0</v>
      </c>
      <c r="AB542" s="1">
        <f t="shared" si="1252"/>
        <v>0</v>
      </c>
      <c r="AC542" s="1">
        <f t="shared" si="1252"/>
        <v>0</v>
      </c>
      <c r="AD542" s="1">
        <f t="shared" si="1252"/>
        <v>0</v>
      </c>
      <c r="AE542" s="1">
        <f t="shared" si="1252"/>
        <v>0</v>
      </c>
      <c r="AF542" s="1">
        <f t="shared" si="1252"/>
        <v>0</v>
      </c>
      <c r="AG542" s="1">
        <f t="shared" si="1252"/>
        <v>0</v>
      </c>
      <c r="AH542" s="117">
        <f t="shared" si="1252"/>
        <v>0</v>
      </c>
      <c r="AI542" s="1">
        <f t="shared" si="1252"/>
        <v>0</v>
      </c>
      <c r="AJ542" s="1">
        <f t="shared" si="1252"/>
        <v>0</v>
      </c>
      <c r="AK542" s="1">
        <f t="shared" si="1252"/>
        <v>0</v>
      </c>
      <c r="AL542" s="117">
        <f t="shared" si="1252"/>
        <v>0</v>
      </c>
      <c r="AM542" s="1">
        <f t="shared" si="1252"/>
        <v>0</v>
      </c>
      <c r="AN542" s="1">
        <f t="shared" si="1252"/>
        <v>0</v>
      </c>
      <c r="AO542" s="1">
        <f t="shared" si="1252"/>
        <v>0</v>
      </c>
      <c r="AP542" s="1">
        <f t="shared" si="1252"/>
        <v>0</v>
      </c>
      <c r="AQ542" s="1">
        <f t="shared" si="1252"/>
        <v>0</v>
      </c>
      <c r="AR542" s="3">
        <f t="shared" ref="AR542:AR550" si="1253">SUM(D542:AQ542)</f>
        <v>4576</v>
      </c>
      <c r="AT542" s="11"/>
      <c r="AV542" s="1">
        <f t="shared" si="1235"/>
        <v>0</v>
      </c>
      <c r="AW542" s="1">
        <f t="shared" si="1236"/>
        <v>0</v>
      </c>
      <c r="AX542" s="1">
        <f t="shared" si="1237"/>
        <v>0</v>
      </c>
      <c r="AY542" s="1">
        <f t="shared" si="1238"/>
        <v>3150</v>
      </c>
      <c r="AZ542" s="1">
        <f t="shared" si="1239"/>
        <v>1426</v>
      </c>
      <c r="BA542" s="1">
        <f t="shared" si="1240"/>
        <v>0</v>
      </c>
      <c r="BB542" s="1">
        <f t="shared" si="1241"/>
        <v>0</v>
      </c>
      <c r="BC542" s="1">
        <f t="shared" si="1242"/>
        <v>0</v>
      </c>
      <c r="BD542" s="1">
        <f t="shared" si="1243"/>
        <v>0</v>
      </c>
      <c r="BE542" s="1">
        <f t="shared" si="1244"/>
        <v>0</v>
      </c>
    </row>
    <row r="543" spans="2:57" ht="15" customHeight="1" x14ac:dyDescent="0.25">
      <c r="C543" t="s">
        <v>262</v>
      </c>
      <c r="D543" s="1">
        <f t="shared" si="1233"/>
        <v>0</v>
      </c>
      <c r="E543" s="1">
        <f t="shared" ref="E543:AQ543" si="1254">+E519+E495+E471+E447+E423+E399+E375+E351+E327+E303+E279+E255+E231+E207+E183++E159+E135+E111</f>
        <v>0</v>
      </c>
      <c r="F543" s="1">
        <f t="shared" si="1254"/>
        <v>0</v>
      </c>
      <c r="G543" s="1">
        <f t="shared" si="1254"/>
        <v>0</v>
      </c>
      <c r="H543" s="1">
        <f t="shared" si="1254"/>
        <v>0</v>
      </c>
      <c r="I543" s="1">
        <f t="shared" si="1254"/>
        <v>0</v>
      </c>
      <c r="J543" s="1">
        <f t="shared" si="1254"/>
        <v>0</v>
      </c>
      <c r="K543" s="1">
        <f t="shared" si="1254"/>
        <v>0</v>
      </c>
      <c r="L543" s="1">
        <f t="shared" si="1254"/>
        <v>36</v>
      </c>
      <c r="M543" s="1">
        <f t="shared" si="1254"/>
        <v>365</v>
      </c>
      <c r="N543" s="1">
        <f t="shared" si="1254"/>
        <v>232</v>
      </c>
      <c r="O543" s="1">
        <f t="shared" si="1254"/>
        <v>258</v>
      </c>
      <c r="P543" s="1">
        <f t="shared" si="1254"/>
        <v>300</v>
      </c>
      <c r="Q543" s="1">
        <f t="shared" si="1254"/>
        <v>786</v>
      </c>
      <c r="R543" s="1">
        <f t="shared" si="1254"/>
        <v>642</v>
      </c>
      <c r="S543" s="1">
        <f t="shared" si="1254"/>
        <v>330</v>
      </c>
      <c r="T543" s="1">
        <f t="shared" si="1254"/>
        <v>796</v>
      </c>
      <c r="U543" s="1">
        <f t="shared" si="1254"/>
        <v>312</v>
      </c>
      <c r="V543" s="1">
        <f t="shared" si="1254"/>
        <v>250</v>
      </c>
      <c r="W543" s="1">
        <f t="shared" si="1254"/>
        <v>246</v>
      </c>
      <c r="X543" s="1">
        <f t="shared" si="1254"/>
        <v>96</v>
      </c>
      <c r="Y543" s="1">
        <f t="shared" si="1254"/>
        <v>25</v>
      </c>
      <c r="Z543" s="1">
        <f t="shared" si="1254"/>
        <v>12</v>
      </c>
      <c r="AA543" s="1">
        <f t="shared" si="1254"/>
        <v>0</v>
      </c>
      <c r="AB543" s="1">
        <f t="shared" si="1254"/>
        <v>36</v>
      </c>
      <c r="AC543" s="1">
        <f t="shared" si="1254"/>
        <v>8</v>
      </c>
      <c r="AD543" s="1">
        <f t="shared" si="1254"/>
        <v>0</v>
      </c>
      <c r="AE543" s="1">
        <f t="shared" si="1254"/>
        <v>0</v>
      </c>
      <c r="AF543" s="1">
        <f t="shared" si="1254"/>
        <v>0</v>
      </c>
      <c r="AG543" s="1">
        <f t="shared" si="1254"/>
        <v>0</v>
      </c>
      <c r="AH543" s="117">
        <f t="shared" si="1254"/>
        <v>0</v>
      </c>
      <c r="AI543" s="1">
        <f t="shared" si="1254"/>
        <v>0</v>
      </c>
      <c r="AJ543" s="1">
        <f t="shared" si="1254"/>
        <v>0</v>
      </c>
      <c r="AK543" s="1">
        <f t="shared" si="1254"/>
        <v>0</v>
      </c>
      <c r="AL543" s="117">
        <f t="shared" si="1254"/>
        <v>0</v>
      </c>
      <c r="AM543" s="1">
        <f t="shared" si="1254"/>
        <v>0</v>
      </c>
      <c r="AN543" s="1">
        <f t="shared" si="1254"/>
        <v>0</v>
      </c>
      <c r="AO543" s="1">
        <f t="shared" si="1254"/>
        <v>0</v>
      </c>
      <c r="AP543" s="1">
        <f t="shared" si="1254"/>
        <v>0</v>
      </c>
      <c r="AQ543" s="1">
        <f t="shared" si="1254"/>
        <v>0</v>
      </c>
      <c r="AR543" s="3">
        <f t="shared" si="1253"/>
        <v>4730</v>
      </c>
      <c r="AT543" s="11"/>
      <c r="AV543" s="1">
        <f t="shared" si="1235"/>
        <v>0</v>
      </c>
      <c r="AW543" s="1">
        <f t="shared" si="1236"/>
        <v>0</v>
      </c>
      <c r="AX543" s="1">
        <f t="shared" si="1237"/>
        <v>1191</v>
      </c>
      <c r="AY543" s="1">
        <f t="shared" si="1238"/>
        <v>2554</v>
      </c>
      <c r="AZ543" s="1">
        <f t="shared" si="1239"/>
        <v>904</v>
      </c>
      <c r="BA543" s="1">
        <f t="shared" si="1240"/>
        <v>81</v>
      </c>
      <c r="BB543" s="1">
        <f t="shared" si="1241"/>
        <v>0</v>
      </c>
      <c r="BC543" s="1">
        <f t="shared" si="1242"/>
        <v>0</v>
      </c>
      <c r="BD543" s="1">
        <f t="shared" si="1243"/>
        <v>0</v>
      </c>
      <c r="BE543" s="1">
        <f t="shared" si="1244"/>
        <v>0</v>
      </c>
    </row>
    <row r="544" spans="2:57" ht="15" customHeight="1" x14ac:dyDescent="0.25">
      <c r="C544" t="s">
        <v>42</v>
      </c>
      <c r="D544" s="1">
        <f t="shared" si="1233"/>
        <v>0</v>
      </c>
      <c r="E544" s="1">
        <f t="shared" ref="E544:AQ544" si="1255">+E520+E496+E472+E448+E424+E400+E376+E352+E328+E304+E280+E256+E232+E208+E184++E160+E136+E112</f>
        <v>0</v>
      </c>
      <c r="F544" s="1">
        <f t="shared" si="1255"/>
        <v>0</v>
      </c>
      <c r="G544" s="1">
        <f t="shared" si="1255"/>
        <v>0</v>
      </c>
      <c r="H544" s="1">
        <f t="shared" si="1255"/>
        <v>0</v>
      </c>
      <c r="I544" s="1">
        <f t="shared" si="1255"/>
        <v>0</v>
      </c>
      <c r="J544" s="1">
        <f t="shared" si="1255"/>
        <v>0</v>
      </c>
      <c r="K544" s="1">
        <f t="shared" si="1255"/>
        <v>30</v>
      </c>
      <c r="L544" s="1">
        <f t="shared" si="1255"/>
        <v>738</v>
      </c>
      <c r="M544" s="1">
        <f t="shared" si="1255"/>
        <v>606</v>
      </c>
      <c r="N544" s="1">
        <f t="shared" si="1255"/>
        <v>398</v>
      </c>
      <c r="O544" s="1">
        <f t="shared" si="1255"/>
        <v>224</v>
      </c>
      <c r="P544" s="1">
        <f t="shared" si="1255"/>
        <v>764</v>
      </c>
      <c r="Q544" s="1">
        <f t="shared" si="1255"/>
        <v>866</v>
      </c>
      <c r="R544" s="1">
        <f t="shared" si="1255"/>
        <v>796</v>
      </c>
      <c r="S544" s="1">
        <f t="shared" si="1255"/>
        <v>598</v>
      </c>
      <c r="T544" s="1">
        <f t="shared" si="1255"/>
        <v>516</v>
      </c>
      <c r="U544" s="1">
        <f t="shared" si="1255"/>
        <v>1014</v>
      </c>
      <c r="V544" s="1">
        <f t="shared" si="1255"/>
        <v>226</v>
      </c>
      <c r="W544" s="1">
        <f t="shared" si="1255"/>
        <v>678</v>
      </c>
      <c r="X544" s="1">
        <f t="shared" si="1255"/>
        <v>236</v>
      </c>
      <c r="Y544" s="1">
        <f t="shared" si="1255"/>
        <v>603</v>
      </c>
      <c r="Z544" s="1">
        <f t="shared" si="1255"/>
        <v>26</v>
      </c>
      <c r="AA544" s="1">
        <f t="shared" si="1255"/>
        <v>52</v>
      </c>
      <c r="AB544" s="1">
        <f t="shared" si="1255"/>
        <v>0</v>
      </c>
      <c r="AC544" s="1">
        <f t="shared" si="1255"/>
        <v>8</v>
      </c>
      <c r="AD544" s="1">
        <f t="shared" si="1255"/>
        <v>0</v>
      </c>
      <c r="AE544" s="1">
        <f t="shared" si="1255"/>
        <v>12</v>
      </c>
      <c r="AF544" s="1">
        <f t="shared" si="1255"/>
        <v>2</v>
      </c>
      <c r="AG544" s="1">
        <f t="shared" si="1255"/>
        <v>30</v>
      </c>
      <c r="AH544" s="117">
        <f t="shared" si="1255"/>
        <v>14</v>
      </c>
      <c r="AI544" s="1">
        <f t="shared" si="1255"/>
        <v>12</v>
      </c>
      <c r="AJ544" s="1">
        <f t="shared" si="1255"/>
        <v>32</v>
      </c>
      <c r="AK544" s="1">
        <f t="shared" si="1255"/>
        <v>0</v>
      </c>
      <c r="AL544" s="117">
        <f t="shared" si="1255"/>
        <v>0</v>
      </c>
      <c r="AM544" s="1">
        <f t="shared" si="1255"/>
        <v>0</v>
      </c>
      <c r="AN544" s="1">
        <f t="shared" si="1255"/>
        <v>10</v>
      </c>
      <c r="AO544" s="1">
        <f t="shared" si="1255"/>
        <v>0</v>
      </c>
      <c r="AP544" s="1">
        <f t="shared" si="1255"/>
        <v>0</v>
      </c>
      <c r="AQ544" s="1">
        <f t="shared" si="1255"/>
        <v>0</v>
      </c>
      <c r="AR544" s="3">
        <f t="shared" si="1253"/>
        <v>8491</v>
      </c>
      <c r="AT544" s="11"/>
      <c r="AV544" s="1">
        <f t="shared" si="1235"/>
        <v>0</v>
      </c>
      <c r="AW544" s="1">
        <f t="shared" si="1236"/>
        <v>30</v>
      </c>
      <c r="AX544" s="1">
        <f t="shared" si="1237"/>
        <v>2730</v>
      </c>
      <c r="AY544" s="1">
        <f t="shared" si="1238"/>
        <v>2776</v>
      </c>
      <c r="AZ544" s="1">
        <f t="shared" si="1239"/>
        <v>2154</v>
      </c>
      <c r="BA544" s="1">
        <f t="shared" si="1240"/>
        <v>689</v>
      </c>
      <c r="BB544" s="1">
        <f t="shared" si="1241"/>
        <v>44</v>
      </c>
      <c r="BC544" s="1">
        <f t="shared" si="1242"/>
        <v>58</v>
      </c>
      <c r="BD544" s="1">
        <f t="shared" si="1243"/>
        <v>10</v>
      </c>
      <c r="BE544" s="1">
        <f t="shared" si="1244"/>
        <v>0</v>
      </c>
    </row>
    <row r="545" spans="1:73" ht="15" customHeight="1" x14ac:dyDescent="0.25">
      <c r="C545" t="s">
        <v>192</v>
      </c>
      <c r="D545" s="1">
        <f t="shared" si="1233"/>
        <v>0</v>
      </c>
      <c r="E545" s="1">
        <f t="shared" ref="E545:AQ545" si="1256">+E521+E497+E473+E449+E425+E401+E377+E353+E329+E305+E281+E257+E233+E209+E185++E161+E137+E113</f>
        <v>0</v>
      </c>
      <c r="F545" s="1">
        <f t="shared" si="1256"/>
        <v>0</v>
      </c>
      <c r="G545" s="1">
        <f t="shared" si="1256"/>
        <v>69</v>
      </c>
      <c r="H545" s="1">
        <f t="shared" si="1256"/>
        <v>0</v>
      </c>
      <c r="I545" s="1">
        <f t="shared" si="1256"/>
        <v>30</v>
      </c>
      <c r="J545" s="1">
        <f t="shared" si="1256"/>
        <v>80</v>
      </c>
      <c r="K545" s="1">
        <f t="shared" si="1256"/>
        <v>876</v>
      </c>
      <c r="L545" s="1">
        <f t="shared" si="1256"/>
        <v>0</v>
      </c>
      <c r="M545" s="1">
        <f t="shared" si="1256"/>
        <v>1046</v>
      </c>
      <c r="N545" s="1">
        <f t="shared" si="1256"/>
        <v>136</v>
      </c>
      <c r="O545" s="1">
        <f t="shared" si="1256"/>
        <v>350</v>
      </c>
      <c r="P545" s="1">
        <f t="shared" si="1256"/>
        <v>762</v>
      </c>
      <c r="Q545" s="1">
        <f t="shared" si="1256"/>
        <v>1238</v>
      </c>
      <c r="R545" s="1">
        <f t="shared" si="1256"/>
        <v>1398</v>
      </c>
      <c r="S545" s="1">
        <f t="shared" si="1256"/>
        <v>656</v>
      </c>
      <c r="T545" s="1">
        <f t="shared" si="1256"/>
        <v>636</v>
      </c>
      <c r="U545" s="1">
        <f t="shared" si="1256"/>
        <v>1348</v>
      </c>
      <c r="V545" s="1">
        <f t="shared" si="1256"/>
        <v>276</v>
      </c>
      <c r="W545" s="1">
        <f t="shared" si="1256"/>
        <v>956</v>
      </c>
      <c r="X545" s="1">
        <f t="shared" si="1256"/>
        <v>524</v>
      </c>
      <c r="Y545" s="1">
        <f t="shared" si="1256"/>
        <v>570</v>
      </c>
      <c r="Z545" s="1">
        <f t="shared" si="1256"/>
        <v>56</v>
      </c>
      <c r="AA545" s="1">
        <f t="shared" si="1256"/>
        <v>86</v>
      </c>
      <c r="AB545" s="1">
        <f t="shared" si="1256"/>
        <v>98</v>
      </c>
      <c r="AC545" s="1">
        <f t="shared" si="1256"/>
        <v>44</v>
      </c>
      <c r="AD545" s="1">
        <f t="shared" si="1256"/>
        <v>32</v>
      </c>
      <c r="AE545" s="1">
        <f t="shared" si="1256"/>
        <v>0</v>
      </c>
      <c r="AF545" s="1">
        <f t="shared" si="1256"/>
        <v>0</v>
      </c>
      <c r="AG545" s="1">
        <f t="shared" si="1256"/>
        <v>0</v>
      </c>
      <c r="AH545" s="117">
        <f t="shared" si="1256"/>
        <v>30</v>
      </c>
      <c r="AI545" s="1">
        <f t="shared" si="1256"/>
        <v>22</v>
      </c>
      <c r="AJ545" s="1">
        <f t="shared" si="1256"/>
        <v>80</v>
      </c>
      <c r="AK545" s="1">
        <f t="shared" si="1256"/>
        <v>0</v>
      </c>
      <c r="AL545" s="117">
        <f t="shared" si="1256"/>
        <v>0</v>
      </c>
      <c r="AM545" s="1">
        <f t="shared" si="1256"/>
        <v>0</v>
      </c>
      <c r="AN545" s="1">
        <f t="shared" si="1256"/>
        <v>0</v>
      </c>
      <c r="AO545" s="1">
        <f t="shared" si="1256"/>
        <v>0</v>
      </c>
      <c r="AP545" s="1">
        <f t="shared" si="1256"/>
        <v>0</v>
      </c>
      <c r="AQ545" s="1">
        <f t="shared" si="1256"/>
        <v>0</v>
      </c>
      <c r="AR545" s="3">
        <f t="shared" si="1253"/>
        <v>11399</v>
      </c>
      <c r="AT545" s="11"/>
      <c r="AV545" s="1">
        <f t="shared" si="1235"/>
        <v>69</v>
      </c>
      <c r="AW545" s="1">
        <f t="shared" si="1236"/>
        <v>986</v>
      </c>
      <c r="AX545" s="1">
        <f t="shared" si="1237"/>
        <v>2294</v>
      </c>
      <c r="AY545" s="1">
        <f t="shared" si="1238"/>
        <v>3928</v>
      </c>
      <c r="AZ545" s="1">
        <f t="shared" si="1239"/>
        <v>3104</v>
      </c>
      <c r="BA545" s="1">
        <f t="shared" si="1240"/>
        <v>854</v>
      </c>
      <c r="BB545" s="1">
        <f t="shared" si="1241"/>
        <v>32</v>
      </c>
      <c r="BC545" s="1">
        <f t="shared" si="1242"/>
        <v>132</v>
      </c>
      <c r="BD545" s="1">
        <f t="shared" si="1243"/>
        <v>0</v>
      </c>
      <c r="BE545" s="1">
        <f t="shared" si="1244"/>
        <v>0</v>
      </c>
    </row>
    <row r="546" spans="1:73" ht="15" customHeight="1" x14ac:dyDescent="0.25">
      <c r="C546" t="s">
        <v>133</v>
      </c>
      <c r="D546" s="1">
        <f t="shared" si="1233"/>
        <v>0</v>
      </c>
      <c r="E546" s="1">
        <f t="shared" ref="E546:AQ546" si="1257">+E522+E498+E474+E450+E426+E402+E378+E354+E330+E306+E282+E258+E234+E210+E186++E162+E138+E114</f>
        <v>0</v>
      </c>
      <c r="F546" s="1">
        <f t="shared" si="1257"/>
        <v>0</v>
      </c>
      <c r="G546" s="1">
        <f t="shared" si="1257"/>
        <v>0</v>
      </c>
      <c r="H546" s="1">
        <f t="shared" si="1257"/>
        <v>0</v>
      </c>
      <c r="I546" s="1">
        <f t="shared" si="1257"/>
        <v>0</v>
      </c>
      <c r="J546" s="1">
        <f t="shared" si="1257"/>
        <v>0</v>
      </c>
      <c r="K546" s="1">
        <f t="shared" si="1257"/>
        <v>0</v>
      </c>
      <c r="L546" s="1">
        <f t="shared" si="1257"/>
        <v>24</v>
      </c>
      <c r="M546" s="1">
        <f t="shared" si="1257"/>
        <v>62</v>
      </c>
      <c r="N546" s="1">
        <f t="shared" si="1257"/>
        <v>122</v>
      </c>
      <c r="O546" s="1">
        <f t="shared" si="1257"/>
        <v>156</v>
      </c>
      <c r="P546" s="1">
        <f t="shared" si="1257"/>
        <v>324</v>
      </c>
      <c r="Q546" s="1">
        <f t="shared" si="1257"/>
        <v>340</v>
      </c>
      <c r="R546" s="1">
        <f t="shared" si="1257"/>
        <v>218</v>
      </c>
      <c r="S546" s="1">
        <f t="shared" si="1257"/>
        <v>332</v>
      </c>
      <c r="T546" s="1">
        <f t="shared" si="1257"/>
        <v>432</v>
      </c>
      <c r="U546" s="1">
        <f t="shared" si="1257"/>
        <v>344</v>
      </c>
      <c r="V546" s="1">
        <f t="shared" si="1257"/>
        <v>156</v>
      </c>
      <c r="W546" s="1">
        <f t="shared" si="1257"/>
        <v>234</v>
      </c>
      <c r="X546" s="1">
        <f t="shared" si="1257"/>
        <v>204</v>
      </c>
      <c r="Y546" s="1">
        <f t="shared" si="1257"/>
        <v>176</v>
      </c>
      <c r="Z546" s="1">
        <f t="shared" si="1257"/>
        <v>56</v>
      </c>
      <c r="AA546" s="1">
        <f t="shared" si="1257"/>
        <v>58</v>
      </c>
      <c r="AB546" s="1">
        <f t="shared" si="1257"/>
        <v>46</v>
      </c>
      <c r="AC546" s="1">
        <f t="shared" si="1257"/>
        <v>8</v>
      </c>
      <c r="AD546" s="1">
        <f t="shared" si="1257"/>
        <v>6</v>
      </c>
      <c r="AE546" s="1">
        <f t="shared" si="1257"/>
        <v>0</v>
      </c>
      <c r="AF546" s="1">
        <f t="shared" si="1257"/>
        <v>30</v>
      </c>
      <c r="AG546" s="1">
        <f t="shared" si="1257"/>
        <v>8</v>
      </c>
      <c r="AH546" s="117">
        <f t="shared" si="1257"/>
        <v>0</v>
      </c>
      <c r="AI546" s="1">
        <f t="shared" si="1257"/>
        <v>0</v>
      </c>
      <c r="AJ546" s="1">
        <f t="shared" si="1257"/>
        <v>0</v>
      </c>
      <c r="AK546" s="1">
        <f t="shared" si="1257"/>
        <v>0</v>
      </c>
      <c r="AL546" s="117">
        <f t="shared" si="1257"/>
        <v>0</v>
      </c>
      <c r="AM546" s="1">
        <f t="shared" si="1257"/>
        <v>0</v>
      </c>
      <c r="AN546" s="1">
        <f t="shared" si="1257"/>
        <v>0</v>
      </c>
      <c r="AO546" s="1">
        <f t="shared" si="1257"/>
        <v>0</v>
      </c>
      <c r="AP546" s="1">
        <f t="shared" si="1257"/>
        <v>0</v>
      </c>
      <c r="AQ546" s="1">
        <f t="shared" si="1257"/>
        <v>0</v>
      </c>
      <c r="AR546" s="3">
        <f t="shared" si="1253"/>
        <v>3336</v>
      </c>
      <c r="AT546" s="11"/>
      <c r="AV546" s="1">
        <f t="shared" si="1235"/>
        <v>0</v>
      </c>
      <c r="AW546" s="1">
        <f t="shared" si="1236"/>
        <v>0</v>
      </c>
      <c r="AX546" s="1">
        <f t="shared" si="1237"/>
        <v>688</v>
      </c>
      <c r="AY546" s="1">
        <f t="shared" si="1238"/>
        <v>1322</v>
      </c>
      <c r="AZ546" s="1">
        <f t="shared" si="1239"/>
        <v>938</v>
      </c>
      <c r="BA546" s="1">
        <f t="shared" si="1240"/>
        <v>344</v>
      </c>
      <c r="BB546" s="1">
        <f t="shared" si="1241"/>
        <v>44</v>
      </c>
      <c r="BC546" s="1">
        <f t="shared" si="1242"/>
        <v>0</v>
      </c>
      <c r="BD546" s="1">
        <f t="shared" si="1243"/>
        <v>0</v>
      </c>
      <c r="BE546" s="1">
        <f t="shared" si="1244"/>
        <v>0</v>
      </c>
    </row>
    <row r="547" spans="1:73" ht="15" customHeight="1" x14ac:dyDescent="0.25">
      <c r="C547" t="s">
        <v>41</v>
      </c>
      <c r="D547" s="1">
        <f t="shared" si="1233"/>
        <v>0</v>
      </c>
      <c r="E547" s="1">
        <f t="shared" ref="E547:AQ547" si="1258">+E523+E499+E475+E451+E427+E403+E379+E355+E331+E307+E283+E259+E235+E211+E187++E163+E139+E115</f>
        <v>0</v>
      </c>
      <c r="F547" s="1">
        <f t="shared" si="1258"/>
        <v>0</v>
      </c>
      <c r="G547" s="1">
        <f t="shared" si="1258"/>
        <v>0</v>
      </c>
      <c r="H547" s="1">
        <f t="shared" si="1258"/>
        <v>800</v>
      </c>
      <c r="I547" s="1">
        <f t="shared" si="1258"/>
        <v>0</v>
      </c>
      <c r="J547" s="1">
        <f t="shared" si="1258"/>
        <v>0</v>
      </c>
      <c r="K547" s="1">
        <f t="shared" si="1258"/>
        <v>30</v>
      </c>
      <c r="L547" s="1">
        <f t="shared" si="1258"/>
        <v>949</v>
      </c>
      <c r="M547" s="1">
        <f t="shared" si="1258"/>
        <v>873</v>
      </c>
      <c r="N547" s="1">
        <f t="shared" si="1258"/>
        <v>1144</v>
      </c>
      <c r="O547" s="1">
        <f t="shared" si="1258"/>
        <v>913</v>
      </c>
      <c r="P547" s="1">
        <f t="shared" si="1258"/>
        <v>2127</v>
      </c>
      <c r="Q547" s="1">
        <f t="shared" si="1258"/>
        <v>2171</v>
      </c>
      <c r="R547" s="1">
        <f t="shared" si="1258"/>
        <v>2808</v>
      </c>
      <c r="S547" s="1">
        <f t="shared" si="1258"/>
        <v>1780</v>
      </c>
      <c r="T547" s="1">
        <f t="shared" si="1258"/>
        <v>2984</v>
      </c>
      <c r="U547" s="1">
        <f t="shared" si="1258"/>
        <v>3068</v>
      </c>
      <c r="V547" s="1">
        <f t="shared" si="1258"/>
        <v>1862</v>
      </c>
      <c r="W547" s="1">
        <f t="shared" si="1258"/>
        <v>1632</v>
      </c>
      <c r="X547" s="1">
        <f t="shared" si="1258"/>
        <v>2366</v>
      </c>
      <c r="Y547" s="1">
        <f t="shared" si="1258"/>
        <v>2374</v>
      </c>
      <c r="Z547" s="1">
        <f t="shared" si="1258"/>
        <v>336</v>
      </c>
      <c r="AA547" s="1">
        <f t="shared" si="1258"/>
        <v>136</v>
      </c>
      <c r="AB547" s="1">
        <f t="shared" si="1258"/>
        <v>122</v>
      </c>
      <c r="AC547" s="1">
        <f t="shared" si="1258"/>
        <v>44</v>
      </c>
      <c r="AD547" s="1">
        <f t="shared" si="1258"/>
        <v>92</v>
      </c>
      <c r="AE547" s="1">
        <f t="shared" si="1258"/>
        <v>82</v>
      </c>
      <c r="AF547" s="1">
        <f t="shared" si="1258"/>
        <v>160</v>
      </c>
      <c r="AG547" s="1">
        <f t="shared" si="1258"/>
        <v>100</v>
      </c>
      <c r="AH547" s="117">
        <f t="shared" si="1258"/>
        <v>59</v>
      </c>
      <c r="AI547" s="1">
        <f t="shared" si="1258"/>
        <v>138</v>
      </c>
      <c r="AJ547" s="1">
        <f t="shared" si="1258"/>
        <v>168</v>
      </c>
      <c r="AK547" s="1">
        <f t="shared" si="1258"/>
        <v>92</v>
      </c>
      <c r="AL547" s="117">
        <f t="shared" si="1258"/>
        <v>40</v>
      </c>
      <c r="AM547" s="1">
        <f t="shared" si="1258"/>
        <v>54</v>
      </c>
      <c r="AN547" s="1">
        <f t="shared" si="1258"/>
        <v>12</v>
      </c>
      <c r="AO547" s="1">
        <f t="shared" si="1258"/>
        <v>96</v>
      </c>
      <c r="AP547" s="1">
        <f t="shared" si="1258"/>
        <v>0</v>
      </c>
      <c r="AQ547" s="1">
        <f t="shared" si="1258"/>
        <v>0</v>
      </c>
      <c r="AR547" s="3">
        <f t="shared" si="1253"/>
        <v>29612</v>
      </c>
      <c r="AT547" s="11"/>
      <c r="AV547" s="1">
        <f t="shared" si="1235"/>
        <v>0</v>
      </c>
      <c r="AW547" s="1">
        <f t="shared" si="1236"/>
        <v>830</v>
      </c>
      <c r="AX547" s="1">
        <f t="shared" si="1237"/>
        <v>6006</v>
      </c>
      <c r="AY547" s="1">
        <f t="shared" si="1238"/>
        <v>9743</v>
      </c>
      <c r="AZ547" s="1">
        <f t="shared" si="1239"/>
        <v>8928</v>
      </c>
      <c r="BA547" s="1">
        <f t="shared" si="1240"/>
        <v>3012</v>
      </c>
      <c r="BB547" s="1">
        <f t="shared" si="1241"/>
        <v>434</v>
      </c>
      <c r="BC547" s="1">
        <f t="shared" si="1242"/>
        <v>457</v>
      </c>
      <c r="BD547" s="1">
        <f t="shared" si="1243"/>
        <v>202</v>
      </c>
      <c r="BE547" s="1">
        <f t="shared" si="1244"/>
        <v>0</v>
      </c>
    </row>
    <row r="548" spans="1:73" ht="15" customHeight="1" x14ac:dyDescent="0.25">
      <c r="C548" t="s">
        <v>193</v>
      </c>
      <c r="D548" s="1">
        <f t="shared" si="1233"/>
        <v>0</v>
      </c>
      <c r="E548" s="1">
        <f t="shared" ref="E548:AQ548" si="1259">+E524+E500+E476+E452+E428+E404+E380+E356+E332+E308+E284+E260+E236+E212+E188++E164+E140+E116</f>
        <v>0</v>
      </c>
      <c r="F548" s="1">
        <f t="shared" si="1259"/>
        <v>0</v>
      </c>
      <c r="G548" s="1">
        <f t="shared" si="1259"/>
        <v>0</v>
      </c>
      <c r="H548" s="1">
        <f t="shared" si="1259"/>
        <v>0</v>
      </c>
      <c r="I548" s="1">
        <f t="shared" si="1259"/>
        <v>0</v>
      </c>
      <c r="J548" s="1">
        <f t="shared" si="1259"/>
        <v>0</v>
      </c>
      <c r="K548" s="1">
        <f t="shared" si="1259"/>
        <v>0</v>
      </c>
      <c r="L548" s="1">
        <f t="shared" si="1259"/>
        <v>0</v>
      </c>
      <c r="M548" s="1">
        <f t="shared" si="1259"/>
        <v>0</v>
      </c>
      <c r="N548" s="1">
        <f t="shared" si="1259"/>
        <v>0</v>
      </c>
      <c r="O548" s="1">
        <f t="shared" si="1259"/>
        <v>0</v>
      </c>
      <c r="P548" s="1">
        <f t="shared" si="1259"/>
        <v>0</v>
      </c>
      <c r="Q548" s="1">
        <f t="shared" si="1259"/>
        <v>0</v>
      </c>
      <c r="R548" s="1">
        <f t="shared" si="1259"/>
        <v>0</v>
      </c>
      <c r="S548" s="1">
        <f t="shared" si="1259"/>
        <v>0</v>
      </c>
      <c r="T548" s="1">
        <f t="shared" si="1259"/>
        <v>0</v>
      </c>
      <c r="U548" s="1">
        <f t="shared" si="1259"/>
        <v>0</v>
      </c>
      <c r="V548" s="1">
        <f t="shared" si="1259"/>
        <v>0</v>
      </c>
      <c r="W548" s="1">
        <f t="shared" si="1259"/>
        <v>0</v>
      </c>
      <c r="X548" s="1">
        <f t="shared" si="1259"/>
        <v>0</v>
      </c>
      <c r="Y548" s="1">
        <f t="shared" si="1259"/>
        <v>0</v>
      </c>
      <c r="Z548" s="1">
        <f t="shared" si="1259"/>
        <v>0</v>
      </c>
      <c r="AA548" s="1">
        <f t="shared" si="1259"/>
        <v>0</v>
      </c>
      <c r="AB548" s="1">
        <f t="shared" si="1259"/>
        <v>0</v>
      </c>
      <c r="AC548" s="1">
        <f t="shared" si="1259"/>
        <v>0</v>
      </c>
      <c r="AD548" s="1">
        <f t="shared" si="1259"/>
        <v>0</v>
      </c>
      <c r="AE548" s="1">
        <f t="shared" si="1259"/>
        <v>0</v>
      </c>
      <c r="AF548" s="1">
        <f t="shared" si="1259"/>
        <v>0</v>
      </c>
      <c r="AG548" s="1">
        <f t="shared" si="1259"/>
        <v>0</v>
      </c>
      <c r="AH548" s="117">
        <f t="shared" si="1259"/>
        <v>0</v>
      </c>
      <c r="AI548" s="1">
        <f t="shared" si="1259"/>
        <v>0</v>
      </c>
      <c r="AJ548" s="1">
        <f t="shared" si="1259"/>
        <v>0</v>
      </c>
      <c r="AK548" s="1">
        <f t="shared" si="1259"/>
        <v>0</v>
      </c>
      <c r="AL548" s="117">
        <f t="shared" si="1259"/>
        <v>0</v>
      </c>
      <c r="AM548" s="1">
        <f t="shared" si="1259"/>
        <v>0</v>
      </c>
      <c r="AN548" s="1">
        <f t="shared" si="1259"/>
        <v>0</v>
      </c>
      <c r="AO548" s="1">
        <f t="shared" si="1259"/>
        <v>0</v>
      </c>
      <c r="AP548" s="1">
        <f t="shared" si="1259"/>
        <v>0</v>
      </c>
      <c r="AQ548" s="1">
        <f t="shared" si="1259"/>
        <v>0</v>
      </c>
      <c r="AR548" s="3">
        <f t="shared" si="1253"/>
        <v>0</v>
      </c>
      <c r="AT548" s="11"/>
      <c r="AV548" s="1">
        <f t="shared" si="1235"/>
        <v>0</v>
      </c>
      <c r="AW548" s="1">
        <f t="shared" si="1236"/>
        <v>0</v>
      </c>
      <c r="AX548" s="1">
        <f t="shared" si="1237"/>
        <v>0</v>
      </c>
      <c r="AY548" s="1">
        <f t="shared" si="1238"/>
        <v>0</v>
      </c>
      <c r="AZ548" s="1">
        <f t="shared" si="1239"/>
        <v>0</v>
      </c>
      <c r="BA548" s="1">
        <f t="shared" si="1240"/>
        <v>0</v>
      </c>
      <c r="BB548" s="1">
        <f t="shared" si="1241"/>
        <v>0</v>
      </c>
      <c r="BC548" s="1">
        <f t="shared" si="1242"/>
        <v>0</v>
      </c>
      <c r="BD548" s="1">
        <f t="shared" si="1243"/>
        <v>0</v>
      </c>
      <c r="BE548" s="1">
        <f t="shared" si="1244"/>
        <v>0</v>
      </c>
    </row>
    <row r="549" spans="1:73" ht="15" customHeight="1" x14ac:dyDescent="0.25">
      <c r="C549" t="s">
        <v>297</v>
      </c>
      <c r="D549" s="1">
        <f t="shared" si="1233"/>
        <v>0</v>
      </c>
      <c r="E549" s="1">
        <f t="shared" ref="E549:AQ549" si="1260">+E525+E501+E477+E453+E429+E405+E381+E357+E333+E309+E285+E261+E237+E213+E189++E165+E141+E117</f>
        <v>0</v>
      </c>
      <c r="F549" s="1">
        <f t="shared" si="1260"/>
        <v>0</v>
      </c>
      <c r="G549" s="1">
        <f t="shared" si="1260"/>
        <v>0</v>
      </c>
      <c r="H549" s="1">
        <f t="shared" si="1260"/>
        <v>0</v>
      </c>
      <c r="I549" s="1">
        <f t="shared" si="1260"/>
        <v>0</v>
      </c>
      <c r="J549" s="1">
        <f t="shared" si="1260"/>
        <v>0</v>
      </c>
      <c r="K549" s="1">
        <f t="shared" si="1260"/>
        <v>0</v>
      </c>
      <c r="L549" s="1">
        <f t="shared" si="1260"/>
        <v>0</v>
      </c>
      <c r="M549" s="1">
        <f t="shared" si="1260"/>
        <v>0</v>
      </c>
      <c r="N549" s="1">
        <f t="shared" si="1260"/>
        <v>0</v>
      </c>
      <c r="O549" s="1">
        <f t="shared" si="1260"/>
        <v>0</v>
      </c>
      <c r="P549" s="1">
        <f t="shared" si="1260"/>
        <v>0</v>
      </c>
      <c r="Q549" s="1">
        <f t="shared" si="1260"/>
        <v>0</v>
      </c>
      <c r="R549" s="1">
        <f t="shared" si="1260"/>
        <v>0</v>
      </c>
      <c r="S549" s="1">
        <f t="shared" si="1260"/>
        <v>0</v>
      </c>
      <c r="T549" s="1">
        <f t="shared" si="1260"/>
        <v>0</v>
      </c>
      <c r="U549" s="1">
        <f t="shared" si="1260"/>
        <v>0</v>
      </c>
      <c r="V549" s="1">
        <f t="shared" si="1260"/>
        <v>0</v>
      </c>
      <c r="W549" s="1">
        <f t="shared" si="1260"/>
        <v>0</v>
      </c>
      <c r="X549" s="1">
        <f t="shared" si="1260"/>
        <v>0</v>
      </c>
      <c r="Y549" s="1">
        <f t="shared" si="1260"/>
        <v>0</v>
      </c>
      <c r="Z549" s="1">
        <f t="shared" si="1260"/>
        <v>0</v>
      </c>
      <c r="AA549" s="1">
        <f t="shared" si="1260"/>
        <v>0</v>
      </c>
      <c r="AB549" s="1">
        <f t="shared" si="1260"/>
        <v>0</v>
      </c>
      <c r="AC549" s="1">
        <f t="shared" si="1260"/>
        <v>0</v>
      </c>
      <c r="AD549" s="1">
        <f t="shared" si="1260"/>
        <v>0</v>
      </c>
      <c r="AE549" s="1">
        <f t="shared" si="1260"/>
        <v>0</v>
      </c>
      <c r="AF549" s="1">
        <f t="shared" si="1260"/>
        <v>0</v>
      </c>
      <c r="AG549" s="1">
        <f t="shared" si="1260"/>
        <v>0</v>
      </c>
      <c r="AH549" s="117">
        <f t="shared" si="1260"/>
        <v>0</v>
      </c>
      <c r="AI549" s="1">
        <f t="shared" si="1260"/>
        <v>0</v>
      </c>
      <c r="AJ549" s="1">
        <f t="shared" si="1260"/>
        <v>0</v>
      </c>
      <c r="AK549" s="1">
        <f t="shared" si="1260"/>
        <v>0</v>
      </c>
      <c r="AL549" s="117">
        <f t="shared" si="1260"/>
        <v>0</v>
      </c>
      <c r="AM549" s="1">
        <f t="shared" si="1260"/>
        <v>0</v>
      </c>
      <c r="AN549" s="1">
        <f t="shared" si="1260"/>
        <v>0</v>
      </c>
      <c r="AO549" s="1">
        <f t="shared" si="1260"/>
        <v>0</v>
      </c>
      <c r="AP549" s="1">
        <f t="shared" si="1260"/>
        <v>0</v>
      </c>
      <c r="AQ549" s="1">
        <f t="shared" si="1260"/>
        <v>0</v>
      </c>
      <c r="AR549" s="3">
        <f t="shared" si="1253"/>
        <v>0</v>
      </c>
      <c r="AT549" s="11"/>
      <c r="AV549" s="1">
        <f t="shared" si="1235"/>
        <v>0</v>
      </c>
      <c r="AW549" s="1">
        <f t="shared" si="1236"/>
        <v>0</v>
      </c>
      <c r="AX549" s="1">
        <f t="shared" si="1237"/>
        <v>0</v>
      </c>
      <c r="AY549" s="1">
        <f t="shared" si="1238"/>
        <v>0</v>
      </c>
      <c r="AZ549" s="1">
        <f t="shared" si="1239"/>
        <v>0</v>
      </c>
      <c r="BA549" s="1">
        <f t="shared" si="1240"/>
        <v>0</v>
      </c>
      <c r="BB549" s="1">
        <f t="shared" si="1241"/>
        <v>0</v>
      </c>
      <c r="BC549" s="1">
        <f t="shared" si="1242"/>
        <v>0</v>
      </c>
      <c r="BD549" s="1">
        <f t="shared" si="1243"/>
        <v>0</v>
      </c>
      <c r="BE549" s="1">
        <f t="shared" si="1244"/>
        <v>0</v>
      </c>
    </row>
    <row r="550" spans="1:73" ht="15" customHeight="1" x14ac:dyDescent="0.25">
      <c r="C550" t="s">
        <v>296</v>
      </c>
      <c r="D550" s="1">
        <f t="shared" si="1233"/>
        <v>0</v>
      </c>
      <c r="E550" s="1">
        <f t="shared" ref="E550:AQ550" si="1261">+E526+E502+E478+E454+E430+E406+E382+E358+E334+E310+E286+E262+E238+E214+E190++E166+E142+E118</f>
        <v>0</v>
      </c>
      <c r="F550" s="1">
        <f t="shared" si="1261"/>
        <v>0</v>
      </c>
      <c r="G550" s="1">
        <f t="shared" si="1261"/>
        <v>54</v>
      </c>
      <c r="H550" s="1">
        <f t="shared" si="1261"/>
        <v>0</v>
      </c>
      <c r="I550" s="1">
        <f t="shared" si="1261"/>
        <v>0</v>
      </c>
      <c r="J550" s="1">
        <f t="shared" si="1261"/>
        <v>0</v>
      </c>
      <c r="K550" s="1">
        <f t="shared" si="1261"/>
        <v>0</v>
      </c>
      <c r="L550" s="1">
        <f t="shared" si="1261"/>
        <v>30</v>
      </c>
      <c r="M550" s="1">
        <f t="shared" si="1261"/>
        <v>44</v>
      </c>
      <c r="N550" s="1">
        <f t="shared" si="1261"/>
        <v>90</v>
      </c>
      <c r="O550" s="1">
        <f t="shared" si="1261"/>
        <v>84</v>
      </c>
      <c r="P550" s="1">
        <f t="shared" si="1261"/>
        <v>132</v>
      </c>
      <c r="Q550" s="1">
        <f t="shared" si="1261"/>
        <v>154</v>
      </c>
      <c r="R550" s="1">
        <f t="shared" si="1261"/>
        <v>148</v>
      </c>
      <c r="S550" s="1">
        <f t="shared" si="1261"/>
        <v>201</v>
      </c>
      <c r="T550" s="1">
        <f t="shared" si="1261"/>
        <v>248</v>
      </c>
      <c r="U550" s="1">
        <f t="shared" si="1261"/>
        <v>276</v>
      </c>
      <c r="V550" s="1">
        <f t="shared" si="1261"/>
        <v>132</v>
      </c>
      <c r="W550" s="1">
        <f t="shared" si="1261"/>
        <v>130</v>
      </c>
      <c r="X550" s="1">
        <f t="shared" si="1261"/>
        <v>84</v>
      </c>
      <c r="Y550" s="1">
        <f t="shared" si="1261"/>
        <v>116</v>
      </c>
      <c r="Z550" s="1">
        <f t="shared" si="1261"/>
        <v>30</v>
      </c>
      <c r="AA550" s="1">
        <f t="shared" si="1261"/>
        <v>72</v>
      </c>
      <c r="AB550" s="1">
        <f t="shared" si="1261"/>
        <v>54</v>
      </c>
      <c r="AC550" s="1">
        <f t="shared" si="1261"/>
        <v>14</v>
      </c>
      <c r="AD550" s="1">
        <f t="shared" si="1261"/>
        <v>0</v>
      </c>
      <c r="AE550" s="1">
        <f t="shared" si="1261"/>
        <v>27</v>
      </c>
      <c r="AF550" s="1">
        <f t="shared" si="1261"/>
        <v>0</v>
      </c>
      <c r="AG550" s="1">
        <f t="shared" si="1261"/>
        <v>0</v>
      </c>
      <c r="AH550" s="117">
        <f t="shared" si="1261"/>
        <v>12</v>
      </c>
      <c r="AI550" s="1">
        <f t="shared" si="1261"/>
        <v>0</v>
      </c>
      <c r="AJ550" s="1">
        <f t="shared" si="1261"/>
        <v>10</v>
      </c>
      <c r="AK550" s="1">
        <f t="shared" si="1261"/>
        <v>0</v>
      </c>
      <c r="AL550" s="117">
        <f t="shared" si="1261"/>
        <v>0</v>
      </c>
      <c r="AM550" s="1">
        <f t="shared" si="1261"/>
        <v>16</v>
      </c>
      <c r="AN550" s="1">
        <f t="shared" si="1261"/>
        <v>0</v>
      </c>
      <c r="AO550" s="1">
        <f t="shared" si="1261"/>
        <v>0</v>
      </c>
      <c r="AP550" s="1">
        <f t="shared" si="1261"/>
        <v>0</v>
      </c>
      <c r="AQ550" s="1">
        <f t="shared" si="1261"/>
        <v>0</v>
      </c>
      <c r="AR550" s="3">
        <f t="shared" si="1253"/>
        <v>2158</v>
      </c>
      <c r="AV550" s="1">
        <f t="shared" si="1235"/>
        <v>54</v>
      </c>
      <c r="AW550" s="1">
        <f t="shared" si="1236"/>
        <v>0</v>
      </c>
      <c r="AX550" s="1">
        <f t="shared" si="1237"/>
        <v>380</v>
      </c>
      <c r="AY550" s="1">
        <f t="shared" si="1238"/>
        <v>751</v>
      </c>
      <c r="AZ550" s="1">
        <f t="shared" si="1239"/>
        <v>622</v>
      </c>
      <c r="BA550" s="1">
        <f t="shared" si="1240"/>
        <v>286</v>
      </c>
      <c r="BB550" s="1">
        <f t="shared" si="1241"/>
        <v>27</v>
      </c>
      <c r="BC550" s="1">
        <f t="shared" si="1242"/>
        <v>22</v>
      </c>
      <c r="BD550" s="1">
        <f t="shared" si="1243"/>
        <v>16</v>
      </c>
      <c r="BE550" s="1">
        <f t="shared" si="1244"/>
        <v>0</v>
      </c>
    </row>
    <row r="551" spans="1:73" s="10" customFormat="1" ht="15" customHeight="1" x14ac:dyDescent="0.25">
      <c r="B551" s="2"/>
      <c r="C551" t="s">
        <v>44</v>
      </c>
      <c r="D551" s="1">
        <f t="shared" si="1233"/>
        <v>0</v>
      </c>
      <c r="E551" s="1">
        <f t="shared" ref="E551:AQ551" si="1262">+E527+E503+E479+E455+E431+E407+E383+E359+E335+E311+E287+E263+E239+E215+E191++E167+E143+E119</f>
        <v>0</v>
      </c>
      <c r="F551" s="1">
        <f t="shared" si="1262"/>
        <v>0</v>
      </c>
      <c r="G551" s="1">
        <f t="shared" si="1262"/>
        <v>326</v>
      </c>
      <c r="H551" s="1">
        <f t="shared" si="1262"/>
        <v>752</v>
      </c>
      <c r="I551" s="1">
        <f t="shared" si="1262"/>
        <v>204</v>
      </c>
      <c r="J551" s="1">
        <f t="shared" si="1262"/>
        <v>238</v>
      </c>
      <c r="K551" s="1">
        <f t="shared" si="1262"/>
        <v>344</v>
      </c>
      <c r="L551" s="1">
        <f t="shared" si="1262"/>
        <v>1744</v>
      </c>
      <c r="M551" s="1">
        <f t="shared" si="1262"/>
        <v>3085</v>
      </c>
      <c r="N551" s="1">
        <f t="shared" si="1262"/>
        <v>3361</v>
      </c>
      <c r="O551" s="1">
        <f t="shared" si="1262"/>
        <v>4930</v>
      </c>
      <c r="P551" s="1">
        <f t="shared" si="1262"/>
        <v>7362</v>
      </c>
      <c r="Q551" s="1">
        <f t="shared" si="1262"/>
        <v>8450</v>
      </c>
      <c r="R551" s="1">
        <f t="shared" si="1262"/>
        <v>10286</v>
      </c>
      <c r="S551" s="1">
        <f t="shared" si="1262"/>
        <v>11362</v>
      </c>
      <c r="T551" s="1">
        <f t="shared" si="1262"/>
        <v>10729</v>
      </c>
      <c r="U551" s="1">
        <f t="shared" si="1262"/>
        <v>11298</v>
      </c>
      <c r="V551" s="1">
        <f t="shared" si="1262"/>
        <v>7952</v>
      </c>
      <c r="W551" s="1">
        <f t="shared" si="1262"/>
        <v>8623</v>
      </c>
      <c r="X551" s="1">
        <f t="shared" si="1262"/>
        <v>5809</v>
      </c>
      <c r="Y551" s="1">
        <f t="shared" si="1262"/>
        <v>3824</v>
      </c>
      <c r="Z551" s="1">
        <f t="shared" si="1262"/>
        <v>1584</v>
      </c>
      <c r="AA551" s="1">
        <f t="shared" si="1262"/>
        <v>1457</v>
      </c>
      <c r="AB551" s="1">
        <f t="shared" si="1262"/>
        <v>788</v>
      </c>
      <c r="AC551" s="1">
        <f t="shared" si="1262"/>
        <v>666</v>
      </c>
      <c r="AD551" s="1">
        <f t="shared" si="1262"/>
        <v>316</v>
      </c>
      <c r="AE551" s="1">
        <f t="shared" si="1262"/>
        <v>325</v>
      </c>
      <c r="AF551" s="1">
        <f t="shared" si="1262"/>
        <v>290</v>
      </c>
      <c r="AG551" s="1">
        <f t="shared" si="1262"/>
        <v>226</v>
      </c>
      <c r="AH551" s="117">
        <f t="shared" si="1262"/>
        <v>310</v>
      </c>
      <c r="AI551" s="1">
        <f t="shared" si="1262"/>
        <v>124</v>
      </c>
      <c r="AJ551" s="1">
        <f t="shared" si="1262"/>
        <v>470</v>
      </c>
      <c r="AK551" s="1">
        <f t="shared" si="1262"/>
        <v>216</v>
      </c>
      <c r="AL551" s="117">
        <f t="shared" si="1262"/>
        <v>238</v>
      </c>
      <c r="AM551" s="1">
        <f t="shared" si="1262"/>
        <v>70</v>
      </c>
      <c r="AN551" s="1">
        <f t="shared" si="1262"/>
        <v>112</v>
      </c>
      <c r="AO551" s="1">
        <f t="shared" si="1262"/>
        <v>30</v>
      </c>
      <c r="AP551" s="1">
        <f t="shared" si="1262"/>
        <v>30</v>
      </c>
      <c r="AQ551" s="1">
        <f t="shared" si="1262"/>
        <v>0</v>
      </c>
      <c r="AR551" s="3">
        <f t="shared" si="1232"/>
        <v>107931</v>
      </c>
      <c r="AS551" s="11"/>
      <c r="AT551" s="11"/>
      <c r="AU551" s="11"/>
      <c r="AV551" s="1">
        <f t="shared" si="1235"/>
        <v>326</v>
      </c>
      <c r="AW551" s="1">
        <f t="shared" si="1236"/>
        <v>1538</v>
      </c>
      <c r="AX551" s="1">
        <f t="shared" si="1237"/>
        <v>20482</v>
      </c>
      <c r="AY551" s="1">
        <f t="shared" si="1238"/>
        <v>40827</v>
      </c>
      <c r="AZ551" s="1">
        <f t="shared" si="1239"/>
        <v>33682</v>
      </c>
      <c r="BA551" s="1">
        <f t="shared" si="1240"/>
        <v>8319</v>
      </c>
      <c r="BB551" s="1">
        <f t="shared" si="1241"/>
        <v>1157</v>
      </c>
      <c r="BC551" s="1">
        <f t="shared" si="1242"/>
        <v>1120</v>
      </c>
      <c r="BD551" s="1">
        <f t="shared" si="1243"/>
        <v>480</v>
      </c>
      <c r="BE551" s="1">
        <f t="shared" si="1244"/>
        <v>0</v>
      </c>
    </row>
    <row r="552" spans="1:73" s="10" customFormat="1" ht="15" customHeight="1" x14ac:dyDescent="0.25">
      <c r="B552" s="2" t="s">
        <v>144</v>
      </c>
      <c r="C552" s="2"/>
      <c r="D552" s="3">
        <f t="shared" ref="D552:AR552" si="1263">SUM(D533:D551)</f>
        <v>0</v>
      </c>
      <c r="E552" s="3">
        <f t="shared" ref="E552:AQ552" si="1264">SUM(E533:E551)</f>
        <v>0</v>
      </c>
      <c r="F552" s="3">
        <f t="shared" si="1264"/>
        <v>0</v>
      </c>
      <c r="G552" s="3">
        <f t="shared" si="1264"/>
        <v>5590</v>
      </c>
      <c r="H552" s="3">
        <f t="shared" si="1264"/>
        <v>2242</v>
      </c>
      <c r="I552" s="3">
        <f t="shared" si="1264"/>
        <v>426</v>
      </c>
      <c r="J552" s="3">
        <f t="shared" si="1264"/>
        <v>1548</v>
      </c>
      <c r="K552" s="3">
        <f t="shared" si="1264"/>
        <v>3637</v>
      </c>
      <c r="L552" s="3">
        <f t="shared" si="1264"/>
        <v>4932</v>
      </c>
      <c r="M552" s="3">
        <f t="shared" si="1264"/>
        <v>12125</v>
      </c>
      <c r="N552" s="3">
        <f t="shared" si="1264"/>
        <v>9622</v>
      </c>
      <c r="O552" s="3">
        <f t="shared" si="1264"/>
        <v>11253</v>
      </c>
      <c r="P552" s="3">
        <f t="shared" si="1264"/>
        <v>17508</v>
      </c>
      <c r="Q552" s="3">
        <f t="shared" si="1264"/>
        <v>26582</v>
      </c>
      <c r="R552" s="3">
        <f t="shared" si="1264"/>
        <v>28490</v>
      </c>
      <c r="S552" s="3">
        <f t="shared" si="1264"/>
        <v>26847</v>
      </c>
      <c r="T552" s="3">
        <f t="shared" si="1264"/>
        <v>29342</v>
      </c>
      <c r="U552" s="3">
        <f t="shared" si="1264"/>
        <v>28385</v>
      </c>
      <c r="V552" s="3">
        <f t="shared" si="1264"/>
        <v>18568</v>
      </c>
      <c r="W552" s="3">
        <f t="shared" si="1264"/>
        <v>20451</v>
      </c>
      <c r="X552" s="3">
        <f t="shared" si="1264"/>
        <v>17429</v>
      </c>
      <c r="Y552" s="3">
        <f t="shared" si="1264"/>
        <v>13892</v>
      </c>
      <c r="Z552" s="3">
        <f t="shared" si="1264"/>
        <v>5572</v>
      </c>
      <c r="AA552" s="3">
        <f t="shared" si="1264"/>
        <v>4689</v>
      </c>
      <c r="AB552" s="3">
        <f t="shared" si="1264"/>
        <v>3064</v>
      </c>
      <c r="AC552" s="3">
        <f t="shared" si="1264"/>
        <v>1835</v>
      </c>
      <c r="AD552" s="3">
        <f t="shared" si="1264"/>
        <v>1974</v>
      </c>
      <c r="AE552" s="3">
        <f t="shared" si="1264"/>
        <v>977</v>
      </c>
      <c r="AF552" s="3">
        <f t="shared" si="1264"/>
        <v>799</v>
      </c>
      <c r="AG552" s="3">
        <f t="shared" si="1264"/>
        <v>911</v>
      </c>
      <c r="AH552" s="150">
        <f t="shared" si="1264"/>
        <v>1080</v>
      </c>
      <c r="AI552" s="3">
        <f t="shared" si="1264"/>
        <v>1138</v>
      </c>
      <c r="AJ552" s="3">
        <f t="shared" si="1264"/>
        <v>2191</v>
      </c>
      <c r="AK552" s="3">
        <f t="shared" si="1264"/>
        <v>955</v>
      </c>
      <c r="AL552" s="150">
        <f t="shared" si="1264"/>
        <v>748</v>
      </c>
      <c r="AM552" s="3">
        <f t="shared" si="1264"/>
        <v>460</v>
      </c>
      <c r="AN552" s="3">
        <f t="shared" si="1264"/>
        <v>434</v>
      </c>
      <c r="AO552" s="3">
        <f t="shared" si="1264"/>
        <v>126</v>
      </c>
      <c r="AP552" s="3">
        <f t="shared" si="1264"/>
        <v>60</v>
      </c>
      <c r="AQ552" s="3">
        <f t="shared" si="1264"/>
        <v>0</v>
      </c>
      <c r="AR552" s="3">
        <f t="shared" si="1263"/>
        <v>305882</v>
      </c>
      <c r="AS552" s="3"/>
      <c r="AT552" s="3"/>
      <c r="AU552" s="3"/>
      <c r="AV552" s="3">
        <f>SUM(AV533:AV551)</f>
        <v>5590</v>
      </c>
      <c r="AW552" s="3">
        <f>SUM(AW533:AW551)</f>
        <v>7853</v>
      </c>
      <c r="AX552" s="3">
        <f t="shared" ref="AX552:BE552" si="1265">SUM(AX533:AX551)</f>
        <v>55440</v>
      </c>
      <c r="AY552" s="3">
        <f t="shared" si="1265"/>
        <v>111261</v>
      </c>
      <c r="AZ552" s="3">
        <f t="shared" si="1265"/>
        <v>84833</v>
      </c>
      <c r="BA552" s="3">
        <f t="shared" si="1265"/>
        <v>29052</v>
      </c>
      <c r="BB552" s="3">
        <f t="shared" si="1265"/>
        <v>4661</v>
      </c>
      <c r="BC552" s="3">
        <f t="shared" si="1265"/>
        <v>5364</v>
      </c>
      <c r="BD552" s="3">
        <f t="shared" si="1265"/>
        <v>1828</v>
      </c>
      <c r="BE552" s="3">
        <f t="shared" si="1265"/>
        <v>0</v>
      </c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</row>
    <row r="553" spans="1:73" s="10" customFormat="1" ht="15" customHeight="1" x14ac:dyDescent="0.25">
      <c r="B553" s="2"/>
      <c r="C553" s="38" t="s">
        <v>97</v>
      </c>
      <c r="D553" s="11">
        <f>+D552</f>
        <v>0</v>
      </c>
      <c r="E553" s="11">
        <f>+D553+E552</f>
        <v>0</v>
      </c>
      <c r="F553" s="11">
        <f t="shared" ref="F553" si="1266">+E553+F552</f>
        <v>0</v>
      </c>
      <c r="G553" s="11">
        <f t="shared" ref="G553" si="1267">+F553+G552</f>
        <v>5590</v>
      </c>
      <c r="H553" s="11">
        <f t="shared" ref="H553" si="1268">+G553+H552</f>
        <v>7832</v>
      </c>
      <c r="I553" s="11">
        <f t="shared" ref="I553" si="1269">+H553+I552</f>
        <v>8258</v>
      </c>
      <c r="J553" s="11">
        <f t="shared" ref="J553" si="1270">+I553+J552</f>
        <v>9806</v>
      </c>
      <c r="K553" s="11">
        <f t="shared" ref="K553" si="1271">+J553+K552</f>
        <v>13443</v>
      </c>
      <c r="L553" s="11">
        <f t="shared" ref="L553" si="1272">+K553+L552</f>
        <v>18375</v>
      </c>
      <c r="M553" s="11">
        <f t="shared" ref="M553" si="1273">+L553+M552</f>
        <v>30500</v>
      </c>
      <c r="N553" s="11">
        <f t="shared" ref="N553" si="1274">+M553+N552</f>
        <v>40122</v>
      </c>
      <c r="O553" s="11">
        <f t="shared" ref="O553" si="1275">+N553+O552</f>
        <v>51375</v>
      </c>
      <c r="P553" s="11">
        <f t="shared" ref="P553" si="1276">+O553+P552</f>
        <v>68883</v>
      </c>
      <c r="Q553" s="11">
        <f t="shared" ref="Q553" si="1277">+P553+Q552</f>
        <v>95465</v>
      </c>
      <c r="R553" s="11">
        <f t="shared" ref="R553" si="1278">+Q553+R552</f>
        <v>123955</v>
      </c>
      <c r="S553" s="11">
        <f t="shared" ref="S553" si="1279">+R553+S552</f>
        <v>150802</v>
      </c>
      <c r="T553" s="11">
        <f t="shared" ref="T553" si="1280">+S553+T552</f>
        <v>180144</v>
      </c>
      <c r="U553" s="11">
        <f t="shared" ref="U553" si="1281">+T553+U552</f>
        <v>208529</v>
      </c>
      <c r="V553" s="11">
        <f t="shared" ref="V553" si="1282">+U553+V552</f>
        <v>227097</v>
      </c>
      <c r="W553" s="11">
        <f t="shared" ref="W553" si="1283">+V553+W552</f>
        <v>247548</v>
      </c>
      <c r="X553" s="11">
        <f t="shared" ref="X553" si="1284">+W553+X552</f>
        <v>264977</v>
      </c>
      <c r="Y553" s="11">
        <f t="shared" ref="Y553" si="1285">+X553+Y552</f>
        <v>278869</v>
      </c>
      <c r="Z553" s="11">
        <f t="shared" ref="Z553" si="1286">+Y553+Z552</f>
        <v>284441</v>
      </c>
      <c r="AA553" s="11">
        <f t="shared" ref="AA553" si="1287">+Z553+AA552</f>
        <v>289130</v>
      </c>
      <c r="AB553" s="11">
        <f t="shared" ref="AB553" si="1288">+AA553+AB552</f>
        <v>292194</v>
      </c>
      <c r="AC553" s="11">
        <f t="shared" ref="AC553" si="1289">+AB553+AC552</f>
        <v>294029</v>
      </c>
      <c r="AD553" s="11">
        <f t="shared" ref="AD553" si="1290">+AC553+AD552</f>
        <v>296003</v>
      </c>
      <c r="AE553" s="11">
        <f t="shared" ref="AE553" si="1291">+AD553+AE552</f>
        <v>296980</v>
      </c>
      <c r="AF553" s="11">
        <f t="shared" ref="AF553" si="1292">+AE553+AF552</f>
        <v>297779</v>
      </c>
      <c r="AG553" s="11">
        <f t="shared" ref="AG553" si="1293">+AF553+AG552</f>
        <v>298690</v>
      </c>
      <c r="AH553" s="147">
        <f t="shared" ref="AH553" si="1294">+AG553+AH552</f>
        <v>299770</v>
      </c>
      <c r="AI553" s="11">
        <f t="shared" ref="AI553" si="1295">+AH553+AI552</f>
        <v>300908</v>
      </c>
      <c r="AJ553" s="11">
        <f t="shared" ref="AJ553" si="1296">+AI553+AJ552</f>
        <v>303099</v>
      </c>
      <c r="AK553" s="11">
        <f t="shared" ref="AK553" si="1297">+AJ553+AK552</f>
        <v>304054</v>
      </c>
      <c r="AL553" s="147">
        <f t="shared" ref="AL553" si="1298">+AK553+AL552</f>
        <v>304802</v>
      </c>
      <c r="AM553" s="11">
        <f t="shared" ref="AM553" si="1299">+AL553+AM552</f>
        <v>305262</v>
      </c>
      <c r="AN553" s="11">
        <f t="shared" ref="AN553" si="1300">+AM553+AN552</f>
        <v>305696</v>
      </c>
      <c r="AO553" s="11">
        <f t="shared" ref="AO553" si="1301">+AN553+AO552</f>
        <v>305822</v>
      </c>
      <c r="AP553" s="11">
        <f t="shared" ref="AP553" si="1302">+AO553+AP552</f>
        <v>305882</v>
      </c>
      <c r="AQ553" s="11">
        <f t="shared" ref="AQ553" si="1303">+AP553+AQ552</f>
        <v>305882</v>
      </c>
      <c r="AR553" s="40"/>
      <c r="AS553" s="11"/>
      <c r="AT553" s="11"/>
      <c r="AU553" s="11"/>
      <c r="AV553" s="11">
        <f>+AV552</f>
        <v>5590</v>
      </c>
      <c r="AW553" s="1">
        <f>+AV553+AW552</f>
        <v>13443</v>
      </c>
      <c r="AX553" s="1">
        <f t="shared" ref="AX553" si="1304">+AW553+AX552</f>
        <v>68883</v>
      </c>
      <c r="AY553" s="1">
        <f t="shared" ref="AY553" si="1305">+AX553+AY552</f>
        <v>180144</v>
      </c>
      <c r="AZ553" s="1">
        <f t="shared" ref="AZ553" si="1306">+AY553+AZ552</f>
        <v>264977</v>
      </c>
      <c r="BA553" s="1">
        <f t="shared" ref="BA553" si="1307">+AZ553+BA552</f>
        <v>294029</v>
      </c>
      <c r="BB553" s="1">
        <f t="shared" ref="BB553" si="1308">+BA553+BB552</f>
        <v>298690</v>
      </c>
      <c r="BC553" s="1">
        <f t="shared" ref="BC553" si="1309">+BB553+BC552</f>
        <v>304054</v>
      </c>
      <c r="BD553" s="1">
        <f t="shared" ref="BD553" si="1310">+BC553+BD552</f>
        <v>305882</v>
      </c>
      <c r="BE553" s="1">
        <f t="shared" ref="BE553" si="1311">+BD553+BE552</f>
        <v>305882</v>
      </c>
    </row>
    <row r="554" spans="1:73" s="10" customFormat="1" ht="15" customHeight="1" thickBot="1" x14ac:dyDescent="0.25">
      <c r="C554" s="38" t="s">
        <v>219</v>
      </c>
      <c r="D554" s="11">
        <f t="shared" ref="D554:X554" si="1312">+D530+D506+D482+D458+D410+D386+D362+D338+D314+D290+D266+D242+D218+D194+D170+D146+D122</f>
        <v>0</v>
      </c>
      <c r="E554" s="11">
        <f t="shared" si="1312"/>
        <v>0</v>
      </c>
      <c r="F554" s="11">
        <f t="shared" si="1312"/>
        <v>0</v>
      </c>
      <c r="G554" s="11">
        <f t="shared" si="1312"/>
        <v>73760</v>
      </c>
      <c r="H554" s="11">
        <f t="shared" si="1312"/>
        <v>32846</v>
      </c>
      <c r="I554" s="11">
        <f t="shared" si="1312"/>
        <v>6328</v>
      </c>
      <c r="J554" s="11">
        <f t="shared" si="1312"/>
        <v>20614</v>
      </c>
      <c r="K554" s="11">
        <f t="shared" si="1312"/>
        <v>46056</v>
      </c>
      <c r="L554" s="11">
        <f t="shared" si="1312"/>
        <v>71296</v>
      </c>
      <c r="M554" s="11">
        <f t="shared" si="1312"/>
        <v>199390</v>
      </c>
      <c r="N554" s="11">
        <f t="shared" si="1312"/>
        <v>155116</v>
      </c>
      <c r="O554" s="11">
        <f t="shared" si="1312"/>
        <v>188344</v>
      </c>
      <c r="P554" s="11">
        <f t="shared" si="1312"/>
        <v>291934</v>
      </c>
      <c r="Q554" s="11">
        <f t="shared" si="1312"/>
        <v>382882</v>
      </c>
      <c r="R554" s="11">
        <f t="shared" si="1312"/>
        <v>416048</v>
      </c>
      <c r="S554" s="11">
        <f t="shared" si="1312"/>
        <v>410906</v>
      </c>
      <c r="T554" s="11">
        <f t="shared" si="1312"/>
        <v>425846</v>
      </c>
      <c r="U554" s="11">
        <f t="shared" si="1312"/>
        <v>428950</v>
      </c>
      <c r="V554" s="11">
        <f t="shared" si="1312"/>
        <v>296178</v>
      </c>
      <c r="W554" s="11">
        <f t="shared" si="1312"/>
        <v>303486</v>
      </c>
      <c r="X554" s="11">
        <f t="shared" si="1312"/>
        <v>286742</v>
      </c>
      <c r="Y554" s="11">
        <f>+Y530+Y506+Y482+Y458+Y410+Y386+Y362+Y338+Y314+Y290+Y266+Y242+Y218+Y194+Y170+Y146+Y122</f>
        <v>204066</v>
      </c>
      <c r="Z554" s="11">
        <f t="shared" ref="Z554:AQ554" si="1313">+Z530+Z506+Z482+Z458+Z410+Z386+Z362+Z338+Z314+Z290+Z266+Z242+Z218+Z194+Z170+Z146+Z122</f>
        <v>84726</v>
      </c>
      <c r="AA554" s="11">
        <f t="shared" si="1313"/>
        <v>67372</v>
      </c>
      <c r="AB554" s="11">
        <f t="shared" si="1313"/>
        <v>42342</v>
      </c>
      <c r="AC554" s="11">
        <f t="shared" si="1313"/>
        <v>23210</v>
      </c>
      <c r="AD554" s="11">
        <f t="shared" si="1313"/>
        <v>25432</v>
      </c>
      <c r="AE554" s="11">
        <f t="shared" si="1313"/>
        <v>11446</v>
      </c>
      <c r="AF554" s="11">
        <f t="shared" si="1313"/>
        <v>10762</v>
      </c>
      <c r="AG554" s="11">
        <f t="shared" si="1313"/>
        <v>11648</v>
      </c>
      <c r="AH554" s="147">
        <f t="shared" si="1313"/>
        <v>12200</v>
      </c>
      <c r="AI554" s="11">
        <f t="shared" si="1313"/>
        <v>14654</v>
      </c>
      <c r="AJ554" s="11">
        <f t="shared" si="1313"/>
        <v>24798</v>
      </c>
      <c r="AK554" s="11">
        <f t="shared" si="1313"/>
        <v>14000</v>
      </c>
      <c r="AL554" s="147">
        <f t="shared" si="1313"/>
        <v>9954</v>
      </c>
      <c r="AM554" s="11">
        <f t="shared" si="1313"/>
        <v>5950</v>
      </c>
      <c r="AN554" s="11">
        <f t="shared" si="1313"/>
        <v>5502</v>
      </c>
      <c r="AO554" s="11">
        <f t="shared" si="1313"/>
        <v>1758</v>
      </c>
      <c r="AP554" s="11">
        <f t="shared" si="1313"/>
        <v>720</v>
      </c>
      <c r="AQ554" s="11">
        <f t="shared" si="1313"/>
        <v>0</v>
      </c>
      <c r="AR554" s="40">
        <f>SUM(D554:AQ554)</f>
        <v>4607262</v>
      </c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</row>
    <row r="555" spans="1:73" s="2" customFormat="1" ht="15" customHeight="1" x14ac:dyDescent="0.25">
      <c r="A555" s="2" t="s">
        <v>85</v>
      </c>
      <c r="D555" s="3">
        <f>+D123+D147+D171+D195+D267+D291+D315+D339+D363+D387+D411</f>
        <v>0</v>
      </c>
      <c r="E555" s="3">
        <f t="shared" ref="E555:AQ555" si="1314">+E123+E147+E171+E195+E267+E291+E315+E339+E363+E387+E411</f>
        <v>0</v>
      </c>
      <c r="F555" s="3">
        <f t="shared" si="1314"/>
        <v>0</v>
      </c>
      <c r="G555" s="3">
        <f t="shared" si="1314"/>
        <v>0</v>
      </c>
      <c r="H555" s="3">
        <f t="shared" si="1314"/>
        <v>0</v>
      </c>
      <c r="I555" s="3">
        <f t="shared" si="1314"/>
        <v>0</v>
      </c>
      <c r="J555" s="3">
        <f t="shared" si="1314"/>
        <v>0</v>
      </c>
      <c r="K555" s="3">
        <f t="shared" si="1314"/>
        <v>0</v>
      </c>
      <c r="L555" s="3">
        <f t="shared" si="1314"/>
        <v>746.5</v>
      </c>
      <c r="M555" s="3">
        <f t="shared" si="1314"/>
        <v>4434.5</v>
      </c>
      <c r="N555" s="3">
        <f t="shared" si="1314"/>
        <v>2861</v>
      </c>
      <c r="O555" s="3">
        <f t="shared" si="1314"/>
        <v>4175.5</v>
      </c>
      <c r="P555" s="3">
        <f t="shared" si="1314"/>
        <v>6388.5</v>
      </c>
      <c r="Q555" s="3">
        <f t="shared" si="1314"/>
        <v>10974.5</v>
      </c>
      <c r="R555" s="3">
        <f t="shared" si="1314"/>
        <v>10916</v>
      </c>
      <c r="S555" s="3">
        <f t="shared" si="1314"/>
        <v>10704.5</v>
      </c>
      <c r="T555" s="3">
        <f t="shared" si="1314"/>
        <v>11212</v>
      </c>
      <c r="U555" s="3">
        <f t="shared" si="1314"/>
        <v>10819.5</v>
      </c>
      <c r="V555" s="3">
        <f t="shared" si="1314"/>
        <v>6207.5</v>
      </c>
      <c r="W555" s="3">
        <f t="shared" si="1314"/>
        <v>7767.5</v>
      </c>
      <c r="X555" s="3">
        <f t="shared" si="1314"/>
        <v>5872.5</v>
      </c>
      <c r="Y555" s="3">
        <f t="shared" si="1314"/>
        <v>4577.5</v>
      </c>
      <c r="Z555" s="3">
        <f>+Z123+Z147+Z171+Z195+Z267+Z291+Z315+Z339+Z363+Z387+Z411</f>
        <v>1371.5</v>
      </c>
      <c r="AA555" s="3">
        <f t="shared" si="1314"/>
        <v>803</v>
      </c>
      <c r="AB555" s="3">
        <f t="shared" si="1314"/>
        <v>308.5</v>
      </c>
      <c r="AC555" s="3">
        <f t="shared" si="1314"/>
        <v>29.5</v>
      </c>
      <c r="AD555" s="3">
        <f t="shared" si="1314"/>
        <v>4.5</v>
      </c>
      <c r="AE555" s="3">
        <f t="shared" si="1314"/>
        <v>0</v>
      </c>
      <c r="AF555" s="3">
        <f t="shared" si="1314"/>
        <v>0</v>
      </c>
      <c r="AG555" s="3">
        <f t="shared" si="1314"/>
        <v>0</v>
      </c>
      <c r="AH555" s="150">
        <f t="shared" si="1314"/>
        <v>0</v>
      </c>
      <c r="AI555" s="3">
        <f t="shared" si="1314"/>
        <v>0</v>
      </c>
      <c r="AJ555" s="3">
        <f t="shared" si="1314"/>
        <v>0</v>
      </c>
      <c r="AK555" s="3">
        <f t="shared" si="1314"/>
        <v>0</v>
      </c>
      <c r="AL555" s="150">
        <f t="shared" si="1314"/>
        <v>0</v>
      </c>
      <c r="AM555" s="3">
        <f t="shared" si="1314"/>
        <v>0</v>
      </c>
      <c r="AN555" s="3">
        <f t="shared" si="1314"/>
        <v>0</v>
      </c>
      <c r="AO555" s="3">
        <f t="shared" si="1314"/>
        <v>0</v>
      </c>
      <c r="AP555" s="3">
        <f t="shared" si="1314"/>
        <v>0</v>
      </c>
      <c r="AQ555" s="3">
        <f t="shared" si="1314"/>
        <v>0</v>
      </c>
      <c r="AR555" s="3">
        <f>SUM(D555:AQ555)</f>
        <v>100174.5</v>
      </c>
      <c r="AS555" s="3"/>
      <c r="AT555" s="87" t="s">
        <v>375</v>
      </c>
      <c r="AU555" s="88"/>
      <c r="AV555" s="89">
        <f>+AV120+AV144+AV168+AV216+AV264</f>
        <v>2904</v>
      </c>
      <c r="AW555" s="89">
        <f>+AW120+AW144+AW168+AW216+AW264</f>
        <v>4302</v>
      </c>
      <c r="AX555" s="89">
        <f t="shared" ref="AX555:BE555" si="1315">+AX120+AX144+AX168+AX216+AX264</f>
        <v>45888</v>
      </c>
      <c r="AY555" s="89">
        <f t="shared" si="1315"/>
        <v>67805</v>
      </c>
      <c r="AZ555" s="89">
        <f t="shared" si="1315"/>
        <v>61870</v>
      </c>
      <c r="BA555" s="89">
        <f t="shared" si="1315"/>
        <v>18930</v>
      </c>
      <c r="BB555" s="89">
        <f t="shared" si="1315"/>
        <v>2200</v>
      </c>
      <c r="BC555" s="89">
        <f t="shared" si="1315"/>
        <v>2274</v>
      </c>
      <c r="BD555" s="89">
        <f t="shared" si="1315"/>
        <v>926</v>
      </c>
      <c r="BE555" s="89">
        <f t="shared" si="1315"/>
        <v>0</v>
      </c>
      <c r="BF555" s="90">
        <f t="shared" ref="BF555:BF561" si="1316">SUM(AW555:BE555)</f>
        <v>204195</v>
      </c>
      <c r="BG555" s="1"/>
    </row>
    <row r="556" spans="1:73" s="2" customFormat="1" ht="15" customHeight="1" x14ac:dyDescent="0.25">
      <c r="A556" s="2" t="s">
        <v>308</v>
      </c>
      <c r="D556" s="3">
        <f>+D243+D219</f>
        <v>0</v>
      </c>
      <c r="E556" s="3">
        <f t="shared" ref="E556:AQ556" si="1317">+E243+E219</f>
        <v>0</v>
      </c>
      <c r="F556" s="3">
        <f t="shared" si="1317"/>
        <v>0</v>
      </c>
      <c r="G556" s="3">
        <f t="shared" si="1317"/>
        <v>2795</v>
      </c>
      <c r="H556" s="3">
        <f t="shared" si="1317"/>
        <v>1121</v>
      </c>
      <c r="I556" s="3">
        <f t="shared" si="1317"/>
        <v>213</v>
      </c>
      <c r="J556" s="3">
        <f t="shared" si="1317"/>
        <v>774</v>
      </c>
      <c r="K556" s="3">
        <f t="shared" si="1317"/>
        <v>1818.5</v>
      </c>
      <c r="L556" s="3">
        <f t="shared" si="1317"/>
        <v>1719.5</v>
      </c>
      <c r="M556" s="3">
        <f t="shared" si="1317"/>
        <v>1628</v>
      </c>
      <c r="N556" s="3">
        <f t="shared" si="1317"/>
        <v>1950</v>
      </c>
      <c r="O556" s="3">
        <f t="shared" si="1317"/>
        <v>1451</v>
      </c>
      <c r="P556" s="3">
        <f t="shared" si="1317"/>
        <v>2181.5</v>
      </c>
      <c r="Q556" s="3">
        <f t="shared" si="1317"/>
        <v>2316.5</v>
      </c>
      <c r="R556" s="3">
        <f t="shared" si="1317"/>
        <v>2429</v>
      </c>
      <c r="S556" s="3">
        <f t="shared" si="1317"/>
        <v>2719</v>
      </c>
      <c r="T556" s="3">
        <f t="shared" si="1317"/>
        <v>2784</v>
      </c>
      <c r="U556" s="3">
        <f t="shared" si="1317"/>
        <v>3253</v>
      </c>
      <c r="V556" s="3">
        <f t="shared" si="1317"/>
        <v>2483.5</v>
      </c>
      <c r="W556" s="3">
        <f t="shared" si="1317"/>
        <v>2458</v>
      </c>
      <c r="X556" s="3">
        <f t="shared" si="1317"/>
        <v>2842</v>
      </c>
      <c r="Y556" s="3">
        <f t="shared" si="1317"/>
        <v>2368.5</v>
      </c>
      <c r="Z556" s="3">
        <f t="shared" si="1317"/>
        <v>1414.5</v>
      </c>
      <c r="AA556" s="3">
        <f t="shared" si="1317"/>
        <v>1541.5</v>
      </c>
      <c r="AB556" s="3">
        <f t="shared" si="1317"/>
        <v>1223.5</v>
      </c>
      <c r="AC556" s="3">
        <f t="shared" si="1317"/>
        <v>888</v>
      </c>
      <c r="AD556" s="3">
        <f t="shared" si="1317"/>
        <v>982.5</v>
      </c>
      <c r="AE556" s="3">
        <f t="shared" si="1317"/>
        <v>488.5</v>
      </c>
      <c r="AF556" s="3">
        <f t="shared" si="1317"/>
        <v>399.5</v>
      </c>
      <c r="AG556" s="3">
        <f t="shared" si="1317"/>
        <v>455.5</v>
      </c>
      <c r="AH556" s="150">
        <f t="shared" si="1317"/>
        <v>540</v>
      </c>
      <c r="AI556" s="3">
        <f t="shared" si="1317"/>
        <v>569</v>
      </c>
      <c r="AJ556" s="3">
        <f t="shared" si="1317"/>
        <v>1095.5</v>
      </c>
      <c r="AK556" s="3">
        <f t="shared" si="1317"/>
        <v>477.5</v>
      </c>
      <c r="AL556" s="150">
        <f t="shared" si="1317"/>
        <v>374</v>
      </c>
      <c r="AM556" s="3">
        <f t="shared" si="1317"/>
        <v>230</v>
      </c>
      <c r="AN556" s="3">
        <f t="shared" si="1317"/>
        <v>217</v>
      </c>
      <c r="AO556" s="3">
        <f t="shared" si="1317"/>
        <v>63</v>
      </c>
      <c r="AP556" s="3">
        <f t="shared" si="1317"/>
        <v>30</v>
      </c>
      <c r="AQ556" s="3">
        <f t="shared" si="1317"/>
        <v>0</v>
      </c>
      <c r="AR556" s="3">
        <f>SUM(D556:AQ556)</f>
        <v>50294.5</v>
      </c>
      <c r="AS556" s="3"/>
      <c r="AT556" s="91" t="s">
        <v>376</v>
      </c>
      <c r="AU556" s="35"/>
      <c r="AV556" s="1">
        <f>+AV192+AV288+AV312+AV336+AV360+AV384</f>
        <v>0</v>
      </c>
      <c r="AW556" s="1">
        <f>+AW192+AW288+AW312+AW336+AW360+AW384</f>
        <v>0</v>
      </c>
      <c r="AX556" s="1">
        <f t="shared" ref="AX556:BE556" si="1318">+AX192+AX288+AX312+AX336+AX360+AX384</f>
        <v>0</v>
      </c>
      <c r="AY556" s="1">
        <f t="shared" si="1318"/>
        <v>33772</v>
      </c>
      <c r="AZ556" s="1">
        <f t="shared" si="1318"/>
        <v>8996</v>
      </c>
      <c r="BA556" s="1">
        <f t="shared" si="1318"/>
        <v>0</v>
      </c>
      <c r="BB556" s="1">
        <f t="shared" si="1318"/>
        <v>0</v>
      </c>
      <c r="BC556" s="1">
        <f t="shared" si="1318"/>
        <v>0</v>
      </c>
      <c r="BD556" s="1">
        <f t="shared" si="1318"/>
        <v>0</v>
      </c>
      <c r="BE556" s="1">
        <f t="shared" si="1318"/>
        <v>0</v>
      </c>
      <c r="BF556" s="92">
        <f t="shared" si="1316"/>
        <v>42768</v>
      </c>
      <c r="BG556" s="1"/>
    </row>
    <row r="557" spans="1:73" s="2" customFormat="1" ht="15" customHeight="1" x14ac:dyDescent="0.25">
      <c r="A557" s="2" t="s">
        <v>83</v>
      </c>
      <c r="D557" s="3">
        <f>+Daily!D14</f>
        <v>0</v>
      </c>
      <c r="E557" s="3">
        <f>+Daily!E14</f>
        <v>0</v>
      </c>
      <c r="F557" s="3">
        <f>+Daily!F14</f>
        <v>0</v>
      </c>
      <c r="G557" s="3">
        <f>+Daily!G14</f>
        <v>0</v>
      </c>
      <c r="H557" s="3">
        <f>+Daily!H14</f>
        <v>0</v>
      </c>
      <c r="I557" s="3">
        <f>+Daily!I14</f>
        <v>0</v>
      </c>
      <c r="J557" s="3">
        <f>+Daily!J14</f>
        <v>0</v>
      </c>
      <c r="K557" s="3">
        <f>+Daily!K14</f>
        <v>0</v>
      </c>
      <c r="L557" s="3">
        <f>+Daily!L14</f>
        <v>120</v>
      </c>
      <c r="M557" s="3">
        <f>+Daily!M14</f>
        <v>50</v>
      </c>
      <c r="N557" s="3">
        <f>+Daily!N14</f>
        <v>50</v>
      </c>
      <c r="O557" s="3">
        <f>+Daily!O14</f>
        <v>50</v>
      </c>
      <c r="P557" s="3">
        <f>+Daily!P14</f>
        <v>40</v>
      </c>
      <c r="Q557" s="3">
        <f>+Daily!Q14</f>
        <v>120</v>
      </c>
      <c r="R557" s="3">
        <f>+Daily!R14</f>
        <v>100</v>
      </c>
      <c r="S557" s="3">
        <f>+Daily!S14</f>
        <v>45</v>
      </c>
      <c r="T557" s="3">
        <f>+Daily!T14</f>
        <v>110</v>
      </c>
      <c r="U557" s="3">
        <f>+Daily!U14</f>
        <v>40</v>
      </c>
      <c r="V557" s="3">
        <f>+Daily!V14</f>
        <v>83</v>
      </c>
      <c r="W557" s="3">
        <f>+Daily!W14</f>
        <v>26</v>
      </c>
      <c r="X557" s="3">
        <f>+Daily!X14</f>
        <v>0</v>
      </c>
      <c r="Y557" s="3">
        <f>+Daily!Y14</f>
        <v>30</v>
      </c>
      <c r="Z557" s="3">
        <f>+Daily!Z14</f>
        <v>0</v>
      </c>
      <c r="AA557" s="3">
        <f>+Daily!AA14</f>
        <v>25</v>
      </c>
      <c r="AB557" s="3">
        <f>+Daily!AB14</f>
        <v>0</v>
      </c>
      <c r="AC557" s="3">
        <f>+Daily!AC14</f>
        <v>25</v>
      </c>
      <c r="AD557" s="3">
        <f>+Daily!AD14</f>
        <v>0</v>
      </c>
      <c r="AE557" s="3">
        <f>+Daily!AE14</f>
        <v>20</v>
      </c>
      <c r="AF557" s="3">
        <f>+Daily!AF14</f>
        <v>0</v>
      </c>
      <c r="AG557" s="3">
        <f>+Daily!AG14</f>
        <v>0</v>
      </c>
      <c r="AH557" s="150">
        <f>+Daily!AH14</f>
        <v>100</v>
      </c>
      <c r="AI557" s="3">
        <f>+Daily!AI14</f>
        <v>0</v>
      </c>
      <c r="AJ557" s="3">
        <f>+Daily!AJ14</f>
        <v>0</v>
      </c>
      <c r="AK557" s="3">
        <f>+Daily!AK14</f>
        <v>0</v>
      </c>
      <c r="AL557" s="150">
        <f>+Daily!AL14</f>
        <v>0</v>
      </c>
      <c r="AM557" s="3">
        <f>+Daily!AM14</f>
        <v>0</v>
      </c>
      <c r="AN557" s="3">
        <f>+Daily!AN14</f>
        <v>0</v>
      </c>
      <c r="AO557" s="3">
        <f>+Daily!AO14</f>
        <v>0</v>
      </c>
      <c r="AP557" s="3">
        <f>+Daily!AP14</f>
        <v>0</v>
      </c>
      <c r="AQ557" s="3">
        <f>+Daily!AQ14</f>
        <v>0</v>
      </c>
      <c r="AR557" s="3">
        <f>SUM(D557:AQ557)</f>
        <v>1034</v>
      </c>
      <c r="AS557" s="3"/>
      <c r="AT557" s="91" t="s">
        <v>377</v>
      </c>
      <c r="AU557" s="35"/>
      <c r="AV557" s="1">
        <f t="shared" ref="AV557" si="1319">+AV240+AV408</f>
        <v>2686</v>
      </c>
      <c r="AW557" s="1">
        <f t="shared" ref="AW557:AZ557" si="1320">+AW240+AW408</f>
        <v>3551</v>
      </c>
      <c r="AX557" s="1">
        <f t="shared" si="1320"/>
        <v>9184</v>
      </c>
      <c r="AY557" s="1">
        <f t="shared" si="1320"/>
        <v>9684</v>
      </c>
      <c r="AZ557" s="1">
        <f t="shared" si="1320"/>
        <v>13967</v>
      </c>
      <c r="BA557" s="1">
        <f>+BA240+BA408</f>
        <v>10122</v>
      </c>
      <c r="BB557" s="1">
        <f t="shared" ref="BB557:BE557" si="1321">+BB240+BB389</f>
        <v>2461</v>
      </c>
      <c r="BC557" s="1">
        <f t="shared" si="1321"/>
        <v>3090</v>
      </c>
      <c r="BD557" s="1">
        <f t="shared" si="1321"/>
        <v>902</v>
      </c>
      <c r="BE557" s="1">
        <f t="shared" si="1321"/>
        <v>0</v>
      </c>
      <c r="BF557" s="92">
        <f t="shared" si="1316"/>
        <v>52961</v>
      </c>
      <c r="BG557" s="1"/>
    </row>
    <row r="558" spans="1:73" s="2" customFormat="1" ht="15" customHeight="1" x14ac:dyDescent="0.25"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150"/>
      <c r="AI558" s="3"/>
      <c r="AJ558" s="3"/>
      <c r="AK558" s="3"/>
      <c r="AL558" s="150"/>
      <c r="AM558" s="3"/>
      <c r="AN558" s="3"/>
      <c r="AO558" s="3"/>
      <c r="AP558" s="3"/>
      <c r="AQ558" s="3"/>
      <c r="AR558" s="3"/>
      <c r="AS558" s="3"/>
      <c r="AT558" s="91" t="s">
        <v>378</v>
      </c>
      <c r="AU558" s="35"/>
      <c r="AV558" s="1">
        <f>+AV494</f>
        <v>0</v>
      </c>
      <c r="AW558" s="1">
        <f>+AW494</f>
        <v>0</v>
      </c>
      <c r="AX558" s="1">
        <f t="shared" ref="AX558:BE558" si="1322">+AX494</f>
        <v>0</v>
      </c>
      <c r="AY558" s="1">
        <f t="shared" si="1322"/>
        <v>0</v>
      </c>
      <c r="AZ558" s="1">
        <f t="shared" si="1322"/>
        <v>0</v>
      </c>
      <c r="BA558" s="1">
        <f t="shared" si="1322"/>
        <v>0</v>
      </c>
      <c r="BB558" s="1">
        <f t="shared" si="1322"/>
        <v>0</v>
      </c>
      <c r="BC558" s="1">
        <f t="shared" si="1322"/>
        <v>0</v>
      </c>
      <c r="BD558" s="1">
        <f t="shared" si="1322"/>
        <v>0</v>
      </c>
      <c r="BE558" s="1">
        <f t="shared" si="1322"/>
        <v>0</v>
      </c>
      <c r="BF558" s="92">
        <f t="shared" si="1316"/>
        <v>0</v>
      </c>
      <c r="BG558" s="1"/>
    </row>
    <row r="559" spans="1:73" s="24" customFormat="1" ht="15" customHeight="1" x14ac:dyDescent="0.25">
      <c r="A559" s="23"/>
      <c r="B559" s="24" t="s">
        <v>167</v>
      </c>
      <c r="D559" s="25">
        <f>+Daily!D25</f>
        <v>0</v>
      </c>
      <c r="E559" s="25">
        <f>+Daily!E25</f>
        <v>0</v>
      </c>
      <c r="F559" s="25">
        <f>+Daily!F25</f>
        <v>0</v>
      </c>
      <c r="G559" s="25">
        <f>+Daily!G25</f>
        <v>5590</v>
      </c>
      <c r="H559" s="25">
        <f>+Daily!H25</f>
        <v>2242</v>
      </c>
      <c r="I559" s="25">
        <f>+Daily!I25</f>
        <v>426</v>
      </c>
      <c r="J559" s="25">
        <f>+Daily!J25</f>
        <v>1548</v>
      </c>
      <c r="K559" s="25">
        <f>+Daily!K25</f>
        <v>3637</v>
      </c>
      <c r="L559" s="25">
        <f>+Daily!L25</f>
        <v>4932</v>
      </c>
      <c r="M559" s="25">
        <f>+Daily!M25</f>
        <v>12135</v>
      </c>
      <c r="N559" s="25">
        <f>+Daily!N25</f>
        <v>9622</v>
      </c>
      <c r="O559" s="25">
        <f>+Daily!O25</f>
        <v>11253</v>
      </c>
      <c r="P559" s="25">
        <f>+Daily!P25</f>
        <v>17487</v>
      </c>
      <c r="Q559" s="25">
        <f>+Daily!Q25</f>
        <v>26605</v>
      </c>
      <c r="R559" s="25">
        <f>+Daily!R25</f>
        <v>28506</v>
      </c>
      <c r="S559" s="25">
        <f>+Daily!S25</f>
        <v>26847</v>
      </c>
      <c r="T559" s="25">
        <f>+Daily!T25</f>
        <v>29342</v>
      </c>
      <c r="U559" s="25">
        <f>+Daily!U25</f>
        <v>28466</v>
      </c>
      <c r="V559" s="25">
        <f>+Daily!V25</f>
        <v>18586</v>
      </c>
      <c r="W559" s="25">
        <f>+Daily!W25</f>
        <v>20457</v>
      </c>
      <c r="X559" s="25">
        <f>+Daily!X25</f>
        <v>17429</v>
      </c>
      <c r="Y559" s="25">
        <f>+Daily!Y25</f>
        <v>14542</v>
      </c>
      <c r="Z559" s="25">
        <f>+Daily!Z25</f>
        <v>5572</v>
      </c>
      <c r="AA559" s="25">
        <f>+Daily!AA25</f>
        <v>4689</v>
      </c>
      <c r="AB559" s="25">
        <f>+Daily!AB25</f>
        <v>3064</v>
      </c>
      <c r="AC559" s="25">
        <f>+Daily!AC25</f>
        <v>1828</v>
      </c>
      <c r="AD559" s="25">
        <f>+Daily!AD25</f>
        <v>1983</v>
      </c>
      <c r="AE559" s="25">
        <f>+Daily!AE25</f>
        <v>977</v>
      </c>
      <c r="AF559" s="25">
        <f>+Daily!AF25</f>
        <v>803</v>
      </c>
      <c r="AG559" s="25">
        <f>+Daily!AG25</f>
        <v>911</v>
      </c>
      <c r="AH559" s="115">
        <f>+Daily!AH25</f>
        <v>1080</v>
      </c>
      <c r="AI559" s="25">
        <f>+Daily!AI25</f>
        <v>1138</v>
      </c>
      <c r="AJ559" s="25">
        <f>+Daily!AJ25</f>
        <v>2191</v>
      </c>
      <c r="AK559" s="25">
        <f>+Daily!AK25</f>
        <v>955</v>
      </c>
      <c r="AL559" s="115">
        <f>+Daily!AL25</f>
        <v>748</v>
      </c>
      <c r="AM559" s="25">
        <f>+Daily!AM25</f>
        <v>460</v>
      </c>
      <c r="AN559" s="25">
        <f>+Daily!AN25</f>
        <v>434</v>
      </c>
      <c r="AO559" s="25">
        <f>+Daily!AO25</f>
        <v>126</v>
      </c>
      <c r="AP559" s="25">
        <f>+Daily!AP25</f>
        <v>0</v>
      </c>
      <c r="AQ559" s="25">
        <f>+Daily!AQ25</f>
        <v>0</v>
      </c>
      <c r="AR559" s="48">
        <f>SUM(D559:AQ559)</f>
        <v>306611</v>
      </c>
      <c r="AS559" s="25"/>
      <c r="AT559" s="91" t="s">
        <v>379</v>
      </c>
      <c r="AU559" s="25"/>
      <c r="AV559" s="1">
        <f>+AV504-AV558</f>
        <v>0</v>
      </c>
      <c r="AW559" s="1">
        <f>+AW504-AW558</f>
        <v>0</v>
      </c>
      <c r="AX559" s="1">
        <f t="shared" ref="AX559:BE559" si="1323">+AX504-AX558</f>
        <v>0</v>
      </c>
      <c r="AY559" s="1">
        <f t="shared" si="1323"/>
        <v>0</v>
      </c>
      <c r="AZ559" s="1">
        <f t="shared" si="1323"/>
        <v>0</v>
      </c>
      <c r="BA559" s="1">
        <f t="shared" si="1323"/>
        <v>0</v>
      </c>
      <c r="BB559" s="1">
        <f t="shared" si="1323"/>
        <v>0</v>
      </c>
      <c r="BC559" s="1">
        <f t="shared" si="1323"/>
        <v>0</v>
      </c>
      <c r="BD559" s="1">
        <f t="shared" si="1323"/>
        <v>0</v>
      </c>
      <c r="BE559" s="1">
        <f t="shared" si="1323"/>
        <v>0</v>
      </c>
      <c r="BF559" s="92">
        <f t="shared" si="1316"/>
        <v>0</v>
      </c>
      <c r="BG559" s="1"/>
    </row>
    <row r="560" spans="1:73" s="24" customFormat="1" ht="15" customHeight="1" x14ac:dyDescent="0.25">
      <c r="A560" s="23"/>
      <c r="B560" s="24" t="s">
        <v>169</v>
      </c>
      <c r="D560" s="25">
        <f>+D559</f>
        <v>0</v>
      </c>
      <c r="E560" s="25">
        <f>+D560+E559</f>
        <v>0</v>
      </c>
      <c r="F560" s="25">
        <f t="shared" ref="F560:AQ560" si="1324">+E560+F559</f>
        <v>0</v>
      </c>
      <c r="G560" s="25">
        <f t="shared" si="1324"/>
        <v>5590</v>
      </c>
      <c r="H560" s="25">
        <f t="shared" si="1324"/>
        <v>7832</v>
      </c>
      <c r="I560" s="25">
        <f t="shared" si="1324"/>
        <v>8258</v>
      </c>
      <c r="J560" s="25">
        <f t="shared" si="1324"/>
        <v>9806</v>
      </c>
      <c r="K560" s="25">
        <f t="shared" si="1324"/>
        <v>13443</v>
      </c>
      <c r="L560" s="25">
        <f t="shared" si="1324"/>
        <v>18375</v>
      </c>
      <c r="M560" s="25">
        <f t="shared" si="1324"/>
        <v>30510</v>
      </c>
      <c r="N560" s="25">
        <f t="shared" si="1324"/>
        <v>40132</v>
      </c>
      <c r="O560" s="25">
        <f t="shared" si="1324"/>
        <v>51385</v>
      </c>
      <c r="P560" s="25">
        <f t="shared" si="1324"/>
        <v>68872</v>
      </c>
      <c r="Q560" s="25">
        <f t="shared" si="1324"/>
        <v>95477</v>
      </c>
      <c r="R560" s="25">
        <f t="shared" si="1324"/>
        <v>123983</v>
      </c>
      <c r="S560" s="25">
        <f t="shared" si="1324"/>
        <v>150830</v>
      </c>
      <c r="T560" s="25">
        <f t="shared" si="1324"/>
        <v>180172</v>
      </c>
      <c r="U560" s="25">
        <f t="shared" si="1324"/>
        <v>208638</v>
      </c>
      <c r="V560" s="25">
        <f t="shared" si="1324"/>
        <v>227224</v>
      </c>
      <c r="W560" s="25">
        <f t="shared" si="1324"/>
        <v>247681</v>
      </c>
      <c r="X560" s="25">
        <f t="shared" si="1324"/>
        <v>265110</v>
      </c>
      <c r="Y560" s="25">
        <f t="shared" si="1324"/>
        <v>279652</v>
      </c>
      <c r="Z560" s="25">
        <f t="shared" si="1324"/>
        <v>285224</v>
      </c>
      <c r="AA560" s="25">
        <f t="shared" si="1324"/>
        <v>289913</v>
      </c>
      <c r="AB560" s="25">
        <f t="shared" si="1324"/>
        <v>292977</v>
      </c>
      <c r="AC560" s="25">
        <f t="shared" si="1324"/>
        <v>294805</v>
      </c>
      <c r="AD560" s="25">
        <f t="shared" si="1324"/>
        <v>296788</v>
      </c>
      <c r="AE560" s="25">
        <f t="shared" si="1324"/>
        <v>297765</v>
      </c>
      <c r="AF560" s="25">
        <f t="shared" si="1324"/>
        <v>298568</v>
      </c>
      <c r="AG560" s="25">
        <f t="shared" si="1324"/>
        <v>299479</v>
      </c>
      <c r="AH560" s="115">
        <f t="shared" si="1324"/>
        <v>300559</v>
      </c>
      <c r="AI560" s="25">
        <f t="shared" si="1324"/>
        <v>301697</v>
      </c>
      <c r="AJ560" s="25">
        <f t="shared" si="1324"/>
        <v>303888</v>
      </c>
      <c r="AK560" s="25">
        <f t="shared" si="1324"/>
        <v>304843</v>
      </c>
      <c r="AL560" s="115">
        <f t="shared" si="1324"/>
        <v>305591</v>
      </c>
      <c r="AM560" s="25">
        <f t="shared" si="1324"/>
        <v>306051</v>
      </c>
      <c r="AN560" s="25">
        <f t="shared" si="1324"/>
        <v>306485</v>
      </c>
      <c r="AO560" s="25">
        <f t="shared" si="1324"/>
        <v>306611</v>
      </c>
      <c r="AP560" s="25">
        <f t="shared" si="1324"/>
        <v>306611</v>
      </c>
      <c r="AQ560" s="25">
        <f t="shared" si="1324"/>
        <v>306611</v>
      </c>
      <c r="AR560" s="48"/>
      <c r="AS560" s="25"/>
      <c r="AT560" s="91" t="s">
        <v>382</v>
      </c>
      <c r="AU560" s="25"/>
      <c r="AV560" s="1">
        <f>+AV528</f>
        <v>0</v>
      </c>
      <c r="AW560" s="1">
        <f>+AW528</f>
        <v>0</v>
      </c>
      <c r="AX560" s="1">
        <f t="shared" ref="AX560:BE560" si="1325">+AX528</f>
        <v>368</v>
      </c>
      <c r="AY560" s="1">
        <f t="shared" si="1325"/>
        <v>0</v>
      </c>
      <c r="AZ560" s="1">
        <f t="shared" si="1325"/>
        <v>0</v>
      </c>
      <c r="BA560" s="1">
        <f t="shared" si="1325"/>
        <v>0</v>
      </c>
      <c r="BB560" s="1">
        <f t="shared" si="1325"/>
        <v>0</v>
      </c>
      <c r="BC560" s="1">
        <f t="shared" si="1325"/>
        <v>0</v>
      </c>
      <c r="BD560" s="1">
        <f t="shared" si="1325"/>
        <v>0</v>
      </c>
      <c r="BE560" s="1">
        <f t="shared" si="1325"/>
        <v>0</v>
      </c>
      <c r="BF560" s="92">
        <f t="shared" si="1316"/>
        <v>368</v>
      </c>
      <c r="BG560" s="1"/>
    </row>
    <row r="561" spans="1:73" ht="15" customHeight="1" x14ac:dyDescent="0.25">
      <c r="AT561" s="91" t="s">
        <v>380</v>
      </c>
      <c r="AV561" s="1">
        <f>+AV480</f>
        <v>0</v>
      </c>
      <c r="AW561" s="1">
        <f>+AW480</f>
        <v>0</v>
      </c>
      <c r="AX561" s="1">
        <f t="shared" ref="AX561:BE561" si="1326">+AX480</f>
        <v>0</v>
      </c>
      <c r="AY561" s="1">
        <f t="shared" si="1326"/>
        <v>0</v>
      </c>
      <c r="AZ561" s="1">
        <f t="shared" si="1326"/>
        <v>0</v>
      </c>
      <c r="BA561" s="1">
        <f t="shared" si="1326"/>
        <v>0</v>
      </c>
      <c r="BB561" s="1">
        <f t="shared" si="1326"/>
        <v>0</v>
      </c>
      <c r="BC561" s="1">
        <f t="shared" si="1326"/>
        <v>0</v>
      </c>
      <c r="BD561" s="1">
        <f t="shared" si="1326"/>
        <v>0</v>
      </c>
      <c r="BE561" s="1">
        <f t="shared" si="1326"/>
        <v>0</v>
      </c>
      <c r="BF561" s="92">
        <f t="shared" si="1316"/>
        <v>0</v>
      </c>
      <c r="BG561" s="1"/>
    </row>
    <row r="562" spans="1:73" ht="15" customHeight="1" x14ac:dyDescent="0.25">
      <c r="AT562" s="93"/>
      <c r="AU562" s="25" t="s">
        <v>381</v>
      </c>
      <c r="AV562" s="25">
        <f>SUM(AV555:AV561)-AV552</f>
        <v>0</v>
      </c>
      <c r="AW562" s="25">
        <f>SUM(AW555:AW561)-AW552</f>
        <v>0</v>
      </c>
      <c r="AX562" s="25">
        <f t="shared" ref="AX562:BE562" si="1327">SUM(AX555:AX561)-AX552</f>
        <v>0</v>
      </c>
      <c r="AY562" s="25">
        <f t="shared" si="1327"/>
        <v>0</v>
      </c>
      <c r="AZ562" s="25">
        <f t="shared" si="1327"/>
        <v>0</v>
      </c>
      <c r="BA562" s="25">
        <f t="shared" si="1327"/>
        <v>0</v>
      </c>
      <c r="BB562" s="25">
        <f t="shared" si="1327"/>
        <v>0</v>
      </c>
      <c r="BC562" s="25">
        <f t="shared" si="1327"/>
        <v>0</v>
      </c>
      <c r="BD562" s="25">
        <f t="shared" si="1327"/>
        <v>0</v>
      </c>
      <c r="BE562" s="25">
        <f t="shared" si="1327"/>
        <v>0</v>
      </c>
      <c r="BF562" s="92"/>
      <c r="BG562" s="1"/>
    </row>
    <row r="563" spans="1:73" ht="15" customHeight="1" x14ac:dyDescent="0.25">
      <c r="A563" s="2" t="s">
        <v>743</v>
      </c>
      <c r="AT563" s="93"/>
      <c r="BF563" s="92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spans="1:73" ht="15" customHeight="1" x14ac:dyDescent="0.25">
      <c r="C564" t="s">
        <v>744</v>
      </c>
      <c r="AT564" s="93"/>
      <c r="BF564" s="92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spans="1:73" ht="15" customHeight="1" x14ac:dyDescent="0.25">
      <c r="C565" t="s">
        <v>551</v>
      </c>
      <c r="AT565" s="91" t="s">
        <v>383</v>
      </c>
      <c r="AV565" s="1">
        <f>+AV555*18</f>
        <v>52272</v>
      </c>
      <c r="AW565" s="1">
        <f>+AW555*18</f>
        <v>77436</v>
      </c>
      <c r="AX565" s="1">
        <f t="shared" ref="AX565:BE565" si="1328">+AX555*18</f>
        <v>825984</v>
      </c>
      <c r="AY565" s="1">
        <f t="shared" si="1328"/>
        <v>1220490</v>
      </c>
      <c r="AZ565" s="1">
        <f t="shared" si="1328"/>
        <v>1113660</v>
      </c>
      <c r="BA565" s="1">
        <f t="shared" si="1328"/>
        <v>340740</v>
      </c>
      <c r="BB565" s="1">
        <f t="shared" si="1328"/>
        <v>39600</v>
      </c>
      <c r="BC565" s="1">
        <f t="shared" si="1328"/>
        <v>40932</v>
      </c>
      <c r="BD565" s="1">
        <f t="shared" si="1328"/>
        <v>16668</v>
      </c>
      <c r="BE565" s="1">
        <f t="shared" si="1328"/>
        <v>0</v>
      </c>
      <c r="BF565" s="92">
        <f t="shared" ref="BF565:BF573" si="1329">SUM(AW565:BE565)</f>
        <v>3675510</v>
      </c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spans="1:73" ht="15" customHeight="1" x14ac:dyDescent="0.25">
      <c r="C566" t="s">
        <v>552</v>
      </c>
      <c r="AT566" s="91" t="s">
        <v>386</v>
      </c>
      <c r="AV566" s="1">
        <f>+AV556*10-AV567-AV568</f>
        <v>1</v>
      </c>
      <c r="AW566" s="1">
        <f>+AW556*10-AW567-AW568</f>
        <v>0</v>
      </c>
      <c r="AX566" s="1">
        <f t="shared" ref="AX566:BE566" si="1330">+AX556*10-AX567-AX568</f>
        <v>0</v>
      </c>
      <c r="AY566" s="1">
        <f t="shared" si="1330"/>
        <v>260370</v>
      </c>
      <c r="AZ566" s="1">
        <f t="shared" si="1330"/>
        <v>87330</v>
      </c>
      <c r="BA566" s="1">
        <f t="shared" si="1330"/>
        <v>0</v>
      </c>
      <c r="BB566" s="1">
        <f t="shared" si="1330"/>
        <v>0</v>
      </c>
      <c r="BC566" s="1">
        <f t="shared" si="1330"/>
        <v>0</v>
      </c>
      <c r="BD566" s="1">
        <f t="shared" si="1330"/>
        <v>0</v>
      </c>
      <c r="BE566" s="1">
        <f t="shared" si="1330"/>
        <v>0</v>
      </c>
      <c r="BF566" s="92">
        <f t="shared" si="1329"/>
        <v>347700</v>
      </c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spans="1:73" ht="15" customHeight="1" x14ac:dyDescent="0.25">
      <c r="C567" t="s">
        <v>225</v>
      </c>
      <c r="AT567" s="91" t="s">
        <v>387</v>
      </c>
      <c r="AV567" s="1">
        <f>+AV312*10</f>
        <v>0</v>
      </c>
      <c r="AW567" s="1">
        <f>+AW312*10</f>
        <v>0</v>
      </c>
      <c r="AX567" s="1">
        <f t="shared" ref="AX567:BE567" si="1331">+AX312*10</f>
        <v>0</v>
      </c>
      <c r="AY567" s="1">
        <f t="shared" si="1331"/>
        <v>77350</v>
      </c>
      <c r="AZ567" s="1">
        <f t="shared" si="1331"/>
        <v>2630</v>
      </c>
      <c r="BA567" s="1">
        <f t="shared" si="1331"/>
        <v>0</v>
      </c>
      <c r="BB567" s="1">
        <f t="shared" si="1331"/>
        <v>0</v>
      </c>
      <c r="BC567" s="1">
        <f t="shared" si="1331"/>
        <v>0</v>
      </c>
      <c r="BD567" s="1">
        <f t="shared" si="1331"/>
        <v>0</v>
      </c>
      <c r="BE567" s="1">
        <f t="shared" si="1331"/>
        <v>0</v>
      </c>
      <c r="BF567" s="92">
        <f t="shared" si="1329"/>
        <v>79980</v>
      </c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spans="1:73" ht="15" customHeight="1" x14ac:dyDescent="0.25">
      <c r="C568" t="s">
        <v>745</v>
      </c>
      <c r="AT568" s="91" t="s">
        <v>388</v>
      </c>
      <c r="AV568" s="1">
        <v>-1</v>
      </c>
      <c r="AW568" s="1">
        <v>0</v>
      </c>
      <c r="AX568" s="1">
        <v>0</v>
      </c>
      <c r="AY568" s="1">
        <v>0</v>
      </c>
      <c r="AZ568" s="1">
        <v>0</v>
      </c>
      <c r="BA568" s="1">
        <v>0</v>
      </c>
      <c r="BB568" s="1">
        <v>0</v>
      </c>
      <c r="BC568" s="1">
        <v>0</v>
      </c>
      <c r="BD568" s="1">
        <v>0</v>
      </c>
      <c r="BE568" s="1">
        <v>0</v>
      </c>
      <c r="BF568" s="92">
        <f t="shared" si="1329"/>
        <v>0</v>
      </c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spans="1:73" ht="15" customHeight="1" x14ac:dyDescent="0.25">
      <c r="C569" t="s">
        <v>746</v>
      </c>
      <c r="AT569" s="91" t="s">
        <v>384</v>
      </c>
      <c r="AV569" s="1">
        <f t="shared" ref="AV569" si="1332">+AV557*8</f>
        <v>21488</v>
      </c>
      <c r="AW569" s="1">
        <f t="shared" ref="AW569:BE569" si="1333">+AW557*8</f>
        <v>28408</v>
      </c>
      <c r="AX569" s="1">
        <f t="shared" si="1333"/>
        <v>73472</v>
      </c>
      <c r="AY569" s="1">
        <f t="shared" si="1333"/>
        <v>77472</v>
      </c>
      <c r="AZ569" s="1">
        <f t="shared" si="1333"/>
        <v>111736</v>
      </c>
      <c r="BA569" s="1">
        <f t="shared" si="1333"/>
        <v>80976</v>
      </c>
      <c r="BB569" s="1">
        <f t="shared" si="1333"/>
        <v>19688</v>
      </c>
      <c r="BC569" s="1">
        <f t="shared" si="1333"/>
        <v>24720</v>
      </c>
      <c r="BD569" s="1">
        <f t="shared" si="1333"/>
        <v>7216</v>
      </c>
      <c r="BE569" s="1">
        <f t="shared" si="1333"/>
        <v>0</v>
      </c>
      <c r="BF569" s="92">
        <f t="shared" si="1329"/>
        <v>423688</v>
      </c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spans="1:73" ht="15" customHeight="1" x14ac:dyDescent="0.25">
      <c r="C570" t="s">
        <v>747</v>
      </c>
      <c r="AT570" s="91" t="s">
        <v>389</v>
      </c>
      <c r="AV570" s="1">
        <f t="shared" ref="AV570" si="1334">+AV558</f>
        <v>0</v>
      </c>
      <c r="AW570" s="1">
        <f t="shared" ref="AW570:BE570" si="1335">+AW558</f>
        <v>0</v>
      </c>
      <c r="AX570" s="1">
        <f t="shared" si="1335"/>
        <v>0</v>
      </c>
      <c r="AY570" s="1">
        <f t="shared" si="1335"/>
        <v>0</v>
      </c>
      <c r="AZ570" s="1">
        <f t="shared" si="1335"/>
        <v>0</v>
      </c>
      <c r="BA570" s="1">
        <f t="shared" si="1335"/>
        <v>0</v>
      </c>
      <c r="BB570" s="1">
        <f t="shared" si="1335"/>
        <v>0</v>
      </c>
      <c r="BC570" s="1">
        <f t="shared" si="1335"/>
        <v>0</v>
      </c>
      <c r="BD570" s="1">
        <f t="shared" si="1335"/>
        <v>0</v>
      </c>
      <c r="BE570" s="1">
        <f t="shared" si="1335"/>
        <v>0</v>
      </c>
      <c r="BF570" s="92">
        <f t="shared" si="1329"/>
        <v>0</v>
      </c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spans="1:73" ht="15" customHeight="1" x14ac:dyDescent="0.25">
      <c r="C571" t="s">
        <v>564</v>
      </c>
      <c r="AT571" s="91" t="s">
        <v>385</v>
      </c>
      <c r="AV571" s="1">
        <f t="shared" ref="AV571" si="1336">+AV559</f>
        <v>0</v>
      </c>
      <c r="AW571" s="1">
        <f t="shared" ref="AW571:BE571" si="1337">+AW559</f>
        <v>0</v>
      </c>
      <c r="AX571" s="1">
        <f t="shared" si="1337"/>
        <v>0</v>
      </c>
      <c r="AY571" s="1">
        <f t="shared" si="1337"/>
        <v>0</v>
      </c>
      <c r="AZ571" s="1">
        <f t="shared" si="1337"/>
        <v>0</v>
      </c>
      <c r="BA571" s="1">
        <f t="shared" si="1337"/>
        <v>0</v>
      </c>
      <c r="BB571" s="1">
        <f t="shared" si="1337"/>
        <v>0</v>
      </c>
      <c r="BC571" s="1">
        <f t="shared" si="1337"/>
        <v>0</v>
      </c>
      <c r="BD571" s="1">
        <f t="shared" si="1337"/>
        <v>0</v>
      </c>
      <c r="BE571" s="1">
        <f t="shared" si="1337"/>
        <v>0</v>
      </c>
      <c r="BF571" s="92">
        <f t="shared" si="1329"/>
        <v>0</v>
      </c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spans="1:73" ht="15" customHeight="1" x14ac:dyDescent="0.25">
      <c r="C572" t="s">
        <v>582</v>
      </c>
      <c r="AT572" s="91" t="s">
        <v>382</v>
      </c>
      <c r="AV572" s="1">
        <f t="shared" ref="AV572" si="1338">+AV560</f>
        <v>0</v>
      </c>
      <c r="AW572" s="1">
        <f t="shared" ref="AW572:BE572" si="1339">+AW560</f>
        <v>0</v>
      </c>
      <c r="AX572" s="1">
        <f t="shared" si="1339"/>
        <v>368</v>
      </c>
      <c r="AY572" s="1">
        <f t="shared" si="1339"/>
        <v>0</v>
      </c>
      <c r="AZ572" s="1">
        <f t="shared" si="1339"/>
        <v>0</v>
      </c>
      <c r="BA572" s="1">
        <f t="shared" si="1339"/>
        <v>0</v>
      </c>
      <c r="BB572" s="1">
        <f t="shared" si="1339"/>
        <v>0</v>
      </c>
      <c r="BC572" s="1">
        <f t="shared" si="1339"/>
        <v>0</v>
      </c>
      <c r="BD572" s="1">
        <f t="shared" si="1339"/>
        <v>0</v>
      </c>
      <c r="BE572" s="1">
        <f t="shared" si="1339"/>
        <v>0</v>
      </c>
      <c r="BF572" s="92">
        <f t="shared" si="1329"/>
        <v>368</v>
      </c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spans="1:73" ht="15" customHeight="1" x14ac:dyDescent="0.25">
      <c r="C573" t="s">
        <v>194</v>
      </c>
      <c r="AT573" s="91" t="s">
        <v>380</v>
      </c>
      <c r="AV573" s="1">
        <f t="shared" ref="AV573" si="1340">+AV561</f>
        <v>0</v>
      </c>
      <c r="AW573" s="1">
        <f t="shared" ref="AW573:BE573" si="1341">+AW561</f>
        <v>0</v>
      </c>
      <c r="AX573" s="1">
        <f t="shared" si="1341"/>
        <v>0</v>
      </c>
      <c r="AY573" s="1">
        <f t="shared" si="1341"/>
        <v>0</v>
      </c>
      <c r="AZ573" s="1">
        <f t="shared" si="1341"/>
        <v>0</v>
      </c>
      <c r="BA573" s="1">
        <f t="shared" si="1341"/>
        <v>0</v>
      </c>
      <c r="BB573" s="1">
        <f t="shared" si="1341"/>
        <v>0</v>
      </c>
      <c r="BC573" s="1">
        <f t="shared" si="1341"/>
        <v>0</v>
      </c>
      <c r="BD573" s="1">
        <f t="shared" si="1341"/>
        <v>0</v>
      </c>
      <c r="BE573" s="1">
        <f t="shared" si="1341"/>
        <v>0</v>
      </c>
      <c r="BF573" s="92">
        <f t="shared" si="1329"/>
        <v>0</v>
      </c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spans="1:73" ht="15" customHeight="1" x14ac:dyDescent="0.25">
      <c r="AT574" s="93"/>
      <c r="AU574" s="25" t="s">
        <v>381</v>
      </c>
      <c r="AV574" s="1">
        <f>SUM(AV565:AV573)-(AV555*18)-(AV556*10)-(AV557*8)-SUM(AV558:AV561)</f>
        <v>0</v>
      </c>
      <c r="AW574" s="1">
        <f>SUM(AW565:AW573)-(AW555*18)-(AW556*10)-(AW557*8)-SUM(AW558:AW561)</f>
        <v>0</v>
      </c>
      <c r="AX574" s="1">
        <f t="shared" ref="AX574:BF574" si="1342">SUM(AX565:AX573)-(AX555*18)-(AX556*10)-(AX557*8)-SUM(AX558:AX561)</f>
        <v>0</v>
      </c>
      <c r="AY574" s="1">
        <f t="shared" si="1342"/>
        <v>0</v>
      </c>
      <c r="AZ574" s="1">
        <f t="shared" si="1342"/>
        <v>0</v>
      </c>
      <c r="BA574" s="1">
        <f t="shared" si="1342"/>
        <v>0</v>
      </c>
      <c r="BB574" s="1">
        <f t="shared" si="1342"/>
        <v>0</v>
      </c>
      <c r="BC574" s="1">
        <f t="shared" si="1342"/>
        <v>0</v>
      </c>
      <c r="BD574" s="1">
        <f t="shared" si="1342"/>
        <v>0</v>
      </c>
      <c r="BE574" s="1">
        <f t="shared" si="1342"/>
        <v>0</v>
      </c>
      <c r="BF574" s="92">
        <f t="shared" si="1342"/>
        <v>0</v>
      </c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spans="1:73" ht="15" customHeight="1" x14ac:dyDescent="0.25">
      <c r="AT575" s="93"/>
      <c r="BF575" s="92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spans="1:73" ht="15" customHeight="1" x14ac:dyDescent="0.25">
      <c r="AT576" s="93"/>
      <c r="BF576" s="92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spans="4:73" ht="15" customHeight="1" x14ac:dyDescent="0.25">
      <c r="AT577" s="93"/>
      <c r="BF577" s="92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spans="4:73" ht="15" customHeight="1" x14ac:dyDescent="0.25">
      <c r="AT578" s="93"/>
      <c r="BF578" s="92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spans="4:73" ht="15" customHeight="1" thickBot="1" x14ac:dyDescent="0.3">
      <c r="AT579" s="94"/>
      <c r="AU579" s="95"/>
      <c r="AV579" s="95"/>
      <c r="AW579" s="95"/>
      <c r="AX579" s="95"/>
      <c r="AY579" s="95"/>
      <c r="AZ579" s="95"/>
      <c r="BA579" s="95"/>
      <c r="BB579" s="95"/>
      <c r="BC579" s="95"/>
      <c r="BD579" s="95"/>
      <c r="BE579" s="95"/>
      <c r="BF579" s="96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spans="4:73" ht="15" customHeight="1" x14ac:dyDescent="0.25"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spans="4:73" ht="15" customHeight="1" x14ac:dyDescent="0.25"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spans="4:73" s="2" customFormat="1" ht="15" customHeight="1" x14ac:dyDescent="0.25"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150"/>
      <c r="AI582" s="3"/>
      <c r="AJ582" s="3"/>
      <c r="AK582" s="3"/>
      <c r="AL582" s="150"/>
      <c r="AM582" s="3"/>
      <c r="AN582" s="3"/>
      <c r="AO582" s="3"/>
      <c r="AP582" s="3"/>
      <c r="AQ582" s="3"/>
      <c r="AR582" s="3"/>
      <c r="AS582" s="3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</row>
    <row r="583" spans="4:73" ht="15" customHeight="1" x14ac:dyDescent="0.25">
      <c r="BF583" s="1"/>
      <c r="BG583" s="1"/>
    </row>
  </sheetData>
  <sortState xmlns:xlrd2="http://schemas.microsoft.com/office/spreadsheetml/2017/richdata2" ref="C4:C17">
    <sortCondition ref="C4:C17"/>
  </sortState>
  <pageMargins left="0" right="0" top="0.19685039370078741" bottom="0.59055118110236227" header="0.31496062992125984" footer="0.31496062992125984"/>
  <pageSetup paperSize="9" orientation="landscape" horizontalDpi="4294967293" r:id="rId1"/>
  <headerFooter>
    <oddFooter>&amp;L&amp;F&amp;R&amp;D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142"/>
  <sheetViews>
    <sheetView workbookViewId="0">
      <pane xSplit="3" ySplit="2" topLeftCell="AC88" activePane="bottomRight" state="frozen"/>
      <selection pane="topRight" activeCell="D1" sqref="D1"/>
      <selection pane="bottomLeft" activeCell="A3" sqref="A3"/>
      <selection pane="bottomRight" activeCell="AP114" sqref="AP114"/>
    </sheetView>
  </sheetViews>
  <sheetFormatPr defaultRowHeight="15" x14ac:dyDescent="0.25"/>
  <cols>
    <col min="1" max="2" width="3.42578125" style="2" customWidth="1"/>
    <col min="3" max="3" width="28.85546875" customWidth="1"/>
    <col min="4" max="14" width="9.140625" style="1"/>
    <col min="15" max="43" width="9.140625" style="1" customWidth="1"/>
    <col min="44" max="44" width="9.140625" style="3"/>
    <col min="45" max="45" width="4.42578125" style="1" customWidth="1"/>
    <col min="46" max="46" width="9.140625" style="8"/>
    <col min="47" max="47" width="9.140625" style="60"/>
  </cols>
  <sheetData>
    <row r="1" spans="1:47" x14ac:dyDescent="0.25">
      <c r="A1" s="2" t="s">
        <v>43</v>
      </c>
      <c r="D1" s="142">
        <v>45292</v>
      </c>
      <c r="E1" s="142">
        <v>45292</v>
      </c>
      <c r="F1" s="142">
        <v>45292</v>
      </c>
      <c r="G1" s="142">
        <v>45292</v>
      </c>
      <c r="H1" s="142">
        <v>45292</v>
      </c>
      <c r="I1" s="142">
        <v>45323</v>
      </c>
      <c r="J1" s="142">
        <v>45323</v>
      </c>
      <c r="K1" s="142">
        <v>45323</v>
      </c>
      <c r="L1" s="142">
        <v>45323</v>
      </c>
      <c r="M1" s="142">
        <v>45352</v>
      </c>
      <c r="N1" s="142">
        <v>45352</v>
      </c>
      <c r="O1" s="142">
        <v>45352</v>
      </c>
      <c r="P1" s="142">
        <v>45352</v>
      </c>
      <c r="Q1" s="142">
        <v>45383</v>
      </c>
      <c r="R1" s="142">
        <v>45383</v>
      </c>
      <c r="S1" s="142">
        <v>45383</v>
      </c>
      <c r="T1" s="142">
        <v>45383</v>
      </c>
      <c r="U1" s="142">
        <v>45413</v>
      </c>
      <c r="V1" s="142">
        <v>45413</v>
      </c>
      <c r="W1" s="142">
        <v>45413</v>
      </c>
      <c r="X1" s="142">
        <v>45413</v>
      </c>
      <c r="Y1" s="142">
        <v>45413</v>
      </c>
      <c r="Z1" s="142">
        <v>45444</v>
      </c>
      <c r="AA1" s="142">
        <v>45444</v>
      </c>
      <c r="AB1" s="142">
        <v>45444</v>
      </c>
      <c r="AC1" s="142">
        <v>45444</v>
      </c>
      <c r="AD1" s="142">
        <v>45474</v>
      </c>
      <c r="AE1" s="142">
        <v>45474</v>
      </c>
      <c r="AF1" s="142">
        <v>45474</v>
      </c>
      <c r="AG1" s="142">
        <v>45474</v>
      </c>
      <c r="AH1" s="142">
        <v>45474</v>
      </c>
      <c r="AI1" s="142">
        <v>45505</v>
      </c>
      <c r="AJ1" s="142">
        <v>45505</v>
      </c>
      <c r="AK1" s="142">
        <v>45505</v>
      </c>
      <c r="AL1" s="142">
        <v>45505</v>
      </c>
      <c r="AM1" s="142">
        <v>45536</v>
      </c>
      <c r="AN1" s="142">
        <v>45536</v>
      </c>
      <c r="AO1" s="142">
        <v>45536</v>
      </c>
      <c r="AP1" s="142">
        <v>45536</v>
      </c>
      <c r="AQ1" s="13" t="s">
        <v>282</v>
      </c>
      <c r="AU1" s="140" t="s">
        <v>716</v>
      </c>
    </row>
    <row r="2" spans="1:47" x14ac:dyDescent="0.25">
      <c r="A2" s="2" t="s">
        <v>145</v>
      </c>
      <c r="D2" s="13" t="s">
        <v>491</v>
      </c>
      <c r="E2" s="13" t="s">
        <v>492</v>
      </c>
      <c r="F2" s="13" t="s">
        <v>493</v>
      </c>
      <c r="G2" s="13" t="s">
        <v>494</v>
      </c>
      <c r="H2" s="13" t="s">
        <v>495</v>
      </c>
      <c r="I2" s="13" t="s">
        <v>496</v>
      </c>
      <c r="J2" s="13" t="s">
        <v>263</v>
      </c>
      <c r="K2" s="13" t="s">
        <v>264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3" t="s">
        <v>54</v>
      </c>
      <c r="V2" s="13" t="s">
        <v>20</v>
      </c>
      <c r="W2" s="13" t="s">
        <v>21</v>
      </c>
      <c r="X2" s="13" t="s">
        <v>22</v>
      </c>
      <c r="Y2" s="13" t="s">
        <v>23</v>
      </c>
      <c r="Z2" s="13" t="s">
        <v>24</v>
      </c>
      <c r="AA2" s="13" t="s">
        <v>25</v>
      </c>
      <c r="AB2" s="13" t="s">
        <v>26</v>
      </c>
      <c r="AC2" s="13" t="s">
        <v>27</v>
      </c>
      <c r="AD2" s="13" t="s">
        <v>28</v>
      </c>
      <c r="AE2" s="13" t="s">
        <v>29</v>
      </c>
      <c r="AF2" s="13" t="s">
        <v>30</v>
      </c>
      <c r="AG2" s="13" t="s">
        <v>31</v>
      </c>
      <c r="AH2" s="13" t="s">
        <v>32</v>
      </c>
      <c r="AI2" s="13" t="s">
        <v>33</v>
      </c>
      <c r="AJ2" s="13" t="s">
        <v>34</v>
      </c>
      <c r="AK2" s="13" t="s">
        <v>55</v>
      </c>
      <c r="AL2" s="13" t="s">
        <v>56</v>
      </c>
      <c r="AM2" s="13" t="s">
        <v>57</v>
      </c>
      <c r="AN2" s="13" t="s">
        <v>58</v>
      </c>
      <c r="AO2" s="13" t="s">
        <v>59</v>
      </c>
      <c r="AP2" s="13" t="s">
        <v>60</v>
      </c>
      <c r="AQ2" s="4" t="s">
        <v>480</v>
      </c>
      <c r="AR2" s="52" t="s">
        <v>2</v>
      </c>
      <c r="AU2" s="60" t="s">
        <v>715</v>
      </c>
    </row>
    <row r="3" spans="1:47" x14ac:dyDescent="0.25">
      <c r="B3" s="2" t="s">
        <v>62</v>
      </c>
    </row>
    <row r="4" spans="1:47" x14ac:dyDescent="0.25">
      <c r="C4" t="s">
        <v>190</v>
      </c>
      <c r="L4" s="1">
        <v>21183.84</v>
      </c>
      <c r="M4" s="1">
        <v>279.18</v>
      </c>
      <c r="N4" s="1">
        <v>2927.16</v>
      </c>
      <c r="O4" s="1">
        <v>16564.68</v>
      </c>
      <c r="P4" s="1">
        <v>8223.1200000000008</v>
      </c>
      <c r="Q4" s="1">
        <v>24187.14</v>
      </c>
      <c r="R4" s="1">
        <v>24026.400000000001</v>
      </c>
      <c r="S4" s="1">
        <v>19906.38</v>
      </c>
      <c r="T4" s="1">
        <v>17757.54</v>
      </c>
      <c r="U4" s="1">
        <v>20016.36</v>
      </c>
      <c r="V4" s="1">
        <v>16344.72</v>
      </c>
      <c r="W4" s="1">
        <v>19288.8</v>
      </c>
      <c r="X4" s="1">
        <v>16911.54</v>
      </c>
      <c r="Y4" s="1">
        <v>4949.1000000000004</v>
      </c>
      <c r="Z4" s="1">
        <v>6463.44</v>
      </c>
      <c r="AA4" s="1">
        <v>2453.4</v>
      </c>
      <c r="AB4" s="1">
        <v>4543.0200000000004</v>
      </c>
      <c r="AC4" s="1">
        <v>1675.08</v>
      </c>
      <c r="AD4" s="1">
        <v>406.08</v>
      </c>
      <c r="AE4" s="1">
        <v>1598.94</v>
      </c>
      <c r="AF4" s="1">
        <v>634.5</v>
      </c>
      <c r="AG4" s="1">
        <v>253.8</v>
      </c>
      <c r="AH4" s="1">
        <v>9669.7800000000007</v>
      </c>
      <c r="AI4" s="1">
        <v>4111.5600000000004</v>
      </c>
      <c r="AJ4" s="1">
        <v>3680.1</v>
      </c>
      <c r="AK4" s="1">
        <v>1446.66</v>
      </c>
      <c r="AL4" s="1">
        <v>2081.16</v>
      </c>
      <c r="AM4" s="1">
        <v>406.08</v>
      </c>
      <c r="AR4" s="3">
        <f t="shared" ref="AR4:AR22" si="0">SUM(D4:AQ4)</f>
        <v>251989.55999999994</v>
      </c>
      <c r="AT4" s="8">
        <f>IF(AR4=0,0,+AR4/PassVol!AR4)</f>
        <v>8.4599999999999973</v>
      </c>
      <c r="AU4" s="60">
        <f>1.41*6</f>
        <v>8.4599999999999991</v>
      </c>
    </row>
    <row r="5" spans="1:47" x14ac:dyDescent="0.25">
      <c r="C5" t="s">
        <v>424</v>
      </c>
      <c r="L5" s="1">
        <v>1023</v>
      </c>
      <c r="M5" s="1">
        <v>3375.9</v>
      </c>
      <c r="N5" s="1">
        <v>3450.3</v>
      </c>
      <c r="O5" s="1">
        <v>5580</v>
      </c>
      <c r="P5" s="1">
        <v>6779.7</v>
      </c>
      <c r="Q5" s="1">
        <v>5012.7</v>
      </c>
      <c r="R5" s="1">
        <v>6398.4</v>
      </c>
      <c r="S5" s="1">
        <v>5970.6</v>
      </c>
      <c r="T5" s="1">
        <v>8035.2</v>
      </c>
      <c r="U5" s="1">
        <v>11206.5</v>
      </c>
      <c r="V5" s="1">
        <v>8714.1</v>
      </c>
      <c r="W5" s="1">
        <v>12787.5</v>
      </c>
      <c r="X5" s="1">
        <v>7598.1</v>
      </c>
      <c r="Y5" s="1">
        <v>3366.6</v>
      </c>
      <c r="Z5" s="1">
        <v>2613.3000000000002</v>
      </c>
      <c r="AA5" s="1">
        <v>1255.5</v>
      </c>
      <c r="AB5" s="1">
        <v>1869.3</v>
      </c>
      <c r="AC5" s="1">
        <v>446.4</v>
      </c>
      <c r="AE5" s="1">
        <v>223.2</v>
      </c>
      <c r="AF5" s="1">
        <v>474.3</v>
      </c>
      <c r="AH5" s="1">
        <v>558</v>
      </c>
      <c r="AI5" s="1">
        <v>948.6</v>
      </c>
      <c r="AJ5" s="1">
        <v>613.79999999999995</v>
      </c>
      <c r="AL5" s="1">
        <v>1367.1</v>
      </c>
      <c r="AR5" s="3">
        <f t="shared" si="0"/>
        <v>99668.10000000002</v>
      </c>
      <c r="AT5" s="8">
        <f>IF(AR5=0,0,+AR5/PassVol!AR5)</f>
        <v>9.3000000000000025</v>
      </c>
      <c r="AU5" s="60">
        <f>1.55*6</f>
        <v>9.3000000000000007</v>
      </c>
    </row>
    <row r="6" spans="1:47" x14ac:dyDescent="0.25">
      <c r="C6" t="s">
        <v>347</v>
      </c>
      <c r="L6" s="1">
        <v>1395</v>
      </c>
      <c r="M6" s="1">
        <v>2901.6</v>
      </c>
      <c r="N6" s="1">
        <v>1729.8</v>
      </c>
      <c r="O6" s="1">
        <v>3041.1</v>
      </c>
      <c r="P6" s="1">
        <v>5384.7</v>
      </c>
      <c r="Q6" s="1">
        <v>3236.4</v>
      </c>
      <c r="R6" s="1">
        <v>4687.2</v>
      </c>
      <c r="S6" s="1">
        <v>4743</v>
      </c>
      <c r="T6" s="1">
        <v>4445.3999999999996</v>
      </c>
      <c r="U6" s="1">
        <v>6305.4</v>
      </c>
      <c r="V6" s="1">
        <v>6045</v>
      </c>
      <c r="W6" s="1">
        <v>7440</v>
      </c>
      <c r="X6" s="1">
        <v>6361.2</v>
      </c>
      <c r="Y6" s="1">
        <v>1869.3</v>
      </c>
      <c r="Z6" s="1">
        <v>1618.2</v>
      </c>
      <c r="AA6" s="1">
        <v>502.2</v>
      </c>
      <c r="AB6" s="1">
        <v>446.4</v>
      </c>
      <c r="AC6" s="1">
        <v>139.5</v>
      </c>
      <c r="AD6" s="1">
        <v>83.7</v>
      </c>
      <c r="AF6" s="1">
        <v>530.1</v>
      </c>
      <c r="AG6" s="1">
        <v>362.7</v>
      </c>
      <c r="AH6" s="1">
        <v>279</v>
      </c>
      <c r="AI6" s="1">
        <v>195.3</v>
      </c>
      <c r="AJ6" s="1">
        <v>446.4</v>
      </c>
      <c r="AK6" s="1">
        <v>83.7</v>
      </c>
      <c r="AL6" s="1">
        <v>279</v>
      </c>
      <c r="AN6" s="1">
        <v>279</v>
      </c>
      <c r="AR6" s="3">
        <f t="shared" si="0"/>
        <v>64830.299999999996</v>
      </c>
      <c r="AT6" s="8">
        <f>IF(AR6=0,0,+AR6/PassVol!AR6)</f>
        <v>9.2999999999999989</v>
      </c>
      <c r="AU6" s="60">
        <f>1.55*6</f>
        <v>9.3000000000000007</v>
      </c>
    </row>
    <row r="7" spans="1:47" x14ac:dyDescent="0.25">
      <c r="C7" t="s">
        <v>0</v>
      </c>
      <c r="L7" s="1">
        <v>28347.84</v>
      </c>
      <c r="M7" s="1">
        <v>6552.48</v>
      </c>
      <c r="N7" s="1">
        <v>13153.92</v>
      </c>
      <c r="O7" s="1">
        <v>24537.119999999999</v>
      </c>
      <c r="P7" s="1">
        <v>20408.16</v>
      </c>
      <c r="Q7" s="1">
        <v>26936.16</v>
      </c>
      <c r="R7" s="1">
        <v>19322.88</v>
      </c>
      <c r="S7" s="1">
        <v>22619.52</v>
      </c>
      <c r="T7" s="1">
        <v>24463.68</v>
      </c>
      <c r="U7" s="1">
        <v>27180.959999999999</v>
      </c>
      <c r="V7" s="1">
        <v>21338.400000000001</v>
      </c>
      <c r="W7" s="1">
        <v>25010.400000000001</v>
      </c>
      <c r="X7" s="1">
        <v>35577.599999999999</v>
      </c>
      <c r="Y7" s="1">
        <v>27189.119999999999</v>
      </c>
      <c r="Z7" s="1">
        <v>22407.360000000001</v>
      </c>
      <c r="AA7" s="1">
        <v>16948.32</v>
      </c>
      <c r="AB7" s="1">
        <v>22676.639999999999</v>
      </c>
      <c r="AC7" s="1">
        <v>10575.36</v>
      </c>
      <c r="AD7" s="1">
        <v>25442.880000000001</v>
      </c>
      <c r="AE7" s="1">
        <v>4920.4799999999996</v>
      </c>
      <c r="AF7" s="1">
        <v>2496.96</v>
      </c>
      <c r="AG7" s="1">
        <v>7164.48</v>
      </c>
      <c r="AH7" s="1">
        <v>18939.36</v>
      </c>
      <c r="AI7" s="1">
        <v>1028.1600000000001</v>
      </c>
      <c r="AK7" s="1">
        <v>9579.84</v>
      </c>
      <c r="AL7" s="1">
        <v>3231.36</v>
      </c>
      <c r="AM7" s="1">
        <v>3386.4</v>
      </c>
      <c r="AR7" s="3">
        <f t="shared" si="0"/>
        <v>471435.83999999991</v>
      </c>
      <c r="AT7" s="8">
        <f>IF(AR7=0,0,+AR7/PassVol!AR7)</f>
        <v>8.1599999999999984</v>
      </c>
      <c r="AU7" s="60">
        <f>1.36*6</f>
        <v>8.16</v>
      </c>
    </row>
    <row r="8" spans="1:47" x14ac:dyDescent="0.25">
      <c r="C8" t="s">
        <v>354</v>
      </c>
      <c r="L8" s="1">
        <v>1116</v>
      </c>
      <c r="M8" s="1">
        <v>251.1</v>
      </c>
      <c r="N8" s="1">
        <v>502.2</v>
      </c>
      <c r="O8" s="1">
        <v>1116</v>
      </c>
      <c r="P8" s="1">
        <v>1395</v>
      </c>
      <c r="Q8" s="1">
        <v>1813.5</v>
      </c>
      <c r="R8" s="1">
        <v>1674</v>
      </c>
      <c r="S8" s="1">
        <v>1701.9</v>
      </c>
      <c r="T8" s="1">
        <v>1813.5</v>
      </c>
      <c r="U8" s="1">
        <v>1339.2</v>
      </c>
      <c r="V8" s="1">
        <v>725.4</v>
      </c>
      <c r="W8" s="1">
        <v>1646.1</v>
      </c>
      <c r="X8" s="1">
        <v>2148.3000000000002</v>
      </c>
      <c r="Y8" s="1">
        <v>809.1</v>
      </c>
      <c r="Z8" s="1">
        <v>809.1</v>
      </c>
      <c r="AA8" s="1">
        <v>753.3</v>
      </c>
      <c r="AB8" s="1">
        <v>502.2</v>
      </c>
      <c r="AC8" s="1">
        <v>279</v>
      </c>
      <c r="AH8" s="1">
        <v>1116</v>
      </c>
      <c r="AR8" s="3">
        <f t="shared" si="0"/>
        <v>21510.899999999998</v>
      </c>
      <c r="AT8" s="8">
        <f>IF(AR8=0,0,+AR8/PassVol!AR8)</f>
        <v>9.2999999999999989</v>
      </c>
      <c r="AU8" s="60">
        <f>1.55*6</f>
        <v>9.3000000000000007</v>
      </c>
    </row>
    <row r="9" spans="1:47" x14ac:dyDescent="0.25">
      <c r="C9" t="s">
        <v>265</v>
      </c>
      <c r="L9" s="1">
        <v>2637.18</v>
      </c>
      <c r="M9" s="1">
        <v>1323</v>
      </c>
      <c r="N9" s="1">
        <v>1225.98</v>
      </c>
      <c r="O9" s="1">
        <v>2178.54</v>
      </c>
      <c r="P9" s="1">
        <v>4021.92</v>
      </c>
      <c r="Q9" s="1">
        <v>3087</v>
      </c>
      <c r="R9" s="1">
        <v>2249.1</v>
      </c>
      <c r="S9" s="1">
        <v>5230.26</v>
      </c>
      <c r="T9" s="1">
        <v>3598.56</v>
      </c>
      <c r="U9" s="1">
        <v>8379</v>
      </c>
      <c r="V9" s="1">
        <v>5971.14</v>
      </c>
      <c r="W9" s="1">
        <v>3378.06</v>
      </c>
      <c r="X9" s="1">
        <v>6773.76</v>
      </c>
      <c r="Y9" s="1">
        <v>2099.16</v>
      </c>
      <c r="AA9" s="1">
        <v>626.22</v>
      </c>
      <c r="AH9" s="1">
        <v>2760.66</v>
      </c>
      <c r="AK9" s="1">
        <v>740.88</v>
      </c>
      <c r="AR9" s="3">
        <f t="shared" si="0"/>
        <v>56280.419999999991</v>
      </c>
      <c r="AT9" s="8">
        <f>IF(AR9=0,0,+AR9/PassVol!AR9)</f>
        <v>8.8199999999999985</v>
      </c>
      <c r="AU9" s="60">
        <f>1.47*6</f>
        <v>8.82</v>
      </c>
    </row>
    <row r="10" spans="1:47" x14ac:dyDescent="0.25">
      <c r="C10" t="s">
        <v>191</v>
      </c>
      <c r="M10" s="1">
        <v>13354.8</v>
      </c>
      <c r="N10" s="1">
        <v>1116</v>
      </c>
      <c r="O10" s="1">
        <v>4845.3</v>
      </c>
      <c r="P10" s="1">
        <v>14619.6</v>
      </c>
      <c r="Q10" s="1">
        <v>5868.3</v>
      </c>
      <c r="R10" s="1">
        <v>13001.4</v>
      </c>
      <c r="S10" s="1">
        <v>24291.599999999999</v>
      </c>
      <c r="T10" s="1">
        <v>20497.2</v>
      </c>
      <c r="U10" s="1">
        <v>9281.4</v>
      </c>
      <c r="V10" s="1">
        <v>83.7</v>
      </c>
      <c r="W10" s="1">
        <v>11801.7</v>
      </c>
      <c r="X10" s="1">
        <v>8676.9</v>
      </c>
      <c r="Y10" s="1">
        <v>9179.1</v>
      </c>
      <c r="Z10" s="1">
        <v>8314.2000000000007</v>
      </c>
      <c r="AA10" s="1">
        <v>5812.5</v>
      </c>
      <c r="AB10" s="1">
        <v>4817.3999999999996</v>
      </c>
      <c r="AC10" s="1">
        <v>418.5</v>
      </c>
      <c r="AL10" s="1">
        <v>223.2</v>
      </c>
      <c r="AM10" s="1">
        <v>474.3</v>
      </c>
      <c r="AN10" s="1">
        <v>697.5</v>
      </c>
      <c r="AR10" s="3">
        <f t="shared" si="0"/>
        <v>157374.59999999998</v>
      </c>
      <c r="AT10" s="8">
        <f>IF(AR10=0,0,+AR10/PassVol!AR10)</f>
        <v>9.2999999999999989</v>
      </c>
      <c r="AU10" s="60">
        <f t="shared" ref="AU10:AU12" si="1">1.55*6</f>
        <v>9.3000000000000007</v>
      </c>
    </row>
    <row r="11" spans="1:47" x14ac:dyDescent="0.25">
      <c r="C11" t="s">
        <v>549</v>
      </c>
      <c r="AR11" s="3">
        <f t="shared" si="0"/>
        <v>0</v>
      </c>
      <c r="AT11" s="8">
        <f>IF(AR11=0,0,+AR11/PassVol!AR11)</f>
        <v>0</v>
      </c>
      <c r="AU11" s="60">
        <f t="shared" si="1"/>
        <v>9.3000000000000007</v>
      </c>
    </row>
    <row r="12" spans="1:47" x14ac:dyDescent="0.25">
      <c r="C12" t="s">
        <v>550</v>
      </c>
      <c r="M12" s="1">
        <v>1785.6</v>
      </c>
      <c r="O12" s="1">
        <v>390.6</v>
      </c>
      <c r="Q12" s="1">
        <v>864.9</v>
      </c>
      <c r="R12" s="1">
        <v>1562.4</v>
      </c>
      <c r="S12" s="1">
        <v>2529.6</v>
      </c>
      <c r="U12" s="1">
        <v>3478.2</v>
      </c>
      <c r="V12" s="1">
        <v>3171.3</v>
      </c>
      <c r="W12" s="1">
        <v>1534.5</v>
      </c>
      <c r="X12" s="1">
        <v>4622.1000000000004</v>
      </c>
      <c r="Y12" s="1">
        <v>1980.9</v>
      </c>
      <c r="Z12" s="1">
        <v>1060.2</v>
      </c>
      <c r="AA12" s="1">
        <v>1078.8</v>
      </c>
      <c r="AB12" s="1">
        <v>1887.9</v>
      </c>
      <c r="AC12" s="1">
        <v>1599.6</v>
      </c>
      <c r="AD12" s="1">
        <v>3013.2</v>
      </c>
      <c r="AE12" s="1">
        <v>1869.3</v>
      </c>
      <c r="AF12" s="1">
        <v>148.80000000000001</v>
      </c>
      <c r="AG12" s="1">
        <v>511.5</v>
      </c>
      <c r="AH12" s="1">
        <v>1404.3</v>
      </c>
      <c r="AI12" s="1">
        <v>1562.4</v>
      </c>
      <c r="AJ12" s="1">
        <v>1776.3</v>
      </c>
      <c r="AK12" s="1">
        <v>1134.5999999999999</v>
      </c>
      <c r="AL12" s="1">
        <v>474.3</v>
      </c>
      <c r="AM12" s="1">
        <v>725.4</v>
      </c>
      <c r="AN12" s="1">
        <v>585.9</v>
      </c>
      <c r="AR12" s="3">
        <f t="shared" si="0"/>
        <v>40752.600000000006</v>
      </c>
      <c r="AT12" s="8">
        <f>IF(AR12=0,0,+AR12/PassVol!AR12)</f>
        <v>9.3000000000000007</v>
      </c>
      <c r="AU12" s="60">
        <f t="shared" si="1"/>
        <v>9.3000000000000007</v>
      </c>
    </row>
    <row r="13" spans="1:47" x14ac:dyDescent="0.25">
      <c r="C13" t="s">
        <v>6</v>
      </c>
      <c r="L13" s="1">
        <v>33868.800000000003</v>
      </c>
      <c r="M13" s="1">
        <v>14112</v>
      </c>
      <c r="N13" s="1">
        <v>12894.84</v>
      </c>
      <c r="O13" s="1">
        <v>14112</v>
      </c>
      <c r="P13" s="1">
        <v>11289.6</v>
      </c>
      <c r="Q13" s="1">
        <v>33868.800000000003</v>
      </c>
      <c r="R13" s="1">
        <v>11289.6</v>
      </c>
      <c r="S13" s="1">
        <v>12700.8</v>
      </c>
      <c r="T13" s="1">
        <v>12700.8</v>
      </c>
      <c r="U13" s="1">
        <v>11289.6</v>
      </c>
      <c r="V13" s="1">
        <v>8255.52</v>
      </c>
      <c r="W13" s="1">
        <v>8255.52</v>
      </c>
      <c r="Y13" s="1">
        <v>9084.6</v>
      </c>
      <c r="AA13" s="1">
        <v>7644</v>
      </c>
      <c r="AC13" s="1">
        <v>7938</v>
      </c>
      <c r="AE13" s="1">
        <v>6350.4</v>
      </c>
      <c r="AH13" s="1">
        <v>31752</v>
      </c>
      <c r="AR13" s="3">
        <f t="shared" si="0"/>
        <v>247406.87999999998</v>
      </c>
      <c r="AT13" s="8">
        <f>IF(AR13=0,0,+AR13/PassVol!AR13)</f>
        <v>5.879999999999999</v>
      </c>
      <c r="AU13" s="60">
        <f>0.98*6</f>
        <v>5.88</v>
      </c>
    </row>
    <row r="14" spans="1:47" x14ac:dyDescent="0.25">
      <c r="C14" t="s">
        <v>262</v>
      </c>
      <c r="L14" s="1">
        <v>195.3</v>
      </c>
      <c r="N14" s="1">
        <v>3152.7</v>
      </c>
      <c r="O14" s="1">
        <v>5496.3</v>
      </c>
      <c r="P14" s="1">
        <v>4659.3</v>
      </c>
      <c r="Q14" s="1">
        <v>5022</v>
      </c>
      <c r="R14" s="1">
        <v>3152.7</v>
      </c>
      <c r="S14" s="1">
        <v>3868.8</v>
      </c>
      <c r="T14" s="1">
        <v>2390.1</v>
      </c>
      <c r="U14" s="1">
        <v>2641.2</v>
      </c>
      <c r="V14" s="1">
        <v>2148.3000000000002</v>
      </c>
      <c r="W14" s="1">
        <v>3282.9</v>
      </c>
      <c r="X14" s="1">
        <v>2101.8000000000002</v>
      </c>
      <c r="Y14" s="1">
        <v>1106.7</v>
      </c>
      <c r="Z14" s="1">
        <v>678.9</v>
      </c>
      <c r="AB14" s="1">
        <v>948.6</v>
      </c>
      <c r="AC14" s="1">
        <v>223.2</v>
      </c>
      <c r="AE14" s="1">
        <v>306.89999999999998</v>
      </c>
      <c r="AF14" s="1">
        <v>892.8</v>
      </c>
      <c r="AK14" s="1">
        <v>1088.0999999999999</v>
      </c>
      <c r="AL14" s="1">
        <v>1478.7</v>
      </c>
      <c r="AM14" s="1">
        <v>279</v>
      </c>
      <c r="AR14" s="3">
        <f t="shared" si="0"/>
        <v>45114.299999999996</v>
      </c>
      <c r="AT14" s="8">
        <f>IF(AR14=0,0,+AR14/PassVol!AR14)</f>
        <v>9.2999999999999989</v>
      </c>
      <c r="AU14" s="60">
        <f>1.55*6</f>
        <v>9.3000000000000007</v>
      </c>
    </row>
    <row r="15" spans="1:47" x14ac:dyDescent="0.25">
      <c r="C15" t="s">
        <v>42</v>
      </c>
      <c r="L15" s="1">
        <v>5888.16</v>
      </c>
      <c r="N15" s="1">
        <v>3172.5</v>
      </c>
      <c r="O15" s="1">
        <v>1675.08</v>
      </c>
      <c r="P15" s="1">
        <v>6065.82</v>
      </c>
      <c r="Q15" s="1">
        <v>3299.4</v>
      </c>
      <c r="R15" s="1">
        <v>3477.06</v>
      </c>
      <c r="S15" s="1">
        <v>2867.94</v>
      </c>
      <c r="T15" s="1">
        <v>1548.18</v>
      </c>
      <c r="U15" s="1">
        <v>6141.96</v>
      </c>
      <c r="V15" s="1">
        <v>2791.8</v>
      </c>
      <c r="W15" s="1">
        <v>3197.88</v>
      </c>
      <c r="X15" s="1">
        <v>5202.8999999999996</v>
      </c>
      <c r="Y15" s="1">
        <v>1472.04</v>
      </c>
      <c r="Z15" s="1">
        <v>659.88</v>
      </c>
      <c r="AA15" s="1">
        <v>456.84</v>
      </c>
      <c r="AC15" s="1">
        <v>456.84</v>
      </c>
      <c r="AE15" s="1">
        <v>507.6</v>
      </c>
      <c r="AF15" s="1">
        <v>583.74</v>
      </c>
      <c r="AG15" s="1">
        <v>304.56</v>
      </c>
      <c r="AH15" s="1">
        <v>228.42</v>
      </c>
      <c r="AI15" s="1">
        <v>152.28</v>
      </c>
      <c r="AJ15" s="1">
        <v>380.7</v>
      </c>
      <c r="AN15" s="1">
        <v>177.6</v>
      </c>
      <c r="AR15" s="3">
        <f t="shared" si="0"/>
        <v>50709.179999999978</v>
      </c>
      <c r="AT15" s="8">
        <f>IF(AR15=0,0,+AR15/PassVol!AR15)</f>
        <v>8.4599899899899871</v>
      </c>
      <c r="AU15" s="60">
        <f>1.41*6</f>
        <v>8.4599999999999991</v>
      </c>
    </row>
    <row r="16" spans="1:47" x14ac:dyDescent="0.25">
      <c r="C16" t="s">
        <v>192</v>
      </c>
      <c r="M16" s="1">
        <v>11959.92</v>
      </c>
      <c r="N16" s="1">
        <v>1737.54</v>
      </c>
      <c r="O16" s="1">
        <v>3880.8</v>
      </c>
      <c r="P16" s="1">
        <v>4462.92</v>
      </c>
      <c r="Q16" s="1">
        <v>4154.22</v>
      </c>
      <c r="R16" s="1">
        <v>12753.72</v>
      </c>
      <c r="S16" s="1">
        <v>2434.3200000000002</v>
      </c>
      <c r="T16" s="1">
        <v>4066.02</v>
      </c>
      <c r="U16" s="1">
        <v>6826.68</v>
      </c>
      <c r="V16" s="1">
        <v>4745.1459999999997</v>
      </c>
      <c r="W16" s="1">
        <v>8943.48</v>
      </c>
      <c r="X16" s="1">
        <v>7452.9</v>
      </c>
      <c r="Y16" s="1">
        <v>1640.52</v>
      </c>
      <c r="Z16" s="1">
        <v>1534.68</v>
      </c>
      <c r="AA16" s="1">
        <v>1005.48</v>
      </c>
      <c r="AB16" s="1">
        <v>899.64</v>
      </c>
      <c r="AC16" s="1">
        <v>1084.8599999999999</v>
      </c>
      <c r="AD16" s="1">
        <v>264.60000000000002</v>
      </c>
      <c r="AH16" s="1">
        <v>5821.2</v>
      </c>
      <c r="AI16" s="1">
        <v>873.18</v>
      </c>
      <c r="AJ16" s="1">
        <v>1614.06</v>
      </c>
      <c r="AR16" s="3">
        <f t="shared" si="0"/>
        <v>88155.885999999984</v>
      </c>
      <c r="AT16" s="8">
        <f>IF(AR16=0,0,+AR16/PassVol!AR16)</f>
        <v>8.8199985992996481</v>
      </c>
      <c r="AU16" s="60">
        <f>1.47*6</f>
        <v>8.82</v>
      </c>
    </row>
    <row r="17" spans="1:47" x14ac:dyDescent="0.25">
      <c r="C17" t="s">
        <v>133</v>
      </c>
      <c r="L17" s="1">
        <v>920.7</v>
      </c>
      <c r="M17" s="1">
        <v>976.5</v>
      </c>
      <c r="N17" s="1">
        <v>1255.5</v>
      </c>
      <c r="O17" s="1">
        <v>2594.6999999999998</v>
      </c>
      <c r="P17" s="1">
        <v>3152.7</v>
      </c>
      <c r="Q17" s="1">
        <v>3013.2</v>
      </c>
      <c r="R17" s="1">
        <v>2176.1999999999998</v>
      </c>
      <c r="S17" s="1">
        <v>3124.8</v>
      </c>
      <c r="T17" s="1">
        <v>4631.3999999999996</v>
      </c>
      <c r="U17" s="1">
        <v>4491.8999999999996</v>
      </c>
      <c r="V17" s="1">
        <v>2501.6999999999998</v>
      </c>
      <c r="W17" s="1">
        <v>2864.4</v>
      </c>
      <c r="X17" s="1">
        <v>3840.9</v>
      </c>
      <c r="Y17" s="1">
        <v>1655.4</v>
      </c>
      <c r="Z17" s="1">
        <v>1497.3</v>
      </c>
      <c r="AA17" s="1">
        <v>799.8</v>
      </c>
      <c r="AB17" s="1">
        <v>920.7</v>
      </c>
      <c r="AC17" s="1">
        <v>781.2</v>
      </c>
      <c r="AD17" s="1">
        <v>669.6</v>
      </c>
      <c r="AE17" s="1">
        <v>567.29999999999995</v>
      </c>
      <c r="AF17" s="1">
        <v>613.79999999999995</v>
      </c>
      <c r="AG17" s="1">
        <v>641.70000000000005</v>
      </c>
      <c r="AH17" s="1">
        <v>558</v>
      </c>
      <c r="AI17" s="1">
        <v>809.1</v>
      </c>
      <c r="AJ17" s="1">
        <v>306.89999999999998</v>
      </c>
      <c r="AL17" s="1">
        <v>306.89999999999998</v>
      </c>
      <c r="AM17" s="1">
        <v>279</v>
      </c>
      <c r="AN17" s="1">
        <v>279</v>
      </c>
      <c r="AR17" s="3">
        <f t="shared" si="0"/>
        <v>46230.3</v>
      </c>
      <c r="AT17" s="8">
        <f>IF(AR17=0,0,+AR17/PassVol!AR17)</f>
        <v>9.3000000000000007</v>
      </c>
      <c r="AU17" s="60">
        <f t="shared" ref="AU17:AU18" si="2">1.55*6</f>
        <v>9.3000000000000007</v>
      </c>
    </row>
    <row r="18" spans="1:47" x14ac:dyDescent="0.25">
      <c r="C18" t="s">
        <v>41</v>
      </c>
      <c r="L18" s="1">
        <v>7877.1</v>
      </c>
      <c r="M18" s="1">
        <v>4231.5</v>
      </c>
      <c r="N18" s="1">
        <v>4203.6000000000004</v>
      </c>
      <c r="O18" s="1">
        <v>12694.5</v>
      </c>
      <c r="P18" s="1">
        <v>10248.6</v>
      </c>
      <c r="Q18" s="1">
        <v>13866.3</v>
      </c>
      <c r="R18" s="1">
        <v>14005.8</v>
      </c>
      <c r="S18" s="1">
        <v>8918.7000000000007</v>
      </c>
      <c r="T18" s="1">
        <v>14349.9</v>
      </c>
      <c r="U18" s="1">
        <v>16693.5</v>
      </c>
      <c r="V18" s="1">
        <v>15391.5</v>
      </c>
      <c r="W18" s="1">
        <v>15791.4</v>
      </c>
      <c r="X18" s="1">
        <v>24263.7</v>
      </c>
      <c r="Y18" s="1">
        <v>15800.7</v>
      </c>
      <c r="Z18" s="1">
        <v>7291.2</v>
      </c>
      <c r="AA18" s="1">
        <v>6026.4</v>
      </c>
      <c r="AB18" s="1">
        <v>3096.9</v>
      </c>
      <c r="AC18" s="1">
        <v>5049.8999999999996</v>
      </c>
      <c r="AD18" s="1">
        <v>2287.8000000000002</v>
      </c>
      <c r="AE18" s="1">
        <v>5747.4</v>
      </c>
      <c r="AF18" s="1">
        <v>3627</v>
      </c>
      <c r="AG18" s="1">
        <v>2762.1</v>
      </c>
      <c r="AH18" s="1">
        <v>7579.5</v>
      </c>
      <c r="AI18" s="1">
        <v>3850.2</v>
      </c>
      <c r="AJ18" s="1">
        <v>3069</v>
      </c>
      <c r="AK18" s="1">
        <v>2148.3000000000002</v>
      </c>
      <c r="AL18" s="1">
        <v>1562.4</v>
      </c>
      <c r="AM18" s="1">
        <v>1953</v>
      </c>
      <c r="AN18" s="1">
        <v>1004.4</v>
      </c>
      <c r="AR18" s="3">
        <f t="shared" si="0"/>
        <v>235392.3</v>
      </c>
      <c r="AT18" s="8">
        <f>IF(AR18=0,0,+AR18/PassVol!AR18)</f>
        <v>9.2999999999999989</v>
      </c>
      <c r="AU18" s="60">
        <f t="shared" si="2"/>
        <v>9.3000000000000007</v>
      </c>
    </row>
    <row r="19" spans="1:47" x14ac:dyDescent="0.25">
      <c r="C19" t="s">
        <v>193</v>
      </c>
      <c r="AR19" s="3">
        <f t="shared" si="0"/>
        <v>0</v>
      </c>
      <c r="AT19" s="8">
        <f>IF(AR19=0,0,+AR19/PassVol!AR19)</f>
        <v>0</v>
      </c>
      <c r="AU19" s="60">
        <v>0</v>
      </c>
    </row>
    <row r="20" spans="1:47" x14ac:dyDescent="0.25">
      <c r="C20" t="s">
        <v>297</v>
      </c>
      <c r="AR20" s="3">
        <f t="shared" si="0"/>
        <v>0</v>
      </c>
      <c r="AT20" s="8">
        <f>IF(AR20=0,0,+AR20/PassVol!AR20)</f>
        <v>0</v>
      </c>
      <c r="AU20" s="60">
        <v>0</v>
      </c>
    </row>
    <row r="21" spans="1:47" x14ac:dyDescent="0.25">
      <c r="C21" t="s">
        <v>296</v>
      </c>
      <c r="L21" s="1">
        <v>279</v>
      </c>
      <c r="M21" s="1">
        <v>864.9</v>
      </c>
      <c r="N21" s="1">
        <v>1060.2</v>
      </c>
      <c r="O21" s="1">
        <v>1171.8</v>
      </c>
      <c r="P21" s="1">
        <v>2427.3000000000002</v>
      </c>
      <c r="Q21" s="1">
        <v>1534.5</v>
      </c>
      <c r="R21" s="1">
        <v>1143.9000000000001</v>
      </c>
      <c r="S21" s="1">
        <v>1404.3</v>
      </c>
      <c r="T21" s="1">
        <v>2315.6999999999998</v>
      </c>
      <c r="U21" s="1">
        <v>3320.1</v>
      </c>
      <c r="V21" s="1">
        <v>2492.4</v>
      </c>
      <c r="W21" s="1">
        <v>3515.4</v>
      </c>
      <c r="X21" s="1">
        <v>2938.8</v>
      </c>
      <c r="Y21" s="1">
        <v>1469.4</v>
      </c>
      <c r="Z21" s="1">
        <v>1422.9</v>
      </c>
      <c r="AA21" s="1">
        <v>1162.5</v>
      </c>
      <c r="AB21" s="1">
        <v>1088.0999999999999</v>
      </c>
      <c r="AC21" s="1">
        <v>1227.5999999999999</v>
      </c>
      <c r="AD21" s="1">
        <v>306.89999999999998</v>
      </c>
      <c r="AE21" s="1">
        <v>1209</v>
      </c>
      <c r="AF21" s="1">
        <v>697.5</v>
      </c>
      <c r="AG21" s="1">
        <v>279</v>
      </c>
      <c r="AH21" s="1">
        <v>474.3</v>
      </c>
      <c r="AI21" s="1">
        <v>390.6</v>
      </c>
      <c r="AJ21" s="1">
        <v>809.1</v>
      </c>
      <c r="AK21" s="1">
        <v>418.5</v>
      </c>
      <c r="AL21" s="1">
        <v>279</v>
      </c>
      <c r="AM21" s="1">
        <v>139.5</v>
      </c>
      <c r="AR21" s="3">
        <f t="shared" si="0"/>
        <v>35842.199999999997</v>
      </c>
      <c r="AT21" s="8">
        <f>IF(AR21=0,0,+AR21/PassVol!AR21)</f>
        <v>9.2999999999999989</v>
      </c>
      <c r="AU21" s="60">
        <f t="shared" ref="AU21:AU22" si="3">1.55*6</f>
        <v>9.3000000000000007</v>
      </c>
    </row>
    <row r="22" spans="1:47" x14ac:dyDescent="0.25">
      <c r="A22"/>
      <c r="C22" t="s">
        <v>44</v>
      </c>
      <c r="L22" s="1">
        <f>119844.42-104732</f>
        <v>15112.419999999998</v>
      </c>
      <c r="M22" s="1">
        <f>83060.58-61968</f>
        <v>21092.58</v>
      </c>
      <c r="N22" s="1">
        <f>94678.44-51582</f>
        <v>43096.44</v>
      </c>
      <c r="O22" s="1">
        <f>157443.42-99879</f>
        <v>57564.420000000013</v>
      </c>
      <c r="P22" s="1">
        <f>186914.88-103130</f>
        <v>83784.88</v>
      </c>
      <c r="Q22" s="1">
        <f>207517.32-135765</f>
        <v>71752.320000000007</v>
      </c>
      <c r="R22" s="1">
        <f>210032.76-120921</f>
        <v>89111.760000000009</v>
      </c>
      <c r="S22" s="1">
        <f>204418.92-122313</f>
        <v>82105.920000000013</v>
      </c>
      <c r="T22" s="1">
        <f>202391.58-122613</f>
        <v>79778.579999999987</v>
      </c>
      <c r="U22" s="1">
        <f>262748.76-138592</f>
        <v>124156.76000000001</v>
      </c>
      <c r="V22" s="1">
        <f>202669.14-100720</f>
        <v>101949.14000000001</v>
      </c>
      <c r="W22" s="1">
        <f>253299.84-128738</f>
        <v>124561.84</v>
      </c>
      <c r="X22" s="1">
        <f>233359.5-134471</f>
        <v>98888.5</v>
      </c>
      <c r="Y22" s="1">
        <f>120343.74-83672</f>
        <v>36671.740000000005</v>
      </c>
      <c r="Z22" s="1">
        <f>86691.66-56371</f>
        <v>30320.660000000003</v>
      </c>
      <c r="AA22" s="1">
        <f>64446.36-46525</f>
        <v>17921.36</v>
      </c>
      <c r="AB22" s="1">
        <f>56391.3-43697</f>
        <v>12694.300000000003</v>
      </c>
      <c r="AC22" s="1">
        <f>43576.98-31887</f>
        <v>11689.980000000003</v>
      </c>
      <c r="AD22" s="1">
        <f>34511.46-32475</f>
        <v>2036.4599999999991</v>
      </c>
      <c r="AE22" s="1">
        <f>32275.02-23301</f>
        <v>8974.02</v>
      </c>
      <c r="AF22" s="1">
        <f>15861-10700</f>
        <v>5161</v>
      </c>
      <c r="AG22" s="1">
        <f>15488.34-12280</f>
        <v>3208.34</v>
      </c>
      <c r="AH22" s="1">
        <f>90403.32-81141</f>
        <v>9262.320000000007</v>
      </c>
      <c r="AI22" s="1">
        <f>20338.38-13921</f>
        <v>6417.380000000001</v>
      </c>
      <c r="AJ22" s="1">
        <f>21122.16-12696</f>
        <v>8426.16</v>
      </c>
      <c r="AK22" s="1">
        <f>20323.38-16641</f>
        <v>3682.380000000001</v>
      </c>
      <c r="AL22" s="1">
        <f>15719.22-11283</f>
        <v>4436.2199999999993</v>
      </c>
      <c r="AM22" s="1">
        <f>8395.98-7643</f>
        <v>752.97999999999956</v>
      </c>
      <c r="AN22" s="1">
        <f>4418.46-3023</f>
        <v>1395.46</v>
      </c>
      <c r="AR22" s="3">
        <f t="shared" si="0"/>
        <v>1156006.3199999998</v>
      </c>
      <c r="AT22" s="8">
        <f>IF(AR22=0,0,+AR22/PassVol!AR22)</f>
        <v>9.2960927674220351</v>
      </c>
      <c r="AU22" s="60">
        <f t="shared" si="3"/>
        <v>9.3000000000000007</v>
      </c>
    </row>
    <row r="23" spans="1:47" s="2" customFormat="1" x14ac:dyDescent="0.25">
      <c r="B23" s="2" t="s">
        <v>63</v>
      </c>
      <c r="D23" s="3">
        <f>SUM(D4:D22)</f>
        <v>0</v>
      </c>
      <c r="E23" s="3">
        <f t="shared" ref="E23:J23" si="4">SUM(E4:E22)</f>
        <v>0</v>
      </c>
      <c r="F23" s="3">
        <f t="shared" si="4"/>
        <v>0</v>
      </c>
      <c r="G23" s="3">
        <f t="shared" si="4"/>
        <v>0</v>
      </c>
      <c r="H23" s="3">
        <f t="shared" si="4"/>
        <v>0</v>
      </c>
      <c r="I23" s="3">
        <f t="shared" si="4"/>
        <v>0</v>
      </c>
      <c r="J23" s="3">
        <f t="shared" si="4"/>
        <v>0</v>
      </c>
      <c r="K23" s="3">
        <f t="shared" ref="K23:AR23" si="5">SUM(K4:K22)</f>
        <v>0</v>
      </c>
      <c r="L23" s="3">
        <f t="shared" si="5"/>
        <v>119844.34000000001</v>
      </c>
      <c r="M23" s="3">
        <f t="shared" si="5"/>
        <v>83061.06</v>
      </c>
      <c r="N23" s="3">
        <f t="shared" si="5"/>
        <v>94678.68</v>
      </c>
      <c r="O23" s="3">
        <f t="shared" si="5"/>
        <v>157442.94</v>
      </c>
      <c r="P23" s="3">
        <f t="shared" si="5"/>
        <v>186923.32</v>
      </c>
      <c r="Q23" s="3">
        <f t="shared" si="5"/>
        <v>207516.84</v>
      </c>
      <c r="R23" s="3">
        <f t="shared" si="5"/>
        <v>210032.52000000002</v>
      </c>
      <c r="S23" s="3">
        <f t="shared" si="5"/>
        <v>204418.44000000006</v>
      </c>
      <c r="T23" s="3">
        <f t="shared" si="5"/>
        <v>202391.75999999998</v>
      </c>
      <c r="U23" s="3">
        <f t="shared" si="5"/>
        <v>262748.71999999997</v>
      </c>
      <c r="V23" s="3">
        <f t="shared" si="5"/>
        <v>202669.266</v>
      </c>
      <c r="W23" s="3">
        <f t="shared" si="5"/>
        <v>253299.87999999998</v>
      </c>
      <c r="X23" s="3">
        <f t="shared" si="5"/>
        <v>233358.99999999997</v>
      </c>
      <c r="Y23" s="3">
        <f t="shared" si="5"/>
        <v>120343.47999999998</v>
      </c>
      <c r="Z23" s="3">
        <f t="shared" si="5"/>
        <v>86691.32</v>
      </c>
      <c r="AA23" s="3">
        <f t="shared" si="5"/>
        <v>64446.62</v>
      </c>
      <c r="AB23" s="3">
        <f t="shared" si="5"/>
        <v>56391.1</v>
      </c>
      <c r="AC23" s="3">
        <f t="shared" si="5"/>
        <v>43585.020000000004</v>
      </c>
      <c r="AD23" s="3">
        <f t="shared" si="5"/>
        <v>34511.22</v>
      </c>
      <c r="AE23" s="3">
        <f t="shared" si="5"/>
        <v>32274.539999999997</v>
      </c>
      <c r="AF23" s="3">
        <f t="shared" si="5"/>
        <v>15860.5</v>
      </c>
      <c r="AG23" s="3">
        <f t="shared" si="5"/>
        <v>15488.18</v>
      </c>
      <c r="AH23" s="3">
        <f t="shared" si="5"/>
        <v>90402.840000000011</v>
      </c>
      <c r="AI23" s="3">
        <f t="shared" si="5"/>
        <v>20338.760000000002</v>
      </c>
      <c r="AJ23" s="3">
        <f t="shared" si="5"/>
        <v>21122.519999999997</v>
      </c>
      <c r="AK23" s="3">
        <f t="shared" si="5"/>
        <v>20322.960000000003</v>
      </c>
      <c r="AL23" s="3">
        <f t="shared" si="5"/>
        <v>15719.339999999998</v>
      </c>
      <c r="AM23" s="3">
        <f t="shared" si="5"/>
        <v>8395.66</v>
      </c>
      <c r="AN23" s="3">
        <f t="shared" si="5"/>
        <v>4418.8600000000006</v>
      </c>
      <c r="AO23" s="3">
        <f t="shared" si="5"/>
        <v>0</v>
      </c>
      <c r="AP23" s="3">
        <f t="shared" si="5"/>
        <v>0</v>
      </c>
      <c r="AQ23" s="3">
        <f t="shared" si="5"/>
        <v>0</v>
      </c>
      <c r="AR23" s="3">
        <f t="shared" si="5"/>
        <v>3068699.6859999998</v>
      </c>
      <c r="AS23" s="3"/>
      <c r="AT23" s="9">
        <f>IF(AR23=0,0,+AR23/PassVol!AR23)</f>
        <v>8.6041847122685411</v>
      </c>
      <c r="AU23" s="61"/>
    </row>
    <row r="24" spans="1:47" s="24" customFormat="1" x14ac:dyDescent="0.25">
      <c r="A24" s="23"/>
      <c r="B24" s="23"/>
      <c r="C24" s="27" t="s">
        <v>102</v>
      </c>
      <c r="D24" s="25">
        <f>+D23</f>
        <v>0</v>
      </c>
      <c r="E24" s="25">
        <f>+D24+E23</f>
        <v>0</v>
      </c>
      <c r="F24" s="25">
        <f t="shared" ref="F24:AQ24" si="6">+E24+F23</f>
        <v>0</v>
      </c>
      <c r="G24" s="25">
        <f t="shared" si="6"/>
        <v>0</v>
      </c>
      <c r="H24" s="25">
        <f t="shared" si="6"/>
        <v>0</v>
      </c>
      <c r="I24" s="25">
        <f t="shared" si="6"/>
        <v>0</v>
      </c>
      <c r="J24" s="25">
        <f t="shared" si="6"/>
        <v>0</v>
      </c>
      <c r="K24" s="25">
        <f t="shared" si="6"/>
        <v>0</v>
      </c>
      <c r="L24" s="25">
        <f t="shared" si="6"/>
        <v>119844.34000000001</v>
      </c>
      <c r="M24" s="25">
        <f t="shared" si="6"/>
        <v>202905.40000000002</v>
      </c>
      <c r="N24" s="25">
        <f t="shared" si="6"/>
        <v>297584.08</v>
      </c>
      <c r="O24" s="25">
        <f t="shared" si="6"/>
        <v>455027.02</v>
      </c>
      <c r="P24" s="25">
        <f t="shared" si="6"/>
        <v>641950.34000000008</v>
      </c>
      <c r="Q24" s="25">
        <f t="shared" si="6"/>
        <v>849467.18</v>
      </c>
      <c r="R24" s="25">
        <f t="shared" si="6"/>
        <v>1059499.7000000002</v>
      </c>
      <c r="S24" s="25">
        <f t="shared" si="6"/>
        <v>1263918.1400000001</v>
      </c>
      <c r="T24" s="25">
        <f t="shared" si="6"/>
        <v>1466309.9000000001</v>
      </c>
      <c r="U24" s="25">
        <f t="shared" si="6"/>
        <v>1729058.62</v>
      </c>
      <c r="V24" s="25">
        <f t="shared" si="6"/>
        <v>1931727.8860000002</v>
      </c>
      <c r="W24" s="25">
        <f t="shared" si="6"/>
        <v>2185027.7660000003</v>
      </c>
      <c r="X24" s="25">
        <f t="shared" si="6"/>
        <v>2418386.7660000003</v>
      </c>
      <c r="Y24" s="25">
        <f t="shared" si="6"/>
        <v>2538730.2460000003</v>
      </c>
      <c r="Z24" s="25">
        <f t="shared" si="6"/>
        <v>2625421.5660000001</v>
      </c>
      <c r="AA24" s="25">
        <f t="shared" si="6"/>
        <v>2689868.1860000002</v>
      </c>
      <c r="AB24" s="25">
        <f t="shared" si="6"/>
        <v>2746259.2860000003</v>
      </c>
      <c r="AC24" s="25">
        <f t="shared" si="6"/>
        <v>2789844.3060000003</v>
      </c>
      <c r="AD24" s="25">
        <f t="shared" si="6"/>
        <v>2824355.5260000005</v>
      </c>
      <c r="AE24" s="25">
        <f t="shared" si="6"/>
        <v>2856630.0660000006</v>
      </c>
      <c r="AF24" s="25">
        <f t="shared" si="6"/>
        <v>2872490.5660000006</v>
      </c>
      <c r="AG24" s="25">
        <f t="shared" si="6"/>
        <v>2887978.7460000007</v>
      </c>
      <c r="AH24" s="25">
        <f t="shared" si="6"/>
        <v>2978381.5860000006</v>
      </c>
      <c r="AI24" s="25">
        <f t="shared" si="6"/>
        <v>2998720.3460000004</v>
      </c>
      <c r="AJ24" s="25">
        <f t="shared" si="6"/>
        <v>3019842.8660000004</v>
      </c>
      <c r="AK24" s="25">
        <f t="shared" si="6"/>
        <v>3040165.8260000004</v>
      </c>
      <c r="AL24" s="25">
        <f t="shared" si="6"/>
        <v>3055885.1660000002</v>
      </c>
      <c r="AM24" s="25">
        <f t="shared" si="6"/>
        <v>3064280.8260000004</v>
      </c>
      <c r="AN24" s="25">
        <f t="shared" si="6"/>
        <v>3068699.6860000002</v>
      </c>
      <c r="AO24" s="25">
        <f t="shared" si="6"/>
        <v>3068699.6860000002</v>
      </c>
      <c r="AP24" s="25">
        <f t="shared" si="6"/>
        <v>3068699.6860000002</v>
      </c>
      <c r="AQ24" s="25">
        <f t="shared" si="6"/>
        <v>3068699.6860000002</v>
      </c>
      <c r="AR24" s="48"/>
      <c r="AS24" s="25"/>
      <c r="AT24" s="26"/>
      <c r="AU24" s="60"/>
    </row>
    <row r="25" spans="1:47" s="24" customFormat="1" x14ac:dyDescent="0.25">
      <c r="A25" s="23"/>
      <c r="B25" s="23"/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48"/>
      <c r="AS25" s="25"/>
      <c r="AT25" s="26"/>
      <c r="AU25" s="60"/>
    </row>
    <row r="26" spans="1:47" x14ac:dyDescent="0.25">
      <c r="A26"/>
      <c r="B26" s="2" t="s">
        <v>64</v>
      </c>
    </row>
    <row r="27" spans="1:47" x14ac:dyDescent="0.25">
      <c r="A27"/>
      <c r="C27" t="s">
        <v>190</v>
      </c>
      <c r="L27" s="1">
        <v>9302.0400000000009</v>
      </c>
      <c r="N27" s="1">
        <v>365.4</v>
      </c>
      <c r="O27" s="1">
        <v>1827</v>
      </c>
      <c r="P27" s="1">
        <v>1002.24</v>
      </c>
      <c r="R27" s="1">
        <v>7934.4</v>
      </c>
      <c r="S27" s="1">
        <v>313.2</v>
      </c>
      <c r="T27" s="1">
        <v>626.4</v>
      </c>
      <c r="U27" s="1">
        <v>7433.28</v>
      </c>
      <c r="V27" s="1">
        <v>407.16</v>
      </c>
      <c r="W27" s="1">
        <v>1388.52</v>
      </c>
      <c r="X27" s="1">
        <v>1096.2</v>
      </c>
      <c r="Y27" s="1">
        <v>125.28</v>
      </c>
      <c r="Z27" s="1">
        <v>10.44</v>
      </c>
      <c r="AA27" s="1">
        <v>167.04</v>
      </c>
      <c r="AR27" s="3">
        <f>SUM(D27:AQ27)</f>
        <v>31998.600000000002</v>
      </c>
      <c r="AT27" s="8">
        <f>IF(AR27=0,0,+AR27/PassVol!AR27)</f>
        <v>10.440000000000001</v>
      </c>
      <c r="AU27" s="60">
        <f>1.74*6</f>
        <v>10.44</v>
      </c>
    </row>
    <row r="28" spans="1:47" x14ac:dyDescent="0.25">
      <c r="A28"/>
      <c r="C28" t="s">
        <v>424</v>
      </c>
      <c r="L28" s="1">
        <v>977.76</v>
      </c>
      <c r="M28" s="1">
        <v>873</v>
      </c>
      <c r="N28" s="1">
        <v>744.96</v>
      </c>
      <c r="O28" s="1">
        <v>104.76</v>
      </c>
      <c r="P28" s="1">
        <v>1629.6</v>
      </c>
      <c r="Q28" s="1">
        <v>104.76</v>
      </c>
      <c r="S28" s="1">
        <v>453.96</v>
      </c>
      <c r="T28" s="1">
        <v>1152.3599999999999</v>
      </c>
      <c r="U28" s="1">
        <v>279.36</v>
      </c>
      <c r="V28" s="1">
        <v>442.32</v>
      </c>
      <c r="W28" s="1">
        <v>500.52</v>
      </c>
      <c r="X28" s="1">
        <v>372.48</v>
      </c>
      <c r="Y28" s="1">
        <v>302.64</v>
      </c>
      <c r="Z28" s="1">
        <v>325.92</v>
      </c>
      <c r="AA28" s="1">
        <v>139.68</v>
      </c>
      <c r="AR28" s="3">
        <f>SUM(D28:AQ28)</f>
        <v>8404.0799999999981</v>
      </c>
      <c r="AT28" s="8">
        <f>IF(AR28=0,0,+AR28/PassVol!AR28)</f>
        <v>11.639999999999997</v>
      </c>
      <c r="AU28" s="60">
        <f>1.94*6</f>
        <v>11.64</v>
      </c>
    </row>
    <row r="29" spans="1:47" x14ac:dyDescent="0.25">
      <c r="A29"/>
      <c r="C29" t="s">
        <v>347</v>
      </c>
      <c r="L29" s="1">
        <v>1222.2</v>
      </c>
      <c r="M29" s="1">
        <v>174.6</v>
      </c>
      <c r="N29" s="1">
        <v>523.79999999999995</v>
      </c>
      <c r="O29" s="1">
        <v>349.2</v>
      </c>
      <c r="P29" s="1">
        <v>1885.68</v>
      </c>
      <c r="S29" s="1">
        <v>314.27999999999997</v>
      </c>
      <c r="T29" s="1">
        <v>1070.8800000000001</v>
      </c>
      <c r="V29" s="1">
        <v>116.4</v>
      </c>
      <c r="W29" s="1">
        <v>46.56</v>
      </c>
      <c r="Y29" s="1">
        <v>104.76</v>
      </c>
      <c r="Z29" s="1">
        <v>69.84</v>
      </c>
      <c r="AR29" s="3">
        <f t="shared" ref="AR29:AR45" si="7">SUM(D29:AQ29)</f>
        <v>5878.2</v>
      </c>
      <c r="AT29" s="8">
        <f>IF(AR29=0,0,+AR29/PassVol!AR29)</f>
        <v>11.639999999999999</v>
      </c>
      <c r="AU29" s="60">
        <f>1.94*6</f>
        <v>11.64</v>
      </c>
    </row>
    <row r="30" spans="1:47" x14ac:dyDescent="0.25">
      <c r="A30"/>
      <c r="C30" t="s">
        <v>0</v>
      </c>
      <c r="L30" s="1">
        <v>15721.92</v>
      </c>
      <c r="M30" s="1">
        <v>2327.7600000000002</v>
      </c>
      <c r="N30" s="1">
        <v>4293</v>
      </c>
      <c r="O30" s="1">
        <v>5027.58</v>
      </c>
      <c r="P30" s="1">
        <v>3501.18</v>
      </c>
      <c r="R30" s="1">
        <v>8624.16</v>
      </c>
      <c r="T30" s="1">
        <v>4197.6000000000004</v>
      </c>
      <c r="U30" s="1">
        <v>6220.08</v>
      </c>
      <c r="V30" s="1">
        <v>3959.1</v>
      </c>
      <c r="W30" s="1">
        <v>4340.7</v>
      </c>
      <c r="X30" s="1">
        <v>6220.08</v>
      </c>
      <c r="Y30" s="1">
        <v>4331.16</v>
      </c>
      <c r="AA30" s="1">
        <v>4064.04</v>
      </c>
      <c r="AR30" s="3">
        <f t="shared" si="7"/>
        <v>72828.36</v>
      </c>
      <c r="AT30" s="8">
        <f>IF(AR30=0,0,+AR30/PassVol!AR30)</f>
        <v>9.5400000000000009</v>
      </c>
      <c r="AU30" s="60">
        <f>1.59*6</f>
        <v>9.5400000000000009</v>
      </c>
    </row>
    <row r="31" spans="1:47" x14ac:dyDescent="0.25">
      <c r="A31"/>
      <c r="C31" t="s">
        <v>354</v>
      </c>
      <c r="L31" s="1">
        <v>698.4</v>
      </c>
      <c r="N31" s="1">
        <v>174.6</v>
      </c>
      <c r="O31" s="1">
        <v>34.92</v>
      </c>
      <c r="P31" s="1">
        <v>698.4</v>
      </c>
      <c r="S31" s="1">
        <v>209.52</v>
      </c>
      <c r="T31" s="1">
        <v>698.4</v>
      </c>
      <c r="AR31" s="3">
        <f t="shared" si="7"/>
        <v>2514.2399999999998</v>
      </c>
      <c r="AT31" s="8">
        <f>IF(AR31=0,0,+AR31/PassVol!AR31)</f>
        <v>11.639999999999999</v>
      </c>
      <c r="AU31" s="60">
        <f>1.94*6</f>
        <v>11.64</v>
      </c>
    </row>
    <row r="32" spans="1:47" x14ac:dyDescent="0.25">
      <c r="A32"/>
      <c r="C32" t="s">
        <v>265</v>
      </c>
      <c r="L32" s="1">
        <v>1479.36</v>
      </c>
      <c r="P32" s="1">
        <v>850.08</v>
      </c>
      <c r="AR32" s="3">
        <f t="shared" si="7"/>
        <v>2329.44</v>
      </c>
      <c r="AT32" s="8">
        <f>IF(AR32=0,0,+AR32/PassVol!AR32)</f>
        <v>11.040000000000001</v>
      </c>
      <c r="AU32" s="60">
        <f>1.84*6</f>
        <v>11.040000000000001</v>
      </c>
    </row>
    <row r="33" spans="1:47" x14ac:dyDescent="0.25">
      <c r="A33"/>
      <c r="C33" t="s">
        <v>191</v>
      </c>
      <c r="M33" s="1">
        <v>4888.8</v>
      </c>
      <c r="N33" s="1">
        <v>174.6</v>
      </c>
      <c r="O33" s="1">
        <v>395.76</v>
      </c>
      <c r="P33" s="1">
        <v>3806.28</v>
      </c>
      <c r="R33" s="1">
        <v>5063.3999999999996</v>
      </c>
      <c r="W33" s="1">
        <v>174.6</v>
      </c>
      <c r="AR33" s="3">
        <f t="shared" si="7"/>
        <v>14503.44</v>
      </c>
      <c r="AT33" s="8">
        <f>IF(AR33=0,0,+AR33/PassVol!AR33)</f>
        <v>11.64</v>
      </c>
      <c r="AU33" s="60">
        <f t="shared" ref="AU33:AU35" si="8">1.94*6</f>
        <v>11.64</v>
      </c>
    </row>
    <row r="34" spans="1:47" x14ac:dyDescent="0.25">
      <c r="A34"/>
      <c r="C34" t="s">
        <v>549</v>
      </c>
      <c r="AR34" s="3">
        <f t="shared" si="7"/>
        <v>0</v>
      </c>
      <c r="AT34" s="8">
        <f>IF(AR34=0,0,+AR34/PassVol!AR34)</f>
        <v>0</v>
      </c>
      <c r="AU34" s="60">
        <f t="shared" si="8"/>
        <v>11.64</v>
      </c>
    </row>
    <row r="35" spans="1:47" x14ac:dyDescent="0.25">
      <c r="A35"/>
      <c r="C35" t="s">
        <v>550</v>
      </c>
      <c r="O35" s="1">
        <v>139.68</v>
      </c>
      <c r="S35" s="1">
        <v>6099.36</v>
      </c>
      <c r="U35" s="1">
        <v>186.24</v>
      </c>
      <c r="W35" s="1">
        <v>186.24</v>
      </c>
      <c r="X35" s="1">
        <v>232.8</v>
      </c>
      <c r="Y35" s="1">
        <v>256.08</v>
      </c>
      <c r="Z35" s="1">
        <v>46.56</v>
      </c>
      <c r="AR35" s="3">
        <f t="shared" si="7"/>
        <v>7146.96</v>
      </c>
      <c r="AT35" s="8">
        <f>IF(AR35=0,0,+AR35/PassVol!AR35)</f>
        <v>11.64</v>
      </c>
      <c r="AU35" s="60">
        <f t="shared" si="8"/>
        <v>11.64</v>
      </c>
    </row>
    <row r="36" spans="1:47" x14ac:dyDescent="0.25">
      <c r="C36" t="s">
        <v>6</v>
      </c>
      <c r="L36" s="1">
        <v>5097.6000000000004</v>
      </c>
      <c r="M36" s="1">
        <v>2124</v>
      </c>
      <c r="N36" s="1">
        <v>3540</v>
      </c>
      <c r="O36" s="1">
        <v>2124</v>
      </c>
      <c r="P36" s="1">
        <v>1699.2</v>
      </c>
      <c r="Q36" s="1">
        <v>5097.6000000000004</v>
      </c>
      <c r="R36" s="1">
        <v>1699.2</v>
      </c>
      <c r="S36" s="1">
        <v>1911.6</v>
      </c>
      <c r="T36" s="1">
        <v>3483.36</v>
      </c>
      <c r="V36" s="1">
        <v>1784.16</v>
      </c>
      <c r="AR36" s="3">
        <f t="shared" si="7"/>
        <v>28560.720000000001</v>
      </c>
      <c r="AT36" s="8">
        <f>IF(AR36=0,0,+AR36/PassVol!AR36)</f>
        <v>7.08</v>
      </c>
      <c r="AU36" s="60">
        <f>1.18*6</f>
        <v>7.08</v>
      </c>
    </row>
    <row r="37" spans="1:47" x14ac:dyDescent="0.25">
      <c r="C37" t="s">
        <v>262</v>
      </c>
      <c r="L37" s="1">
        <v>34.74</v>
      </c>
      <c r="M37" s="1">
        <v>4863.6000000000004</v>
      </c>
      <c r="O37" s="1">
        <v>486.36</v>
      </c>
      <c r="P37" s="1">
        <v>451.62</v>
      </c>
      <c r="R37" s="1">
        <v>138.96</v>
      </c>
      <c r="S37" s="1">
        <v>1644.36</v>
      </c>
      <c r="T37" s="1">
        <v>463.2</v>
      </c>
      <c r="U37" s="1">
        <v>46.32</v>
      </c>
      <c r="V37" s="1">
        <v>903.24</v>
      </c>
      <c r="W37" s="1">
        <v>497.94</v>
      </c>
      <c r="X37" s="1">
        <v>440.04</v>
      </c>
      <c r="Y37" s="1">
        <v>104.22</v>
      </c>
      <c r="Z37" s="1">
        <v>196.86</v>
      </c>
      <c r="AR37" s="3">
        <f t="shared" si="7"/>
        <v>10271.460000000001</v>
      </c>
      <c r="AT37" s="8">
        <f>IF(AR37=0,0,+AR37/PassVol!AR37)</f>
        <v>11.580000000000002</v>
      </c>
      <c r="AU37" s="60">
        <v>11.58</v>
      </c>
    </row>
    <row r="38" spans="1:47" x14ac:dyDescent="0.25">
      <c r="C38" t="s">
        <v>42</v>
      </c>
      <c r="AR38" s="3">
        <f t="shared" si="7"/>
        <v>0</v>
      </c>
      <c r="AT38" s="8">
        <f>IF(AR38=0,0,+AR38/PassVol!AR38)</f>
        <v>0</v>
      </c>
      <c r="AU38" s="60">
        <f>1.84*6</f>
        <v>11.040000000000001</v>
      </c>
    </row>
    <row r="39" spans="1:47" x14ac:dyDescent="0.25">
      <c r="C39" t="s">
        <v>192</v>
      </c>
      <c r="N39" s="1">
        <v>176.64</v>
      </c>
      <c r="O39" s="1">
        <v>419.52</v>
      </c>
      <c r="P39" s="1">
        <v>4714.08</v>
      </c>
      <c r="S39" s="1">
        <v>132.47999999999999</v>
      </c>
      <c r="T39" s="1">
        <v>1457.28</v>
      </c>
      <c r="W39" s="1">
        <v>88.32</v>
      </c>
      <c r="X39" s="1">
        <v>44.16</v>
      </c>
      <c r="AR39" s="3">
        <f t="shared" si="7"/>
        <v>7032.4799999999987</v>
      </c>
      <c r="AT39" s="8">
        <f>IF(AR39=0,0,+AR39/PassVol!AR39)</f>
        <v>11.039999999999997</v>
      </c>
      <c r="AU39" s="60">
        <f>1.84*6</f>
        <v>11.040000000000001</v>
      </c>
    </row>
    <row r="40" spans="1:47" x14ac:dyDescent="0.25">
      <c r="C40" t="s">
        <v>133</v>
      </c>
      <c r="L40" s="1">
        <v>698.4</v>
      </c>
      <c r="N40" s="1">
        <v>698.4</v>
      </c>
      <c r="O40" s="1">
        <v>139.68</v>
      </c>
      <c r="P40" s="1">
        <v>1012.68</v>
      </c>
      <c r="S40" s="1">
        <v>349.2</v>
      </c>
      <c r="T40" s="1">
        <v>873</v>
      </c>
      <c r="W40" s="1">
        <v>46.56</v>
      </c>
      <c r="X40" s="1">
        <v>256.08</v>
      </c>
      <c r="Y40" s="1">
        <v>93.12</v>
      </c>
      <c r="Z40" s="1">
        <v>186.24</v>
      </c>
      <c r="AA40" s="1">
        <v>186.24</v>
      </c>
      <c r="AR40" s="3">
        <f t="shared" si="7"/>
        <v>4539.5999999999995</v>
      </c>
      <c r="AT40" s="8">
        <f>IF(AR40=0,0,+AR40/PassVol!AR40)</f>
        <v>11.639999999999999</v>
      </c>
      <c r="AU40" s="60">
        <f t="shared" ref="AU40:AU41" si="9">1.94*6</f>
        <v>11.64</v>
      </c>
    </row>
    <row r="41" spans="1:47" x14ac:dyDescent="0.25">
      <c r="C41" t="s">
        <v>41</v>
      </c>
      <c r="L41" s="1">
        <v>8276.0400000000009</v>
      </c>
      <c r="M41" s="1">
        <v>698.4</v>
      </c>
      <c r="N41" s="1">
        <v>1722.72</v>
      </c>
      <c r="O41" s="1">
        <v>7018.92</v>
      </c>
      <c r="P41" s="1">
        <v>1303.68</v>
      </c>
      <c r="S41" s="1">
        <v>1466.64</v>
      </c>
      <c r="T41" s="1">
        <v>5948.04</v>
      </c>
      <c r="U41" s="1">
        <v>651.84</v>
      </c>
      <c r="V41" s="1">
        <v>512.16</v>
      </c>
      <c r="W41" s="1">
        <v>966.12</v>
      </c>
      <c r="X41" s="1">
        <v>1443.36</v>
      </c>
      <c r="Y41" s="1">
        <v>488.88</v>
      </c>
      <c r="Z41" s="1">
        <v>477.24</v>
      </c>
      <c r="AA41" s="1">
        <v>593.64</v>
      </c>
      <c r="AR41" s="3">
        <f t="shared" si="7"/>
        <v>31567.680000000004</v>
      </c>
      <c r="AT41" s="8">
        <f>IF(AR41=0,0,+AR41/PassVol!AR41)</f>
        <v>11.64</v>
      </c>
      <c r="AU41" s="60">
        <f t="shared" si="9"/>
        <v>11.64</v>
      </c>
    </row>
    <row r="42" spans="1:47" x14ac:dyDescent="0.25">
      <c r="C42" t="s">
        <v>193</v>
      </c>
      <c r="AR42" s="3">
        <f t="shared" si="7"/>
        <v>0</v>
      </c>
      <c r="AT42" s="8">
        <f>IF(AR42=0,0,+AR42/PassVol!AR42)</f>
        <v>0</v>
      </c>
      <c r="AU42" s="60">
        <v>0</v>
      </c>
    </row>
    <row r="43" spans="1:47" x14ac:dyDescent="0.25">
      <c r="C43" t="s">
        <v>297</v>
      </c>
      <c r="AR43" s="3">
        <f t="shared" si="7"/>
        <v>0</v>
      </c>
      <c r="AT43" s="8">
        <f>IF(AR43=0,0,+AR43/PassVol!AR43)</f>
        <v>0</v>
      </c>
      <c r="AU43" s="60">
        <v>0</v>
      </c>
    </row>
    <row r="44" spans="1:47" x14ac:dyDescent="0.25">
      <c r="C44" t="s">
        <v>296</v>
      </c>
      <c r="L44" s="1">
        <v>349.2</v>
      </c>
      <c r="M44" s="1">
        <v>209.52</v>
      </c>
      <c r="N44" s="1">
        <v>349.2</v>
      </c>
      <c r="O44" s="1">
        <v>873</v>
      </c>
      <c r="P44" s="1">
        <v>523.79999999999995</v>
      </c>
      <c r="S44" s="1">
        <v>302.64</v>
      </c>
      <c r="T44" s="1">
        <v>349.2</v>
      </c>
      <c r="V44" s="1">
        <v>232.8</v>
      </c>
      <c r="W44" s="1">
        <v>384.12</v>
      </c>
      <c r="X44" s="1">
        <v>128.04</v>
      </c>
      <c r="Y44" s="1">
        <v>116.4</v>
      </c>
      <c r="Z44" s="1">
        <v>69.84</v>
      </c>
      <c r="AA44" s="1">
        <v>116.4</v>
      </c>
      <c r="AR44" s="3">
        <f t="shared" si="7"/>
        <v>4004.1600000000003</v>
      </c>
      <c r="AT44" s="8">
        <f>IF(AR44=0,0,+AR44/PassVol!AR44)</f>
        <v>11.64</v>
      </c>
      <c r="AU44" s="60">
        <f t="shared" ref="AU44:AU45" si="10">1.94*6</f>
        <v>11.64</v>
      </c>
    </row>
    <row r="45" spans="1:47" x14ac:dyDescent="0.25">
      <c r="A45"/>
      <c r="C45" t="s">
        <v>44</v>
      </c>
      <c r="L45" s="1">
        <f>54391.86-43858</f>
        <v>10533.86</v>
      </c>
      <c r="M45" s="1">
        <f>19279.2-16160</f>
        <v>3119.2000000000007</v>
      </c>
      <c r="N45" s="1">
        <f>18688.08-12763</f>
        <v>5925.0800000000017</v>
      </c>
      <c r="O45" s="1">
        <f>27763.5-18940</f>
        <v>8823.5</v>
      </c>
      <c r="P45" s="1">
        <f>34532.28-23079</f>
        <v>11453.279999999999</v>
      </c>
      <c r="Q45" s="1">
        <f>5342-5202</f>
        <v>140</v>
      </c>
      <c r="S45" s="1">
        <f>21519.84-13197</f>
        <v>8322.84</v>
      </c>
      <c r="T45" s="1">
        <f>26384.16-20320</f>
        <v>6064.16</v>
      </c>
      <c r="U45" s="1">
        <f>16307.04-14817</f>
        <v>1490.0400000000009</v>
      </c>
      <c r="V45" s="1">
        <f>12175.26-8357</f>
        <v>3818.26</v>
      </c>
      <c r="W45" s="1">
        <f>14137.56-8620</f>
        <v>5517.5599999999995</v>
      </c>
      <c r="X45" s="1">
        <f>14400.36-10233</f>
        <v>4167.3600000000006</v>
      </c>
      <c r="Y45" s="1">
        <f>8006.1-5923</f>
        <v>2083.1000000000004</v>
      </c>
      <c r="Z45" s="1">
        <f>3245.34-1383</f>
        <v>1862.3400000000001</v>
      </c>
      <c r="AA45" s="1">
        <f>6791.88-5267</f>
        <v>1524.88</v>
      </c>
      <c r="AR45" s="3">
        <f t="shared" si="7"/>
        <v>74845.460000000006</v>
      </c>
      <c r="AT45" s="8">
        <f>IF(AR45=0,0,+AR45/PassVol!AR45)</f>
        <v>11.638230446275852</v>
      </c>
      <c r="AU45" s="60">
        <f t="shared" si="10"/>
        <v>11.64</v>
      </c>
    </row>
    <row r="46" spans="1:47" x14ac:dyDescent="0.25">
      <c r="A46"/>
      <c r="B46" s="2" t="s">
        <v>65</v>
      </c>
      <c r="D46" s="3">
        <f>SUM(D27:D45)</f>
        <v>0</v>
      </c>
      <c r="E46" s="3">
        <f t="shared" ref="E46:J46" si="11">SUM(E27:E45)</f>
        <v>0</v>
      </c>
      <c r="F46" s="3">
        <f t="shared" si="11"/>
        <v>0</v>
      </c>
      <c r="G46" s="3">
        <f t="shared" si="11"/>
        <v>0</v>
      </c>
      <c r="H46" s="3">
        <f t="shared" si="11"/>
        <v>0</v>
      </c>
      <c r="I46" s="3">
        <f t="shared" si="11"/>
        <v>0</v>
      </c>
      <c r="J46" s="3">
        <f t="shared" si="11"/>
        <v>0</v>
      </c>
      <c r="K46" s="3">
        <f>SUM(K27:K45)</f>
        <v>0</v>
      </c>
      <c r="L46" s="3">
        <f>SUM(L27:L45)</f>
        <v>54391.520000000004</v>
      </c>
      <c r="M46" s="3">
        <f t="shared" ref="M46:AR46" si="12">SUM(M27:M45)</f>
        <v>19278.88</v>
      </c>
      <c r="N46" s="3">
        <f t="shared" si="12"/>
        <v>18688.400000000001</v>
      </c>
      <c r="O46" s="3">
        <f t="shared" si="12"/>
        <v>27763.880000000005</v>
      </c>
      <c r="P46" s="3">
        <f t="shared" si="12"/>
        <v>34531.800000000003</v>
      </c>
      <c r="Q46" s="3">
        <f t="shared" si="12"/>
        <v>5342.3600000000006</v>
      </c>
      <c r="R46" s="3">
        <f t="shared" si="12"/>
        <v>23460.12</v>
      </c>
      <c r="S46" s="3">
        <f t="shared" si="12"/>
        <v>21520.080000000002</v>
      </c>
      <c r="T46" s="3">
        <f t="shared" si="12"/>
        <v>26383.88</v>
      </c>
      <c r="U46" s="3">
        <f t="shared" si="12"/>
        <v>16307.16</v>
      </c>
      <c r="V46" s="3">
        <f t="shared" si="12"/>
        <v>12175.599999999999</v>
      </c>
      <c r="W46" s="3">
        <f t="shared" si="12"/>
        <v>14137.76</v>
      </c>
      <c r="X46" s="3">
        <f t="shared" si="12"/>
        <v>14400.600000000002</v>
      </c>
      <c r="Y46" s="3">
        <f t="shared" si="12"/>
        <v>8005.64</v>
      </c>
      <c r="Z46" s="3">
        <f t="shared" si="12"/>
        <v>3245.28</v>
      </c>
      <c r="AA46" s="3">
        <f t="shared" si="12"/>
        <v>6791.92</v>
      </c>
      <c r="AB46" s="3">
        <f t="shared" si="12"/>
        <v>0</v>
      </c>
      <c r="AC46" s="3">
        <f t="shared" si="12"/>
        <v>0</v>
      </c>
      <c r="AD46" s="3">
        <f t="shared" si="12"/>
        <v>0</v>
      </c>
      <c r="AE46" s="3">
        <f t="shared" si="12"/>
        <v>0</v>
      </c>
      <c r="AF46" s="3">
        <f t="shared" si="12"/>
        <v>0</v>
      </c>
      <c r="AG46" s="3">
        <f t="shared" si="12"/>
        <v>0</v>
      </c>
      <c r="AH46" s="3">
        <f t="shared" si="12"/>
        <v>0</v>
      </c>
      <c r="AI46" s="3">
        <f t="shared" si="12"/>
        <v>0</v>
      </c>
      <c r="AJ46" s="3">
        <f t="shared" si="12"/>
        <v>0</v>
      </c>
      <c r="AK46" s="3">
        <f t="shared" si="12"/>
        <v>0</v>
      </c>
      <c r="AL46" s="3">
        <f t="shared" si="12"/>
        <v>0</v>
      </c>
      <c r="AM46" s="3">
        <f t="shared" si="12"/>
        <v>0</v>
      </c>
      <c r="AN46" s="3">
        <f t="shared" si="12"/>
        <v>0</v>
      </c>
      <c r="AO46" s="3">
        <f t="shared" si="12"/>
        <v>0</v>
      </c>
      <c r="AP46" s="3">
        <f t="shared" si="12"/>
        <v>0</v>
      </c>
      <c r="AQ46" s="3">
        <f t="shared" si="12"/>
        <v>0</v>
      </c>
      <c r="AR46" s="3">
        <f t="shared" si="12"/>
        <v>306424.88</v>
      </c>
      <c r="AT46" s="9">
        <f>IF(AR46=0,0,+AR46/PassVol!AR46)</f>
        <v>10.335431732325958</v>
      </c>
    </row>
    <row r="47" spans="1:47" s="24" customFormat="1" x14ac:dyDescent="0.25">
      <c r="A47" s="23"/>
      <c r="B47" s="23"/>
      <c r="C47" s="27" t="s">
        <v>102</v>
      </c>
      <c r="D47" s="25">
        <f>+D46</f>
        <v>0</v>
      </c>
      <c r="E47" s="25">
        <f>+D47+E46</f>
        <v>0</v>
      </c>
      <c r="F47" s="25">
        <f t="shared" ref="F47" si="13">+E47+F46</f>
        <v>0</v>
      </c>
      <c r="G47" s="25">
        <f t="shared" ref="G47" si="14">+F47+G46</f>
        <v>0</v>
      </c>
      <c r="H47" s="25">
        <f t="shared" ref="H47" si="15">+G47+H46</f>
        <v>0</v>
      </c>
      <c r="I47" s="25">
        <f t="shared" ref="I47" si="16">+H47+I46</f>
        <v>0</v>
      </c>
      <c r="J47" s="25">
        <f t="shared" ref="J47" si="17">+I47+J46</f>
        <v>0</v>
      </c>
      <c r="K47" s="25">
        <f t="shared" ref="K47" si="18">+J47+K46</f>
        <v>0</v>
      </c>
      <c r="L47" s="25">
        <f t="shared" ref="L47" si="19">+K47+L46</f>
        <v>54391.520000000004</v>
      </c>
      <c r="M47" s="25">
        <f t="shared" ref="M47" si="20">+L47+M46</f>
        <v>73670.400000000009</v>
      </c>
      <c r="N47" s="25">
        <f t="shared" ref="N47" si="21">+M47+N46</f>
        <v>92358.800000000017</v>
      </c>
      <c r="O47" s="25">
        <f t="shared" ref="O47" si="22">+N47+O46</f>
        <v>120122.68000000002</v>
      </c>
      <c r="P47" s="25">
        <f t="shared" ref="P47" si="23">+O47+P46</f>
        <v>154654.48000000004</v>
      </c>
      <c r="Q47" s="25">
        <f t="shared" ref="Q47" si="24">+P47+Q46</f>
        <v>159996.84000000003</v>
      </c>
      <c r="R47" s="25">
        <f t="shared" ref="R47" si="25">+Q47+R46</f>
        <v>183456.96000000002</v>
      </c>
      <c r="S47" s="25">
        <f t="shared" ref="S47" si="26">+R47+S46</f>
        <v>204977.04000000004</v>
      </c>
      <c r="T47" s="25">
        <f t="shared" ref="T47" si="27">+S47+T46</f>
        <v>231360.92000000004</v>
      </c>
      <c r="U47" s="25">
        <f t="shared" ref="U47" si="28">+T47+U46</f>
        <v>247668.08000000005</v>
      </c>
      <c r="V47" s="25">
        <f t="shared" ref="V47" si="29">+U47+V46</f>
        <v>259843.68000000005</v>
      </c>
      <c r="W47" s="25">
        <f t="shared" ref="W47" si="30">+V47+W46</f>
        <v>273981.44000000006</v>
      </c>
      <c r="X47" s="25">
        <f t="shared" ref="X47" si="31">+W47+X46</f>
        <v>288382.04000000004</v>
      </c>
      <c r="Y47" s="25">
        <f t="shared" ref="Y47" si="32">+X47+Y46</f>
        <v>296387.68000000005</v>
      </c>
      <c r="Z47" s="25">
        <f t="shared" ref="Z47" si="33">+Y47+Z46</f>
        <v>299632.96000000008</v>
      </c>
      <c r="AA47" s="25">
        <f t="shared" ref="AA47" si="34">+Z47+AA46</f>
        <v>306424.88000000006</v>
      </c>
      <c r="AB47" s="25">
        <f t="shared" ref="AB47" si="35">+AA47+AB46</f>
        <v>306424.88000000006</v>
      </c>
      <c r="AC47" s="25">
        <f t="shared" ref="AC47" si="36">+AB47+AC46</f>
        <v>306424.88000000006</v>
      </c>
      <c r="AD47" s="25">
        <f t="shared" ref="AD47" si="37">+AC47+AD46</f>
        <v>306424.88000000006</v>
      </c>
      <c r="AE47" s="25">
        <f t="shared" ref="AE47" si="38">+AD47+AE46</f>
        <v>306424.88000000006</v>
      </c>
      <c r="AF47" s="25">
        <f t="shared" ref="AF47" si="39">+AE47+AF46</f>
        <v>306424.88000000006</v>
      </c>
      <c r="AG47" s="25">
        <f t="shared" ref="AG47" si="40">+AF47+AG46</f>
        <v>306424.88000000006</v>
      </c>
      <c r="AH47" s="25">
        <f t="shared" ref="AH47" si="41">+AG47+AH46</f>
        <v>306424.88000000006</v>
      </c>
      <c r="AI47" s="25">
        <f t="shared" ref="AI47" si="42">+AH47+AI46</f>
        <v>306424.88000000006</v>
      </c>
      <c r="AJ47" s="25">
        <f t="shared" ref="AJ47" si="43">+AI47+AJ46</f>
        <v>306424.88000000006</v>
      </c>
      <c r="AK47" s="25">
        <f t="shared" ref="AK47" si="44">+AJ47+AK46</f>
        <v>306424.88000000006</v>
      </c>
      <c r="AL47" s="25">
        <f t="shared" ref="AL47" si="45">+AK47+AL46</f>
        <v>306424.88000000006</v>
      </c>
      <c r="AM47" s="25">
        <f t="shared" ref="AM47" si="46">+AL47+AM46</f>
        <v>306424.88000000006</v>
      </c>
      <c r="AN47" s="25">
        <f t="shared" ref="AN47" si="47">+AM47+AN46</f>
        <v>306424.88000000006</v>
      </c>
      <c r="AO47" s="25">
        <f t="shared" ref="AO47" si="48">+AN47+AO46</f>
        <v>306424.88000000006</v>
      </c>
      <c r="AP47" s="25">
        <f t="shared" ref="AP47" si="49">+AO47+AP46</f>
        <v>306424.88000000006</v>
      </c>
      <c r="AQ47" s="25">
        <f t="shared" ref="AQ47" si="50">+AP47+AQ46</f>
        <v>306424.88000000006</v>
      </c>
      <c r="AR47" s="48"/>
      <c r="AS47" s="25"/>
      <c r="AT47" s="26"/>
      <c r="AU47" s="60"/>
    </row>
    <row r="48" spans="1:47" s="24" customFormat="1" x14ac:dyDescent="0.25">
      <c r="A48" s="23"/>
      <c r="B48" s="23"/>
      <c r="C48" s="27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48"/>
      <c r="AS48" s="25"/>
      <c r="AT48" s="26"/>
      <c r="AU48" s="60"/>
    </row>
    <row r="49" spans="1:47" x14ac:dyDescent="0.25">
      <c r="A49"/>
      <c r="B49" s="2" t="s">
        <v>66</v>
      </c>
    </row>
    <row r="50" spans="1:47" x14ac:dyDescent="0.25">
      <c r="A50"/>
      <c r="C50" t="s">
        <v>190</v>
      </c>
      <c r="L50" s="1">
        <v>93.96</v>
      </c>
      <c r="Q50" s="1">
        <v>187.92</v>
      </c>
      <c r="S50" s="1">
        <v>41.76</v>
      </c>
      <c r="T50" s="1">
        <v>73.08</v>
      </c>
      <c r="V50" s="1">
        <v>20.88</v>
      </c>
      <c r="W50" s="1">
        <v>52.2</v>
      </c>
      <c r="AR50" s="3">
        <f>SUM(D50:AQ50)</f>
        <v>469.79999999999995</v>
      </c>
      <c r="AT50" s="8">
        <f>IF(AR50=0,0,+AR50/PassVol!AR50)</f>
        <v>10.44</v>
      </c>
      <c r="AU50" s="60">
        <f>1.74*6</f>
        <v>10.44</v>
      </c>
    </row>
    <row r="51" spans="1:47" x14ac:dyDescent="0.25">
      <c r="A51"/>
      <c r="C51" t="s">
        <v>424</v>
      </c>
      <c r="L51" s="1">
        <v>1198.92</v>
      </c>
      <c r="M51" s="1">
        <v>453.96</v>
      </c>
      <c r="N51" s="1">
        <v>698.4</v>
      </c>
      <c r="P51" s="1">
        <v>1722.72</v>
      </c>
      <c r="Q51" s="1">
        <v>1129.08</v>
      </c>
      <c r="R51" s="1">
        <v>791.52</v>
      </c>
      <c r="S51" s="1">
        <v>69.84</v>
      </c>
      <c r="T51" s="1">
        <v>558.72</v>
      </c>
      <c r="U51" s="1">
        <v>11.64</v>
      </c>
      <c r="V51" s="1">
        <v>302.64</v>
      </c>
      <c r="W51" s="1">
        <v>256.08</v>
      </c>
      <c r="X51" s="1">
        <v>69.84</v>
      </c>
      <c r="AR51" s="3">
        <f>SUM(D51:AQ51)</f>
        <v>7263.3600000000015</v>
      </c>
      <c r="AT51" s="8">
        <f>IF(AR51=0,0,+AR51/PassVol!AR51)</f>
        <v>11.640000000000002</v>
      </c>
      <c r="AU51" s="60">
        <f>1.94*6</f>
        <v>11.64</v>
      </c>
    </row>
    <row r="52" spans="1:47" x14ac:dyDescent="0.25">
      <c r="A52"/>
      <c r="C52" t="s">
        <v>347</v>
      </c>
      <c r="L52" s="1">
        <v>838.08</v>
      </c>
      <c r="M52" s="1">
        <v>349.2</v>
      </c>
      <c r="N52" s="1">
        <v>244.44</v>
      </c>
      <c r="O52" s="1">
        <v>34.92</v>
      </c>
      <c r="P52" s="1">
        <v>803.16</v>
      </c>
      <c r="Q52" s="1">
        <v>174.6</v>
      </c>
      <c r="R52" s="1">
        <v>453.96</v>
      </c>
      <c r="S52" s="1">
        <v>174.6</v>
      </c>
      <c r="T52" s="1">
        <v>558.72</v>
      </c>
      <c r="W52" s="1">
        <v>139.68</v>
      </c>
      <c r="AR52" s="3">
        <f>SUM(D52:AQ52)</f>
        <v>3771.36</v>
      </c>
      <c r="AT52" s="8">
        <f>IF(AR52=0,0,+AR52/PassVol!AR52)</f>
        <v>11.64</v>
      </c>
      <c r="AU52" s="60">
        <f>1.94*6</f>
        <v>11.64</v>
      </c>
    </row>
    <row r="53" spans="1:47" x14ac:dyDescent="0.25">
      <c r="A53"/>
      <c r="C53" t="s">
        <v>0</v>
      </c>
      <c r="AR53" s="3">
        <f t="shared" ref="AR53:AR68" si="51">SUM(D53:AQ53)</f>
        <v>0</v>
      </c>
      <c r="AT53" s="8">
        <f>IF(AR53=0,0,+AR53/PassVol!AR53)</f>
        <v>0</v>
      </c>
      <c r="AU53" s="60">
        <f>1.59*6</f>
        <v>9.5400000000000009</v>
      </c>
    </row>
    <row r="54" spans="1:47" x14ac:dyDescent="0.25">
      <c r="A54"/>
      <c r="C54" t="s">
        <v>354</v>
      </c>
      <c r="L54" s="1">
        <v>698.4</v>
      </c>
      <c r="O54" s="1">
        <v>69.84</v>
      </c>
      <c r="P54" s="1">
        <v>698.4</v>
      </c>
      <c r="T54" s="1">
        <v>523.79999999999995</v>
      </c>
      <c r="AR54" s="3">
        <f t="shared" si="51"/>
        <v>1990.4399999999998</v>
      </c>
      <c r="AT54" s="8">
        <f>IF(AR54=0,0,+AR54/PassVol!AR54)</f>
        <v>11.639999999999999</v>
      </c>
      <c r="AU54" s="60">
        <f>1.94*6</f>
        <v>11.64</v>
      </c>
    </row>
    <row r="55" spans="1:47" x14ac:dyDescent="0.25">
      <c r="A55"/>
      <c r="C55" t="s">
        <v>265</v>
      </c>
      <c r="L55" s="1">
        <v>828</v>
      </c>
      <c r="P55" s="1">
        <v>850.08</v>
      </c>
      <c r="AR55" s="3">
        <f t="shared" si="51"/>
        <v>1678.08</v>
      </c>
      <c r="AT55" s="8">
        <f>IF(AR55=0,0,+AR55/PassVol!AR55)</f>
        <v>11.04</v>
      </c>
      <c r="AU55" s="60">
        <f>1.84*6</f>
        <v>11.040000000000001</v>
      </c>
    </row>
    <row r="56" spans="1:47" x14ac:dyDescent="0.25">
      <c r="A56"/>
      <c r="C56" t="s">
        <v>191</v>
      </c>
      <c r="M56" s="1">
        <v>5063.3999999999996</v>
      </c>
      <c r="N56" s="1">
        <v>174.6</v>
      </c>
      <c r="O56" s="1">
        <v>209.52</v>
      </c>
      <c r="P56" s="1">
        <v>3841.2</v>
      </c>
      <c r="Q56" s="1">
        <v>162.96</v>
      </c>
      <c r="R56" s="1">
        <v>4190.3999999999996</v>
      </c>
      <c r="AR56" s="3">
        <f t="shared" si="51"/>
        <v>13642.08</v>
      </c>
      <c r="AT56" s="8">
        <f>IF(AR56=0,0,+AR56/PassVol!AR56)</f>
        <v>11.64</v>
      </c>
      <c r="AU56" s="60">
        <f t="shared" ref="AU56:AU58" si="52">1.94*6</f>
        <v>11.64</v>
      </c>
    </row>
    <row r="57" spans="1:47" x14ac:dyDescent="0.25">
      <c r="A57"/>
      <c r="C57" t="s">
        <v>549</v>
      </c>
      <c r="AR57" s="3">
        <f t="shared" si="51"/>
        <v>0</v>
      </c>
      <c r="AT57" s="8">
        <f>IF(AR57=0,0,+AR57/PassVol!AR57)</f>
        <v>0</v>
      </c>
      <c r="AU57" s="60">
        <f t="shared" si="52"/>
        <v>11.64</v>
      </c>
    </row>
    <row r="58" spans="1:47" x14ac:dyDescent="0.25">
      <c r="A58"/>
      <c r="C58" t="s">
        <v>550</v>
      </c>
      <c r="R58" s="1">
        <v>5878</v>
      </c>
      <c r="S58" s="1">
        <v>1455</v>
      </c>
      <c r="U58" s="1">
        <v>186.24</v>
      </c>
      <c r="V58" s="1">
        <v>640.20000000000005</v>
      </c>
      <c r="W58" s="1">
        <v>69.84</v>
      </c>
      <c r="X58" s="1">
        <v>302.64</v>
      </c>
      <c r="AR58" s="3">
        <f t="shared" si="51"/>
        <v>8531.9199999999983</v>
      </c>
      <c r="AT58" s="8">
        <f>IF(AR58=0,0,+AR58/PassVol!AR58)</f>
        <v>11.639727148703955</v>
      </c>
      <c r="AU58" s="60">
        <f t="shared" si="52"/>
        <v>11.64</v>
      </c>
    </row>
    <row r="59" spans="1:47" x14ac:dyDescent="0.25">
      <c r="C59" t="s">
        <v>6</v>
      </c>
      <c r="AR59" s="3">
        <f t="shared" si="51"/>
        <v>0</v>
      </c>
      <c r="AT59" s="8">
        <f>IF(AR59=0,0,+AR59/PassVol!AR59)</f>
        <v>0</v>
      </c>
      <c r="AU59" s="60">
        <f>1.18*6</f>
        <v>7.08</v>
      </c>
    </row>
    <row r="60" spans="1:47" x14ac:dyDescent="0.25">
      <c r="C60" t="s">
        <v>262</v>
      </c>
      <c r="AR60" s="3">
        <f t="shared" si="51"/>
        <v>0</v>
      </c>
      <c r="AT60" s="8">
        <f>IF(AR60=0,0,+AR60/PassVol!AR60)</f>
        <v>0</v>
      </c>
      <c r="AU60" s="60">
        <f>1.94*6</f>
        <v>11.64</v>
      </c>
    </row>
    <row r="61" spans="1:47" x14ac:dyDescent="0.25">
      <c r="C61" t="s">
        <v>42</v>
      </c>
      <c r="L61" s="1">
        <v>6224.4</v>
      </c>
      <c r="Q61" s="1">
        <v>65.52</v>
      </c>
      <c r="W61" s="1">
        <v>163.80000000000001</v>
      </c>
      <c r="AR61" s="3">
        <f t="shared" si="51"/>
        <v>6453.72</v>
      </c>
      <c r="AT61" s="8">
        <f>IF(AR61=0,0,+AR61/PassVol!AR61)</f>
        <v>10.92</v>
      </c>
      <c r="AU61" s="60">
        <f>1.82*6</f>
        <v>10.92</v>
      </c>
    </row>
    <row r="62" spans="1:47" x14ac:dyDescent="0.25">
      <c r="C62" t="s">
        <v>192</v>
      </c>
      <c r="M62" s="1">
        <v>2980.8</v>
      </c>
      <c r="O62" s="1">
        <v>22.08</v>
      </c>
      <c r="P62" s="1">
        <v>3124.32</v>
      </c>
      <c r="V62" s="1">
        <v>22.08</v>
      </c>
      <c r="W62" s="1">
        <v>44.16</v>
      </c>
      <c r="AR62" s="3">
        <f t="shared" si="51"/>
        <v>6193.4400000000005</v>
      </c>
      <c r="AT62" s="8">
        <f>IF(AR62=0,0,+AR62/PassVol!AR62)</f>
        <v>11.040000000000001</v>
      </c>
      <c r="AU62" s="60">
        <f>1.84*6</f>
        <v>11.040000000000001</v>
      </c>
    </row>
    <row r="63" spans="1:47" x14ac:dyDescent="0.25">
      <c r="C63" t="s">
        <v>133</v>
      </c>
      <c r="L63" s="1">
        <v>698.4</v>
      </c>
      <c r="N63" s="1">
        <v>523.79999999999995</v>
      </c>
      <c r="O63" s="1">
        <v>69.84</v>
      </c>
      <c r="P63" s="1">
        <v>523.79999999999995</v>
      </c>
      <c r="Q63" s="1">
        <v>349.2</v>
      </c>
      <c r="R63" s="1">
        <v>349.2</v>
      </c>
      <c r="S63" s="1">
        <v>349.2</v>
      </c>
      <c r="T63" s="1">
        <v>698.4</v>
      </c>
      <c r="AR63" s="3">
        <f t="shared" si="51"/>
        <v>3561.8399999999992</v>
      </c>
      <c r="AT63" s="8">
        <f>IF(AR63=0,0,+AR63/PassVol!AR63)</f>
        <v>11.639999999999997</v>
      </c>
      <c r="AU63" s="60">
        <f t="shared" ref="AU63:AU64" si="53">1.94*6</f>
        <v>11.64</v>
      </c>
    </row>
    <row r="64" spans="1:47" x14ac:dyDescent="0.25">
      <c r="C64" t="s">
        <v>41</v>
      </c>
      <c r="L64" s="1">
        <v>5272.92</v>
      </c>
      <c r="M64" s="1">
        <v>873</v>
      </c>
      <c r="N64" s="1">
        <v>523.79999999999995</v>
      </c>
      <c r="O64" s="1">
        <v>4388.28</v>
      </c>
      <c r="P64" s="1">
        <v>1862.4</v>
      </c>
      <c r="Q64" s="1">
        <v>3841.2</v>
      </c>
      <c r="R64" s="1">
        <v>523.79999999999995</v>
      </c>
      <c r="S64" s="1">
        <v>535.44000000000005</v>
      </c>
      <c r="T64" s="1">
        <v>2968.2</v>
      </c>
      <c r="V64" s="1">
        <v>232.8</v>
      </c>
      <c r="W64" s="1">
        <v>11.64</v>
      </c>
      <c r="X64" s="1">
        <v>1152.3599999999999</v>
      </c>
      <c r="AR64" s="3">
        <f t="shared" si="51"/>
        <v>22185.839999999997</v>
      </c>
      <c r="AT64" s="8">
        <f>IF(AR64=0,0,+AR64/PassVol!AR64)</f>
        <v>11.639999999999999</v>
      </c>
      <c r="AU64" s="60">
        <f t="shared" si="53"/>
        <v>11.64</v>
      </c>
    </row>
    <row r="65" spans="1:47" x14ac:dyDescent="0.25">
      <c r="C65" t="s">
        <v>193</v>
      </c>
      <c r="AR65" s="3">
        <f t="shared" si="51"/>
        <v>0</v>
      </c>
      <c r="AT65" s="8">
        <f>IF(AR65=0,0,+AR65/PassVol!AR65)</f>
        <v>0</v>
      </c>
      <c r="AU65" s="60">
        <v>0</v>
      </c>
    </row>
    <row r="66" spans="1:47" x14ac:dyDescent="0.25">
      <c r="C66" t="s">
        <v>297</v>
      </c>
      <c r="AR66" s="3">
        <f t="shared" si="51"/>
        <v>0</v>
      </c>
      <c r="AT66" s="8">
        <f>IF(AR66=0,0,+AR66/PassVol!AR66)</f>
        <v>0</v>
      </c>
      <c r="AU66" s="60">
        <v>0</v>
      </c>
    </row>
    <row r="67" spans="1:47" x14ac:dyDescent="0.25">
      <c r="C67" t="s">
        <v>296</v>
      </c>
      <c r="L67" s="1">
        <v>209.52</v>
      </c>
      <c r="M67" s="1">
        <v>174.6</v>
      </c>
      <c r="O67" s="1">
        <v>209.52</v>
      </c>
      <c r="P67" s="1">
        <v>34.92</v>
      </c>
      <c r="Q67" s="1">
        <v>174.6</v>
      </c>
      <c r="R67" s="1">
        <v>34.92</v>
      </c>
      <c r="T67" s="1">
        <v>209.52</v>
      </c>
      <c r="V67" s="1">
        <v>34.92</v>
      </c>
      <c r="W67" s="1">
        <v>69.84</v>
      </c>
      <c r="X67" s="1">
        <v>69.84</v>
      </c>
      <c r="AR67" s="3">
        <f t="shared" si="51"/>
        <v>1222.1999999999998</v>
      </c>
      <c r="AT67" s="8">
        <f>IF(AR67=0,0,+AR67/PassVol!AR67)</f>
        <v>11.639999999999999</v>
      </c>
      <c r="AU67" s="60">
        <f t="shared" ref="AU67:AU68" si="54">1.94*6</f>
        <v>11.64</v>
      </c>
    </row>
    <row r="68" spans="1:47" x14ac:dyDescent="0.25">
      <c r="A68"/>
      <c r="C68" t="s">
        <v>44</v>
      </c>
      <c r="L68" s="1">
        <f>23942.88-16063</f>
        <v>7879.880000000001</v>
      </c>
      <c r="M68" s="1">
        <f>12246.24-9895</f>
        <v>2351.2399999999998</v>
      </c>
      <c r="N68" s="1">
        <f>5468.04-2165</f>
        <v>3303.04</v>
      </c>
      <c r="O68" s="1">
        <f>10882.2-5004</f>
        <v>5878.2000000000007</v>
      </c>
      <c r="P68" s="1">
        <f>23634.36-13461</f>
        <v>10173.36</v>
      </c>
      <c r="Q68" s="1">
        <f>11451.12-6085</f>
        <v>5366.1200000000008</v>
      </c>
      <c r="R68" s="1">
        <f>16575.36-12222</f>
        <v>4353.3600000000006</v>
      </c>
      <c r="S68" s="1">
        <f>6245.88-2626</f>
        <v>3619.88</v>
      </c>
      <c r="T68" s="1">
        <f>11887.68-5590</f>
        <v>6297.68</v>
      </c>
      <c r="U68" s="1">
        <f>1222.2-198</f>
        <v>1024.2</v>
      </c>
      <c r="V68" s="1">
        <f>4501.08-1254</f>
        <v>3247.08</v>
      </c>
      <c r="W68" s="1">
        <f>5242.08-807</f>
        <v>4435.08</v>
      </c>
      <c r="X68" s="1">
        <f>2828.52-1595</f>
        <v>1233.52</v>
      </c>
      <c r="AR68" s="3">
        <f t="shared" si="51"/>
        <v>59162.64</v>
      </c>
      <c r="AT68" s="8">
        <f>IF(AR68=0,0,+AR68/PassVol!AR68)</f>
        <v>11.559718640093786</v>
      </c>
      <c r="AU68" s="60">
        <f t="shared" si="54"/>
        <v>11.64</v>
      </c>
    </row>
    <row r="69" spans="1:47" s="2" customFormat="1" x14ac:dyDescent="0.25">
      <c r="B69" s="2" t="s">
        <v>67</v>
      </c>
      <c r="D69" s="3">
        <f>SUM(D50:D68)</f>
        <v>0</v>
      </c>
      <c r="E69" s="3">
        <f t="shared" ref="E69:J69" si="55">SUM(E50:E68)</f>
        <v>0</v>
      </c>
      <c r="F69" s="3">
        <f t="shared" si="55"/>
        <v>0</v>
      </c>
      <c r="G69" s="3">
        <f t="shared" si="55"/>
        <v>0</v>
      </c>
      <c r="H69" s="3">
        <f t="shared" si="55"/>
        <v>0</v>
      </c>
      <c r="I69" s="3">
        <f t="shared" si="55"/>
        <v>0</v>
      </c>
      <c r="J69" s="3">
        <f t="shared" si="55"/>
        <v>0</v>
      </c>
      <c r="K69" s="3">
        <f>SUM(K50:K68)</f>
        <v>0</v>
      </c>
      <c r="L69" s="3">
        <f>SUM(L50:L68)</f>
        <v>23942.480000000003</v>
      </c>
      <c r="M69" s="3">
        <f t="shared" ref="M69:AR69" si="56">SUM(M50:M68)</f>
        <v>12246.2</v>
      </c>
      <c r="N69" s="3">
        <f t="shared" si="56"/>
        <v>5468.08</v>
      </c>
      <c r="O69" s="3">
        <f t="shared" si="56"/>
        <v>10882.2</v>
      </c>
      <c r="P69" s="3">
        <f t="shared" si="56"/>
        <v>23634.36</v>
      </c>
      <c r="Q69" s="3">
        <f t="shared" si="56"/>
        <v>11451.2</v>
      </c>
      <c r="R69" s="3">
        <f t="shared" si="56"/>
        <v>16575.16</v>
      </c>
      <c r="S69" s="3">
        <f t="shared" si="56"/>
        <v>6245.72</v>
      </c>
      <c r="T69" s="3">
        <f t="shared" si="56"/>
        <v>11888.12</v>
      </c>
      <c r="U69" s="3">
        <f t="shared" si="56"/>
        <v>1222.08</v>
      </c>
      <c r="V69" s="3">
        <f t="shared" si="56"/>
        <v>4500.6000000000004</v>
      </c>
      <c r="W69" s="3">
        <f t="shared" si="56"/>
        <v>5242.32</v>
      </c>
      <c r="X69" s="3">
        <f t="shared" si="56"/>
        <v>2828.2</v>
      </c>
      <c r="Y69" s="3">
        <f t="shared" si="56"/>
        <v>0</v>
      </c>
      <c r="Z69" s="3">
        <f t="shared" si="56"/>
        <v>0</v>
      </c>
      <c r="AA69" s="3">
        <f t="shared" si="56"/>
        <v>0</v>
      </c>
      <c r="AB69" s="3">
        <f t="shared" si="56"/>
        <v>0</v>
      </c>
      <c r="AC69" s="3">
        <f t="shared" si="56"/>
        <v>0</v>
      </c>
      <c r="AD69" s="3">
        <f t="shared" si="56"/>
        <v>0</v>
      </c>
      <c r="AE69" s="3">
        <f t="shared" si="56"/>
        <v>0</v>
      </c>
      <c r="AF69" s="3">
        <f t="shared" si="56"/>
        <v>0</v>
      </c>
      <c r="AG69" s="3">
        <f t="shared" si="56"/>
        <v>0</v>
      </c>
      <c r="AH69" s="3">
        <f t="shared" si="56"/>
        <v>0</v>
      </c>
      <c r="AI69" s="3">
        <f t="shared" si="56"/>
        <v>0</v>
      </c>
      <c r="AJ69" s="3">
        <f t="shared" si="56"/>
        <v>0</v>
      </c>
      <c r="AK69" s="3">
        <f t="shared" si="56"/>
        <v>0</v>
      </c>
      <c r="AL69" s="3">
        <f t="shared" si="56"/>
        <v>0</v>
      </c>
      <c r="AM69" s="3">
        <f t="shared" si="56"/>
        <v>0</v>
      </c>
      <c r="AN69" s="3">
        <f t="shared" si="56"/>
        <v>0</v>
      </c>
      <c r="AO69" s="3">
        <f t="shared" si="56"/>
        <v>0</v>
      </c>
      <c r="AP69" s="3">
        <f t="shared" si="56"/>
        <v>0</v>
      </c>
      <c r="AQ69" s="3">
        <f t="shared" si="56"/>
        <v>0</v>
      </c>
      <c r="AR69" s="3">
        <f t="shared" si="56"/>
        <v>136126.72</v>
      </c>
      <c r="AS69" s="3"/>
      <c r="AT69" s="9">
        <f>IF(AR69=0,0,+AR69/PassVol!AR69)</f>
        <v>11.528346883468835</v>
      </c>
      <c r="AU69" s="61"/>
    </row>
    <row r="70" spans="1:47" s="24" customFormat="1" x14ac:dyDescent="0.25">
      <c r="A70" s="23"/>
      <c r="B70" s="23"/>
      <c r="C70" s="27" t="s">
        <v>102</v>
      </c>
      <c r="D70" s="25">
        <f>+D69</f>
        <v>0</v>
      </c>
      <c r="E70" s="25">
        <f>+D70+E69</f>
        <v>0</v>
      </c>
      <c r="F70" s="25">
        <f t="shared" ref="F70" si="57">+E70+F69</f>
        <v>0</v>
      </c>
      <c r="G70" s="25">
        <f t="shared" ref="G70" si="58">+F70+G69</f>
        <v>0</v>
      </c>
      <c r="H70" s="25">
        <f t="shared" ref="H70" si="59">+G70+H69</f>
        <v>0</v>
      </c>
      <c r="I70" s="25">
        <f t="shared" ref="I70" si="60">+H70+I69</f>
        <v>0</v>
      </c>
      <c r="J70" s="25">
        <f t="shared" ref="J70" si="61">+I70+J69</f>
        <v>0</v>
      </c>
      <c r="K70" s="25">
        <f t="shared" ref="K70" si="62">+J70+K69</f>
        <v>0</v>
      </c>
      <c r="L70" s="25">
        <f t="shared" ref="L70" si="63">+K70+L69</f>
        <v>23942.480000000003</v>
      </c>
      <c r="M70" s="25">
        <f t="shared" ref="M70" si="64">+L70+M69</f>
        <v>36188.680000000008</v>
      </c>
      <c r="N70" s="25">
        <f t="shared" ref="N70" si="65">+M70+N69</f>
        <v>41656.760000000009</v>
      </c>
      <c r="O70" s="25">
        <f t="shared" ref="O70" si="66">+N70+O69</f>
        <v>52538.960000000006</v>
      </c>
      <c r="P70" s="25">
        <f t="shared" ref="P70" si="67">+O70+P69</f>
        <v>76173.320000000007</v>
      </c>
      <c r="Q70" s="25">
        <f t="shared" ref="Q70" si="68">+P70+Q69</f>
        <v>87624.52</v>
      </c>
      <c r="R70" s="25">
        <f t="shared" ref="R70" si="69">+Q70+R69</f>
        <v>104199.68000000001</v>
      </c>
      <c r="S70" s="25">
        <f t="shared" ref="S70" si="70">+R70+S69</f>
        <v>110445.40000000001</v>
      </c>
      <c r="T70" s="25">
        <f t="shared" ref="T70" si="71">+S70+T69</f>
        <v>122333.52</v>
      </c>
      <c r="U70" s="25">
        <f t="shared" ref="U70" si="72">+T70+U69</f>
        <v>123555.6</v>
      </c>
      <c r="V70" s="25">
        <f t="shared" ref="V70" si="73">+U70+V69</f>
        <v>128056.20000000001</v>
      </c>
      <c r="W70" s="25">
        <f t="shared" ref="W70" si="74">+V70+W69</f>
        <v>133298.52000000002</v>
      </c>
      <c r="X70" s="25">
        <f t="shared" ref="X70" si="75">+W70+X69</f>
        <v>136126.72000000003</v>
      </c>
      <c r="Y70" s="25">
        <f t="shared" ref="Y70" si="76">+X70+Y69</f>
        <v>136126.72000000003</v>
      </c>
      <c r="Z70" s="25">
        <f t="shared" ref="Z70" si="77">+Y70+Z69</f>
        <v>136126.72000000003</v>
      </c>
      <c r="AA70" s="25">
        <f t="shared" ref="AA70" si="78">+Z70+AA69</f>
        <v>136126.72000000003</v>
      </c>
      <c r="AB70" s="25">
        <f t="shared" ref="AB70" si="79">+AA70+AB69</f>
        <v>136126.72000000003</v>
      </c>
      <c r="AC70" s="25">
        <f t="shared" ref="AC70" si="80">+AB70+AC69</f>
        <v>136126.72000000003</v>
      </c>
      <c r="AD70" s="25">
        <f t="shared" ref="AD70" si="81">+AC70+AD69</f>
        <v>136126.72000000003</v>
      </c>
      <c r="AE70" s="25">
        <f t="shared" ref="AE70" si="82">+AD70+AE69</f>
        <v>136126.72000000003</v>
      </c>
      <c r="AF70" s="25">
        <f t="shared" ref="AF70" si="83">+AE70+AF69</f>
        <v>136126.72000000003</v>
      </c>
      <c r="AG70" s="25">
        <f t="shared" ref="AG70" si="84">+AF70+AG69</f>
        <v>136126.72000000003</v>
      </c>
      <c r="AH70" s="25">
        <f t="shared" ref="AH70" si="85">+AG70+AH69</f>
        <v>136126.72000000003</v>
      </c>
      <c r="AI70" s="25">
        <f t="shared" ref="AI70" si="86">+AH70+AI69</f>
        <v>136126.72000000003</v>
      </c>
      <c r="AJ70" s="25">
        <f t="shared" ref="AJ70" si="87">+AI70+AJ69</f>
        <v>136126.72000000003</v>
      </c>
      <c r="AK70" s="25">
        <f t="shared" ref="AK70" si="88">+AJ70+AK69</f>
        <v>136126.72000000003</v>
      </c>
      <c r="AL70" s="25">
        <f t="shared" ref="AL70" si="89">+AK70+AL69</f>
        <v>136126.72000000003</v>
      </c>
      <c r="AM70" s="25">
        <f t="shared" ref="AM70" si="90">+AL70+AM69</f>
        <v>136126.72000000003</v>
      </c>
      <c r="AN70" s="25">
        <f t="shared" ref="AN70" si="91">+AM70+AN69</f>
        <v>136126.72000000003</v>
      </c>
      <c r="AO70" s="25">
        <f t="shared" ref="AO70" si="92">+AN70+AO69</f>
        <v>136126.72000000003</v>
      </c>
      <c r="AP70" s="25">
        <f t="shared" ref="AP70" si="93">+AO70+AP69</f>
        <v>136126.72000000003</v>
      </c>
      <c r="AQ70" s="25">
        <f t="shared" ref="AQ70" si="94">+AP70+AQ69</f>
        <v>136126.72000000003</v>
      </c>
      <c r="AR70" s="48"/>
      <c r="AS70" s="25"/>
      <c r="AT70" s="26"/>
      <c r="AU70" s="60"/>
    </row>
    <row r="71" spans="1:47" s="24" customFormat="1" x14ac:dyDescent="0.25">
      <c r="A71" s="23"/>
      <c r="B71" s="23"/>
      <c r="C71" s="27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48"/>
      <c r="AS71" s="25"/>
      <c r="AT71" s="26"/>
      <c r="AU71" s="60"/>
    </row>
    <row r="72" spans="1:47" s="24" customFormat="1" x14ac:dyDescent="0.25">
      <c r="A72" s="23"/>
      <c r="B72" s="2" t="s">
        <v>200</v>
      </c>
      <c r="C72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48"/>
      <c r="AS72" s="25"/>
      <c r="AT72" s="26"/>
      <c r="AU72" s="60"/>
    </row>
    <row r="73" spans="1:47" s="24" customFormat="1" x14ac:dyDescent="0.25">
      <c r="A73" s="23"/>
      <c r="B73" s="2"/>
      <c r="C73" t="s">
        <v>190</v>
      </c>
      <c r="D73" s="1">
        <f>+D50+D27+D4</f>
        <v>0</v>
      </c>
      <c r="E73" s="1">
        <f t="shared" ref="E73:J73" si="95">+E50+E27+E4</f>
        <v>0</v>
      </c>
      <c r="F73" s="1">
        <f t="shared" si="95"/>
        <v>0</v>
      </c>
      <c r="G73" s="1">
        <f t="shared" si="95"/>
        <v>0</v>
      </c>
      <c r="H73" s="1">
        <f t="shared" si="95"/>
        <v>0</v>
      </c>
      <c r="I73" s="1">
        <f t="shared" si="95"/>
        <v>0</v>
      </c>
      <c r="J73" s="1">
        <f t="shared" si="95"/>
        <v>0</v>
      </c>
      <c r="K73" s="1">
        <f t="shared" ref="K73:AQ73" si="96">+K50+K27+K4</f>
        <v>0</v>
      </c>
      <c r="L73" s="1">
        <f t="shared" si="96"/>
        <v>30579.84</v>
      </c>
      <c r="M73" s="1">
        <f t="shared" si="96"/>
        <v>279.18</v>
      </c>
      <c r="N73" s="1">
        <f t="shared" si="96"/>
        <v>3292.56</v>
      </c>
      <c r="O73" s="1">
        <f t="shared" si="96"/>
        <v>18391.68</v>
      </c>
      <c r="P73" s="1">
        <f t="shared" si="96"/>
        <v>9225.36</v>
      </c>
      <c r="Q73" s="1">
        <f t="shared" si="96"/>
        <v>24375.059999999998</v>
      </c>
      <c r="R73" s="1">
        <f t="shared" si="96"/>
        <v>31960.800000000003</v>
      </c>
      <c r="S73" s="1">
        <f t="shared" si="96"/>
        <v>20261.34</v>
      </c>
      <c r="T73" s="1">
        <f t="shared" si="96"/>
        <v>18457.02</v>
      </c>
      <c r="U73" s="1">
        <f t="shared" si="96"/>
        <v>27449.64</v>
      </c>
      <c r="V73" s="1">
        <f t="shared" si="96"/>
        <v>16772.759999999998</v>
      </c>
      <c r="W73" s="1">
        <f t="shared" si="96"/>
        <v>20729.52</v>
      </c>
      <c r="X73" s="1">
        <f t="shared" si="96"/>
        <v>18007.740000000002</v>
      </c>
      <c r="Y73" s="1">
        <f t="shared" si="96"/>
        <v>5074.38</v>
      </c>
      <c r="Z73" s="1">
        <f t="shared" si="96"/>
        <v>6473.8799999999992</v>
      </c>
      <c r="AA73" s="1">
        <f t="shared" si="96"/>
        <v>2620.44</v>
      </c>
      <c r="AB73" s="1">
        <f t="shared" si="96"/>
        <v>4543.0200000000004</v>
      </c>
      <c r="AC73" s="1">
        <f t="shared" si="96"/>
        <v>1675.08</v>
      </c>
      <c r="AD73" s="1">
        <f t="shared" si="96"/>
        <v>406.08</v>
      </c>
      <c r="AE73" s="1">
        <f t="shared" si="96"/>
        <v>1598.94</v>
      </c>
      <c r="AF73" s="1">
        <f t="shared" si="96"/>
        <v>634.5</v>
      </c>
      <c r="AG73" s="1">
        <f t="shared" si="96"/>
        <v>253.8</v>
      </c>
      <c r="AH73" s="1">
        <f t="shared" si="96"/>
        <v>9669.7800000000007</v>
      </c>
      <c r="AI73" s="1">
        <f t="shared" si="96"/>
        <v>4111.5600000000004</v>
      </c>
      <c r="AJ73" s="1">
        <f t="shared" si="96"/>
        <v>3680.1</v>
      </c>
      <c r="AK73" s="1">
        <f t="shared" si="96"/>
        <v>1446.66</v>
      </c>
      <c r="AL73" s="1">
        <f t="shared" si="96"/>
        <v>2081.16</v>
      </c>
      <c r="AM73" s="1">
        <f t="shared" si="96"/>
        <v>406.08</v>
      </c>
      <c r="AN73" s="1">
        <f t="shared" si="96"/>
        <v>0</v>
      </c>
      <c r="AO73" s="1">
        <f t="shared" si="96"/>
        <v>0</v>
      </c>
      <c r="AP73" s="1">
        <f t="shared" si="96"/>
        <v>0</v>
      </c>
      <c r="AQ73" s="1">
        <f t="shared" si="96"/>
        <v>0</v>
      </c>
      <c r="AR73" s="3">
        <f>SUM(D73:AQ73)</f>
        <v>284457.9599999999</v>
      </c>
      <c r="AS73" s="25"/>
      <c r="AT73" s="8">
        <f>IF(AR73=0,0,+AR73/PassVol!AR73)</f>
        <v>8.6471899319066114</v>
      </c>
      <c r="AU73" s="60"/>
    </row>
    <row r="74" spans="1:47" s="24" customFormat="1" x14ac:dyDescent="0.25">
      <c r="A74" s="23"/>
      <c r="B74" s="2"/>
      <c r="C74" t="s">
        <v>424</v>
      </c>
      <c r="D74" s="1">
        <f>+D51+D28+D5</f>
        <v>0</v>
      </c>
      <c r="E74" s="1">
        <f t="shared" ref="E74:J74" si="97">+E51+E28+E5</f>
        <v>0</v>
      </c>
      <c r="F74" s="1">
        <f t="shared" si="97"/>
        <v>0</v>
      </c>
      <c r="G74" s="1">
        <f t="shared" si="97"/>
        <v>0</v>
      </c>
      <c r="H74" s="1">
        <f t="shared" si="97"/>
        <v>0</v>
      </c>
      <c r="I74" s="1">
        <f t="shared" si="97"/>
        <v>0</v>
      </c>
      <c r="J74" s="1">
        <f t="shared" si="97"/>
        <v>0</v>
      </c>
      <c r="K74" s="1">
        <f t="shared" ref="K74:AQ74" si="98">+K51+K28+K5</f>
        <v>0</v>
      </c>
      <c r="L74" s="1">
        <f t="shared" si="98"/>
        <v>3199.6800000000003</v>
      </c>
      <c r="M74" s="1">
        <f t="shared" si="98"/>
        <v>4702.8600000000006</v>
      </c>
      <c r="N74" s="1">
        <f t="shared" si="98"/>
        <v>4893.66</v>
      </c>
      <c r="O74" s="1">
        <f t="shared" si="98"/>
        <v>5684.76</v>
      </c>
      <c r="P74" s="1">
        <f t="shared" si="98"/>
        <v>10132.02</v>
      </c>
      <c r="Q74" s="1">
        <f t="shared" si="98"/>
        <v>6246.54</v>
      </c>
      <c r="R74" s="1">
        <f t="shared" si="98"/>
        <v>7189.92</v>
      </c>
      <c r="S74" s="1">
        <f t="shared" si="98"/>
        <v>6494.4000000000005</v>
      </c>
      <c r="T74" s="1">
        <f t="shared" si="98"/>
        <v>9746.2799999999988</v>
      </c>
      <c r="U74" s="1">
        <f t="shared" si="98"/>
        <v>11497.5</v>
      </c>
      <c r="V74" s="1">
        <f t="shared" si="98"/>
        <v>9459.0600000000013</v>
      </c>
      <c r="W74" s="1">
        <f t="shared" si="98"/>
        <v>13544.1</v>
      </c>
      <c r="X74" s="1">
        <f t="shared" si="98"/>
        <v>8040.42</v>
      </c>
      <c r="Y74" s="1">
        <f t="shared" si="98"/>
        <v>3669.24</v>
      </c>
      <c r="Z74" s="1">
        <f t="shared" si="98"/>
        <v>2939.2200000000003</v>
      </c>
      <c r="AA74" s="1">
        <f t="shared" si="98"/>
        <v>1395.18</v>
      </c>
      <c r="AB74" s="1">
        <f t="shared" si="98"/>
        <v>1869.3</v>
      </c>
      <c r="AC74" s="1">
        <f t="shared" si="98"/>
        <v>446.4</v>
      </c>
      <c r="AD74" s="1">
        <f t="shared" si="98"/>
        <v>0</v>
      </c>
      <c r="AE74" s="1">
        <f t="shared" si="98"/>
        <v>223.2</v>
      </c>
      <c r="AF74" s="1">
        <f t="shared" si="98"/>
        <v>474.3</v>
      </c>
      <c r="AG74" s="1">
        <f t="shared" si="98"/>
        <v>0</v>
      </c>
      <c r="AH74" s="1">
        <f t="shared" si="98"/>
        <v>558</v>
      </c>
      <c r="AI74" s="1">
        <f t="shared" si="98"/>
        <v>948.6</v>
      </c>
      <c r="AJ74" s="1">
        <f t="shared" si="98"/>
        <v>613.79999999999995</v>
      </c>
      <c r="AK74" s="1">
        <f t="shared" si="98"/>
        <v>0</v>
      </c>
      <c r="AL74" s="1">
        <f t="shared" si="98"/>
        <v>1367.1</v>
      </c>
      <c r="AM74" s="1">
        <f t="shared" si="98"/>
        <v>0</v>
      </c>
      <c r="AN74" s="1">
        <f t="shared" si="98"/>
        <v>0</v>
      </c>
      <c r="AO74" s="1">
        <f t="shared" si="98"/>
        <v>0</v>
      </c>
      <c r="AP74" s="1">
        <f t="shared" si="98"/>
        <v>0</v>
      </c>
      <c r="AQ74" s="1">
        <f t="shared" si="98"/>
        <v>0</v>
      </c>
      <c r="AR74" s="3">
        <f>SUM(D74:AQ74)</f>
        <v>115335.54000000001</v>
      </c>
      <c r="AS74" s="25"/>
      <c r="AT74" s="8">
        <f>IF(AR74=0,0,+AR74/PassVol!AR74)</f>
        <v>9.5610992290475014</v>
      </c>
      <c r="AU74" s="60"/>
    </row>
    <row r="75" spans="1:47" s="24" customFormat="1" x14ac:dyDescent="0.25">
      <c r="A75" s="23"/>
      <c r="B75" s="2"/>
      <c r="C75" t="s">
        <v>347</v>
      </c>
      <c r="D75" s="1">
        <f t="shared" ref="D75:J91" si="99">+D52+D29+D6</f>
        <v>0</v>
      </c>
      <c r="E75" s="1">
        <f t="shared" si="99"/>
        <v>0</v>
      </c>
      <c r="F75" s="1">
        <f t="shared" si="99"/>
        <v>0</v>
      </c>
      <c r="G75" s="1">
        <f t="shared" si="99"/>
        <v>0</v>
      </c>
      <c r="H75" s="1">
        <f t="shared" si="99"/>
        <v>0</v>
      </c>
      <c r="I75" s="1">
        <f t="shared" si="99"/>
        <v>0</v>
      </c>
      <c r="J75" s="1">
        <f t="shared" si="99"/>
        <v>0</v>
      </c>
      <c r="K75" s="1">
        <f t="shared" ref="K75:Y75" si="100">+K52+K29+K6</f>
        <v>0</v>
      </c>
      <c r="L75" s="1">
        <f t="shared" si="100"/>
        <v>3455.28</v>
      </c>
      <c r="M75" s="1">
        <f t="shared" si="100"/>
        <v>3425.3999999999996</v>
      </c>
      <c r="N75" s="1">
        <f t="shared" si="100"/>
        <v>2498.04</v>
      </c>
      <c r="O75" s="1">
        <f t="shared" si="100"/>
        <v>3425.22</v>
      </c>
      <c r="P75" s="1">
        <f t="shared" si="100"/>
        <v>8073.54</v>
      </c>
      <c r="Q75" s="1">
        <f t="shared" si="100"/>
        <v>3411</v>
      </c>
      <c r="R75" s="1">
        <f t="shared" si="100"/>
        <v>5141.16</v>
      </c>
      <c r="S75" s="1">
        <f t="shared" si="100"/>
        <v>5231.88</v>
      </c>
      <c r="T75" s="1">
        <f t="shared" si="100"/>
        <v>6075</v>
      </c>
      <c r="U75" s="1">
        <f t="shared" si="100"/>
        <v>6305.4</v>
      </c>
      <c r="V75" s="1">
        <f t="shared" si="100"/>
        <v>6161.4</v>
      </c>
      <c r="W75" s="1">
        <f t="shared" si="100"/>
        <v>7626.24</v>
      </c>
      <c r="X75" s="1">
        <f t="shared" si="100"/>
        <v>6361.2</v>
      </c>
      <c r="Y75" s="1">
        <f t="shared" si="100"/>
        <v>1974.06</v>
      </c>
      <c r="Z75" s="1">
        <f t="shared" ref="Z75:AQ75" si="101">+Z52+Z29+Z6</f>
        <v>1688.04</v>
      </c>
      <c r="AA75" s="1">
        <f t="shared" si="101"/>
        <v>502.2</v>
      </c>
      <c r="AB75" s="1">
        <f t="shared" si="101"/>
        <v>446.4</v>
      </c>
      <c r="AC75" s="1">
        <f t="shared" si="101"/>
        <v>139.5</v>
      </c>
      <c r="AD75" s="1">
        <f t="shared" si="101"/>
        <v>83.7</v>
      </c>
      <c r="AE75" s="1">
        <f t="shared" si="101"/>
        <v>0</v>
      </c>
      <c r="AF75" s="1">
        <f t="shared" si="101"/>
        <v>530.1</v>
      </c>
      <c r="AG75" s="1">
        <f t="shared" si="101"/>
        <v>362.7</v>
      </c>
      <c r="AH75" s="1">
        <f t="shared" si="101"/>
        <v>279</v>
      </c>
      <c r="AI75" s="1">
        <f t="shared" si="101"/>
        <v>195.3</v>
      </c>
      <c r="AJ75" s="1">
        <f t="shared" si="101"/>
        <v>446.4</v>
      </c>
      <c r="AK75" s="1">
        <f t="shared" si="101"/>
        <v>83.7</v>
      </c>
      <c r="AL75" s="1">
        <f t="shared" si="101"/>
        <v>279</v>
      </c>
      <c r="AM75" s="1">
        <f t="shared" si="101"/>
        <v>0</v>
      </c>
      <c r="AN75" s="1">
        <f t="shared" si="101"/>
        <v>279</v>
      </c>
      <c r="AO75" s="1">
        <f t="shared" si="101"/>
        <v>0</v>
      </c>
      <c r="AP75" s="1">
        <f t="shared" si="101"/>
        <v>0</v>
      </c>
      <c r="AQ75" s="1">
        <f t="shared" si="101"/>
        <v>0</v>
      </c>
      <c r="AR75" s="3">
        <f t="shared" ref="AR75:AR91" si="102">SUM(D75:AQ75)</f>
        <v>74479.859999999971</v>
      </c>
      <c r="AS75" s="25"/>
      <c r="AT75" s="8">
        <f>IF(AR75=0,0,+AR75/PassVol!AR75)</f>
        <v>9.5486999999999966</v>
      </c>
      <c r="AU75" s="60"/>
    </row>
    <row r="76" spans="1:47" s="24" customFormat="1" x14ac:dyDescent="0.25">
      <c r="A76" s="23"/>
      <c r="B76" s="2"/>
      <c r="C76" t="s">
        <v>0</v>
      </c>
      <c r="D76" s="1">
        <f t="shared" si="99"/>
        <v>0</v>
      </c>
      <c r="E76" s="1">
        <f t="shared" si="99"/>
        <v>0</v>
      </c>
      <c r="F76" s="1">
        <f t="shared" si="99"/>
        <v>0</v>
      </c>
      <c r="G76" s="1">
        <f t="shared" si="99"/>
        <v>0</v>
      </c>
      <c r="H76" s="1">
        <f t="shared" si="99"/>
        <v>0</v>
      </c>
      <c r="I76" s="1">
        <f t="shared" si="99"/>
        <v>0</v>
      </c>
      <c r="J76" s="1">
        <f t="shared" si="99"/>
        <v>0</v>
      </c>
      <c r="K76" s="1">
        <f t="shared" ref="K76:Y76" si="103">+K53+K30+K7</f>
        <v>0</v>
      </c>
      <c r="L76" s="1">
        <f t="shared" si="103"/>
        <v>44069.760000000002</v>
      </c>
      <c r="M76" s="1">
        <f t="shared" si="103"/>
        <v>8880.24</v>
      </c>
      <c r="N76" s="1">
        <f t="shared" si="103"/>
        <v>17446.919999999998</v>
      </c>
      <c r="O76" s="1">
        <f t="shared" si="103"/>
        <v>29564.699999999997</v>
      </c>
      <c r="P76" s="1">
        <f t="shared" si="103"/>
        <v>23909.34</v>
      </c>
      <c r="Q76" s="1">
        <f t="shared" si="103"/>
        <v>26936.16</v>
      </c>
      <c r="R76" s="1">
        <f t="shared" si="103"/>
        <v>27947.040000000001</v>
      </c>
      <c r="S76" s="1">
        <f t="shared" si="103"/>
        <v>22619.52</v>
      </c>
      <c r="T76" s="1">
        <f t="shared" si="103"/>
        <v>28661.279999999999</v>
      </c>
      <c r="U76" s="1">
        <f t="shared" si="103"/>
        <v>33401.040000000001</v>
      </c>
      <c r="V76" s="1">
        <f t="shared" si="103"/>
        <v>25297.5</v>
      </c>
      <c r="W76" s="1">
        <f t="shared" si="103"/>
        <v>29351.100000000002</v>
      </c>
      <c r="X76" s="1">
        <f t="shared" si="103"/>
        <v>41797.68</v>
      </c>
      <c r="Y76" s="1">
        <f t="shared" si="103"/>
        <v>31520.28</v>
      </c>
      <c r="Z76" s="1">
        <f t="shared" ref="Z76:AQ76" si="104">+Z53+Z30+Z7</f>
        <v>22407.360000000001</v>
      </c>
      <c r="AA76" s="1">
        <f t="shared" si="104"/>
        <v>21012.36</v>
      </c>
      <c r="AB76" s="1">
        <f t="shared" si="104"/>
        <v>22676.639999999999</v>
      </c>
      <c r="AC76" s="1">
        <f t="shared" si="104"/>
        <v>10575.36</v>
      </c>
      <c r="AD76" s="1">
        <f t="shared" si="104"/>
        <v>25442.880000000001</v>
      </c>
      <c r="AE76" s="1">
        <f t="shared" si="104"/>
        <v>4920.4799999999996</v>
      </c>
      <c r="AF76" s="1">
        <f t="shared" si="104"/>
        <v>2496.96</v>
      </c>
      <c r="AG76" s="1">
        <f t="shared" si="104"/>
        <v>7164.48</v>
      </c>
      <c r="AH76" s="1">
        <f t="shared" si="104"/>
        <v>18939.36</v>
      </c>
      <c r="AI76" s="1">
        <f t="shared" si="104"/>
        <v>1028.1600000000001</v>
      </c>
      <c r="AJ76" s="1">
        <f t="shared" si="104"/>
        <v>0</v>
      </c>
      <c r="AK76" s="1">
        <f t="shared" si="104"/>
        <v>9579.84</v>
      </c>
      <c r="AL76" s="1">
        <f t="shared" si="104"/>
        <v>3231.36</v>
      </c>
      <c r="AM76" s="1">
        <f t="shared" si="104"/>
        <v>3386.4</v>
      </c>
      <c r="AN76" s="1">
        <f t="shared" si="104"/>
        <v>0</v>
      </c>
      <c r="AO76" s="1">
        <f t="shared" si="104"/>
        <v>0</v>
      </c>
      <c r="AP76" s="1">
        <f t="shared" si="104"/>
        <v>0</v>
      </c>
      <c r="AQ76" s="1">
        <f t="shared" si="104"/>
        <v>0</v>
      </c>
      <c r="AR76" s="3">
        <f t="shared" si="102"/>
        <v>544264.19999999995</v>
      </c>
      <c r="AS76" s="25"/>
      <c r="AT76" s="8">
        <f>IF(AR76=0,0,+AR76/PassVol!AR76)</f>
        <v>8.3210647015655574</v>
      </c>
      <c r="AU76" s="60"/>
    </row>
    <row r="77" spans="1:47" s="24" customFormat="1" x14ac:dyDescent="0.25">
      <c r="A77" s="23"/>
      <c r="B77" s="2"/>
      <c r="C77" t="s">
        <v>354</v>
      </c>
      <c r="D77" s="1">
        <f t="shared" si="99"/>
        <v>0</v>
      </c>
      <c r="E77" s="1">
        <f t="shared" si="99"/>
        <v>0</v>
      </c>
      <c r="F77" s="1">
        <f t="shared" si="99"/>
        <v>0</v>
      </c>
      <c r="G77" s="1">
        <f t="shared" si="99"/>
        <v>0</v>
      </c>
      <c r="H77" s="1">
        <f t="shared" si="99"/>
        <v>0</v>
      </c>
      <c r="I77" s="1">
        <f t="shared" si="99"/>
        <v>0</v>
      </c>
      <c r="J77" s="1">
        <f t="shared" si="99"/>
        <v>0</v>
      </c>
      <c r="K77" s="1">
        <f t="shared" ref="K77:Y77" si="105">+K54+K31+K8</f>
        <v>0</v>
      </c>
      <c r="L77" s="1">
        <f t="shared" si="105"/>
        <v>2512.8000000000002</v>
      </c>
      <c r="M77" s="1">
        <f t="shared" si="105"/>
        <v>251.1</v>
      </c>
      <c r="N77" s="1">
        <f t="shared" si="105"/>
        <v>676.8</v>
      </c>
      <c r="O77" s="1">
        <f t="shared" si="105"/>
        <v>1220.76</v>
      </c>
      <c r="P77" s="1">
        <f t="shared" si="105"/>
        <v>2791.8</v>
      </c>
      <c r="Q77" s="1">
        <f t="shared" si="105"/>
        <v>1813.5</v>
      </c>
      <c r="R77" s="1">
        <f t="shared" si="105"/>
        <v>1674</v>
      </c>
      <c r="S77" s="1">
        <f t="shared" si="105"/>
        <v>1911.42</v>
      </c>
      <c r="T77" s="1">
        <f t="shared" si="105"/>
        <v>3035.7</v>
      </c>
      <c r="U77" s="1">
        <f t="shared" si="105"/>
        <v>1339.2</v>
      </c>
      <c r="V77" s="1">
        <f t="shared" si="105"/>
        <v>725.4</v>
      </c>
      <c r="W77" s="1">
        <f t="shared" si="105"/>
        <v>1646.1</v>
      </c>
      <c r="X77" s="1">
        <f t="shared" si="105"/>
        <v>2148.3000000000002</v>
      </c>
      <c r="Y77" s="1">
        <f t="shared" si="105"/>
        <v>809.1</v>
      </c>
      <c r="Z77" s="1">
        <f t="shared" ref="Z77:AQ77" si="106">+Z54+Z31+Z8</f>
        <v>809.1</v>
      </c>
      <c r="AA77" s="1">
        <f t="shared" si="106"/>
        <v>753.3</v>
      </c>
      <c r="AB77" s="1">
        <f t="shared" si="106"/>
        <v>502.2</v>
      </c>
      <c r="AC77" s="1">
        <f t="shared" si="106"/>
        <v>279</v>
      </c>
      <c r="AD77" s="1">
        <f t="shared" si="106"/>
        <v>0</v>
      </c>
      <c r="AE77" s="1">
        <f t="shared" si="106"/>
        <v>0</v>
      </c>
      <c r="AF77" s="1">
        <f t="shared" si="106"/>
        <v>0</v>
      </c>
      <c r="AG77" s="1">
        <f t="shared" si="106"/>
        <v>0</v>
      </c>
      <c r="AH77" s="1">
        <f t="shared" si="106"/>
        <v>1116</v>
      </c>
      <c r="AI77" s="1">
        <f t="shared" si="106"/>
        <v>0</v>
      </c>
      <c r="AJ77" s="1">
        <f t="shared" si="106"/>
        <v>0</v>
      </c>
      <c r="AK77" s="1">
        <f t="shared" si="106"/>
        <v>0</v>
      </c>
      <c r="AL77" s="1">
        <f t="shared" si="106"/>
        <v>0</v>
      </c>
      <c r="AM77" s="1">
        <f t="shared" si="106"/>
        <v>0</v>
      </c>
      <c r="AN77" s="1">
        <f t="shared" si="106"/>
        <v>0</v>
      </c>
      <c r="AO77" s="1">
        <f t="shared" si="106"/>
        <v>0</v>
      </c>
      <c r="AP77" s="1">
        <f t="shared" si="106"/>
        <v>0</v>
      </c>
      <c r="AQ77" s="1">
        <f t="shared" si="106"/>
        <v>0</v>
      </c>
      <c r="AR77" s="3">
        <f t="shared" si="102"/>
        <v>26015.579999999998</v>
      </c>
      <c r="AS77" s="25"/>
      <c r="AT77" s="8">
        <f>IF(AR77=0,0,+AR77/PassVol!AR77)</f>
        <v>9.6353999999999989</v>
      </c>
      <c r="AU77" s="60"/>
    </row>
    <row r="78" spans="1:47" s="24" customFormat="1" x14ac:dyDescent="0.25">
      <c r="A78" s="23"/>
      <c r="B78" s="2"/>
      <c r="C78" t="s">
        <v>265</v>
      </c>
      <c r="D78" s="1">
        <f t="shared" si="99"/>
        <v>0</v>
      </c>
      <c r="E78" s="1">
        <f t="shared" si="99"/>
        <v>0</v>
      </c>
      <c r="F78" s="1">
        <f t="shared" si="99"/>
        <v>0</v>
      </c>
      <c r="G78" s="1">
        <f t="shared" si="99"/>
        <v>0</v>
      </c>
      <c r="H78" s="1">
        <f t="shared" si="99"/>
        <v>0</v>
      </c>
      <c r="I78" s="1">
        <f t="shared" si="99"/>
        <v>0</v>
      </c>
      <c r="J78" s="1">
        <f t="shared" si="99"/>
        <v>0</v>
      </c>
      <c r="K78" s="1">
        <f t="shared" ref="K78:Y78" si="107">+K55+K32+K9</f>
        <v>0</v>
      </c>
      <c r="L78" s="1">
        <f t="shared" si="107"/>
        <v>4944.5399999999991</v>
      </c>
      <c r="M78" s="1">
        <f t="shared" si="107"/>
        <v>1323</v>
      </c>
      <c r="N78" s="1">
        <f t="shared" si="107"/>
        <v>1225.98</v>
      </c>
      <c r="O78" s="1">
        <f t="shared" si="107"/>
        <v>2178.54</v>
      </c>
      <c r="P78" s="1">
        <f t="shared" si="107"/>
        <v>5722.08</v>
      </c>
      <c r="Q78" s="1">
        <f t="shared" si="107"/>
        <v>3087</v>
      </c>
      <c r="R78" s="1">
        <f t="shared" si="107"/>
        <v>2249.1</v>
      </c>
      <c r="S78" s="1">
        <f t="shared" si="107"/>
        <v>5230.26</v>
      </c>
      <c r="T78" s="1">
        <f t="shared" si="107"/>
        <v>3598.56</v>
      </c>
      <c r="U78" s="1">
        <f t="shared" si="107"/>
        <v>8379</v>
      </c>
      <c r="V78" s="1">
        <f t="shared" si="107"/>
        <v>5971.14</v>
      </c>
      <c r="W78" s="1">
        <f t="shared" si="107"/>
        <v>3378.06</v>
      </c>
      <c r="X78" s="1">
        <f t="shared" si="107"/>
        <v>6773.76</v>
      </c>
      <c r="Y78" s="1">
        <f t="shared" si="107"/>
        <v>2099.16</v>
      </c>
      <c r="Z78" s="1">
        <f t="shared" ref="Z78:AQ78" si="108">+Z55+Z32+Z9</f>
        <v>0</v>
      </c>
      <c r="AA78" s="1">
        <f t="shared" si="108"/>
        <v>626.22</v>
      </c>
      <c r="AB78" s="1">
        <f t="shared" si="108"/>
        <v>0</v>
      </c>
      <c r="AC78" s="1">
        <f t="shared" si="108"/>
        <v>0</v>
      </c>
      <c r="AD78" s="1">
        <f t="shared" si="108"/>
        <v>0</v>
      </c>
      <c r="AE78" s="1">
        <f t="shared" si="108"/>
        <v>0</v>
      </c>
      <c r="AF78" s="1">
        <f t="shared" si="108"/>
        <v>0</v>
      </c>
      <c r="AG78" s="1">
        <f t="shared" si="108"/>
        <v>0</v>
      </c>
      <c r="AH78" s="1">
        <f t="shared" si="108"/>
        <v>2760.66</v>
      </c>
      <c r="AI78" s="1">
        <f t="shared" si="108"/>
        <v>0</v>
      </c>
      <c r="AJ78" s="1">
        <f t="shared" si="108"/>
        <v>0</v>
      </c>
      <c r="AK78" s="1">
        <f t="shared" si="108"/>
        <v>740.88</v>
      </c>
      <c r="AL78" s="1">
        <f t="shared" si="108"/>
        <v>0</v>
      </c>
      <c r="AM78" s="1">
        <f t="shared" si="108"/>
        <v>0</v>
      </c>
      <c r="AN78" s="1">
        <f t="shared" si="108"/>
        <v>0</v>
      </c>
      <c r="AO78" s="1">
        <f t="shared" si="108"/>
        <v>0</v>
      </c>
      <c r="AP78" s="1">
        <f t="shared" si="108"/>
        <v>0</v>
      </c>
      <c r="AQ78" s="1">
        <f t="shared" si="108"/>
        <v>0</v>
      </c>
      <c r="AR78" s="3">
        <f t="shared" si="102"/>
        <v>60287.939999999995</v>
      </c>
      <c r="AS78" s="25"/>
      <c r="AT78" s="8">
        <f>IF(AR78=0,0,+AR78/PassVol!AR78)</f>
        <v>8.939492882562277</v>
      </c>
      <c r="AU78" s="60"/>
    </row>
    <row r="79" spans="1:47" s="24" customFormat="1" x14ac:dyDescent="0.25">
      <c r="A79" s="23"/>
      <c r="B79" s="2"/>
      <c r="C79" t="s">
        <v>191</v>
      </c>
      <c r="D79" s="1">
        <f t="shared" si="99"/>
        <v>0</v>
      </c>
      <c r="E79" s="1">
        <f t="shared" si="99"/>
        <v>0</v>
      </c>
      <c r="F79" s="1">
        <f t="shared" si="99"/>
        <v>0</v>
      </c>
      <c r="G79" s="1">
        <f t="shared" si="99"/>
        <v>0</v>
      </c>
      <c r="H79" s="1">
        <f t="shared" si="99"/>
        <v>0</v>
      </c>
      <c r="I79" s="1">
        <f t="shared" si="99"/>
        <v>0</v>
      </c>
      <c r="J79" s="1">
        <f t="shared" si="99"/>
        <v>0</v>
      </c>
      <c r="K79" s="1">
        <f t="shared" ref="K79:Y79" si="109">+K56+K33+K10</f>
        <v>0</v>
      </c>
      <c r="L79" s="1">
        <f t="shared" si="109"/>
        <v>0</v>
      </c>
      <c r="M79" s="1">
        <f t="shared" si="109"/>
        <v>23307</v>
      </c>
      <c r="N79" s="1">
        <f t="shared" si="109"/>
        <v>1465.2</v>
      </c>
      <c r="O79" s="1">
        <f t="shared" si="109"/>
        <v>5450.58</v>
      </c>
      <c r="P79" s="1">
        <f t="shared" si="109"/>
        <v>22267.08</v>
      </c>
      <c r="Q79" s="1">
        <f t="shared" si="109"/>
        <v>6031.26</v>
      </c>
      <c r="R79" s="1">
        <f t="shared" si="109"/>
        <v>22255.199999999997</v>
      </c>
      <c r="S79" s="1">
        <f t="shared" si="109"/>
        <v>24291.599999999999</v>
      </c>
      <c r="T79" s="1">
        <f t="shared" si="109"/>
        <v>20497.2</v>
      </c>
      <c r="U79" s="1">
        <f t="shared" si="109"/>
        <v>9281.4</v>
      </c>
      <c r="V79" s="1">
        <f t="shared" si="109"/>
        <v>83.7</v>
      </c>
      <c r="W79" s="1">
        <f t="shared" si="109"/>
        <v>11976.300000000001</v>
      </c>
      <c r="X79" s="1">
        <f t="shared" si="109"/>
        <v>8676.9</v>
      </c>
      <c r="Y79" s="1">
        <f t="shared" si="109"/>
        <v>9179.1</v>
      </c>
      <c r="Z79" s="1">
        <f t="shared" ref="Z79:AQ79" si="110">+Z56+Z33+Z10</f>
        <v>8314.2000000000007</v>
      </c>
      <c r="AA79" s="1">
        <f t="shared" si="110"/>
        <v>5812.5</v>
      </c>
      <c r="AB79" s="1">
        <f t="shared" si="110"/>
        <v>4817.3999999999996</v>
      </c>
      <c r="AC79" s="1">
        <f t="shared" si="110"/>
        <v>418.5</v>
      </c>
      <c r="AD79" s="1">
        <f t="shared" si="110"/>
        <v>0</v>
      </c>
      <c r="AE79" s="1">
        <f t="shared" si="110"/>
        <v>0</v>
      </c>
      <c r="AF79" s="1">
        <f t="shared" si="110"/>
        <v>0</v>
      </c>
      <c r="AG79" s="1">
        <f t="shared" si="110"/>
        <v>0</v>
      </c>
      <c r="AH79" s="1">
        <f t="shared" si="110"/>
        <v>0</v>
      </c>
      <c r="AI79" s="1">
        <f t="shared" si="110"/>
        <v>0</v>
      </c>
      <c r="AJ79" s="1">
        <f t="shared" si="110"/>
        <v>0</v>
      </c>
      <c r="AK79" s="1">
        <f t="shared" si="110"/>
        <v>0</v>
      </c>
      <c r="AL79" s="1">
        <f t="shared" si="110"/>
        <v>223.2</v>
      </c>
      <c r="AM79" s="1">
        <f t="shared" si="110"/>
        <v>474.3</v>
      </c>
      <c r="AN79" s="1">
        <f t="shared" si="110"/>
        <v>697.5</v>
      </c>
      <c r="AO79" s="1">
        <f t="shared" si="110"/>
        <v>0</v>
      </c>
      <c r="AP79" s="1">
        <f t="shared" si="110"/>
        <v>0</v>
      </c>
      <c r="AQ79" s="1">
        <f t="shared" si="110"/>
        <v>0</v>
      </c>
      <c r="AR79" s="3">
        <f t="shared" si="102"/>
        <v>185520.12000000002</v>
      </c>
      <c r="AS79" s="25"/>
      <c r="AT79" s="8">
        <f>IF(AR79=0,0,+AR79/PassVol!AR79)</f>
        <v>9.5925604963805604</v>
      </c>
      <c r="AU79" s="60"/>
    </row>
    <row r="80" spans="1:47" s="24" customFormat="1" x14ac:dyDescent="0.25">
      <c r="A80" s="23"/>
      <c r="B80" s="2"/>
      <c r="C80" t="s">
        <v>549</v>
      </c>
      <c r="D80" s="1">
        <f t="shared" si="99"/>
        <v>0</v>
      </c>
      <c r="E80" s="1">
        <f t="shared" si="99"/>
        <v>0</v>
      </c>
      <c r="F80" s="1">
        <f t="shared" si="99"/>
        <v>0</v>
      </c>
      <c r="G80" s="1">
        <f t="shared" si="99"/>
        <v>0</v>
      </c>
      <c r="H80" s="1">
        <f t="shared" si="99"/>
        <v>0</v>
      </c>
      <c r="I80" s="1">
        <f t="shared" si="99"/>
        <v>0</v>
      </c>
      <c r="J80" s="1">
        <f t="shared" si="99"/>
        <v>0</v>
      </c>
      <c r="K80" s="1">
        <f t="shared" ref="K80:Y80" si="111">+K57+K34+K11</f>
        <v>0</v>
      </c>
      <c r="L80" s="1">
        <f t="shared" si="111"/>
        <v>0</v>
      </c>
      <c r="M80" s="1">
        <f t="shared" si="111"/>
        <v>0</v>
      </c>
      <c r="N80" s="1">
        <f t="shared" si="111"/>
        <v>0</v>
      </c>
      <c r="O80" s="1">
        <f t="shared" si="111"/>
        <v>0</v>
      </c>
      <c r="P80" s="1">
        <f t="shared" si="111"/>
        <v>0</v>
      </c>
      <c r="Q80" s="1">
        <f t="shared" si="111"/>
        <v>0</v>
      </c>
      <c r="R80" s="1">
        <f t="shared" si="111"/>
        <v>0</v>
      </c>
      <c r="S80" s="1">
        <f t="shared" si="111"/>
        <v>0</v>
      </c>
      <c r="T80" s="1">
        <f t="shared" si="111"/>
        <v>0</v>
      </c>
      <c r="U80" s="1">
        <f t="shared" si="111"/>
        <v>0</v>
      </c>
      <c r="V80" s="1">
        <f t="shared" si="111"/>
        <v>0</v>
      </c>
      <c r="W80" s="1">
        <f t="shared" si="111"/>
        <v>0</v>
      </c>
      <c r="X80" s="1">
        <f t="shared" si="111"/>
        <v>0</v>
      </c>
      <c r="Y80" s="1">
        <f t="shared" si="111"/>
        <v>0</v>
      </c>
      <c r="Z80" s="1">
        <f t="shared" ref="Z80:AQ80" si="112">+Z57+Z34+Z11</f>
        <v>0</v>
      </c>
      <c r="AA80" s="1">
        <f t="shared" si="112"/>
        <v>0</v>
      </c>
      <c r="AB80" s="1">
        <f t="shared" si="112"/>
        <v>0</v>
      </c>
      <c r="AC80" s="1">
        <f t="shared" si="112"/>
        <v>0</v>
      </c>
      <c r="AD80" s="1">
        <f t="shared" si="112"/>
        <v>0</v>
      </c>
      <c r="AE80" s="1">
        <f t="shared" si="112"/>
        <v>0</v>
      </c>
      <c r="AF80" s="1">
        <f t="shared" si="112"/>
        <v>0</v>
      </c>
      <c r="AG80" s="1">
        <f t="shared" si="112"/>
        <v>0</v>
      </c>
      <c r="AH80" s="1">
        <f t="shared" si="112"/>
        <v>0</v>
      </c>
      <c r="AI80" s="1">
        <f t="shared" si="112"/>
        <v>0</v>
      </c>
      <c r="AJ80" s="1">
        <f t="shared" si="112"/>
        <v>0</v>
      </c>
      <c r="AK80" s="1">
        <f t="shared" si="112"/>
        <v>0</v>
      </c>
      <c r="AL80" s="1">
        <f t="shared" si="112"/>
        <v>0</v>
      </c>
      <c r="AM80" s="1">
        <f t="shared" si="112"/>
        <v>0</v>
      </c>
      <c r="AN80" s="1">
        <f t="shared" si="112"/>
        <v>0</v>
      </c>
      <c r="AO80" s="1">
        <f t="shared" si="112"/>
        <v>0</v>
      </c>
      <c r="AP80" s="1">
        <f t="shared" si="112"/>
        <v>0</v>
      </c>
      <c r="AQ80" s="1">
        <f t="shared" si="112"/>
        <v>0</v>
      </c>
      <c r="AR80" s="3">
        <f t="shared" si="102"/>
        <v>0</v>
      </c>
      <c r="AS80" s="25"/>
      <c r="AT80" s="8">
        <f>IF(AR80=0,0,+AR80/PassVol!AR80)</f>
        <v>0</v>
      </c>
      <c r="AU80" s="60"/>
    </row>
    <row r="81" spans="1:47" s="24" customFormat="1" x14ac:dyDescent="0.25">
      <c r="A81" s="23"/>
      <c r="B81" s="2"/>
      <c r="C81" t="s">
        <v>550</v>
      </c>
      <c r="D81" s="1">
        <f t="shared" si="99"/>
        <v>0</v>
      </c>
      <c r="E81" s="1">
        <f t="shared" si="99"/>
        <v>0</v>
      </c>
      <c r="F81" s="1">
        <f t="shared" si="99"/>
        <v>0</v>
      </c>
      <c r="G81" s="1">
        <f t="shared" si="99"/>
        <v>0</v>
      </c>
      <c r="H81" s="1">
        <f t="shared" si="99"/>
        <v>0</v>
      </c>
      <c r="I81" s="1">
        <f t="shared" si="99"/>
        <v>0</v>
      </c>
      <c r="J81" s="1">
        <f t="shared" si="99"/>
        <v>0</v>
      </c>
      <c r="K81" s="1">
        <f t="shared" ref="K81:Y81" si="113">+K58+K35+K12</f>
        <v>0</v>
      </c>
      <c r="L81" s="1">
        <f t="shared" si="113"/>
        <v>0</v>
      </c>
      <c r="M81" s="1">
        <f t="shared" si="113"/>
        <v>1785.6</v>
      </c>
      <c r="N81" s="1">
        <f t="shared" si="113"/>
        <v>0</v>
      </c>
      <c r="O81" s="1">
        <f t="shared" si="113"/>
        <v>530.28</v>
      </c>
      <c r="P81" s="1">
        <f t="shared" si="113"/>
        <v>0</v>
      </c>
      <c r="Q81" s="1">
        <f t="shared" si="113"/>
        <v>864.9</v>
      </c>
      <c r="R81" s="1">
        <f t="shared" si="113"/>
        <v>7440.4</v>
      </c>
      <c r="S81" s="1">
        <f t="shared" si="113"/>
        <v>10083.959999999999</v>
      </c>
      <c r="T81" s="1">
        <f t="shared" si="113"/>
        <v>0</v>
      </c>
      <c r="U81" s="1">
        <f t="shared" si="113"/>
        <v>3850.68</v>
      </c>
      <c r="V81" s="1">
        <f t="shared" si="113"/>
        <v>3811.5</v>
      </c>
      <c r="W81" s="1">
        <f t="shared" si="113"/>
        <v>1790.58</v>
      </c>
      <c r="X81" s="1">
        <f t="shared" si="113"/>
        <v>5157.5400000000009</v>
      </c>
      <c r="Y81" s="1">
        <f t="shared" si="113"/>
        <v>2236.98</v>
      </c>
      <c r="Z81" s="1">
        <f t="shared" ref="Z81:AQ81" si="114">+Z58+Z35+Z12</f>
        <v>1106.76</v>
      </c>
      <c r="AA81" s="1">
        <f t="shared" si="114"/>
        <v>1078.8</v>
      </c>
      <c r="AB81" s="1">
        <f t="shared" si="114"/>
        <v>1887.9</v>
      </c>
      <c r="AC81" s="1">
        <f t="shared" si="114"/>
        <v>1599.6</v>
      </c>
      <c r="AD81" s="1">
        <f t="shared" si="114"/>
        <v>3013.2</v>
      </c>
      <c r="AE81" s="1">
        <f t="shared" si="114"/>
        <v>1869.3</v>
      </c>
      <c r="AF81" s="1">
        <f t="shared" si="114"/>
        <v>148.80000000000001</v>
      </c>
      <c r="AG81" s="1">
        <f t="shared" si="114"/>
        <v>511.5</v>
      </c>
      <c r="AH81" s="1">
        <f t="shared" si="114"/>
        <v>1404.3</v>
      </c>
      <c r="AI81" s="1">
        <f t="shared" si="114"/>
        <v>1562.4</v>
      </c>
      <c r="AJ81" s="1">
        <f t="shared" si="114"/>
        <v>1776.3</v>
      </c>
      <c r="AK81" s="1">
        <f t="shared" si="114"/>
        <v>1134.5999999999999</v>
      </c>
      <c r="AL81" s="1">
        <f t="shared" si="114"/>
        <v>474.3</v>
      </c>
      <c r="AM81" s="1">
        <f t="shared" si="114"/>
        <v>725.4</v>
      </c>
      <c r="AN81" s="1">
        <f t="shared" si="114"/>
        <v>585.9</v>
      </c>
      <c r="AO81" s="1">
        <f t="shared" si="114"/>
        <v>0</v>
      </c>
      <c r="AP81" s="1">
        <f t="shared" si="114"/>
        <v>0</v>
      </c>
      <c r="AQ81" s="1">
        <f t="shared" si="114"/>
        <v>0</v>
      </c>
      <c r="AR81" s="3">
        <f t="shared" si="102"/>
        <v>56431.480000000025</v>
      </c>
      <c r="AS81" s="25"/>
      <c r="AT81" s="8">
        <f>IF(AR81=0,0,+AR81/PassVol!AR81)</f>
        <v>9.8501448769418793</v>
      </c>
      <c r="AU81" s="60"/>
    </row>
    <row r="82" spans="1:47" s="24" customFormat="1" x14ac:dyDescent="0.25">
      <c r="A82" s="23"/>
      <c r="B82" s="2"/>
      <c r="C82" t="s">
        <v>6</v>
      </c>
      <c r="D82" s="1">
        <f t="shared" si="99"/>
        <v>0</v>
      </c>
      <c r="E82" s="1">
        <f t="shared" si="99"/>
        <v>0</v>
      </c>
      <c r="F82" s="1">
        <f t="shared" si="99"/>
        <v>0</v>
      </c>
      <c r="G82" s="1">
        <f t="shared" si="99"/>
        <v>0</v>
      </c>
      <c r="H82" s="1">
        <f t="shared" si="99"/>
        <v>0</v>
      </c>
      <c r="I82" s="1">
        <f t="shared" si="99"/>
        <v>0</v>
      </c>
      <c r="J82" s="1">
        <f t="shared" si="99"/>
        <v>0</v>
      </c>
      <c r="K82" s="1">
        <f t="shared" ref="K82:Y82" si="115">+K59+K36+K13</f>
        <v>0</v>
      </c>
      <c r="L82" s="1">
        <f t="shared" si="115"/>
        <v>38966.400000000001</v>
      </c>
      <c r="M82" s="1">
        <f t="shared" si="115"/>
        <v>16236</v>
      </c>
      <c r="N82" s="1">
        <f t="shared" si="115"/>
        <v>16434.84</v>
      </c>
      <c r="O82" s="1">
        <f t="shared" si="115"/>
        <v>16236</v>
      </c>
      <c r="P82" s="1">
        <f t="shared" si="115"/>
        <v>12988.800000000001</v>
      </c>
      <c r="Q82" s="1">
        <f t="shared" si="115"/>
        <v>38966.400000000001</v>
      </c>
      <c r="R82" s="1">
        <f t="shared" si="115"/>
        <v>12988.800000000001</v>
      </c>
      <c r="S82" s="1">
        <f t="shared" si="115"/>
        <v>14612.4</v>
      </c>
      <c r="T82" s="1">
        <f t="shared" si="115"/>
        <v>16184.16</v>
      </c>
      <c r="U82" s="1">
        <f t="shared" si="115"/>
        <v>11289.6</v>
      </c>
      <c r="V82" s="1">
        <f t="shared" si="115"/>
        <v>10039.68</v>
      </c>
      <c r="W82" s="1">
        <f t="shared" si="115"/>
        <v>8255.52</v>
      </c>
      <c r="X82" s="1">
        <f t="shared" si="115"/>
        <v>0</v>
      </c>
      <c r="Y82" s="1">
        <f t="shared" si="115"/>
        <v>9084.6</v>
      </c>
      <c r="Z82" s="1">
        <f t="shared" ref="Z82:AQ82" si="116">+Z59+Z36+Z13</f>
        <v>0</v>
      </c>
      <c r="AA82" s="1">
        <f t="shared" si="116"/>
        <v>7644</v>
      </c>
      <c r="AB82" s="1">
        <f t="shared" si="116"/>
        <v>0</v>
      </c>
      <c r="AC82" s="1">
        <f t="shared" si="116"/>
        <v>7938</v>
      </c>
      <c r="AD82" s="1">
        <f t="shared" si="116"/>
        <v>0</v>
      </c>
      <c r="AE82" s="1">
        <f t="shared" si="116"/>
        <v>6350.4</v>
      </c>
      <c r="AF82" s="1">
        <f t="shared" si="116"/>
        <v>0</v>
      </c>
      <c r="AG82" s="1">
        <f t="shared" si="116"/>
        <v>0</v>
      </c>
      <c r="AH82" s="1">
        <f t="shared" si="116"/>
        <v>31752</v>
      </c>
      <c r="AI82" s="1">
        <f t="shared" si="116"/>
        <v>0</v>
      </c>
      <c r="AJ82" s="1">
        <f t="shared" si="116"/>
        <v>0</v>
      </c>
      <c r="AK82" s="1">
        <f t="shared" si="116"/>
        <v>0</v>
      </c>
      <c r="AL82" s="1">
        <f t="shared" si="116"/>
        <v>0</v>
      </c>
      <c r="AM82" s="1">
        <f t="shared" si="116"/>
        <v>0</v>
      </c>
      <c r="AN82" s="1">
        <f t="shared" si="116"/>
        <v>0</v>
      </c>
      <c r="AO82" s="1">
        <f t="shared" si="116"/>
        <v>0</v>
      </c>
      <c r="AP82" s="1">
        <f t="shared" si="116"/>
        <v>0</v>
      </c>
      <c r="AQ82" s="1">
        <f t="shared" si="116"/>
        <v>0</v>
      </c>
      <c r="AR82" s="3">
        <f t="shared" si="102"/>
        <v>275967.59999999998</v>
      </c>
      <c r="AS82" s="25"/>
      <c r="AT82" s="8">
        <f>IF(AR82=0,0,+AR82/PassVol!AR82)</f>
        <v>5.9849837345478196</v>
      </c>
      <c r="AU82" s="60"/>
    </row>
    <row r="83" spans="1:47" s="24" customFormat="1" x14ac:dyDescent="0.25">
      <c r="A83" s="23"/>
      <c r="B83" s="2"/>
      <c r="C83" t="s">
        <v>262</v>
      </c>
      <c r="D83" s="1">
        <f t="shared" si="99"/>
        <v>0</v>
      </c>
      <c r="E83" s="1">
        <f t="shared" si="99"/>
        <v>0</v>
      </c>
      <c r="F83" s="1">
        <f t="shared" si="99"/>
        <v>0</v>
      </c>
      <c r="G83" s="1">
        <f t="shared" si="99"/>
        <v>0</v>
      </c>
      <c r="H83" s="1">
        <f t="shared" si="99"/>
        <v>0</v>
      </c>
      <c r="I83" s="1">
        <f t="shared" si="99"/>
        <v>0</v>
      </c>
      <c r="J83" s="1">
        <f t="shared" si="99"/>
        <v>0</v>
      </c>
      <c r="K83" s="1">
        <f t="shared" ref="K83:Y83" si="117">+K60+K37+K14</f>
        <v>0</v>
      </c>
      <c r="L83" s="1">
        <f t="shared" si="117"/>
        <v>230.04000000000002</v>
      </c>
      <c r="M83" s="1">
        <f t="shared" si="117"/>
        <v>4863.6000000000004</v>
      </c>
      <c r="N83" s="1">
        <f t="shared" si="117"/>
        <v>3152.7</v>
      </c>
      <c r="O83" s="1">
        <f t="shared" si="117"/>
        <v>5982.66</v>
      </c>
      <c r="P83" s="1">
        <f t="shared" si="117"/>
        <v>5110.92</v>
      </c>
      <c r="Q83" s="1">
        <f t="shared" si="117"/>
        <v>5022</v>
      </c>
      <c r="R83" s="1">
        <f t="shared" si="117"/>
        <v>3291.66</v>
      </c>
      <c r="S83" s="1">
        <f t="shared" si="117"/>
        <v>5513.16</v>
      </c>
      <c r="T83" s="1">
        <f t="shared" si="117"/>
        <v>2853.2999999999997</v>
      </c>
      <c r="U83" s="1">
        <f t="shared" si="117"/>
        <v>2687.52</v>
      </c>
      <c r="V83" s="1">
        <f t="shared" si="117"/>
        <v>3051.54</v>
      </c>
      <c r="W83" s="1">
        <f t="shared" si="117"/>
        <v>3780.84</v>
      </c>
      <c r="X83" s="1">
        <f t="shared" si="117"/>
        <v>2541.84</v>
      </c>
      <c r="Y83" s="1">
        <f t="shared" si="117"/>
        <v>1210.92</v>
      </c>
      <c r="Z83" s="1">
        <f t="shared" ref="Z83:AQ83" si="118">+Z60+Z37+Z14</f>
        <v>875.76</v>
      </c>
      <c r="AA83" s="1">
        <f t="shared" si="118"/>
        <v>0</v>
      </c>
      <c r="AB83" s="1">
        <f t="shared" si="118"/>
        <v>948.6</v>
      </c>
      <c r="AC83" s="1">
        <f t="shared" si="118"/>
        <v>223.2</v>
      </c>
      <c r="AD83" s="1">
        <f t="shared" si="118"/>
        <v>0</v>
      </c>
      <c r="AE83" s="1">
        <f t="shared" si="118"/>
        <v>306.89999999999998</v>
      </c>
      <c r="AF83" s="1">
        <f t="shared" si="118"/>
        <v>892.8</v>
      </c>
      <c r="AG83" s="1">
        <f t="shared" si="118"/>
        <v>0</v>
      </c>
      <c r="AH83" s="1">
        <f t="shared" si="118"/>
        <v>0</v>
      </c>
      <c r="AI83" s="1">
        <f t="shared" si="118"/>
        <v>0</v>
      </c>
      <c r="AJ83" s="1">
        <f t="shared" si="118"/>
        <v>0</v>
      </c>
      <c r="AK83" s="1">
        <f t="shared" si="118"/>
        <v>1088.0999999999999</v>
      </c>
      <c r="AL83" s="1">
        <f t="shared" si="118"/>
        <v>1478.7</v>
      </c>
      <c r="AM83" s="1">
        <f t="shared" si="118"/>
        <v>279</v>
      </c>
      <c r="AN83" s="1">
        <f t="shared" si="118"/>
        <v>0</v>
      </c>
      <c r="AO83" s="1">
        <f t="shared" si="118"/>
        <v>0</v>
      </c>
      <c r="AP83" s="1">
        <f t="shared" si="118"/>
        <v>0</v>
      </c>
      <c r="AQ83" s="1">
        <f t="shared" si="118"/>
        <v>0</v>
      </c>
      <c r="AR83" s="3">
        <f t="shared" si="102"/>
        <v>55385.759999999995</v>
      </c>
      <c r="AS83" s="25"/>
      <c r="AT83" s="8">
        <f>IF(AR83=0,0,+AR83/PassVol!AR83)</f>
        <v>9.6524503311258272</v>
      </c>
      <c r="AU83" s="60"/>
    </row>
    <row r="84" spans="1:47" s="24" customFormat="1" x14ac:dyDescent="0.25">
      <c r="A84" s="23"/>
      <c r="B84" s="2"/>
      <c r="C84" t="s">
        <v>42</v>
      </c>
      <c r="D84" s="1">
        <f t="shared" si="99"/>
        <v>0</v>
      </c>
      <c r="E84" s="1">
        <f t="shared" si="99"/>
        <v>0</v>
      </c>
      <c r="F84" s="1">
        <f t="shared" si="99"/>
        <v>0</v>
      </c>
      <c r="G84" s="1">
        <f t="shared" si="99"/>
        <v>0</v>
      </c>
      <c r="H84" s="1">
        <f t="shared" si="99"/>
        <v>0</v>
      </c>
      <c r="I84" s="1">
        <f t="shared" si="99"/>
        <v>0</v>
      </c>
      <c r="J84" s="1">
        <f t="shared" si="99"/>
        <v>0</v>
      </c>
      <c r="K84" s="1">
        <f t="shared" ref="K84:Y84" si="119">+K61+K38+K15</f>
        <v>0</v>
      </c>
      <c r="L84" s="1">
        <f t="shared" si="119"/>
        <v>12112.56</v>
      </c>
      <c r="M84" s="1">
        <f t="shared" si="119"/>
        <v>0</v>
      </c>
      <c r="N84" s="1">
        <f t="shared" si="119"/>
        <v>3172.5</v>
      </c>
      <c r="O84" s="1">
        <f t="shared" si="119"/>
        <v>1675.08</v>
      </c>
      <c r="P84" s="1">
        <f t="shared" si="119"/>
        <v>6065.82</v>
      </c>
      <c r="Q84" s="1">
        <f t="shared" si="119"/>
        <v>3364.92</v>
      </c>
      <c r="R84" s="1">
        <f t="shared" si="119"/>
        <v>3477.06</v>
      </c>
      <c r="S84" s="1">
        <f t="shared" si="119"/>
        <v>2867.94</v>
      </c>
      <c r="T84" s="1">
        <f t="shared" si="119"/>
        <v>1548.18</v>
      </c>
      <c r="U84" s="1">
        <f t="shared" si="119"/>
        <v>6141.96</v>
      </c>
      <c r="V84" s="1">
        <f t="shared" si="119"/>
        <v>2791.8</v>
      </c>
      <c r="W84" s="1">
        <f t="shared" si="119"/>
        <v>3361.6800000000003</v>
      </c>
      <c r="X84" s="1">
        <f t="shared" si="119"/>
        <v>5202.8999999999996</v>
      </c>
      <c r="Y84" s="1">
        <f t="shared" si="119"/>
        <v>1472.04</v>
      </c>
      <c r="Z84" s="1">
        <f t="shared" ref="Z84:AQ84" si="120">+Z61+Z38+Z15</f>
        <v>659.88</v>
      </c>
      <c r="AA84" s="1">
        <f t="shared" si="120"/>
        <v>456.84</v>
      </c>
      <c r="AB84" s="1">
        <f t="shared" si="120"/>
        <v>0</v>
      </c>
      <c r="AC84" s="1">
        <f t="shared" si="120"/>
        <v>456.84</v>
      </c>
      <c r="AD84" s="1">
        <f t="shared" si="120"/>
        <v>0</v>
      </c>
      <c r="AE84" s="1">
        <f t="shared" si="120"/>
        <v>507.6</v>
      </c>
      <c r="AF84" s="1">
        <f t="shared" si="120"/>
        <v>583.74</v>
      </c>
      <c r="AG84" s="1">
        <f t="shared" si="120"/>
        <v>304.56</v>
      </c>
      <c r="AH84" s="1">
        <f t="shared" si="120"/>
        <v>228.42</v>
      </c>
      <c r="AI84" s="1">
        <f t="shared" si="120"/>
        <v>152.28</v>
      </c>
      <c r="AJ84" s="1">
        <f t="shared" si="120"/>
        <v>380.7</v>
      </c>
      <c r="AK84" s="1">
        <f t="shared" si="120"/>
        <v>0</v>
      </c>
      <c r="AL84" s="1">
        <f t="shared" si="120"/>
        <v>0</v>
      </c>
      <c r="AM84" s="1">
        <f t="shared" si="120"/>
        <v>0</v>
      </c>
      <c r="AN84" s="1">
        <f t="shared" si="120"/>
        <v>177.6</v>
      </c>
      <c r="AO84" s="1">
        <f t="shared" si="120"/>
        <v>0</v>
      </c>
      <c r="AP84" s="1">
        <f t="shared" si="120"/>
        <v>0</v>
      </c>
      <c r="AQ84" s="1">
        <f t="shared" si="120"/>
        <v>0</v>
      </c>
      <c r="AR84" s="3">
        <f t="shared" si="102"/>
        <v>57162.89999999998</v>
      </c>
      <c r="AS84" s="25"/>
      <c r="AT84" s="8">
        <f>IF(AR84=0,0,+AR84/PassVol!AR84)</f>
        <v>8.6807744874715222</v>
      </c>
      <c r="AU84" s="60"/>
    </row>
    <row r="85" spans="1:47" s="24" customFormat="1" x14ac:dyDescent="0.25">
      <c r="A85" s="23"/>
      <c r="B85" s="2"/>
      <c r="C85" t="s">
        <v>192</v>
      </c>
      <c r="D85" s="1">
        <f t="shared" si="99"/>
        <v>0</v>
      </c>
      <c r="E85" s="1">
        <f t="shared" si="99"/>
        <v>0</v>
      </c>
      <c r="F85" s="1">
        <f t="shared" si="99"/>
        <v>0</v>
      </c>
      <c r="G85" s="1">
        <f t="shared" si="99"/>
        <v>0</v>
      </c>
      <c r="H85" s="1">
        <f t="shared" si="99"/>
        <v>0</v>
      </c>
      <c r="I85" s="1">
        <f t="shared" si="99"/>
        <v>0</v>
      </c>
      <c r="J85" s="1">
        <f t="shared" si="99"/>
        <v>0</v>
      </c>
      <c r="K85" s="1">
        <f t="shared" ref="K85:Y85" si="121">+K62+K39+K16</f>
        <v>0</v>
      </c>
      <c r="L85" s="1">
        <f t="shared" si="121"/>
        <v>0</v>
      </c>
      <c r="M85" s="1">
        <f t="shared" si="121"/>
        <v>14940.720000000001</v>
      </c>
      <c r="N85" s="1">
        <f t="shared" si="121"/>
        <v>1914.1799999999998</v>
      </c>
      <c r="O85" s="1">
        <f t="shared" si="121"/>
        <v>4322.4000000000005</v>
      </c>
      <c r="P85" s="1">
        <f t="shared" si="121"/>
        <v>12301.32</v>
      </c>
      <c r="Q85" s="1">
        <f t="shared" si="121"/>
        <v>4154.22</v>
      </c>
      <c r="R85" s="1">
        <f t="shared" si="121"/>
        <v>12753.72</v>
      </c>
      <c r="S85" s="1">
        <f t="shared" si="121"/>
        <v>2566.8000000000002</v>
      </c>
      <c r="T85" s="1">
        <f t="shared" si="121"/>
        <v>5523.3</v>
      </c>
      <c r="U85" s="1">
        <f t="shared" si="121"/>
        <v>6826.68</v>
      </c>
      <c r="V85" s="1">
        <f t="shared" si="121"/>
        <v>4767.2259999999997</v>
      </c>
      <c r="W85" s="1">
        <f t="shared" si="121"/>
        <v>9075.9599999999991</v>
      </c>
      <c r="X85" s="1">
        <f t="shared" si="121"/>
        <v>7497.0599999999995</v>
      </c>
      <c r="Y85" s="1">
        <f t="shared" si="121"/>
        <v>1640.52</v>
      </c>
      <c r="Z85" s="1">
        <f t="shared" ref="Z85:AQ85" si="122">+Z62+Z39+Z16</f>
        <v>1534.68</v>
      </c>
      <c r="AA85" s="1">
        <f t="shared" si="122"/>
        <v>1005.48</v>
      </c>
      <c r="AB85" s="1">
        <f t="shared" si="122"/>
        <v>899.64</v>
      </c>
      <c r="AC85" s="1">
        <f t="shared" si="122"/>
        <v>1084.8599999999999</v>
      </c>
      <c r="AD85" s="1">
        <f t="shared" si="122"/>
        <v>264.60000000000002</v>
      </c>
      <c r="AE85" s="1">
        <f t="shared" si="122"/>
        <v>0</v>
      </c>
      <c r="AF85" s="1">
        <f t="shared" si="122"/>
        <v>0</v>
      </c>
      <c r="AG85" s="1">
        <f t="shared" si="122"/>
        <v>0</v>
      </c>
      <c r="AH85" s="1">
        <f t="shared" si="122"/>
        <v>5821.2</v>
      </c>
      <c r="AI85" s="1">
        <f t="shared" si="122"/>
        <v>873.18</v>
      </c>
      <c r="AJ85" s="1">
        <f t="shared" si="122"/>
        <v>1614.06</v>
      </c>
      <c r="AK85" s="1">
        <f t="shared" si="122"/>
        <v>0</v>
      </c>
      <c r="AL85" s="1">
        <f t="shared" si="122"/>
        <v>0</v>
      </c>
      <c r="AM85" s="1">
        <f t="shared" si="122"/>
        <v>0</v>
      </c>
      <c r="AN85" s="1">
        <f t="shared" si="122"/>
        <v>0</v>
      </c>
      <c r="AO85" s="1">
        <f t="shared" si="122"/>
        <v>0</v>
      </c>
      <c r="AP85" s="1">
        <f t="shared" si="122"/>
        <v>0</v>
      </c>
      <c r="AQ85" s="1">
        <f t="shared" si="122"/>
        <v>0</v>
      </c>
      <c r="AR85" s="3">
        <f t="shared" si="102"/>
        <v>101381.806</v>
      </c>
      <c r="AS85" s="25"/>
      <c r="AT85" s="8">
        <f>IF(AR85=0,0,+AR85/PassVol!AR85)</f>
        <v>9.0576079692665061</v>
      </c>
      <c r="AU85" s="60"/>
    </row>
    <row r="86" spans="1:47" s="24" customFormat="1" x14ac:dyDescent="0.25">
      <c r="A86" s="23"/>
      <c r="B86" s="2"/>
      <c r="C86" t="s">
        <v>133</v>
      </c>
      <c r="D86" s="1">
        <f t="shared" si="99"/>
        <v>0</v>
      </c>
      <c r="E86" s="1">
        <f t="shared" si="99"/>
        <v>0</v>
      </c>
      <c r="F86" s="1">
        <f t="shared" si="99"/>
        <v>0</v>
      </c>
      <c r="G86" s="1">
        <f t="shared" si="99"/>
        <v>0</v>
      </c>
      <c r="H86" s="1">
        <f t="shared" si="99"/>
        <v>0</v>
      </c>
      <c r="I86" s="1">
        <f t="shared" si="99"/>
        <v>0</v>
      </c>
      <c r="J86" s="1">
        <f t="shared" si="99"/>
        <v>0</v>
      </c>
      <c r="K86" s="1">
        <f t="shared" ref="K86:Y86" si="123">+K63+K40+K17</f>
        <v>0</v>
      </c>
      <c r="L86" s="1">
        <f t="shared" si="123"/>
        <v>2317.5</v>
      </c>
      <c r="M86" s="1">
        <f t="shared" si="123"/>
        <v>976.5</v>
      </c>
      <c r="N86" s="1">
        <f t="shared" si="123"/>
        <v>2477.6999999999998</v>
      </c>
      <c r="O86" s="1">
        <f t="shared" si="123"/>
        <v>2804.22</v>
      </c>
      <c r="P86" s="1">
        <f t="shared" si="123"/>
        <v>4689.18</v>
      </c>
      <c r="Q86" s="1">
        <f t="shared" si="123"/>
        <v>3362.3999999999996</v>
      </c>
      <c r="R86" s="1">
        <f t="shared" si="123"/>
        <v>2525.3999999999996</v>
      </c>
      <c r="S86" s="1">
        <f t="shared" si="123"/>
        <v>3823.2000000000003</v>
      </c>
      <c r="T86" s="1">
        <f t="shared" si="123"/>
        <v>6202.7999999999993</v>
      </c>
      <c r="U86" s="1">
        <f t="shared" si="123"/>
        <v>4491.8999999999996</v>
      </c>
      <c r="V86" s="1">
        <f t="shared" si="123"/>
        <v>2501.6999999999998</v>
      </c>
      <c r="W86" s="1">
        <f t="shared" si="123"/>
        <v>2910.96</v>
      </c>
      <c r="X86" s="1">
        <f t="shared" si="123"/>
        <v>4096.9800000000005</v>
      </c>
      <c r="Y86" s="1">
        <f t="shared" si="123"/>
        <v>1748.52</v>
      </c>
      <c r="Z86" s="1">
        <f t="shared" ref="Z86:AQ86" si="124">+Z63+Z40+Z17</f>
        <v>1683.54</v>
      </c>
      <c r="AA86" s="1">
        <f t="shared" si="124"/>
        <v>986.04</v>
      </c>
      <c r="AB86" s="1">
        <f t="shared" si="124"/>
        <v>920.7</v>
      </c>
      <c r="AC86" s="1">
        <f t="shared" si="124"/>
        <v>781.2</v>
      </c>
      <c r="AD86" s="1">
        <f t="shared" si="124"/>
        <v>669.6</v>
      </c>
      <c r="AE86" s="1">
        <f t="shared" si="124"/>
        <v>567.29999999999995</v>
      </c>
      <c r="AF86" s="1">
        <f t="shared" si="124"/>
        <v>613.79999999999995</v>
      </c>
      <c r="AG86" s="1">
        <f t="shared" si="124"/>
        <v>641.70000000000005</v>
      </c>
      <c r="AH86" s="1">
        <f t="shared" si="124"/>
        <v>558</v>
      </c>
      <c r="AI86" s="1">
        <f t="shared" si="124"/>
        <v>809.1</v>
      </c>
      <c r="AJ86" s="1">
        <f t="shared" si="124"/>
        <v>306.89999999999998</v>
      </c>
      <c r="AK86" s="1">
        <f t="shared" si="124"/>
        <v>0</v>
      </c>
      <c r="AL86" s="1">
        <f t="shared" si="124"/>
        <v>306.89999999999998</v>
      </c>
      <c r="AM86" s="1">
        <f t="shared" si="124"/>
        <v>279</v>
      </c>
      <c r="AN86" s="1">
        <f t="shared" si="124"/>
        <v>279</v>
      </c>
      <c r="AO86" s="1">
        <f t="shared" si="124"/>
        <v>0</v>
      </c>
      <c r="AP86" s="1">
        <f t="shared" si="124"/>
        <v>0</v>
      </c>
      <c r="AQ86" s="1">
        <f t="shared" si="124"/>
        <v>0</v>
      </c>
      <c r="AR86" s="3">
        <f t="shared" si="102"/>
        <v>54331.74</v>
      </c>
      <c r="AS86" s="25"/>
      <c r="AT86" s="8">
        <f>IF(AR86=0,0,+AR86/PassVol!AR86)</f>
        <v>9.5873901535203814</v>
      </c>
      <c r="AU86" s="60"/>
    </row>
    <row r="87" spans="1:47" s="24" customFormat="1" x14ac:dyDescent="0.25">
      <c r="A87" s="23"/>
      <c r="B87" s="2"/>
      <c r="C87" t="s">
        <v>41</v>
      </c>
      <c r="D87" s="1">
        <f t="shared" si="99"/>
        <v>0</v>
      </c>
      <c r="E87" s="1">
        <f t="shared" si="99"/>
        <v>0</v>
      </c>
      <c r="F87" s="1">
        <f t="shared" si="99"/>
        <v>0</v>
      </c>
      <c r="G87" s="1">
        <f t="shared" si="99"/>
        <v>0</v>
      </c>
      <c r="H87" s="1">
        <f t="shared" si="99"/>
        <v>0</v>
      </c>
      <c r="I87" s="1">
        <f t="shared" si="99"/>
        <v>0</v>
      </c>
      <c r="J87" s="1">
        <f t="shared" si="99"/>
        <v>0</v>
      </c>
      <c r="K87" s="1">
        <f t="shared" ref="K87:Y87" si="125">+K64+K41+K18</f>
        <v>0</v>
      </c>
      <c r="L87" s="1">
        <f t="shared" si="125"/>
        <v>21426.06</v>
      </c>
      <c r="M87" s="1">
        <f t="shared" si="125"/>
        <v>5802.9</v>
      </c>
      <c r="N87" s="1">
        <f t="shared" si="125"/>
        <v>6450.1200000000008</v>
      </c>
      <c r="O87" s="1">
        <f t="shared" si="125"/>
        <v>24101.7</v>
      </c>
      <c r="P87" s="1">
        <f t="shared" si="125"/>
        <v>13414.68</v>
      </c>
      <c r="Q87" s="1">
        <f t="shared" si="125"/>
        <v>17707.5</v>
      </c>
      <c r="R87" s="1">
        <f t="shared" si="125"/>
        <v>14529.599999999999</v>
      </c>
      <c r="S87" s="1">
        <f t="shared" si="125"/>
        <v>10920.78</v>
      </c>
      <c r="T87" s="1">
        <f t="shared" si="125"/>
        <v>23266.14</v>
      </c>
      <c r="U87" s="1">
        <f t="shared" si="125"/>
        <v>17345.34</v>
      </c>
      <c r="V87" s="1">
        <f t="shared" si="125"/>
        <v>16136.46</v>
      </c>
      <c r="W87" s="1">
        <f t="shared" si="125"/>
        <v>16769.16</v>
      </c>
      <c r="X87" s="1">
        <f t="shared" si="125"/>
        <v>26859.420000000002</v>
      </c>
      <c r="Y87" s="1">
        <f t="shared" si="125"/>
        <v>16289.58</v>
      </c>
      <c r="Z87" s="1">
        <f t="shared" ref="Z87:AQ87" si="126">+Z64+Z41+Z18</f>
        <v>7768.44</v>
      </c>
      <c r="AA87" s="1">
        <f t="shared" si="126"/>
        <v>6620.04</v>
      </c>
      <c r="AB87" s="1">
        <f t="shared" si="126"/>
        <v>3096.9</v>
      </c>
      <c r="AC87" s="1">
        <f t="shared" si="126"/>
        <v>5049.8999999999996</v>
      </c>
      <c r="AD87" s="1">
        <f t="shared" si="126"/>
        <v>2287.8000000000002</v>
      </c>
      <c r="AE87" s="1">
        <f t="shared" si="126"/>
        <v>5747.4</v>
      </c>
      <c r="AF87" s="1">
        <f t="shared" si="126"/>
        <v>3627</v>
      </c>
      <c r="AG87" s="1">
        <f t="shared" si="126"/>
        <v>2762.1</v>
      </c>
      <c r="AH87" s="1">
        <f t="shared" si="126"/>
        <v>7579.5</v>
      </c>
      <c r="AI87" s="1">
        <f t="shared" si="126"/>
        <v>3850.2</v>
      </c>
      <c r="AJ87" s="1">
        <f t="shared" si="126"/>
        <v>3069</v>
      </c>
      <c r="AK87" s="1">
        <f t="shared" si="126"/>
        <v>2148.3000000000002</v>
      </c>
      <c r="AL87" s="1">
        <f t="shared" si="126"/>
        <v>1562.4</v>
      </c>
      <c r="AM87" s="1">
        <f t="shared" si="126"/>
        <v>1953</v>
      </c>
      <c r="AN87" s="1">
        <f t="shared" si="126"/>
        <v>1004.4</v>
      </c>
      <c r="AO87" s="1">
        <f t="shared" si="126"/>
        <v>0</v>
      </c>
      <c r="AP87" s="1">
        <f t="shared" si="126"/>
        <v>0</v>
      </c>
      <c r="AQ87" s="1">
        <f t="shared" si="126"/>
        <v>0</v>
      </c>
      <c r="AR87" s="3">
        <f t="shared" si="102"/>
        <v>289145.81999999995</v>
      </c>
      <c r="AS87" s="25"/>
      <c r="AT87" s="8">
        <f>IF(AR87=0,0,+AR87/PassVol!AR87)</f>
        <v>9.6610585051288034</v>
      </c>
      <c r="AU87" s="60"/>
    </row>
    <row r="88" spans="1:47" s="24" customFormat="1" x14ac:dyDescent="0.25">
      <c r="A88" s="23"/>
      <c r="B88" s="2"/>
      <c r="C88" t="s">
        <v>193</v>
      </c>
      <c r="D88" s="1">
        <f t="shared" si="99"/>
        <v>0</v>
      </c>
      <c r="E88" s="1">
        <f t="shared" si="99"/>
        <v>0</v>
      </c>
      <c r="F88" s="1">
        <f t="shared" si="99"/>
        <v>0</v>
      </c>
      <c r="G88" s="1">
        <f t="shared" si="99"/>
        <v>0</v>
      </c>
      <c r="H88" s="1">
        <f t="shared" si="99"/>
        <v>0</v>
      </c>
      <c r="I88" s="1">
        <f t="shared" si="99"/>
        <v>0</v>
      </c>
      <c r="J88" s="1">
        <f t="shared" si="99"/>
        <v>0</v>
      </c>
      <c r="K88" s="1">
        <f t="shared" ref="K88:Y88" si="127">+K65+K42+K19</f>
        <v>0</v>
      </c>
      <c r="L88" s="1">
        <f t="shared" si="127"/>
        <v>0</v>
      </c>
      <c r="M88" s="1">
        <f t="shared" si="127"/>
        <v>0</v>
      </c>
      <c r="N88" s="1">
        <f t="shared" si="127"/>
        <v>0</v>
      </c>
      <c r="O88" s="1">
        <f t="shared" si="127"/>
        <v>0</v>
      </c>
      <c r="P88" s="1">
        <f t="shared" si="127"/>
        <v>0</v>
      </c>
      <c r="Q88" s="1">
        <f t="shared" si="127"/>
        <v>0</v>
      </c>
      <c r="R88" s="1">
        <f t="shared" si="127"/>
        <v>0</v>
      </c>
      <c r="S88" s="1">
        <f t="shared" si="127"/>
        <v>0</v>
      </c>
      <c r="T88" s="1">
        <f t="shared" si="127"/>
        <v>0</v>
      </c>
      <c r="U88" s="1">
        <f t="shared" si="127"/>
        <v>0</v>
      </c>
      <c r="V88" s="1">
        <f t="shared" si="127"/>
        <v>0</v>
      </c>
      <c r="W88" s="1">
        <f t="shared" si="127"/>
        <v>0</v>
      </c>
      <c r="X88" s="1">
        <f t="shared" si="127"/>
        <v>0</v>
      </c>
      <c r="Y88" s="1">
        <f t="shared" si="127"/>
        <v>0</v>
      </c>
      <c r="Z88" s="1">
        <f t="shared" ref="Z88:AQ88" si="128">+Z65+Z42+Z19</f>
        <v>0</v>
      </c>
      <c r="AA88" s="1">
        <f t="shared" si="128"/>
        <v>0</v>
      </c>
      <c r="AB88" s="1">
        <f>+AB65+AB42+AB19</f>
        <v>0</v>
      </c>
      <c r="AC88" s="1">
        <f t="shared" si="128"/>
        <v>0</v>
      </c>
      <c r="AD88" s="1">
        <f t="shared" si="128"/>
        <v>0</v>
      </c>
      <c r="AE88" s="1">
        <f t="shared" si="128"/>
        <v>0</v>
      </c>
      <c r="AF88" s="1">
        <f t="shared" si="128"/>
        <v>0</v>
      </c>
      <c r="AG88" s="1">
        <f t="shared" si="128"/>
        <v>0</v>
      </c>
      <c r="AH88" s="1">
        <f t="shared" si="128"/>
        <v>0</v>
      </c>
      <c r="AI88" s="1">
        <f t="shared" si="128"/>
        <v>0</v>
      </c>
      <c r="AJ88" s="1">
        <f t="shared" si="128"/>
        <v>0</v>
      </c>
      <c r="AK88" s="1">
        <f t="shared" si="128"/>
        <v>0</v>
      </c>
      <c r="AL88" s="1">
        <f t="shared" si="128"/>
        <v>0</v>
      </c>
      <c r="AM88" s="1">
        <f t="shared" si="128"/>
        <v>0</v>
      </c>
      <c r="AN88" s="1">
        <f t="shared" si="128"/>
        <v>0</v>
      </c>
      <c r="AO88" s="1">
        <f t="shared" si="128"/>
        <v>0</v>
      </c>
      <c r="AP88" s="1">
        <f t="shared" si="128"/>
        <v>0</v>
      </c>
      <c r="AQ88" s="1">
        <f t="shared" si="128"/>
        <v>0</v>
      </c>
      <c r="AR88" s="3">
        <f t="shared" si="102"/>
        <v>0</v>
      </c>
      <c r="AS88" s="25"/>
      <c r="AT88" s="8">
        <f>IF(AR88=0,0,+AR88/PassVol!AR88)</f>
        <v>0</v>
      </c>
      <c r="AU88" s="60"/>
    </row>
    <row r="89" spans="1:47" s="24" customFormat="1" x14ac:dyDescent="0.25">
      <c r="A89" s="23"/>
      <c r="B89" s="2"/>
      <c r="C89" t="s">
        <v>297</v>
      </c>
      <c r="D89" s="1">
        <f t="shared" si="99"/>
        <v>0</v>
      </c>
      <c r="E89" s="1">
        <f t="shared" si="99"/>
        <v>0</v>
      </c>
      <c r="F89" s="1">
        <f t="shared" si="99"/>
        <v>0</v>
      </c>
      <c r="G89" s="1">
        <f t="shared" si="99"/>
        <v>0</v>
      </c>
      <c r="H89" s="1">
        <f t="shared" si="99"/>
        <v>0</v>
      </c>
      <c r="I89" s="1">
        <f t="shared" si="99"/>
        <v>0</v>
      </c>
      <c r="J89" s="1">
        <f t="shared" si="99"/>
        <v>0</v>
      </c>
      <c r="K89" s="1">
        <f t="shared" ref="K89:Y89" si="129">+K66+K43+K20</f>
        <v>0</v>
      </c>
      <c r="L89" s="1">
        <f t="shared" si="129"/>
        <v>0</v>
      </c>
      <c r="M89" s="1">
        <f t="shared" si="129"/>
        <v>0</v>
      </c>
      <c r="N89" s="1">
        <f t="shared" si="129"/>
        <v>0</v>
      </c>
      <c r="O89" s="1">
        <f t="shared" si="129"/>
        <v>0</v>
      </c>
      <c r="P89" s="1">
        <f t="shared" si="129"/>
        <v>0</v>
      </c>
      <c r="Q89" s="1">
        <f t="shared" si="129"/>
        <v>0</v>
      </c>
      <c r="R89" s="1">
        <f t="shared" si="129"/>
        <v>0</v>
      </c>
      <c r="S89" s="1">
        <f t="shared" si="129"/>
        <v>0</v>
      </c>
      <c r="T89" s="1">
        <f t="shared" si="129"/>
        <v>0</v>
      </c>
      <c r="U89" s="1">
        <f t="shared" si="129"/>
        <v>0</v>
      </c>
      <c r="V89" s="1">
        <f t="shared" si="129"/>
        <v>0</v>
      </c>
      <c r="W89" s="1">
        <f t="shared" si="129"/>
        <v>0</v>
      </c>
      <c r="X89" s="1">
        <f t="shared" si="129"/>
        <v>0</v>
      </c>
      <c r="Y89" s="1">
        <f t="shared" si="129"/>
        <v>0</v>
      </c>
      <c r="Z89" s="1">
        <f t="shared" ref="Z89:AQ89" si="130">+Z66+Z43+Z20</f>
        <v>0</v>
      </c>
      <c r="AA89" s="1">
        <f t="shared" si="130"/>
        <v>0</v>
      </c>
      <c r="AB89" s="1">
        <f>+AB66+AB43+AB20</f>
        <v>0</v>
      </c>
      <c r="AC89" s="1">
        <f t="shared" si="130"/>
        <v>0</v>
      </c>
      <c r="AD89" s="1">
        <f t="shared" si="130"/>
        <v>0</v>
      </c>
      <c r="AE89" s="1">
        <f t="shared" si="130"/>
        <v>0</v>
      </c>
      <c r="AF89" s="1">
        <f t="shared" si="130"/>
        <v>0</v>
      </c>
      <c r="AG89" s="1">
        <f t="shared" si="130"/>
        <v>0</v>
      </c>
      <c r="AH89" s="1">
        <f t="shared" si="130"/>
        <v>0</v>
      </c>
      <c r="AI89" s="1">
        <f t="shared" si="130"/>
        <v>0</v>
      </c>
      <c r="AJ89" s="1">
        <f t="shared" si="130"/>
        <v>0</v>
      </c>
      <c r="AK89" s="1">
        <f t="shared" si="130"/>
        <v>0</v>
      </c>
      <c r="AL89" s="1">
        <f t="shared" si="130"/>
        <v>0</v>
      </c>
      <c r="AM89" s="1">
        <f t="shared" si="130"/>
        <v>0</v>
      </c>
      <c r="AN89" s="1">
        <f t="shared" si="130"/>
        <v>0</v>
      </c>
      <c r="AO89" s="1">
        <f t="shared" si="130"/>
        <v>0</v>
      </c>
      <c r="AP89" s="1">
        <f t="shared" si="130"/>
        <v>0</v>
      </c>
      <c r="AQ89" s="1">
        <f t="shared" si="130"/>
        <v>0</v>
      </c>
      <c r="AR89" s="3">
        <f t="shared" si="102"/>
        <v>0</v>
      </c>
      <c r="AS89" s="25"/>
      <c r="AT89" s="8">
        <f>IF(AR89=0,0,+AR89/PassVol!AR89)</f>
        <v>0</v>
      </c>
      <c r="AU89" s="60"/>
    </row>
    <row r="90" spans="1:47" s="24" customFormat="1" x14ac:dyDescent="0.25">
      <c r="A90" s="23"/>
      <c r="B90" s="2"/>
      <c r="C90" t="s">
        <v>296</v>
      </c>
      <c r="D90" s="1">
        <f t="shared" si="99"/>
        <v>0</v>
      </c>
      <c r="E90" s="1">
        <f t="shared" si="99"/>
        <v>0</v>
      </c>
      <c r="F90" s="1">
        <f t="shared" si="99"/>
        <v>0</v>
      </c>
      <c r="G90" s="1">
        <f t="shared" si="99"/>
        <v>0</v>
      </c>
      <c r="H90" s="1">
        <f t="shared" si="99"/>
        <v>0</v>
      </c>
      <c r="I90" s="1">
        <f t="shared" si="99"/>
        <v>0</v>
      </c>
      <c r="J90" s="1">
        <f t="shared" si="99"/>
        <v>0</v>
      </c>
      <c r="K90" s="1">
        <f t="shared" ref="K90:Y90" si="131">+K67+K44+K21</f>
        <v>0</v>
      </c>
      <c r="L90" s="1">
        <f t="shared" si="131"/>
        <v>837.72</v>
      </c>
      <c r="M90" s="1">
        <f t="shared" si="131"/>
        <v>1249.02</v>
      </c>
      <c r="N90" s="1">
        <f t="shared" si="131"/>
        <v>1409.4</v>
      </c>
      <c r="O90" s="1">
        <f t="shared" si="131"/>
        <v>2254.3199999999997</v>
      </c>
      <c r="P90" s="1">
        <f t="shared" si="131"/>
        <v>2986.02</v>
      </c>
      <c r="Q90" s="1">
        <f t="shared" si="131"/>
        <v>1709.1</v>
      </c>
      <c r="R90" s="1">
        <f t="shared" si="131"/>
        <v>1178.8200000000002</v>
      </c>
      <c r="S90" s="1">
        <f t="shared" si="131"/>
        <v>1706.94</v>
      </c>
      <c r="T90" s="1">
        <f t="shared" si="131"/>
        <v>2874.42</v>
      </c>
      <c r="U90" s="1">
        <f t="shared" si="131"/>
        <v>3320.1</v>
      </c>
      <c r="V90" s="1">
        <f t="shared" si="131"/>
        <v>2760.12</v>
      </c>
      <c r="W90" s="1">
        <f t="shared" si="131"/>
        <v>3969.36</v>
      </c>
      <c r="X90" s="1">
        <f t="shared" si="131"/>
        <v>3136.6800000000003</v>
      </c>
      <c r="Y90" s="1">
        <f t="shared" si="131"/>
        <v>1585.8000000000002</v>
      </c>
      <c r="Z90" s="1">
        <f t="shared" ref="Z90:AQ90" si="132">+Z67+Z44+Z21</f>
        <v>1492.74</v>
      </c>
      <c r="AA90" s="1">
        <f t="shared" si="132"/>
        <v>1278.9000000000001</v>
      </c>
      <c r="AB90" s="1">
        <f>+AB67+AB44+AB21</f>
        <v>1088.0999999999999</v>
      </c>
      <c r="AC90" s="1">
        <f t="shared" si="132"/>
        <v>1227.5999999999999</v>
      </c>
      <c r="AD90" s="1">
        <f t="shared" si="132"/>
        <v>306.89999999999998</v>
      </c>
      <c r="AE90" s="1">
        <f t="shared" si="132"/>
        <v>1209</v>
      </c>
      <c r="AF90" s="1">
        <f t="shared" si="132"/>
        <v>697.5</v>
      </c>
      <c r="AG90" s="1">
        <f t="shared" si="132"/>
        <v>279</v>
      </c>
      <c r="AH90" s="1">
        <f t="shared" si="132"/>
        <v>474.3</v>
      </c>
      <c r="AI90" s="1">
        <f t="shared" si="132"/>
        <v>390.6</v>
      </c>
      <c r="AJ90" s="1">
        <f t="shared" si="132"/>
        <v>809.1</v>
      </c>
      <c r="AK90" s="1">
        <f t="shared" si="132"/>
        <v>418.5</v>
      </c>
      <c r="AL90" s="1">
        <f t="shared" si="132"/>
        <v>279</v>
      </c>
      <c r="AM90" s="1">
        <f t="shared" si="132"/>
        <v>139.5</v>
      </c>
      <c r="AN90" s="1">
        <f t="shared" si="132"/>
        <v>0</v>
      </c>
      <c r="AO90" s="1">
        <f t="shared" si="132"/>
        <v>0</v>
      </c>
      <c r="AP90" s="1">
        <f t="shared" si="132"/>
        <v>0</v>
      </c>
      <c r="AQ90" s="1">
        <f t="shared" si="132"/>
        <v>0</v>
      </c>
      <c r="AR90" s="3">
        <f t="shared" si="102"/>
        <v>41068.559999999998</v>
      </c>
      <c r="AS90" s="25"/>
      <c r="AT90" s="8">
        <f>IF(AR90=0,0,+AR90/PassVol!AR90)</f>
        <v>9.5441691842900305</v>
      </c>
      <c r="AU90" s="60"/>
    </row>
    <row r="91" spans="1:47" s="24" customFormat="1" x14ac:dyDescent="0.25">
      <c r="A91" s="23"/>
      <c r="B91" s="2"/>
      <c r="C91" t="s">
        <v>44</v>
      </c>
      <c r="D91" s="1">
        <f t="shared" si="99"/>
        <v>0</v>
      </c>
      <c r="E91" s="1">
        <f t="shared" si="99"/>
        <v>0</v>
      </c>
      <c r="F91" s="1">
        <f t="shared" si="99"/>
        <v>0</v>
      </c>
      <c r="G91" s="1">
        <f t="shared" si="99"/>
        <v>0</v>
      </c>
      <c r="H91" s="1">
        <f t="shared" si="99"/>
        <v>0</v>
      </c>
      <c r="I91" s="1">
        <f t="shared" si="99"/>
        <v>0</v>
      </c>
      <c r="J91" s="1">
        <f t="shared" si="99"/>
        <v>0</v>
      </c>
      <c r="K91" s="1">
        <f t="shared" ref="K91:Y91" si="133">+K68+K45+K22</f>
        <v>0</v>
      </c>
      <c r="L91" s="1">
        <f t="shared" si="133"/>
        <v>33526.160000000003</v>
      </c>
      <c r="M91" s="1">
        <f t="shared" si="133"/>
        <v>26563.020000000004</v>
      </c>
      <c r="N91" s="1">
        <f t="shared" si="133"/>
        <v>52324.560000000005</v>
      </c>
      <c r="O91" s="1">
        <f t="shared" si="133"/>
        <v>72266.12000000001</v>
      </c>
      <c r="P91" s="1">
        <f t="shared" si="133"/>
        <v>105411.52</v>
      </c>
      <c r="Q91" s="1">
        <f t="shared" si="133"/>
        <v>77258.44</v>
      </c>
      <c r="R91" s="1">
        <f t="shared" si="133"/>
        <v>93465.12000000001</v>
      </c>
      <c r="S91" s="1">
        <f t="shared" si="133"/>
        <v>94048.640000000014</v>
      </c>
      <c r="T91" s="1">
        <f t="shared" si="133"/>
        <v>92140.419999999984</v>
      </c>
      <c r="U91" s="1">
        <f t="shared" si="133"/>
        <v>126671.00000000001</v>
      </c>
      <c r="V91" s="1">
        <f t="shared" si="133"/>
        <v>109014.48000000001</v>
      </c>
      <c r="W91" s="1">
        <f t="shared" si="133"/>
        <v>134514.47999999998</v>
      </c>
      <c r="X91" s="1">
        <f t="shared" si="133"/>
        <v>104289.38</v>
      </c>
      <c r="Y91" s="1">
        <f t="shared" si="133"/>
        <v>38754.840000000004</v>
      </c>
      <c r="Z91" s="1">
        <f t="shared" ref="Z91:AQ91" si="134">+Z68+Z45+Z22</f>
        <v>32183.000000000004</v>
      </c>
      <c r="AA91" s="1">
        <f t="shared" si="134"/>
        <v>19446.240000000002</v>
      </c>
      <c r="AB91" s="1">
        <f t="shared" si="134"/>
        <v>12694.300000000003</v>
      </c>
      <c r="AC91" s="1">
        <f t="shared" si="134"/>
        <v>11689.980000000003</v>
      </c>
      <c r="AD91" s="1">
        <f t="shared" si="134"/>
        <v>2036.4599999999991</v>
      </c>
      <c r="AE91" s="1">
        <f t="shared" si="134"/>
        <v>8974.02</v>
      </c>
      <c r="AF91" s="1">
        <f t="shared" si="134"/>
        <v>5161</v>
      </c>
      <c r="AG91" s="1">
        <f t="shared" si="134"/>
        <v>3208.34</v>
      </c>
      <c r="AH91" s="1">
        <f t="shared" si="134"/>
        <v>9262.320000000007</v>
      </c>
      <c r="AI91" s="1">
        <f t="shared" si="134"/>
        <v>6417.380000000001</v>
      </c>
      <c r="AJ91" s="1">
        <f t="shared" si="134"/>
        <v>8426.16</v>
      </c>
      <c r="AK91" s="1">
        <f t="shared" si="134"/>
        <v>3682.380000000001</v>
      </c>
      <c r="AL91" s="1">
        <f t="shared" si="134"/>
        <v>4436.2199999999993</v>
      </c>
      <c r="AM91" s="1">
        <f t="shared" si="134"/>
        <v>752.97999999999956</v>
      </c>
      <c r="AN91" s="1">
        <f t="shared" si="134"/>
        <v>1395.46</v>
      </c>
      <c r="AO91" s="1">
        <f t="shared" si="134"/>
        <v>0</v>
      </c>
      <c r="AP91" s="1">
        <f t="shared" si="134"/>
        <v>0</v>
      </c>
      <c r="AQ91" s="1">
        <f t="shared" si="134"/>
        <v>0</v>
      </c>
      <c r="AR91" s="3">
        <f t="shared" si="102"/>
        <v>1290014.4199999997</v>
      </c>
      <c r="AS91" s="25"/>
      <c r="AT91" s="8">
        <f>IF(AR91=0,0,+AR91/PassVol!AR91)</f>
        <v>9.4921702979330824</v>
      </c>
      <c r="AU91" s="60"/>
    </row>
    <row r="92" spans="1:47" x14ac:dyDescent="0.25">
      <c r="B92" s="2" t="s">
        <v>200</v>
      </c>
      <c r="C92" s="2"/>
      <c r="D92" s="3">
        <f>SUM(D73:D91)</f>
        <v>0</v>
      </c>
      <c r="E92" s="3">
        <f t="shared" ref="E92:J92" si="135">SUM(E73:E91)</f>
        <v>0</v>
      </c>
      <c r="F92" s="3">
        <f t="shared" si="135"/>
        <v>0</v>
      </c>
      <c r="G92" s="3">
        <f t="shared" si="135"/>
        <v>0</v>
      </c>
      <c r="H92" s="3">
        <f t="shared" si="135"/>
        <v>0</v>
      </c>
      <c r="I92" s="3">
        <f t="shared" si="135"/>
        <v>0</v>
      </c>
      <c r="J92" s="3">
        <f t="shared" si="135"/>
        <v>0</v>
      </c>
      <c r="K92" s="3">
        <f>SUM(K73:K91)</f>
        <v>0</v>
      </c>
      <c r="L92" s="3">
        <f>SUM(L73:L91)</f>
        <v>198178.34</v>
      </c>
      <c r="M92" s="3">
        <f t="shared" ref="M92:AR92" si="136">SUM(M73:M91)</f>
        <v>114586.14</v>
      </c>
      <c r="N92" s="3">
        <f t="shared" si="136"/>
        <v>118835.16</v>
      </c>
      <c r="O92" s="3">
        <f t="shared" si="136"/>
        <v>196089.02000000002</v>
      </c>
      <c r="P92" s="3">
        <f t="shared" si="136"/>
        <v>245089.47999999998</v>
      </c>
      <c r="Q92" s="3">
        <f t="shared" si="136"/>
        <v>224310.39999999999</v>
      </c>
      <c r="R92" s="3">
        <f t="shared" si="136"/>
        <v>250067.80000000005</v>
      </c>
      <c r="S92" s="3">
        <f t="shared" si="136"/>
        <v>232184.24000000002</v>
      </c>
      <c r="T92" s="3">
        <f t="shared" si="136"/>
        <v>240663.75999999998</v>
      </c>
      <c r="U92" s="3">
        <f t="shared" si="136"/>
        <v>280277.96000000002</v>
      </c>
      <c r="V92" s="3">
        <f t="shared" si="136"/>
        <v>219345.46599999999</v>
      </c>
      <c r="W92" s="3">
        <f t="shared" si="136"/>
        <v>272679.95999999996</v>
      </c>
      <c r="X92" s="3">
        <f t="shared" si="136"/>
        <v>250587.8</v>
      </c>
      <c r="Y92" s="3">
        <f t="shared" si="136"/>
        <v>128349.12000000002</v>
      </c>
      <c r="Z92" s="3">
        <f t="shared" si="136"/>
        <v>89936.6</v>
      </c>
      <c r="AA92" s="3">
        <f t="shared" si="136"/>
        <v>71238.540000000008</v>
      </c>
      <c r="AB92" s="3">
        <f t="shared" si="136"/>
        <v>56391.1</v>
      </c>
      <c r="AC92" s="3">
        <f t="shared" si="136"/>
        <v>43585.020000000004</v>
      </c>
      <c r="AD92" s="3">
        <f t="shared" si="136"/>
        <v>34511.22</v>
      </c>
      <c r="AE92" s="3">
        <f t="shared" si="136"/>
        <v>32274.539999999997</v>
      </c>
      <c r="AF92" s="3">
        <f t="shared" si="136"/>
        <v>15860.5</v>
      </c>
      <c r="AG92" s="3">
        <f t="shared" si="136"/>
        <v>15488.18</v>
      </c>
      <c r="AH92" s="3">
        <f t="shared" si="136"/>
        <v>90402.840000000011</v>
      </c>
      <c r="AI92" s="3">
        <f t="shared" si="136"/>
        <v>20338.760000000002</v>
      </c>
      <c r="AJ92" s="3">
        <f t="shared" si="136"/>
        <v>21122.519999999997</v>
      </c>
      <c r="AK92" s="3">
        <f t="shared" si="136"/>
        <v>20322.960000000003</v>
      </c>
      <c r="AL92" s="3">
        <f t="shared" si="136"/>
        <v>15719.339999999998</v>
      </c>
      <c r="AM92" s="3">
        <f t="shared" si="136"/>
        <v>8395.66</v>
      </c>
      <c r="AN92" s="3">
        <f t="shared" si="136"/>
        <v>4418.8600000000006</v>
      </c>
      <c r="AO92" s="3">
        <f t="shared" si="136"/>
        <v>0</v>
      </c>
      <c r="AP92" s="3">
        <f t="shared" si="136"/>
        <v>0</v>
      </c>
      <c r="AQ92" s="3">
        <f t="shared" si="136"/>
        <v>0</v>
      </c>
      <c r="AR92" s="3">
        <f t="shared" si="136"/>
        <v>3511251.2859999994</v>
      </c>
      <c r="AT92" s="9">
        <f>IF(AR92=0,0,+AR92/PassVol!AR92)</f>
        <v>8.8198460869914683</v>
      </c>
    </row>
    <row r="93" spans="1:47" s="24" customFormat="1" x14ac:dyDescent="0.25">
      <c r="A93" s="23"/>
      <c r="B93" s="23"/>
      <c r="C93" s="27" t="s">
        <v>102</v>
      </c>
      <c r="D93" s="25">
        <f>+D92</f>
        <v>0</v>
      </c>
      <c r="E93" s="25">
        <f>+D93+E92</f>
        <v>0</v>
      </c>
      <c r="F93" s="25">
        <f t="shared" ref="F93" si="137">+E93+F92</f>
        <v>0</v>
      </c>
      <c r="G93" s="25">
        <f t="shared" ref="G93" si="138">+F93+G92</f>
        <v>0</v>
      </c>
      <c r="H93" s="25">
        <f t="shared" ref="H93" si="139">+G93+H92</f>
        <v>0</v>
      </c>
      <c r="I93" s="25">
        <f t="shared" ref="I93" si="140">+H93+I92</f>
        <v>0</v>
      </c>
      <c r="J93" s="25">
        <f t="shared" ref="J93" si="141">+I93+J92</f>
        <v>0</v>
      </c>
      <c r="K93" s="25">
        <f t="shared" ref="K93" si="142">+J93+K92</f>
        <v>0</v>
      </c>
      <c r="L93" s="25">
        <f t="shared" ref="L93" si="143">+K93+L92</f>
        <v>198178.34</v>
      </c>
      <c r="M93" s="25">
        <f t="shared" ref="M93" si="144">+L93+M92</f>
        <v>312764.48</v>
      </c>
      <c r="N93" s="25">
        <f t="shared" ref="N93" si="145">+M93+N92</f>
        <v>431599.64</v>
      </c>
      <c r="O93" s="25">
        <f t="shared" ref="O93" si="146">+N93+O92</f>
        <v>627688.66</v>
      </c>
      <c r="P93" s="25">
        <f t="shared" ref="P93" si="147">+O93+P92</f>
        <v>872778.14</v>
      </c>
      <c r="Q93" s="25">
        <f t="shared" ref="Q93" si="148">+P93+Q92</f>
        <v>1097088.54</v>
      </c>
      <c r="R93" s="25">
        <f t="shared" ref="R93" si="149">+Q93+R92</f>
        <v>1347156.34</v>
      </c>
      <c r="S93" s="25">
        <f t="shared" ref="S93" si="150">+R93+S92</f>
        <v>1579340.58</v>
      </c>
      <c r="T93" s="25">
        <f t="shared" ref="T93" si="151">+S93+T92</f>
        <v>1820004.34</v>
      </c>
      <c r="U93" s="25">
        <f t="shared" ref="U93" si="152">+T93+U92</f>
        <v>2100282.3000000003</v>
      </c>
      <c r="V93" s="25">
        <f t="shared" ref="V93" si="153">+U93+V92</f>
        <v>2319627.7660000003</v>
      </c>
      <c r="W93" s="25">
        <f t="shared" ref="W93" si="154">+V93+W92</f>
        <v>2592307.7260000003</v>
      </c>
      <c r="X93" s="25">
        <f t="shared" ref="X93" si="155">+W93+X92</f>
        <v>2842895.5260000001</v>
      </c>
      <c r="Y93" s="25">
        <f t="shared" ref="Y93" si="156">+X93+Y92</f>
        <v>2971244.6460000002</v>
      </c>
      <c r="Z93" s="25">
        <f t="shared" ref="Z93" si="157">+Y93+Z92</f>
        <v>3061181.2460000003</v>
      </c>
      <c r="AA93" s="25">
        <f t="shared" ref="AA93" si="158">+Z93+AA92</f>
        <v>3132419.7860000003</v>
      </c>
      <c r="AB93" s="25">
        <f t="shared" ref="AB93" si="159">+AA93+AB92</f>
        <v>3188810.8860000004</v>
      </c>
      <c r="AC93" s="25">
        <f t="shared" ref="AC93" si="160">+AB93+AC92</f>
        <v>3232395.9060000004</v>
      </c>
      <c r="AD93" s="25">
        <f t="shared" ref="AD93" si="161">+AC93+AD92</f>
        <v>3266907.1260000006</v>
      </c>
      <c r="AE93" s="25">
        <f t="shared" ref="AE93" si="162">+AD93+AE92</f>
        <v>3299181.6660000007</v>
      </c>
      <c r="AF93" s="25">
        <f t="shared" ref="AF93" si="163">+AE93+AF92</f>
        <v>3315042.1660000007</v>
      </c>
      <c r="AG93" s="25">
        <f t="shared" ref="AG93" si="164">+AF93+AG92</f>
        <v>3330530.3460000008</v>
      </c>
      <c r="AH93" s="25">
        <f t="shared" ref="AH93" si="165">+AG93+AH92</f>
        <v>3420933.1860000007</v>
      </c>
      <c r="AI93" s="25">
        <f t="shared" ref="AI93" si="166">+AH93+AI92</f>
        <v>3441271.9460000005</v>
      </c>
      <c r="AJ93" s="25">
        <f t="shared" ref="AJ93" si="167">+AI93+AJ92</f>
        <v>3462394.4660000005</v>
      </c>
      <c r="AK93" s="25">
        <f t="shared" ref="AK93" si="168">+AJ93+AK92</f>
        <v>3482717.4260000004</v>
      </c>
      <c r="AL93" s="25">
        <f t="shared" ref="AL93" si="169">+AK93+AL92</f>
        <v>3498436.7660000003</v>
      </c>
      <c r="AM93" s="25">
        <f t="shared" ref="AM93" si="170">+AL93+AM92</f>
        <v>3506832.4260000004</v>
      </c>
      <c r="AN93" s="25">
        <f t="shared" ref="AN93" si="171">+AM93+AN92</f>
        <v>3511251.2860000003</v>
      </c>
      <c r="AO93" s="25">
        <f t="shared" ref="AO93" si="172">+AN93+AO92</f>
        <v>3511251.2860000003</v>
      </c>
      <c r="AP93" s="25">
        <f t="shared" ref="AP93" si="173">+AO93+AP92</f>
        <v>3511251.2860000003</v>
      </c>
      <c r="AQ93" s="25">
        <f t="shared" ref="AQ93" si="174">+AP93+AQ92</f>
        <v>3511251.2860000003</v>
      </c>
      <c r="AR93" s="48"/>
      <c r="AS93" s="25"/>
      <c r="AT93" s="26"/>
      <c r="AU93" s="60"/>
    </row>
    <row r="94" spans="1:47" s="24" customFormat="1" x14ac:dyDescent="0.25">
      <c r="A94" s="23"/>
      <c r="B94" s="23"/>
      <c r="C94" s="27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48"/>
      <c r="AS94" s="25"/>
      <c r="AT94" s="26"/>
      <c r="AU94" s="60"/>
    </row>
    <row r="95" spans="1:47" x14ac:dyDescent="0.25">
      <c r="B95" s="2" t="s">
        <v>135</v>
      </c>
    </row>
    <row r="96" spans="1:47" x14ac:dyDescent="0.25">
      <c r="C96" t="s">
        <v>190</v>
      </c>
      <c r="D96" s="1">
        <f>+BD!D46</f>
        <v>0</v>
      </c>
      <c r="E96" s="1">
        <f>+BD!E46</f>
        <v>0</v>
      </c>
      <c r="F96" s="1">
        <f>+BD!F46</f>
        <v>0</v>
      </c>
      <c r="G96" s="1">
        <f>+BD!G46</f>
        <v>0</v>
      </c>
      <c r="H96" s="1">
        <f>+BD!H46</f>
        <v>0</v>
      </c>
      <c r="I96" s="1">
        <f>+BD!I46</f>
        <v>0</v>
      </c>
      <c r="J96" s="1">
        <f>+BD!J46</f>
        <v>0</v>
      </c>
      <c r="K96" s="1">
        <f>+BD!K46</f>
        <v>0</v>
      </c>
      <c r="L96" s="1">
        <f>+BD!L46</f>
        <v>-53.49</v>
      </c>
      <c r="M96" s="1">
        <f>+BD!M46</f>
        <v>-104.34</v>
      </c>
      <c r="N96" s="1">
        <f>+BD!N46</f>
        <v>0</v>
      </c>
      <c r="O96" s="1">
        <f>+BD!O46</f>
        <v>-74.73</v>
      </c>
      <c r="P96" s="1">
        <f>+BD!P46</f>
        <v>-39.480000000000004</v>
      </c>
      <c r="Q96" s="1">
        <f>+BD!Q46</f>
        <v>-162.15</v>
      </c>
      <c r="R96" s="1">
        <f>+BD!R46</f>
        <v>-36.660000000000004</v>
      </c>
      <c r="S96" s="1">
        <f>+BD!S46</f>
        <v>-122.97</v>
      </c>
      <c r="T96" s="1">
        <f>+BD!T46</f>
        <v>-59.220000000000006</v>
      </c>
      <c r="U96" s="1">
        <f>+BD!U46</f>
        <v>-29.61</v>
      </c>
      <c r="V96" s="1">
        <f>+BD!V46</f>
        <v>-8.4600000000000009</v>
      </c>
      <c r="W96" s="1">
        <f>+BD!W46</f>
        <v>-152.28</v>
      </c>
      <c r="X96" s="1">
        <f>+BD!X46</f>
        <v>-101.52000000000001</v>
      </c>
      <c r="Y96" s="1">
        <f>+BD!Y46</f>
        <v>-194.58</v>
      </c>
      <c r="Z96" s="1">
        <f>+BD!Z46</f>
        <v>-33.840000000000003</v>
      </c>
      <c r="AA96" s="1">
        <f>+BD!AA46</f>
        <v>-219.96</v>
      </c>
      <c r="AB96" s="1">
        <f>+BD!AB46</f>
        <v>-245.34</v>
      </c>
      <c r="AC96" s="1">
        <f>+BD!AC46</f>
        <v>-39.480000000000004</v>
      </c>
      <c r="AD96" s="1">
        <f>+BD!AD46</f>
        <v>-5.6400000000000006</v>
      </c>
      <c r="AE96" s="1">
        <f>+BD!AE46</f>
        <v>-101.52000000000001</v>
      </c>
      <c r="AF96" s="1">
        <f>+BD!AF46</f>
        <v>-8.4600000000000009</v>
      </c>
      <c r="AG96" s="1">
        <f>+BD!AG46</f>
        <v>-100.11000000000001</v>
      </c>
      <c r="AH96" s="1">
        <f>+BD!AH46</f>
        <v>-139.59</v>
      </c>
      <c r="AI96" s="1">
        <f>+BD!AI46</f>
        <v>-4.2300000000000004</v>
      </c>
      <c r="AJ96" s="1">
        <f>+BD!AJ46</f>
        <v>-46.53</v>
      </c>
      <c r="AK96" s="1">
        <f>+BD!AK46</f>
        <v>-16.920000000000002</v>
      </c>
      <c r="AL96" s="1">
        <f>+BD!AL46</f>
        <v>-35.840000000000003</v>
      </c>
      <c r="AM96" s="1">
        <f>+BD!AM46</f>
        <v>-67.680000000000007</v>
      </c>
      <c r="AN96" s="1">
        <f>+BD!AN46</f>
        <v>0</v>
      </c>
      <c r="AO96" s="1">
        <f>+BD!AO46</f>
        <v>0</v>
      </c>
      <c r="AP96" s="1">
        <f>+BD!AP46</f>
        <v>0</v>
      </c>
      <c r="AQ96" s="1">
        <f>+BD!AQ46</f>
        <v>0</v>
      </c>
      <c r="AR96" s="3">
        <f>SUM(D96:AQ96)</f>
        <v>-2204.63</v>
      </c>
    </row>
    <row r="97" spans="3:44" x14ac:dyDescent="0.25">
      <c r="C97" t="s">
        <v>424</v>
      </c>
      <c r="D97" s="1">
        <f>+Choice!D45</f>
        <v>0</v>
      </c>
      <c r="E97" s="1">
        <f>+Choice!E45</f>
        <v>0</v>
      </c>
      <c r="F97" s="1">
        <f>+Choice!F45</f>
        <v>0</v>
      </c>
      <c r="G97" s="1">
        <f>+Choice!G45</f>
        <v>0</v>
      </c>
      <c r="H97" s="1">
        <f>+Choice!H45</f>
        <v>0</v>
      </c>
      <c r="I97" s="1">
        <f>+Choice!I45</f>
        <v>0</v>
      </c>
      <c r="J97" s="1">
        <f>+Choice!J45</f>
        <v>0</v>
      </c>
      <c r="K97" s="1">
        <f>+Choice!K45</f>
        <v>0</v>
      </c>
      <c r="L97" s="1">
        <f>+Choice!L45</f>
        <v>0</v>
      </c>
      <c r="M97" s="1">
        <f>+Choice!M45</f>
        <v>0</v>
      </c>
      <c r="N97" s="1">
        <f>+Choice!N45</f>
        <v>0</v>
      </c>
      <c r="O97" s="1">
        <f>+Choice!O45</f>
        <v>0</v>
      </c>
      <c r="P97" s="1">
        <f>+Choice!P45</f>
        <v>-13.18</v>
      </c>
      <c r="Q97" s="1">
        <f>+Choice!Q45</f>
        <v>-9.3000000000000007</v>
      </c>
      <c r="R97" s="1">
        <f>+Choice!R45</f>
        <v>0</v>
      </c>
      <c r="S97" s="1">
        <f>+Choice!S45</f>
        <v>-467.46</v>
      </c>
      <c r="T97" s="1">
        <f>+Choice!T45</f>
        <v>-9.3000000000000007</v>
      </c>
      <c r="U97" s="1">
        <f>+Choice!U45</f>
        <v>-3.1</v>
      </c>
      <c r="V97" s="1">
        <f>+Choice!V45</f>
        <v>0</v>
      </c>
      <c r="W97" s="1">
        <f>+Choice!W45</f>
        <v>0</v>
      </c>
      <c r="X97" s="1">
        <f>+Choice!X45</f>
        <v>-37.200000000000003</v>
      </c>
      <c r="Y97" s="1">
        <f>+Choice!Y45</f>
        <v>-9.3000000000000007</v>
      </c>
      <c r="Z97" s="1">
        <f>+Choice!Z45</f>
        <v>-27.9</v>
      </c>
      <c r="AA97" s="1">
        <f>+Choice!AA45</f>
        <v>0</v>
      </c>
      <c r="AB97" s="1">
        <f>+Choice!AB45</f>
        <v>0</v>
      </c>
      <c r="AC97" s="1">
        <f>+Choice!AC45</f>
        <v>0</v>
      </c>
      <c r="AD97" s="1">
        <f>+Choice!AD45</f>
        <v>0</v>
      </c>
      <c r="AE97" s="1">
        <f>+Choice!AE45</f>
        <v>0</v>
      </c>
      <c r="AF97" s="1">
        <f>+Choice!AF45</f>
        <v>-18.600000000000001</v>
      </c>
      <c r="AG97" s="1">
        <f>+Choice!AG45</f>
        <v>0</v>
      </c>
      <c r="AH97" s="1">
        <f>+Choice!AH45</f>
        <v>0</v>
      </c>
      <c r="AI97" s="1">
        <f>+Choice!AI45</f>
        <v>0</v>
      </c>
      <c r="AJ97" s="1">
        <f>+Choice!AJ45</f>
        <v>0</v>
      </c>
      <c r="AK97" s="1">
        <f>+Choice!AK45</f>
        <v>0</v>
      </c>
      <c r="AL97" s="1">
        <f>+Choice!AL45</f>
        <v>0</v>
      </c>
      <c r="AM97" s="1">
        <f>+Choice!AM45</f>
        <v>0</v>
      </c>
      <c r="AN97" s="1">
        <f>+Choice!AN45</f>
        <v>-65.099999999999994</v>
      </c>
      <c r="AO97" s="1">
        <f>+Choice!AO45</f>
        <v>0</v>
      </c>
      <c r="AP97" s="1">
        <f>+Choice!AP45</f>
        <v>0</v>
      </c>
      <c r="AQ97" s="1">
        <f>+Choice!AQ45</f>
        <v>0</v>
      </c>
      <c r="AR97" s="3">
        <f>SUM(D97:AQ97)</f>
        <v>-660.44</v>
      </c>
    </row>
    <row r="98" spans="3:44" x14ac:dyDescent="0.25">
      <c r="C98" t="s">
        <v>347</v>
      </c>
      <c r="D98" s="1">
        <f>+Prosper!D17</f>
        <v>0</v>
      </c>
      <c r="E98" s="1">
        <f>+Prosper!E17</f>
        <v>0</v>
      </c>
      <c r="F98" s="1">
        <f>+Prosper!F17</f>
        <v>0</v>
      </c>
      <c r="G98" s="1">
        <f>+Prosper!G17</f>
        <v>0</v>
      </c>
      <c r="H98" s="1">
        <f>+Prosper!H17</f>
        <v>0</v>
      </c>
      <c r="I98" s="1">
        <f>+Prosper!I17</f>
        <v>0</v>
      </c>
      <c r="J98" s="1">
        <f>+Prosper!J17</f>
        <v>0</v>
      </c>
      <c r="K98" s="1">
        <f>+Prosper!K17</f>
        <v>0</v>
      </c>
      <c r="L98" s="1">
        <f>+Prosper!L17</f>
        <v>0</v>
      </c>
      <c r="M98" s="1">
        <f>+Prosper!M17</f>
        <v>-21.7</v>
      </c>
      <c r="N98" s="1">
        <f>+Prosper!N17</f>
        <v>0</v>
      </c>
      <c r="O98" s="1">
        <f>+Prosper!O17</f>
        <v>-18.600000000000001</v>
      </c>
      <c r="P98" s="1">
        <f>+Prosper!P17</f>
        <v>0</v>
      </c>
      <c r="Q98" s="1">
        <f>+Prosper!Q17</f>
        <v>-37.200000000000003</v>
      </c>
      <c r="R98" s="1">
        <f>+Prosper!R17</f>
        <v>0</v>
      </c>
      <c r="S98" s="1">
        <f>+Prosper!S17</f>
        <v>0</v>
      </c>
      <c r="T98" s="1">
        <f>+Prosper!T17</f>
        <v>0</v>
      </c>
      <c r="U98" s="1">
        <f>+Prosper!U17</f>
        <v>0</v>
      </c>
      <c r="V98" s="1">
        <f>+Prosper!V17</f>
        <v>-27.9</v>
      </c>
      <c r="W98" s="1">
        <f>+Prosper!W17</f>
        <v>0</v>
      </c>
      <c r="X98" s="1">
        <f>+Prosper!X17</f>
        <v>0</v>
      </c>
      <c r="Y98" s="1">
        <f>+Prosper!Y17</f>
        <v>-74.400000000000006</v>
      </c>
      <c r="Z98" s="1">
        <f>+Prosper!Z17</f>
        <v>0</v>
      </c>
      <c r="AA98" s="1">
        <f>+Prosper!AA17</f>
        <v>0</v>
      </c>
      <c r="AB98" s="1">
        <f>+Prosper!AB17</f>
        <v>0</v>
      </c>
      <c r="AC98" s="1">
        <f>+Prosper!AC17</f>
        <v>0</v>
      </c>
      <c r="AD98" s="1">
        <f>+Prosper!AD17</f>
        <v>0</v>
      </c>
      <c r="AE98" s="1">
        <f>+Prosper!AE17</f>
        <v>0</v>
      </c>
      <c r="AF98" s="1">
        <f>+Prosper!AF17</f>
        <v>0</v>
      </c>
      <c r="AG98" s="1">
        <f>+Prosper!AG17</f>
        <v>0</v>
      </c>
      <c r="AH98" s="1">
        <f>+Prosper!AH17</f>
        <v>0</v>
      </c>
      <c r="AI98" s="1">
        <f>+Prosper!AI17</f>
        <v>0</v>
      </c>
      <c r="AJ98" s="1">
        <f>+Prosper!AJ17</f>
        <v>0</v>
      </c>
      <c r="AK98" s="1">
        <f>+Prosper!AK17</f>
        <v>0</v>
      </c>
      <c r="AL98" s="1">
        <f>+Prosper!AL17</f>
        <v>0</v>
      </c>
      <c r="AM98" s="1">
        <f>+Prosper!AM17</f>
        <v>0</v>
      </c>
      <c r="AN98" s="1">
        <f>+Prosper!AN17</f>
        <v>0</v>
      </c>
      <c r="AO98" s="1">
        <f>+Prosper!AO17</f>
        <v>0</v>
      </c>
      <c r="AP98" s="1">
        <f>+Prosper!AP17</f>
        <v>0</v>
      </c>
      <c r="AQ98" s="1">
        <f>+Prosper!AQ17</f>
        <v>0</v>
      </c>
      <c r="AR98" s="3">
        <f>SUM(D98:AQ98)</f>
        <v>-179.8</v>
      </c>
    </row>
    <row r="99" spans="3:44" x14ac:dyDescent="0.25">
      <c r="C99" t="s">
        <v>0</v>
      </c>
      <c r="X99" s="1">
        <v>-3000</v>
      </c>
      <c r="AB99" s="1">
        <f>-28.62-1111.12</f>
        <v>-1139.7399999999998</v>
      </c>
      <c r="AC99" s="1">
        <v>-51.68</v>
      </c>
      <c r="AH99" s="1">
        <v>-8.16</v>
      </c>
      <c r="AR99" s="3">
        <f t="shared" ref="AR99:AR115" si="175">SUM(D99:AQ99)</f>
        <v>-4199.58</v>
      </c>
    </row>
    <row r="100" spans="3:44" x14ac:dyDescent="0.25">
      <c r="C100" t="s">
        <v>354</v>
      </c>
      <c r="D100" s="1">
        <f>+Grovewell!D17</f>
        <v>0</v>
      </c>
      <c r="E100" s="1">
        <f>+Grovewell!E17</f>
        <v>0</v>
      </c>
      <c r="F100" s="1">
        <f>+Grovewell!F17</f>
        <v>0</v>
      </c>
      <c r="G100" s="1">
        <f>+Grovewell!G17</f>
        <v>0</v>
      </c>
      <c r="H100" s="1">
        <f>+Grovewell!H17</f>
        <v>0</v>
      </c>
      <c r="I100" s="1">
        <f>+Grovewell!I17</f>
        <v>0</v>
      </c>
      <c r="J100" s="1">
        <f>+Grovewell!J17</f>
        <v>0</v>
      </c>
      <c r="K100" s="1">
        <f>+Grovewell!K17</f>
        <v>0</v>
      </c>
      <c r="L100" s="1">
        <f>+Grovewell!L17</f>
        <v>0</v>
      </c>
      <c r="M100" s="1">
        <f>+Grovewell!M17</f>
        <v>0</v>
      </c>
      <c r="N100" s="1">
        <f>+Grovewell!N17</f>
        <v>-9.3000000000000007</v>
      </c>
      <c r="O100" s="1">
        <f>+Grovewell!O17</f>
        <v>0</v>
      </c>
      <c r="P100" s="1">
        <f>+Grovewell!P17</f>
        <v>-11.64</v>
      </c>
      <c r="Q100" s="1">
        <f>+Grovewell!Q17</f>
        <v>-176.7</v>
      </c>
      <c r="R100" s="1">
        <f>+Grovewell!R17</f>
        <v>0</v>
      </c>
      <c r="S100" s="1">
        <f>+Grovewell!S17</f>
        <v>0</v>
      </c>
      <c r="T100" s="1">
        <f>+Grovewell!T17</f>
        <v>0</v>
      </c>
      <c r="U100" s="1">
        <f>+Grovewell!U17</f>
        <v>-9.3000000000000007</v>
      </c>
      <c r="V100" s="1">
        <f>+Grovewell!V17</f>
        <v>-3.1</v>
      </c>
      <c r="W100" s="1">
        <f>+Grovewell!W17</f>
        <v>0</v>
      </c>
      <c r="X100" s="1">
        <f>+Grovewell!X17</f>
        <v>0</v>
      </c>
      <c r="Y100" s="1">
        <f>+Grovewell!Y17</f>
        <v>-27.9</v>
      </c>
      <c r="Z100" s="1">
        <f>+Grovewell!Z17</f>
        <v>-9.3000000000000007</v>
      </c>
      <c r="AA100" s="1">
        <f>+Grovewell!AA17</f>
        <v>0</v>
      </c>
      <c r="AB100" s="1">
        <f>+Grovewell!AB17</f>
        <v>0</v>
      </c>
      <c r="AC100" s="1">
        <f>+Grovewell!AC17</f>
        <v>0</v>
      </c>
      <c r="AD100" s="1">
        <f>+Grovewell!AD17</f>
        <v>0</v>
      </c>
      <c r="AE100" s="1">
        <f>+Grovewell!AE17</f>
        <v>0</v>
      </c>
      <c r="AF100" s="1">
        <f>+Grovewell!AF17</f>
        <v>0</v>
      </c>
      <c r="AG100" s="1">
        <f>+Grovewell!AG17</f>
        <v>0</v>
      </c>
      <c r="AH100" s="1">
        <f>+Grovewell!AH17</f>
        <v>0</v>
      </c>
      <c r="AI100" s="1">
        <f>+Grovewell!AI17</f>
        <v>0</v>
      </c>
      <c r="AJ100" s="1">
        <f>+Grovewell!AJ17</f>
        <v>0</v>
      </c>
      <c r="AK100" s="1">
        <f>+Grovewell!AK17</f>
        <v>0</v>
      </c>
      <c r="AL100" s="1">
        <f>+Grovewell!AL17</f>
        <v>0</v>
      </c>
      <c r="AM100" s="1">
        <f>+Grovewell!AM17</f>
        <v>0</v>
      </c>
      <c r="AN100" s="1">
        <f>+Grovewell!AN17</f>
        <v>0</v>
      </c>
      <c r="AO100" s="1">
        <f>+Grovewell!AO17</f>
        <v>0</v>
      </c>
      <c r="AP100" s="1">
        <f>+Grovewell!AP17</f>
        <v>0</v>
      </c>
      <c r="AQ100" s="1">
        <f>+Grovewell!AQ17</f>
        <v>0</v>
      </c>
      <c r="AR100" s="3">
        <f t="shared" si="175"/>
        <v>-247.24</v>
      </c>
    </row>
    <row r="101" spans="3:44" x14ac:dyDescent="0.25">
      <c r="C101" t="s">
        <v>265</v>
      </c>
      <c r="N101" s="1">
        <v>-52.92</v>
      </c>
      <c r="O101" s="1">
        <v>-8.82</v>
      </c>
      <c r="V101" s="1">
        <v>-149.94</v>
      </c>
      <c r="W101" s="1">
        <v>-8.82</v>
      </c>
      <c r="Y101" s="1">
        <v>-70.56</v>
      </c>
      <c r="Z101" s="1">
        <v>-740.88</v>
      </c>
      <c r="AA101" s="1">
        <v>-61.74</v>
      </c>
      <c r="AB101" s="1">
        <v>-26.46</v>
      </c>
      <c r="AI101" s="1">
        <v>-17.64</v>
      </c>
      <c r="AL101" s="1">
        <v>-8.82</v>
      </c>
      <c r="AR101" s="3">
        <f t="shared" si="175"/>
        <v>-1146.6000000000001</v>
      </c>
    </row>
    <row r="102" spans="3:44" x14ac:dyDescent="0.25">
      <c r="C102" t="s">
        <v>191</v>
      </c>
      <c r="O102" s="1">
        <v>-3.88</v>
      </c>
      <c r="Q102" s="1">
        <v>-58.9</v>
      </c>
      <c r="R102" s="1">
        <v>-9.3000000000000007</v>
      </c>
      <c r="S102" s="1">
        <f>-213.9-81.48</f>
        <v>-295.38</v>
      </c>
      <c r="T102" s="1">
        <v>-1.55</v>
      </c>
      <c r="U102" s="1">
        <v>-27.9</v>
      </c>
      <c r="Y102" s="1">
        <v>-139.5</v>
      </c>
      <c r="Z102" s="1">
        <v>-390.6</v>
      </c>
      <c r="AA102" s="1">
        <v>-279</v>
      </c>
      <c r="AB102" s="1">
        <v>-187.55</v>
      </c>
      <c r="AC102" s="1">
        <v>-167.4</v>
      </c>
      <c r="AD102" s="1">
        <v>-27.9</v>
      </c>
      <c r="AE102" s="1">
        <f>-45.56-288.3-174.6</f>
        <v>-508.46000000000004</v>
      </c>
      <c r="AI102" s="1">
        <v>-111.6</v>
      </c>
      <c r="AN102" s="1">
        <v>-37.25</v>
      </c>
      <c r="AO102" s="1">
        <v>-93</v>
      </c>
      <c r="AR102" s="3">
        <f t="shared" si="175"/>
        <v>-2339.17</v>
      </c>
    </row>
    <row r="103" spans="3:44" x14ac:dyDescent="0.25">
      <c r="C103" t="s">
        <v>549</v>
      </c>
      <c r="AR103" s="3">
        <f t="shared" si="175"/>
        <v>0</v>
      </c>
    </row>
    <row r="104" spans="3:44" x14ac:dyDescent="0.25">
      <c r="C104" t="s">
        <v>550</v>
      </c>
      <c r="D104" s="1">
        <f>+BGC!D65</f>
        <v>0</v>
      </c>
      <c r="E104" s="1">
        <f>+BGC!E65</f>
        <v>0</v>
      </c>
      <c r="F104" s="1">
        <f>+BGC!F65</f>
        <v>0</v>
      </c>
      <c r="G104" s="1">
        <f>+BGC!G65</f>
        <v>0</v>
      </c>
      <c r="H104" s="1">
        <f>+BGC!H65</f>
        <v>0</v>
      </c>
      <c r="I104" s="1">
        <f>+BGC!I65</f>
        <v>0</v>
      </c>
      <c r="J104" s="1">
        <f>+BGC!J65</f>
        <v>0</v>
      </c>
      <c r="K104" s="1">
        <f>+BGC!K65</f>
        <v>0</v>
      </c>
      <c r="L104" s="1">
        <f>+BGC!L65</f>
        <v>0</v>
      </c>
      <c r="M104" s="1">
        <f>+BGC!M65</f>
        <v>0</v>
      </c>
      <c r="N104" s="1">
        <f>+BGC!N65</f>
        <v>-18.600000000000001</v>
      </c>
      <c r="O104" s="1">
        <f>+BGC!O65</f>
        <v>0</v>
      </c>
      <c r="P104" s="1">
        <f>+BGC!P65</f>
        <v>0</v>
      </c>
      <c r="Q104" s="1">
        <f>+BGC!Q65</f>
        <v>0</v>
      </c>
      <c r="R104" s="1">
        <f>+BGC!R65</f>
        <v>0</v>
      </c>
      <c r="S104" s="1">
        <f>+BGC!S65</f>
        <v>-13.58</v>
      </c>
      <c r="T104" s="1">
        <f>+BGC!T65</f>
        <v>0</v>
      </c>
      <c r="U104" s="1">
        <f>+BGC!U65</f>
        <v>0</v>
      </c>
      <c r="V104" s="1">
        <f>+BGC!V65</f>
        <v>0</v>
      </c>
      <c r="W104" s="1">
        <f>+BGC!W65</f>
        <v>-27.9</v>
      </c>
      <c r="X104" s="1">
        <f>+BGC!X65</f>
        <v>0</v>
      </c>
      <c r="Y104" s="1">
        <f>+BGC!Y65</f>
        <v>0</v>
      </c>
      <c r="Z104" s="1">
        <f>+BGC!Z65</f>
        <v>0</v>
      </c>
      <c r="AA104" s="1">
        <f>+BGC!AA65</f>
        <v>0</v>
      </c>
      <c r="AB104" s="1">
        <f>+BGC!AB65</f>
        <v>0</v>
      </c>
      <c r="AC104" s="1">
        <f>+BGC!AC65</f>
        <v>-9.3000000000000007</v>
      </c>
      <c r="AD104" s="1">
        <f>+BGC!AD65</f>
        <v>-27.9</v>
      </c>
      <c r="AE104" s="1">
        <f>+BGC!AE65</f>
        <v>-130.19999999999999</v>
      </c>
      <c r="AF104" s="1">
        <f>+BGC!AF65</f>
        <v>-9.3000000000000007</v>
      </c>
      <c r="AG104" s="1">
        <f>+BGC!AG65</f>
        <v>0</v>
      </c>
      <c r="AH104" s="1">
        <f>+BGC!AH65</f>
        <v>-9.3000000000000007</v>
      </c>
      <c r="AI104" s="1">
        <f>+BGC!AI65</f>
        <v>0</v>
      </c>
      <c r="AJ104" s="1">
        <f>+BGC!AJ65</f>
        <v>0</v>
      </c>
      <c r="AK104" s="1">
        <f>+BGC!AK65</f>
        <v>0</v>
      </c>
      <c r="AL104" s="1">
        <f>+BGC!AL65</f>
        <v>0</v>
      </c>
      <c r="AM104" s="1">
        <f>+BGC!AM65</f>
        <v>-83.7</v>
      </c>
      <c r="AN104" s="1">
        <f>+BGC!AN65</f>
        <v>-65.099999999999994</v>
      </c>
      <c r="AO104" s="1">
        <f>+BGC!AO65</f>
        <v>-83.7</v>
      </c>
      <c r="AP104" s="1">
        <f>+BGC!AP65</f>
        <v>0</v>
      </c>
      <c r="AQ104" s="1">
        <f>+BGC!AQ65</f>
        <v>0</v>
      </c>
      <c r="AR104" s="3">
        <f t="shared" si="175"/>
        <v>-478.58</v>
      </c>
    </row>
    <row r="105" spans="3:44" x14ac:dyDescent="0.25">
      <c r="C105" t="s">
        <v>6</v>
      </c>
      <c r="P105" s="117">
        <v>-400</v>
      </c>
      <c r="Q105" s="117">
        <v>-100</v>
      </c>
      <c r="Z105" s="1">
        <v>-558.6</v>
      </c>
      <c r="AF105" s="1">
        <v>-58.8</v>
      </c>
      <c r="AR105" s="3">
        <f t="shared" ref="AR105:AR113" si="176">SUM(D105:AQ105)</f>
        <v>-1117.3999999999999</v>
      </c>
    </row>
    <row r="106" spans="3:44" x14ac:dyDescent="0.25">
      <c r="C106" t="s">
        <v>262</v>
      </c>
      <c r="P106" s="1">
        <v>-80.599999999999994</v>
      </c>
      <c r="S106" s="1">
        <v>-4.6500000000000004</v>
      </c>
      <c r="T106" s="1">
        <v>-1.55</v>
      </c>
      <c r="V106" s="1">
        <v>-37.200000000000003</v>
      </c>
      <c r="AA106" s="1">
        <v>-46.5</v>
      </c>
      <c r="AC106" s="1">
        <v>-37.200000000000003</v>
      </c>
      <c r="AF106" s="1">
        <v>-18.600000000000001</v>
      </c>
      <c r="AN106" s="1">
        <v>-32.46</v>
      </c>
      <c r="AR106" s="3">
        <f t="shared" si="176"/>
        <v>-258.76</v>
      </c>
    </row>
    <row r="107" spans="3:44" x14ac:dyDescent="0.25">
      <c r="C107" t="s">
        <v>42</v>
      </c>
      <c r="O107" s="1">
        <v>-5.64</v>
      </c>
      <c r="Q107" s="1">
        <v>-8.4600000000000009</v>
      </c>
      <c r="T107" s="1">
        <v>-16.920000000000002</v>
      </c>
      <c r="U107" s="1">
        <v>-25.38</v>
      </c>
      <c r="X107" s="1">
        <v>-25.38</v>
      </c>
      <c r="Y107" s="1">
        <v>-84.6</v>
      </c>
      <c r="AA107" s="1">
        <v>-8.4600000000000009</v>
      </c>
      <c r="AE107" s="1">
        <v>-33.840000000000003</v>
      </c>
      <c r="AF107" s="1">
        <v>-84.6</v>
      </c>
      <c r="AO107" s="1">
        <v>-33.840000000000003</v>
      </c>
      <c r="AR107" s="3">
        <f t="shared" si="176"/>
        <v>-327.12</v>
      </c>
    </row>
    <row r="108" spans="3:44" x14ac:dyDescent="0.25">
      <c r="C108" t="s">
        <v>192</v>
      </c>
      <c r="Q108" s="1">
        <v>-26.46</v>
      </c>
      <c r="S108" s="1">
        <v>-54.39</v>
      </c>
      <c r="T108" s="1">
        <v>-35.28</v>
      </c>
      <c r="U108" s="1">
        <v>-33.119999999999997</v>
      </c>
      <c r="W108" s="1">
        <v>-8.82</v>
      </c>
      <c r="X108" s="1">
        <f>-132.48-185.22</f>
        <v>-317.7</v>
      </c>
      <c r="Y108" s="1">
        <v>-158.76</v>
      </c>
      <c r="AA108" s="1">
        <v>-132.30000000000001</v>
      </c>
      <c r="AB108" s="1">
        <v>-61.74</v>
      </c>
      <c r="AF108" s="1">
        <v>-44.1</v>
      </c>
      <c r="AI108" s="1">
        <v>-80.849999999999994</v>
      </c>
      <c r="AK108" s="1">
        <v>-26.46</v>
      </c>
      <c r="AR108" s="3">
        <f t="shared" si="176"/>
        <v>-979.98</v>
      </c>
    </row>
    <row r="109" spans="3:44" x14ac:dyDescent="0.25">
      <c r="C109" t="s">
        <v>133</v>
      </c>
      <c r="O109" s="1">
        <v>-65.099999999999994</v>
      </c>
      <c r="Q109" s="1">
        <v>-93</v>
      </c>
      <c r="U109" s="1">
        <v>-18.600000000000001</v>
      </c>
      <c r="V109" s="1">
        <v>-9.3000000000000007</v>
      </c>
      <c r="W109" s="1">
        <v>-46.5</v>
      </c>
      <c r="X109" s="1">
        <v>-65.099999999999994</v>
      </c>
      <c r="Y109" s="1">
        <v>-55.8</v>
      </c>
      <c r="AA109" s="1">
        <v>-37.200000000000003</v>
      </c>
      <c r="AB109" s="1">
        <v>-18.600000000000001</v>
      </c>
      <c r="AC109" s="1">
        <v>-9.3000000000000007</v>
      </c>
      <c r="AE109" s="1">
        <v>-37.200000000000003</v>
      </c>
      <c r="AF109" s="1">
        <v>-18.600000000000001</v>
      </c>
      <c r="AH109" s="1">
        <v>-15.5</v>
      </c>
      <c r="AJ109" s="1">
        <v>-130.19999999999999</v>
      </c>
      <c r="AN109" s="1">
        <v>-27.9</v>
      </c>
      <c r="AR109" s="3">
        <f t="shared" si="176"/>
        <v>-647.9</v>
      </c>
    </row>
    <row r="110" spans="3:44" x14ac:dyDescent="0.25">
      <c r="C110" t="s">
        <v>41</v>
      </c>
      <c r="D110" s="1">
        <f>+Till!D24</f>
        <v>0</v>
      </c>
      <c r="E110" s="1">
        <f>+Till!E24</f>
        <v>0</v>
      </c>
      <c r="F110" s="1">
        <f>+Till!F24</f>
        <v>0</v>
      </c>
      <c r="G110" s="1">
        <f>+Till!G24</f>
        <v>0</v>
      </c>
      <c r="H110" s="1">
        <f>+Till!H24</f>
        <v>0</v>
      </c>
      <c r="I110" s="1">
        <f>+Till!I24</f>
        <v>0</v>
      </c>
      <c r="J110" s="1">
        <f>+Till!J24</f>
        <v>0</v>
      </c>
      <c r="K110" s="1">
        <f>+Till!K24</f>
        <v>0</v>
      </c>
      <c r="L110" s="1">
        <f>+Till!L24</f>
        <v>0</v>
      </c>
      <c r="M110" s="1">
        <f>+Till!M24</f>
        <v>-34.92</v>
      </c>
      <c r="N110" s="1">
        <f>+Till!N24</f>
        <v>0</v>
      </c>
      <c r="O110" s="1">
        <f>+Till!O24</f>
        <v>0</v>
      </c>
      <c r="P110" s="1">
        <f>+Till!P24</f>
        <v>0</v>
      </c>
      <c r="Q110" s="1">
        <f>+Till!Q24</f>
        <v>-18.600000000000001</v>
      </c>
      <c r="R110" s="1">
        <f>+Till!R24</f>
        <v>0</v>
      </c>
      <c r="S110" s="1">
        <f>+Till!S24</f>
        <v>-46.5</v>
      </c>
      <c r="T110" s="1">
        <f>+Till!T24</f>
        <v>0</v>
      </c>
      <c r="U110" s="1">
        <f>+Till!U24</f>
        <v>-195.3</v>
      </c>
      <c r="V110" s="1">
        <f>+Till!V24</f>
        <v>0</v>
      </c>
      <c r="W110" s="1">
        <f>+Till!W24</f>
        <v>-9.3000000000000007</v>
      </c>
      <c r="X110" s="1">
        <f>+Till!X24</f>
        <v>-27.900000000000002</v>
      </c>
      <c r="Y110" s="1">
        <f>+Till!Y24</f>
        <v>-93</v>
      </c>
      <c r="Z110" s="1">
        <f>+Till!Z24</f>
        <v>-506.26000000000005</v>
      </c>
      <c r="AA110" s="1">
        <f>+Till!AA24</f>
        <v>0</v>
      </c>
      <c r="AB110" s="1">
        <f>+Till!AB24</f>
        <v>-37.200000000000003</v>
      </c>
      <c r="AC110" s="1">
        <f>+Till!AC24</f>
        <v>0</v>
      </c>
      <c r="AD110" s="1">
        <f>+Till!AD24</f>
        <v>-65.099999999999994</v>
      </c>
      <c r="AE110" s="1">
        <f>+Till!AE24</f>
        <v>-186.00000000000006</v>
      </c>
      <c r="AF110" s="1">
        <f>+Till!AF24</f>
        <v>-93</v>
      </c>
      <c r="AG110" s="1">
        <f>+Till!AG24</f>
        <v>-83.699999999999989</v>
      </c>
      <c r="AH110" s="1">
        <f>+Till!AH24</f>
        <v>-27.9</v>
      </c>
      <c r="AI110" s="1">
        <f>+Till!AI24</f>
        <v>-85.25</v>
      </c>
      <c r="AJ110" s="1">
        <f>+Till!AJ24</f>
        <v>-27.9</v>
      </c>
      <c r="AK110" s="1">
        <f>+Till!AK24</f>
        <v>0</v>
      </c>
      <c r="AL110" s="1">
        <f>+Till!AL24</f>
        <v>-111.6</v>
      </c>
      <c r="AM110" s="1">
        <f>+Till!AM24</f>
        <v>-15.5</v>
      </c>
      <c r="AN110" s="1">
        <f>+Till!AN24</f>
        <v>-102.29999999999998</v>
      </c>
      <c r="AO110" s="1">
        <f>+Till!AO24</f>
        <v>-55.800000000000004</v>
      </c>
      <c r="AP110" s="1">
        <f>+Till!AP24</f>
        <v>0</v>
      </c>
      <c r="AQ110" s="1">
        <f>+Till!AQ24</f>
        <v>0</v>
      </c>
      <c r="AR110" s="3">
        <f t="shared" si="176"/>
        <v>-1823.0300000000002</v>
      </c>
    </row>
    <row r="111" spans="3:44" x14ac:dyDescent="0.25">
      <c r="C111" t="s">
        <v>193</v>
      </c>
      <c r="AR111" s="3">
        <f t="shared" si="176"/>
        <v>0</v>
      </c>
    </row>
    <row r="112" spans="3:44" x14ac:dyDescent="0.25">
      <c r="C112" t="s">
        <v>297</v>
      </c>
      <c r="AR112" s="3">
        <f t="shared" si="176"/>
        <v>0</v>
      </c>
    </row>
    <row r="113" spans="1:47" x14ac:dyDescent="0.25">
      <c r="C113" t="s">
        <v>296</v>
      </c>
      <c r="D113" s="1">
        <f>+GW!D17</f>
        <v>0</v>
      </c>
      <c r="E113" s="1">
        <f>+GW!E17</f>
        <v>0</v>
      </c>
      <c r="F113" s="1">
        <f>+GW!F17</f>
        <v>0</v>
      </c>
      <c r="G113" s="1">
        <f>+GW!G17</f>
        <v>0</v>
      </c>
      <c r="H113" s="1">
        <f>+GW!H17</f>
        <v>0</v>
      </c>
      <c r="I113" s="1">
        <f>+GW!I17</f>
        <v>0</v>
      </c>
      <c r="J113" s="1">
        <f>+GW!J17</f>
        <v>0</v>
      </c>
      <c r="K113" s="1">
        <f>+GW!K17</f>
        <v>0</v>
      </c>
      <c r="L113" s="1">
        <f>+GW!L17</f>
        <v>0</v>
      </c>
      <c r="M113" s="1">
        <f>+GW!M17</f>
        <v>0</v>
      </c>
      <c r="N113" s="1">
        <f>+GW!N17</f>
        <v>0</v>
      </c>
      <c r="O113" s="1">
        <f>+GW!O17</f>
        <v>0</v>
      </c>
      <c r="P113" s="1">
        <f>+GW!P17</f>
        <v>0</v>
      </c>
      <c r="Q113" s="1">
        <f>+GW!Q17</f>
        <v>0</v>
      </c>
      <c r="R113" s="1">
        <f>+GW!R17</f>
        <v>0</v>
      </c>
      <c r="S113" s="1">
        <f>+GW!S17</f>
        <v>0</v>
      </c>
      <c r="T113" s="1">
        <f>+GW!T17</f>
        <v>0</v>
      </c>
      <c r="U113" s="1">
        <f>+GW!U17</f>
        <v>0</v>
      </c>
      <c r="V113" s="1">
        <f>+GW!V17</f>
        <v>0</v>
      </c>
      <c r="W113" s="1">
        <f>+GW!W17</f>
        <v>0</v>
      </c>
      <c r="X113" s="1">
        <f>+GW!X17</f>
        <v>-27.9</v>
      </c>
      <c r="Y113" s="1">
        <f>+GW!Y17</f>
        <v>-55.8</v>
      </c>
      <c r="Z113" s="1">
        <f>+GW!Z17</f>
        <v>0</v>
      </c>
      <c r="AA113" s="1">
        <f>+GW!AA17</f>
        <v>0</v>
      </c>
      <c r="AB113" s="1">
        <f>+GW!AB17</f>
        <v>-18.600000000000001</v>
      </c>
      <c r="AC113" s="1">
        <f>+GW!AC17</f>
        <v>-46.5</v>
      </c>
      <c r="AD113" s="1">
        <f>+GW!AD17</f>
        <v>0</v>
      </c>
      <c r="AE113" s="1">
        <f>+GW!AE17</f>
        <v>-74.400000000000006</v>
      </c>
      <c r="AF113" s="1">
        <f>+GW!AF17</f>
        <v>-9.3000000000000007</v>
      </c>
      <c r="AG113" s="1">
        <f>+GW!AG17</f>
        <v>0</v>
      </c>
      <c r="AH113" s="1">
        <f>+GW!AH17</f>
        <v>0</v>
      </c>
      <c r="AI113" s="1">
        <f>+GW!AI17</f>
        <v>0</v>
      </c>
      <c r="AJ113" s="1">
        <f>+GW!AJ17</f>
        <v>0</v>
      </c>
      <c r="AK113" s="1">
        <f>+GW!AK17</f>
        <v>0</v>
      </c>
      <c r="AL113" s="1">
        <f>+GW!AL17</f>
        <v>0</v>
      </c>
      <c r="AM113" s="1">
        <f>+GW!AM17</f>
        <v>0</v>
      </c>
      <c r="AN113" s="1">
        <f>+GW!AN17</f>
        <v>-18.600000000000001</v>
      </c>
      <c r="AO113" s="1">
        <f>+GW!AO17</f>
        <v>0</v>
      </c>
      <c r="AP113" s="1">
        <f>+GW!AP17</f>
        <v>0</v>
      </c>
      <c r="AQ113" s="1">
        <f>+GW!AQ17</f>
        <v>0</v>
      </c>
      <c r="AR113" s="3">
        <f t="shared" si="176"/>
        <v>-251.1</v>
      </c>
    </row>
    <row r="114" spans="1:47" x14ac:dyDescent="0.25">
      <c r="C114" t="s">
        <v>44</v>
      </c>
      <c r="L114" s="1">
        <v>0</v>
      </c>
      <c r="M114" s="1">
        <f>-216.76+161</f>
        <v>-55.759999999999991</v>
      </c>
      <c r="N114" s="1">
        <f>-304.02+81</f>
        <v>-223.01999999999998</v>
      </c>
      <c r="O114" s="1">
        <f>-553.42+177</f>
        <v>-376.41999999999996</v>
      </c>
      <c r="P114" s="1">
        <f>-296.8+145</f>
        <v>-151.80000000000001</v>
      </c>
      <c r="Q114" s="1">
        <f>-1560.43+591</f>
        <v>-969.43000000000006</v>
      </c>
      <c r="R114" s="1">
        <f>45.96-46</f>
        <v>-3.9999999999999147E-2</v>
      </c>
      <c r="S114" s="1">
        <f>-1710.18+1005</f>
        <v>-705.18000000000006</v>
      </c>
      <c r="T114" s="1">
        <f>-949.07+124</f>
        <v>-825.07</v>
      </c>
      <c r="U114" s="1">
        <f>-1091.81+342</f>
        <v>-749.81</v>
      </c>
      <c r="V114" s="1">
        <f>-375.4+236</f>
        <v>-139.39999999999998</v>
      </c>
      <c r="W114" s="1">
        <f>-1780.88+254</f>
        <v>-1526.88</v>
      </c>
      <c r="X114" s="1">
        <f>-1498.66+603</f>
        <v>-895.66000000000008</v>
      </c>
      <c r="Y114" s="1">
        <f>-2868.51+964</f>
        <v>-1904.5100000000002</v>
      </c>
      <c r="Z114" s="1">
        <f>-2690.62+2267</f>
        <v>-423.61999999999989</v>
      </c>
      <c r="AA114" s="1">
        <f>-1065.71+785</f>
        <v>-280.71000000000004</v>
      </c>
      <c r="AB114" s="1">
        <f>-1969.15+1735</f>
        <v>-234.15000000000009</v>
      </c>
      <c r="AC114" s="1">
        <f>-397.22+361</f>
        <v>-36.220000000000027</v>
      </c>
      <c r="AD114" s="1">
        <f>-145.14+127</f>
        <v>-18.139999999999986</v>
      </c>
      <c r="AE114" s="1">
        <f>-1615.12+1072</f>
        <v>-543.11999999999989</v>
      </c>
      <c r="AF114" s="1">
        <f>-400.56+363</f>
        <v>-37.56</v>
      </c>
      <c r="AG114" s="1">
        <f>-221.01+184</f>
        <v>-37.009999999999991</v>
      </c>
      <c r="AH114" s="1">
        <f>-200.45+200</f>
        <v>-0.44999999999998863</v>
      </c>
      <c r="AI114" s="1">
        <f>-346.07+300</f>
        <v>-46.069999999999993</v>
      </c>
      <c r="AJ114" s="1">
        <f>-469.59+205</f>
        <v>-264.58999999999997</v>
      </c>
      <c r="AK114" s="1">
        <f>-72.83+43</f>
        <v>-29.83</v>
      </c>
      <c r="AL114" s="1">
        <f>-172.02+156</f>
        <v>-16.02000000000001</v>
      </c>
      <c r="AM114" s="1">
        <f>-231.98+167</f>
        <v>-64.97999999999999</v>
      </c>
      <c r="AN114" s="1">
        <f>-453.54+349</f>
        <v>-104.54000000000002</v>
      </c>
      <c r="AO114" s="1">
        <f>-340.74+266</f>
        <v>-74.740000000000009</v>
      </c>
      <c r="AP114" s="1">
        <v>0</v>
      </c>
      <c r="AQ114" s="1">
        <v>0</v>
      </c>
      <c r="AR114" s="3">
        <f t="shared" si="175"/>
        <v>-10734.729999999996</v>
      </c>
    </row>
    <row r="115" spans="1:47" x14ac:dyDescent="0.25">
      <c r="C115" t="s">
        <v>104</v>
      </c>
      <c r="AR115" s="3">
        <f t="shared" si="175"/>
        <v>0</v>
      </c>
    </row>
    <row r="116" spans="1:47" s="2" customFormat="1" x14ac:dyDescent="0.25">
      <c r="B116" s="2" t="s">
        <v>136</v>
      </c>
      <c r="D116" s="3">
        <f>SUM(D96:D115)</f>
        <v>0</v>
      </c>
      <c r="E116" s="3">
        <f t="shared" ref="E116:J116" si="177">SUM(E96:E115)</f>
        <v>0</v>
      </c>
      <c r="F116" s="3">
        <f t="shared" si="177"/>
        <v>0</v>
      </c>
      <c r="G116" s="3">
        <f t="shared" si="177"/>
        <v>0</v>
      </c>
      <c r="H116" s="3">
        <f t="shared" si="177"/>
        <v>0</v>
      </c>
      <c r="I116" s="3">
        <f t="shared" si="177"/>
        <v>0</v>
      </c>
      <c r="J116" s="3">
        <f t="shared" si="177"/>
        <v>0</v>
      </c>
      <c r="K116" s="3">
        <f>SUM(K96:K115)</f>
        <v>0</v>
      </c>
      <c r="L116" s="3">
        <f>SUM(L96:L115)</f>
        <v>-53.49</v>
      </c>
      <c r="M116" s="3">
        <f>SUM(M96:M115)</f>
        <v>-216.72</v>
      </c>
      <c r="N116" s="3">
        <f t="shared" ref="N116:AQ116" si="178">SUM(N96:N115)</f>
        <v>-303.83999999999997</v>
      </c>
      <c r="O116" s="3">
        <f t="shared" si="178"/>
        <v>-553.18999999999994</v>
      </c>
      <c r="P116" s="3">
        <f t="shared" si="178"/>
        <v>-696.7</v>
      </c>
      <c r="Q116" s="3">
        <f t="shared" si="178"/>
        <v>-1660.2000000000003</v>
      </c>
      <c r="R116" s="3">
        <f t="shared" si="178"/>
        <v>-46.000000000000007</v>
      </c>
      <c r="S116" s="3">
        <f t="shared" si="178"/>
        <v>-1710.1100000000001</v>
      </c>
      <c r="T116" s="3">
        <f t="shared" si="178"/>
        <v>-948.8900000000001</v>
      </c>
      <c r="U116" s="3">
        <f t="shared" si="178"/>
        <v>-1092.1199999999999</v>
      </c>
      <c r="V116" s="3">
        <f t="shared" si="178"/>
        <v>-375.3</v>
      </c>
      <c r="W116" s="3">
        <f t="shared" si="178"/>
        <v>-1780.5</v>
      </c>
      <c r="X116" s="3">
        <f t="shared" si="178"/>
        <v>-4498.3600000000006</v>
      </c>
      <c r="Y116" s="3">
        <f t="shared" si="178"/>
        <v>-2868.71</v>
      </c>
      <c r="Z116" s="3">
        <f t="shared" si="178"/>
        <v>-2691</v>
      </c>
      <c r="AA116" s="3">
        <f t="shared" si="178"/>
        <v>-1065.8700000000001</v>
      </c>
      <c r="AB116" s="3">
        <f t="shared" si="178"/>
        <v>-1969.3799999999997</v>
      </c>
      <c r="AC116" s="3">
        <f t="shared" si="178"/>
        <v>-397.08000000000004</v>
      </c>
      <c r="AD116" s="3">
        <f t="shared" si="178"/>
        <v>-144.67999999999998</v>
      </c>
      <c r="AE116" s="3">
        <f t="shared" si="178"/>
        <v>-1614.7400000000002</v>
      </c>
      <c r="AF116" s="3">
        <f t="shared" si="178"/>
        <v>-400.92</v>
      </c>
      <c r="AG116" s="3">
        <f t="shared" si="178"/>
        <v>-220.82</v>
      </c>
      <c r="AH116" s="3">
        <f t="shared" si="178"/>
        <v>-200.9</v>
      </c>
      <c r="AI116" s="3">
        <f t="shared" si="178"/>
        <v>-345.64</v>
      </c>
      <c r="AJ116" s="3">
        <f t="shared" si="178"/>
        <v>-469.21999999999997</v>
      </c>
      <c r="AK116" s="3">
        <f t="shared" si="178"/>
        <v>-73.210000000000008</v>
      </c>
      <c r="AL116" s="3">
        <f t="shared" si="178"/>
        <v>-172.28</v>
      </c>
      <c r="AM116" s="3">
        <f t="shared" si="178"/>
        <v>-231.85999999999999</v>
      </c>
      <c r="AN116" s="3">
        <f t="shared" si="178"/>
        <v>-453.25000000000006</v>
      </c>
      <c r="AO116" s="3">
        <f t="shared" si="178"/>
        <v>-341.08</v>
      </c>
      <c r="AP116" s="3">
        <f t="shared" si="178"/>
        <v>0</v>
      </c>
      <c r="AQ116" s="3">
        <f t="shared" si="178"/>
        <v>0</v>
      </c>
      <c r="AR116" s="3">
        <f>SUM(AR96:AR115)</f>
        <v>-27596.059999999994</v>
      </c>
      <c r="AS116" s="3"/>
      <c r="AT116" s="8"/>
      <c r="AU116" s="61"/>
    </row>
    <row r="117" spans="1:47" s="24" customFormat="1" x14ac:dyDescent="0.25">
      <c r="A117" s="23"/>
      <c r="B117" s="23"/>
      <c r="C117" s="27" t="s">
        <v>102</v>
      </c>
      <c r="D117" s="25">
        <f>+D116</f>
        <v>0</v>
      </c>
      <c r="E117" s="25">
        <f>+D117+E116</f>
        <v>0</v>
      </c>
      <c r="F117" s="25">
        <f t="shared" ref="F117" si="179">+E117+F116</f>
        <v>0</v>
      </c>
      <c r="G117" s="25">
        <f t="shared" ref="G117" si="180">+F117+G116</f>
        <v>0</v>
      </c>
      <c r="H117" s="25">
        <f t="shared" ref="H117" si="181">+G117+H116</f>
        <v>0</v>
      </c>
      <c r="I117" s="25">
        <f t="shared" ref="I117" si="182">+H117+I116</f>
        <v>0</v>
      </c>
      <c r="J117" s="25">
        <f t="shared" ref="J117" si="183">+I117+J116</f>
        <v>0</v>
      </c>
      <c r="K117" s="25">
        <f t="shared" ref="K117" si="184">+J117+K116</f>
        <v>0</v>
      </c>
      <c r="L117" s="25">
        <f t="shared" ref="L117" si="185">+K117+L116</f>
        <v>-53.49</v>
      </c>
      <c r="M117" s="25">
        <f t="shared" ref="M117" si="186">+L117+M116</f>
        <v>-270.20999999999998</v>
      </c>
      <c r="N117" s="25">
        <f t="shared" ref="N117" si="187">+M117+N116</f>
        <v>-574.04999999999995</v>
      </c>
      <c r="O117" s="25">
        <f t="shared" ref="O117" si="188">+N117+O116</f>
        <v>-1127.2399999999998</v>
      </c>
      <c r="P117" s="25">
        <f t="shared" ref="P117" si="189">+O117+P116</f>
        <v>-1823.9399999999998</v>
      </c>
      <c r="Q117" s="25">
        <f t="shared" ref="Q117" si="190">+P117+Q116</f>
        <v>-3484.1400000000003</v>
      </c>
      <c r="R117" s="25">
        <f t="shared" ref="R117" si="191">+Q117+R116</f>
        <v>-3530.1400000000003</v>
      </c>
      <c r="S117" s="25">
        <f t="shared" ref="S117" si="192">+R117+S116</f>
        <v>-5240.25</v>
      </c>
      <c r="T117" s="25">
        <f t="shared" ref="T117" si="193">+S117+T116</f>
        <v>-6189.14</v>
      </c>
      <c r="U117" s="25">
        <f t="shared" ref="U117" si="194">+T117+U116</f>
        <v>-7281.26</v>
      </c>
      <c r="V117" s="25">
        <f t="shared" ref="V117" si="195">+U117+V116</f>
        <v>-7656.56</v>
      </c>
      <c r="W117" s="25">
        <f t="shared" ref="W117" si="196">+V117+W116</f>
        <v>-9437.0600000000013</v>
      </c>
      <c r="X117" s="25">
        <f t="shared" ref="X117" si="197">+W117+X116</f>
        <v>-13935.420000000002</v>
      </c>
      <c r="Y117" s="25">
        <f t="shared" ref="Y117" si="198">+X117+Y116</f>
        <v>-16804.13</v>
      </c>
      <c r="Z117" s="25">
        <f t="shared" ref="Z117" si="199">+Y117+Z116</f>
        <v>-19495.13</v>
      </c>
      <c r="AA117" s="25">
        <f t="shared" ref="AA117" si="200">+Z117+AA116</f>
        <v>-20561</v>
      </c>
      <c r="AB117" s="25">
        <f t="shared" ref="AB117" si="201">+AA117+AB116</f>
        <v>-22530.38</v>
      </c>
      <c r="AC117" s="25">
        <f t="shared" ref="AC117" si="202">+AB117+AC116</f>
        <v>-22927.460000000003</v>
      </c>
      <c r="AD117" s="25">
        <f t="shared" ref="AD117" si="203">+AC117+AD116</f>
        <v>-23072.140000000003</v>
      </c>
      <c r="AE117" s="25">
        <f t="shared" ref="AE117" si="204">+AD117+AE116</f>
        <v>-24686.880000000005</v>
      </c>
      <c r="AF117" s="25">
        <f t="shared" ref="AF117" si="205">+AE117+AF116</f>
        <v>-25087.800000000003</v>
      </c>
      <c r="AG117" s="25">
        <f t="shared" ref="AG117" si="206">+AF117+AG116</f>
        <v>-25308.620000000003</v>
      </c>
      <c r="AH117" s="25">
        <f t="shared" ref="AH117" si="207">+AG117+AH116</f>
        <v>-25509.520000000004</v>
      </c>
      <c r="AI117" s="25">
        <f t="shared" ref="AI117" si="208">+AH117+AI116</f>
        <v>-25855.160000000003</v>
      </c>
      <c r="AJ117" s="25">
        <f t="shared" ref="AJ117" si="209">+AI117+AJ116</f>
        <v>-26324.380000000005</v>
      </c>
      <c r="AK117" s="25">
        <f t="shared" ref="AK117" si="210">+AJ117+AK116</f>
        <v>-26397.590000000004</v>
      </c>
      <c r="AL117" s="25">
        <f t="shared" ref="AL117" si="211">+AK117+AL116</f>
        <v>-26569.870000000003</v>
      </c>
      <c r="AM117" s="25">
        <f t="shared" ref="AM117" si="212">+AL117+AM116</f>
        <v>-26801.730000000003</v>
      </c>
      <c r="AN117" s="25">
        <f t="shared" ref="AN117" si="213">+AM117+AN116</f>
        <v>-27254.980000000003</v>
      </c>
      <c r="AO117" s="25">
        <f t="shared" ref="AO117" si="214">+AN117+AO116</f>
        <v>-27596.060000000005</v>
      </c>
      <c r="AP117" s="25">
        <f t="shared" ref="AP117" si="215">+AO117+AP116</f>
        <v>-27596.060000000005</v>
      </c>
      <c r="AQ117" s="25">
        <f t="shared" ref="AQ117" si="216">+AP117+AQ116</f>
        <v>-27596.060000000005</v>
      </c>
      <c r="AR117" s="118">
        <f>+AR116/AR92</f>
        <v>-7.8593235722064468E-3</v>
      </c>
      <c r="AS117" s="25"/>
      <c r="AT117" s="26"/>
      <c r="AU117" s="60"/>
    </row>
    <row r="118" spans="1:47" s="24" customFormat="1" x14ac:dyDescent="0.25">
      <c r="A118" s="23"/>
      <c r="B118" s="23"/>
      <c r="C118" s="27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111"/>
      <c r="P118" s="111">
        <v>-400</v>
      </c>
      <c r="Q118" s="111">
        <v>-100</v>
      </c>
      <c r="R118" s="111"/>
      <c r="S118" s="111"/>
      <c r="T118" s="111"/>
      <c r="U118" s="111"/>
      <c r="V118" s="111"/>
      <c r="W118" s="111"/>
      <c r="X118" s="111">
        <v>-3000</v>
      </c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2">
        <f>SUM(D118:AQ118)</f>
        <v>-3500</v>
      </c>
      <c r="AS118" s="25"/>
      <c r="AT118" s="26"/>
      <c r="AU118" s="60"/>
    </row>
    <row r="119" spans="1:47" x14ac:dyDescent="0.25">
      <c r="B119" s="2" t="s">
        <v>76</v>
      </c>
      <c r="AR119" s="113">
        <f>+AR116-AR118</f>
        <v>-24096.059999999994</v>
      </c>
    </row>
    <row r="120" spans="1:47" x14ac:dyDescent="0.25">
      <c r="C120" t="s">
        <v>190</v>
      </c>
      <c r="D120" s="1">
        <f t="shared" ref="D120:AQ120" si="217">+D96+D73</f>
        <v>0</v>
      </c>
      <c r="E120" s="1">
        <f t="shared" ref="E120:J120" si="218">+E96+E73</f>
        <v>0</v>
      </c>
      <c r="F120" s="1">
        <f t="shared" si="218"/>
        <v>0</v>
      </c>
      <c r="G120" s="1">
        <f t="shared" si="218"/>
        <v>0</v>
      </c>
      <c r="H120" s="1">
        <f t="shared" si="218"/>
        <v>0</v>
      </c>
      <c r="I120" s="1">
        <f t="shared" si="218"/>
        <v>0</v>
      </c>
      <c r="J120" s="1">
        <f t="shared" si="218"/>
        <v>0</v>
      </c>
      <c r="K120" s="1">
        <f t="shared" si="217"/>
        <v>0</v>
      </c>
      <c r="L120" s="1">
        <f t="shared" si="217"/>
        <v>30526.35</v>
      </c>
      <c r="M120" s="1">
        <f t="shared" si="217"/>
        <v>174.84</v>
      </c>
      <c r="N120" s="1">
        <f t="shared" si="217"/>
        <v>3292.56</v>
      </c>
      <c r="O120" s="1">
        <f t="shared" si="217"/>
        <v>18316.95</v>
      </c>
      <c r="P120" s="1">
        <f t="shared" si="217"/>
        <v>9185.880000000001</v>
      </c>
      <c r="Q120" s="1">
        <f t="shared" si="217"/>
        <v>24212.909999999996</v>
      </c>
      <c r="R120" s="1">
        <f t="shared" si="217"/>
        <v>31924.140000000003</v>
      </c>
      <c r="S120" s="1">
        <f t="shared" si="217"/>
        <v>20138.37</v>
      </c>
      <c r="T120" s="1">
        <f t="shared" si="217"/>
        <v>18397.8</v>
      </c>
      <c r="U120" s="1">
        <f t="shared" si="217"/>
        <v>27420.03</v>
      </c>
      <c r="V120" s="1">
        <f t="shared" si="217"/>
        <v>16764.3</v>
      </c>
      <c r="W120" s="1">
        <f t="shared" si="217"/>
        <v>20577.240000000002</v>
      </c>
      <c r="X120" s="1">
        <f t="shared" si="217"/>
        <v>17906.22</v>
      </c>
      <c r="Y120" s="1">
        <f t="shared" si="217"/>
        <v>4879.8</v>
      </c>
      <c r="Z120" s="1">
        <f t="shared" si="217"/>
        <v>6440.0399999999991</v>
      </c>
      <c r="AA120" s="1">
        <f t="shared" si="217"/>
        <v>2400.48</v>
      </c>
      <c r="AB120" s="1">
        <f t="shared" si="217"/>
        <v>4297.68</v>
      </c>
      <c r="AC120" s="1">
        <f t="shared" si="217"/>
        <v>1635.6</v>
      </c>
      <c r="AD120" s="1">
        <f t="shared" si="217"/>
        <v>400.44</v>
      </c>
      <c r="AE120" s="1">
        <f t="shared" si="217"/>
        <v>1497.42</v>
      </c>
      <c r="AF120" s="1">
        <f t="shared" si="217"/>
        <v>626.04</v>
      </c>
      <c r="AG120" s="1">
        <f t="shared" si="217"/>
        <v>153.69</v>
      </c>
      <c r="AH120" s="1">
        <f t="shared" si="217"/>
        <v>9530.19</v>
      </c>
      <c r="AI120" s="1">
        <f t="shared" si="217"/>
        <v>4107.3300000000008</v>
      </c>
      <c r="AJ120" s="1">
        <f t="shared" si="217"/>
        <v>3633.5699999999997</v>
      </c>
      <c r="AK120" s="1">
        <f t="shared" si="217"/>
        <v>1429.74</v>
      </c>
      <c r="AL120" s="1">
        <f t="shared" si="217"/>
        <v>2045.32</v>
      </c>
      <c r="AM120" s="1">
        <f t="shared" si="217"/>
        <v>338.4</v>
      </c>
      <c r="AN120" s="1">
        <f t="shared" si="217"/>
        <v>0</v>
      </c>
      <c r="AO120" s="1">
        <f t="shared" si="217"/>
        <v>0</v>
      </c>
      <c r="AP120" s="1">
        <f t="shared" si="217"/>
        <v>0</v>
      </c>
      <c r="AQ120" s="1">
        <f t="shared" si="217"/>
        <v>0</v>
      </c>
      <c r="AR120" s="3">
        <f t="shared" ref="AR120:AR128" si="219">SUM(D120:AQ120)</f>
        <v>282253.33</v>
      </c>
      <c r="AT120" s="8">
        <f>IF(AR120=0,0,+AR120/PassVol!AR73)</f>
        <v>8.5801717534046702</v>
      </c>
    </row>
    <row r="121" spans="1:47" x14ac:dyDescent="0.25">
      <c r="C121" t="s">
        <v>424</v>
      </c>
      <c r="D121" s="1">
        <f t="shared" ref="D121:AQ121" si="220">+D97+D74</f>
        <v>0</v>
      </c>
      <c r="E121" s="1">
        <f t="shared" ref="E121:J121" si="221">+E97+E74</f>
        <v>0</v>
      </c>
      <c r="F121" s="1">
        <f t="shared" si="221"/>
        <v>0</v>
      </c>
      <c r="G121" s="1">
        <f t="shared" si="221"/>
        <v>0</v>
      </c>
      <c r="H121" s="1">
        <f t="shared" si="221"/>
        <v>0</v>
      </c>
      <c r="I121" s="1">
        <f t="shared" si="221"/>
        <v>0</v>
      </c>
      <c r="J121" s="1">
        <f t="shared" si="221"/>
        <v>0</v>
      </c>
      <c r="K121" s="1">
        <f t="shared" si="220"/>
        <v>0</v>
      </c>
      <c r="L121" s="1">
        <f t="shared" si="220"/>
        <v>3199.6800000000003</v>
      </c>
      <c r="M121" s="1">
        <f t="shared" si="220"/>
        <v>4702.8600000000006</v>
      </c>
      <c r="N121" s="1">
        <f t="shared" si="220"/>
        <v>4893.66</v>
      </c>
      <c r="O121" s="1">
        <f t="shared" si="220"/>
        <v>5684.76</v>
      </c>
      <c r="P121" s="1">
        <f t="shared" si="220"/>
        <v>10118.84</v>
      </c>
      <c r="Q121" s="1">
        <f t="shared" si="220"/>
        <v>6237.24</v>
      </c>
      <c r="R121" s="1">
        <f t="shared" si="220"/>
        <v>7189.92</v>
      </c>
      <c r="S121" s="1">
        <f t="shared" si="220"/>
        <v>6026.9400000000005</v>
      </c>
      <c r="T121" s="1">
        <f t="shared" si="220"/>
        <v>9736.98</v>
      </c>
      <c r="U121" s="1">
        <f t="shared" si="220"/>
        <v>11494.4</v>
      </c>
      <c r="V121" s="1">
        <f t="shared" si="220"/>
        <v>9459.0600000000013</v>
      </c>
      <c r="W121" s="1">
        <f t="shared" si="220"/>
        <v>13544.1</v>
      </c>
      <c r="X121" s="1">
        <f t="shared" si="220"/>
        <v>8003.22</v>
      </c>
      <c r="Y121" s="1">
        <f t="shared" si="220"/>
        <v>3659.9399999999996</v>
      </c>
      <c r="Z121" s="1">
        <f t="shared" si="220"/>
        <v>2911.32</v>
      </c>
      <c r="AA121" s="1">
        <f t="shared" si="220"/>
        <v>1395.18</v>
      </c>
      <c r="AB121" s="1">
        <f t="shared" si="220"/>
        <v>1869.3</v>
      </c>
      <c r="AC121" s="1">
        <f t="shared" si="220"/>
        <v>446.4</v>
      </c>
      <c r="AD121" s="1">
        <f t="shared" si="220"/>
        <v>0</v>
      </c>
      <c r="AE121" s="1">
        <f t="shared" si="220"/>
        <v>223.2</v>
      </c>
      <c r="AF121" s="1">
        <f t="shared" si="220"/>
        <v>455.7</v>
      </c>
      <c r="AG121" s="1">
        <f t="shared" si="220"/>
        <v>0</v>
      </c>
      <c r="AH121" s="1">
        <f t="shared" si="220"/>
        <v>558</v>
      </c>
      <c r="AI121" s="1">
        <f t="shared" si="220"/>
        <v>948.6</v>
      </c>
      <c r="AJ121" s="1">
        <f t="shared" si="220"/>
        <v>613.79999999999995</v>
      </c>
      <c r="AK121" s="1">
        <f t="shared" si="220"/>
        <v>0</v>
      </c>
      <c r="AL121" s="1">
        <f t="shared" si="220"/>
        <v>1367.1</v>
      </c>
      <c r="AM121" s="1">
        <f t="shared" si="220"/>
        <v>0</v>
      </c>
      <c r="AN121" s="1">
        <f t="shared" si="220"/>
        <v>-65.099999999999994</v>
      </c>
      <c r="AO121" s="1">
        <f t="shared" si="220"/>
        <v>0</v>
      </c>
      <c r="AP121" s="1">
        <f t="shared" si="220"/>
        <v>0</v>
      </c>
      <c r="AQ121" s="1">
        <f t="shared" si="220"/>
        <v>0</v>
      </c>
      <c r="AR121" s="3">
        <f>SUM(D121:AQ121)</f>
        <v>114675.1</v>
      </c>
      <c r="AT121" s="8">
        <f>IF(AR121=0,0,+AR121/PassVol!AR74)</f>
        <v>9.5063499958550945</v>
      </c>
    </row>
    <row r="122" spans="1:47" x14ac:dyDescent="0.25">
      <c r="C122" t="s">
        <v>347</v>
      </c>
      <c r="D122" s="1">
        <f t="shared" ref="D122:J137" si="222">+D98+D75</f>
        <v>0</v>
      </c>
      <c r="E122" s="1">
        <f t="shared" si="222"/>
        <v>0</v>
      </c>
      <c r="F122" s="1">
        <f t="shared" si="222"/>
        <v>0</v>
      </c>
      <c r="G122" s="1">
        <f t="shared" si="222"/>
        <v>0</v>
      </c>
      <c r="H122" s="1">
        <f t="shared" si="222"/>
        <v>0</v>
      </c>
      <c r="I122" s="1">
        <f t="shared" si="222"/>
        <v>0</v>
      </c>
      <c r="J122" s="1">
        <f t="shared" si="222"/>
        <v>0</v>
      </c>
      <c r="K122" s="1">
        <f t="shared" ref="K122:Y122" si="223">+K98+K75</f>
        <v>0</v>
      </c>
      <c r="L122" s="1">
        <f t="shared" si="223"/>
        <v>3455.28</v>
      </c>
      <c r="M122" s="1">
        <f t="shared" si="223"/>
        <v>3403.7</v>
      </c>
      <c r="N122" s="1">
        <f t="shared" si="223"/>
        <v>2498.04</v>
      </c>
      <c r="O122" s="1">
        <f t="shared" si="223"/>
        <v>3406.62</v>
      </c>
      <c r="P122" s="1">
        <f t="shared" si="223"/>
        <v>8073.54</v>
      </c>
      <c r="Q122" s="1">
        <f t="shared" si="223"/>
        <v>3373.8</v>
      </c>
      <c r="R122" s="1">
        <f t="shared" si="223"/>
        <v>5141.16</v>
      </c>
      <c r="S122" s="1">
        <f t="shared" si="223"/>
        <v>5231.88</v>
      </c>
      <c r="T122" s="1">
        <f t="shared" si="223"/>
        <v>6075</v>
      </c>
      <c r="U122" s="1">
        <f t="shared" si="223"/>
        <v>6305.4</v>
      </c>
      <c r="V122" s="1">
        <f t="shared" si="223"/>
        <v>6133.5</v>
      </c>
      <c r="W122" s="1">
        <f t="shared" si="223"/>
        <v>7626.24</v>
      </c>
      <c r="X122" s="1">
        <f t="shared" si="223"/>
        <v>6361.2</v>
      </c>
      <c r="Y122" s="1">
        <f t="shared" si="223"/>
        <v>1899.6599999999999</v>
      </c>
      <c r="Z122" s="1">
        <f t="shared" ref="Z122:AQ122" si="224">+Z98+Z75</f>
        <v>1688.04</v>
      </c>
      <c r="AA122" s="1">
        <f t="shared" si="224"/>
        <v>502.2</v>
      </c>
      <c r="AB122" s="1">
        <f t="shared" si="224"/>
        <v>446.4</v>
      </c>
      <c r="AC122" s="1">
        <f t="shared" si="224"/>
        <v>139.5</v>
      </c>
      <c r="AD122" s="1">
        <f t="shared" si="224"/>
        <v>83.7</v>
      </c>
      <c r="AE122" s="1">
        <f t="shared" si="224"/>
        <v>0</v>
      </c>
      <c r="AF122" s="1">
        <f t="shared" si="224"/>
        <v>530.1</v>
      </c>
      <c r="AG122" s="1">
        <f t="shared" si="224"/>
        <v>362.7</v>
      </c>
      <c r="AH122" s="1">
        <f t="shared" si="224"/>
        <v>279</v>
      </c>
      <c r="AI122" s="1">
        <f t="shared" si="224"/>
        <v>195.3</v>
      </c>
      <c r="AJ122" s="1">
        <f t="shared" si="224"/>
        <v>446.4</v>
      </c>
      <c r="AK122" s="1">
        <f t="shared" si="224"/>
        <v>83.7</v>
      </c>
      <c r="AL122" s="1">
        <f t="shared" si="224"/>
        <v>279</v>
      </c>
      <c r="AM122" s="1">
        <f t="shared" si="224"/>
        <v>0</v>
      </c>
      <c r="AN122" s="1">
        <f t="shared" si="224"/>
        <v>279</v>
      </c>
      <c r="AO122" s="1">
        <f t="shared" si="224"/>
        <v>0</v>
      </c>
      <c r="AP122" s="1">
        <f t="shared" si="224"/>
        <v>0</v>
      </c>
      <c r="AQ122" s="1">
        <f t="shared" si="224"/>
        <v>0</v>
      </c>
      <c r="AR122" s="3">
        <f t="shared" si="219"/>
        <v>74300.059999999983</v>
      </c>
      <c r="AT122" s="8">
        <f>IF(AR122=0,0,+AR122/PassVol!AR75)</f>
        <v>9.5256487179487159</v>
      </c>
    </row>
    <row r="123" spans="1:47" x14ac:dyDescent="0.25">
      <c r="C123" t="s">
        <v>0</v>
      </c>
      <c r="D123" s="1">
        <f t="shared" si="222"/>
        <v>0</v>
      </c>
      <c r="E123" s="1">
        <f t="shared" si="222"/>
        <v>0</v>
      </c>
      <c r="F123" s="1">
        <f t="shared" si="222"/>
        <v>0</v>
      </c>
      <c r="G123" s="1">
        <f t="shared" si="222"/>
        <v>0</v>
      </c>
      <c r="H123" s="1">
        <f t="shared" si="222"/>
        <v>0</v>
      </c>
      <c r="I123" s="1">
        <f t="shared" si="222"/>
        <v>0</v>
      </c>
      <c r="J123" s="1">
        <f t="shared" si="222"/>
        <v>0</v>
      </c>
      <c r="K123" s="1">
        <f t="shared" ref="K123:Y123" si="225">+K99+K76</f>
        <v>0</v>
      </c>
      <c r="L123" s="1">
        <f t="shared" si="225"/>
        <v>44069.760000000002</v>
      </c>
      <c r="M123" s="1">
        <f t="shared" si="225"/>
        <v>8880.24</v>
      </c>
      <c r="N123" s="1">
        <f t="shared" si="225"/>
        <v>17446.919999999998</v>
      </c>
      <c r="O123" s="1">
        <f t="shared" si="225"/>
        <v>29564.699999999997</v>
      </c>
      <c r="P123" s="1">
        <f t="shared" si="225"/>
        <v>23909.34</v>
      </c>
      <c r="Q123" s="1">
        <f t="shared" si="225"/>
        <v>26936.16</v>
      </c>
      <c r="R123" s="1">
        <f t="shared" si="225"/>
        <v>27947.040000000001</v>
      </c>
      <c r="S123" s="1">
        <f t="shared" si="225"/>
        <v>22619.52</v>
      </c>
      <c r="T123" s="1">
        <f t="shared" si="225"/>
        <v>28661.279999999999</v>
      </c>
      <c r="U123" s="1">
        <f t="shared" si="225"/>
        <v>33401.040000000001</v>
      </c>
      <c r="V123" s="1">
        <f t="shared" si="225"/>
        <v>25297.5</v>
      </c>
      <c r="W123" s="1">
        <f t="shared" si="225"/>
        <v>29351.100000000002</v>
      </c>
      <c r="X123" s="1">
        <f t="shared" si="225"/>
        <v>38797.68</v>
      </c>
      <c r="Y123" s="1">
        <f t="shared" si="225"/>
        <v>31520.28</v>
      </c>
      <c r="Z123" s="1">
        <f t="shared" ref="Z123:AQ123" si="226">+Z99+Z76</f>
        <v>22407.360000000001</v>
      </c>
      <c r="AA123" s="1">
        <f t="shared" si="226"/>
        <v>21012.36</v>
      </c>
      <c r="AB123" s="1">
        <f t="shared" si="226"/>
        <v>21536.9</v>
      </c>
      <c r="AC123" s="1">
        <f t="shared" si="226"/>
        <v>10523.68</v>
      </c>
      <c r="AD123" s="1">
        <f t="shared" si="226"/>
        <v>25442.880000000001</v>
      </c>
      <c r="AE123" s="1">
        <f t="shared" si="226"/>
        <v>4920.4799999999996</v>
      </c>
      <c r="AF123" s="1">
        <f t="shared" si="226"/>
        <v>2496.96</v>
      </c>
      <c r="AG123" s="1">
        <f t="shared" si="226"/>
        <v>7164.48</v>
      </c>
      <c r="AH123" s="1">
        <f t="shared" si="226"/>
        <v>18931.2</v>
      </c>
      <c r="AI123" s="1">
        <f t="shared" si="226"/>
        <v>1028.1600000000001</v>
      </c>
      <c r="AJ123" s="1">
        <f t="shared" si="226"/>
        <v>0</v>
      </c>
      <c r="AK123" s="1">
        <f t="shared" si="226"/>
        <v>9579.84</v>
      </c>
      <c r="AL123" s="1">
        <f t="shared" si="226"/>
        <v>3231.36</v>
      </c>
      <c r="AM123" s="1">
        <f t="shared" si="226"/>
        <v>3386.4</v>
      </c>
      <c r="AN123" s="1">
        <f t="shared" si="226"/>
        <v>0</v>
      </c>
      <c r="AO123" s="1">
        <f t="shared" si="226"/>
        <v>0</v>
      </c>
      <c r="AP123" s="1">
        <f t="shared" si="226"/>
        <v>0</v>
      </c>
      <c r="AQ123" s="1">
        <f t="shared" si="226"/>
        <v>0</v>
      </c>
      <c r="AR123" s="3">
        <f t="shared" si="219"/>
        <v>540064.61999999988</v>
      </c>
      <c r="AT123" s="8">
        <f>IF(AR123=0,0,+AR123/PassVol!AR76)</f>
        <v>8.2568587940313094</v>
      </c>
    </row>
    <row r="124" spans="1:47" x14ac:dyDescent="0.25">
      <c r="C124" t="s">
        <v>354</v>
      </c>
      <c r="D124" s="1">
        <f t="shared" si="222"/>
        <v>0</v>
      </c>
      <c r="E124" s="1">
        <f t="shared" si="222"/>
        <v>0</v>
      </c>
      <c r="F124" s="1">
        <f t="shared" si="222"/>
        <v>0</v>
      </c>
      <c r="G124" s="1">
        <f t="shared" si="222"/>
        <v>0</v>
      </c>
      <c r="H124" s="1">
        <f t="shared" si="222"/>
        <v>0</v>
      </c>
      <c r="I124" s="1">
        <f t="shared" si="222"/>
        <v>0</v>
      </c>
      <c r="J124" s="1">
        <f t="shared" si="222"/>
        <v>0</v>
      </c>
      <c r="K124" s="1">
        <f t="shared" ref="K124:Y124" si="227">+K100+K77</f>
        <v>0</v>
      </c>
      <c r="L124" s="1">
        <f t="shared" si="227"/>
        <v>2512.8000000000002</v>
      </c>
      <c r="M124" s="1">
        <f t="shared" si="227"/>
        <v>251.1</v>
      </c>
      <c r="N124" s="1">
        <f t="shared" si="227"/>
        <v>667.5</v>
      </c>
      <c r="O124" s="1">
        <f t="shared" si="227"/>
        <v>1220.76</v>
      </c>
      <c r="P124" s="1">
        <f t="shared" si="227"/>
        <v>2780.1600000000003</v>
      </c>
      <c r="Q124" s="1">
        <f t="shared" si="227"/>
        <v>1636.8</v>
      </c>
      <c r="R124" s="1">
        <f t="shared" si="227"/>
        <v>1674</v>
      </c>
      <c r="S124" s="1">
        <f t="shared" si="227"/>
        <v>1911.42</v>
      </c>
      <c r="T124" s="1">
        <f t="shared" si="227"/>
        <v>3035.7</v>
      </c>
      <c r="U124" s="1">
        <f t="shared" si="227"/>
        <v>1329.9</v>
      </c>
      <c r="V124" s="1">
        <f t="shared" si="227"/>
        <v>722.3</v>
      </c>
      <c r="W124" s="1">
        <f t="shared" si="227"/>
        <v>1646.1</v>
      </c>
      <c r="X124" s="1">
        <f t="shared" si="227"/>
        <v>2148.3000000000002</v>
      </c>
      <c r="Y124" s="1">
        <f t="shared" si="227"/>
        <v>781.2</v>
      </c>
      <c r="Z124" s="1">
        <f t="shared" ref="Z124:AQ124" si="228">+Z100+Z77</f>
        <v>799.80000000000007</v>
      </c>
      <c r="AA124" s="1">
        <f t="shared" si="228"/>
        <v>753.3</v>
      </c>
      <c r="AB124" s="1">
        <f t="shared" si="228"/>
        <v>502.2</v>
      </c>
      <c r="AC124" s="1">
        <f t="shared" si="228"/>
        <v>279</v>
      </c>
      <c r="AD124" s="1">
        <f t="shared" si="228"/>
        <v>0</v>
      </c>
      <c r="AE124" s="1">
        <f t="shared" si="228"/>
        <v>0</v>
      </c>
      <c r="AF124" s="1">
        <f t="shared" si="228"/>
        <v>0</v>
      </c>
      <c r="AG124" s="1">
        <f t="shared" si="228"/>
        <v>0</v>
      </c>
      <c r="AH124" s="1">
        <f t="shared" si="228"/>
        <v>1116</v>
      </c>
      <c r="AI124" s="1">
        <f t="shared" si="228"/>
        <v>0</v>
      </c>
      <c r="AJ124" s="1">
        <f t="shared" si="228"/>
        <v>0</v>
      </c>
      <c r="AK124" s="1">
        <f t="shared" si="228"/>
        <v>0</v>
      </c>
      <c r="AL124" s="1">
        <f t="shared" si="228"/>
        <v>0</v>
      </c>
      <c r="AM124" s="1">
        <f t="shared" si="228"/>
        <v>0</v>
      </c>
      <c r="AN124" s="1">
        <f t="shared" si="228"/>
        <v>0</v>
      </c>
      <c r="AO124" s="1">
        <f t="shared" si="228"/>
        <v>0</v>
      </c>
      <c r="AP124" s="1">
        <f t="shared" si="228"/>
        <v>0</v>
      </c>
      <c r="AQ124" s="1">
        <f t="shared" si="228"/>
        <v>0</v>
      </c>
      <c r="AR124" s="3">
        <f t="shared" si="219"/>
        <v>25768.339999999997</v>
      </c>
      <c r="AT124" s="8">
        <f>IF(AR124=0,0,+AR124/PassVol!AR77)</f>
        <v>9.543829629629629</v>
      </c>
    </row>
    <row r="125" spans="1:47" x14ac:dyDescent="0.25">
      <c r="C125" t="s">
        <v>265</v>
      </c>
      <c r="D125" s="1">
        <f t="shared" si="222"/>
        <v>0</v>
      </c>
      <c r="E125" s="1">
        <f t="shared" si="222"/>
        <v>0</v>
      </c>
      <c r="F125" s="1">
        <f t="shared" si="222"/>
        <v>0</v>
      </c>
      <c r="G125" s="1">
        <f t="shared" si="222"/>
        <v>0</v>
      </c>
      <c r="H125" s="1">
        <f t="shared" si="222"/>
        <v>0</v>
      </c>
      <c r="I125" s="1">
        <f t="shared" si="222"/>
        <v>0</v>
      </c>
      <c r="J125" s="1">
        <f t="shared" si="222"/>
        <v>0</v>
      </c>
      <c r="K125" s="1">
        <f t="shared" ref="K125:Y125" si="229">+K101+K78</f>
        <v>0</v>
      </c>
      <c r="L125" s="1">
        <f t="shared" si="229"/>
        <v>4944.5399999999991</v>
      </c>
      <c r="M125" s="1">
        <f t="shared" si="229"/>
        <v>1323</v>
      </c>
      <c r="N125" s="1">
        <f t="shared" si="229"/>
        <v>1173.06</v>
      </c>
      <c r="O125" s="1">
        <f t="shared" si="229"/>
        <v>2169.7199999999998</v>
      </c>
      <c r="P125" s="1">
        <f t="shared" si="229"/>
        <v>5722.08</v>
      </c>
      <c r="Q125" s="1">
        <f t="shared" si="229"/>
        <v>3087</v>
      </c>
      <c r="R125" s="1">
        <f t="shared" si="229"/>
        <v>2249.1</v>
      </c>
      <c r="S125" s="1">
        <f t="shared" si="229"/>
        <v>5230.26</v>
      </c>
      <c r="T125" s="1">
        <f t="shared" si="229"/>
        <v>3598.56</v>
      </c>
      <c r="U125" s="1">
        <f t="shared" si="229"/>
        <v>8379</v>
      </c>
      <c r="V125" s="1">
        <f t="shared" si="229"/>
        <v>5821.2000000000007</v>
      </c>
      <c r="W125" s="1">
        <f t="shared" si="229"/>
        <v>3369.24</v>
      </c>
      <c r="X125" s="1">
        <f t="shared" si="229"/>
        <v>6773.76</v>
      </c>
      <c r="Y125" s="1">
        <f t="shared" si="229"/>
        <v>2028.6</v>
      </c>
      <c r="Z125" s="1">
        <f t="shared" ref="Z125:AQ125" si="230">+Z101+Z78</f>
        <v>-740.88</v>
      </c>
      <c r="AA125" s="1">
        <f t="shared" si="230"/>
        <v>564.48</v>
      </c>
      <c r="AB125" s="1">
        <f t="shared" si="230"/>
        <v>-26.46</v>
      </c>
      <c r="AC125" s="1">
        <f t="shared" si="230"/>
        <v>0</v>
      </c>
      <c r="AD125" s="1">
        <f t="shared" si="230"/>
        <v>0</v>
      </c>
      <c r="AE125" s="1">
        <f t="shared" si="230"/>
        <v>0</v>
      </c>
      <c r="AF125" s="1">
        <f t="shared" si="230"/>
        <v>0</v>
      </c>
      <c r="AG125" s="1">
        <f t="shared" si="230"/>
        <v>0</v>
      </c>
      <c r="AH125" s="1">
        <f t="shared" si="230"/>
        <v>2760.66</v>
      </c>
      <c r="AI125" s="1">
        <f t="shared" si="230"/>
        <v>-17.64</v>
      </c>
      <c r="AJ125" s="1">
        <f t="shared" si="230"/>
        <v>0</v>
      </c>
      <c r="AK125" s="1">
        <f t="shared" si="230"/>
        <v>740.88</v>
      </c>
      <c r="AL125" s="1">
        <f t="shared" si="230"/>
        <v>-8.82</v>
      </c>
      <c r="AM125" s="1">
        <f t="shared" si="230"/>
        <v>0</v>
      </c>
      <c r="AN125" s="1">
        <f t="shared" si="230"/>
        <v>0</v>
      </c>
      <c r="AO125" s="1">
        <f t="shared" si="230"/>
        <v>0</v>
      </c>
      <c r="AP125" s="1">
        <f t="shared" si="230"/>
        <v>0</v>
      </c>
      <c r="AQ125" s="1">
        <f t="shared" si="230"/>
        <v>0</v>
      </c>
      <c r="AR125" s="3">
        <f t="shared" si="219"/>
        <v>59141.34</v>
      </c>
      <c r="AT125" s="8">
        <f>IF(AR125=0,0,+AR125/PassVol!AR78)</f>
        <v>8.7694750889679707</v>
      </c>
    </row>
    <row r="126" spans="1:47" x14ac:dyDescent="0.25">
      <c r="C126" t="s">
        <v>191</v>
      </c>
      <c r="D126" s="1">
        <f t="shared" si="222"/>
        <v>0</v>
      </c>
      <c r="E126" s="1">
        <f t="shared" si="222"/>
        <v>0</v>
      </c>
      <c r="F126" s="1">
        <f t="shared" si="222"/>
        <v>0</v>
      </c>
      <c r="G126" s="1">
        <f t="shared" si="222"/>
        <v>0</v>
      </c>
      <c r="H126" s="1">
        <f t="shared" si="222"/>
        <v>0</v>
      </c>
      <c r="I126" s="1">
        <f t="shared" si="222"/>
        <v>0</v>
      </c>
      <c r="J126" s="1">
        <f t="shared" si="222"/>
        <v>0</v>
      </c>
      <c r="K126" s="1">
        <f t="shared" ref="K126:Y126" si="231">+K102+K79</f>
        <v>0</v>
      </c>
      <c r="L126" s="1">
        <f t="shared" si="231"/>
        <v>0</v>
      </c>
      <c r="M126" s="1">
        <f t="shared" si="231"/>
        <v>23307</v>
      </c>
      <c r="N126" s="1">
        <f t="shared" si="231"/>
        <v>1465.2</v>
      </c>
      <c r="O126" s="1">
        <f t="shared" si="231"/>
        <v>5446.7</v>
      </c>
      <c r="P126" s="1">
        <f t="shared" si="231"/>
        <v>22267.08</v>
      </c>
      <c r="Q126" s="1">
        <f t="shared" si="231"/>
        <v>5972.3600000000006</v>
      </c>
      <c r="R126" s="1">
        <f t="shared" si="231"/>
        <v>22245.899999999998</v>
      </c>
      <c r="S126" s="1">
        <f t="shared" si="231"/>
        <v>23996.219999999998</v>
      </c>
      <c r="T126" s="1">
        <f t="shared" si="231"/>
        <v>20495.650000000001</v>
      </c>
      <c r="U126" s="1">
        <f t="shared" si="231"/>
        <v>9253.5</v>
      </c>
      <c r="V126" s="1">
        <f t="shared" si="231"/>
        <v>83.7</v>
      </c>
      <c r="W126" s="1">
        <f t="shared" si="231"/>
        <v>11976.300000000001</v>
      </c>
      <c r="X126" s="1">
        <f t="shared" si="231"/>
        <v>8676.9</v>
      </c>
      <c r="Y126" s="1">
        <f t="shared" si="231"/>
        <v>9039.6</v>
      </c>
      <c r="Z126" s="1">
        <f t="shared" ref="Z126:AQ126" si="232">+Z102+Z79</f>
        <v>7923.6</v>
      </c>
      <c r="AA126" s="1">
        <f t="shared" si="232"/>
        <v>5533.5</v>
      </c>
      <c r="AB126" s="1">
        <f t="shared" si="232"/>
        <v>4629.8499999999995</v>
      </c>
      <c r="AC126" s="1">
        <f t="shared" si="232"/>
        <v>251.1</v>
      </c>
      <c r="AD126" s="1">
        <f t="shared" si="232"/>
        <v>-27.9</v>
      </c>
      <c r="AE126" s="1">
        <f t="shared" si="232"/>
        <v>-508.46000000000004</v>
      </c>
      <c r="AF126" s="1">
        <f t="shared" si="232"/>
        <v>0</v>
      </c>
      <c r="AG126" s="1">
        <f t="shared" si="232"/>
        <v>0</v>
      </c>
      <c r="AH126" s="1">
        <f t="shared" si="232"/>
        <v>0</v>
      </c>
      <c r="AI126" s="1">
        <f t="shared" si="232"/>
        <v>-111.6</v>
      </c>
      <c r="AJ126" s="1">
        <f t="shared" si="232"/>
        <v>0</v>
      </c>
      <c r="AK126" s="1">
        <f t="shared" si="232"/>
        <v>0</v>
      </c>
      <c r="AL126" s="1">
        <f t="shared" si="232"/>
        <v>223.2</v>
      </c>
      <c r="AM126" s="1">
        <f t="shared" si="232"/>
        <v>474.3</v>
      </c>
      <c r="AN126" s="1">
        <f t="shared" si="232"/>
        <v>660.25</v>
      </c>
      <c r="AO126" s="1">
        <f t="shared" si="232"/>
        <v>-93</v>
      </c>
      <c r="AP126" s="1">
        <f t="shared" si="232"/>
        <v>0</v>
      </c>
      <c r="AQ126" s="1">
        <f t="shared" si="232"/>
        <v>0</v>
      </c>
      <c r="AR126" s="3">
        <f t="shared" si="219"/>
        <v>183180.95000000004</v>
      </c>
      <c r="AT126" s="8">
        <f>IF(AR126=0,0,+AR126/PassVol!AR79)</f>
        <v>9.4716106514994856</v>
      </c>
    </row>
    <row r="127" spans="1:47" x14ac:dyDescent="0.25">
      <c r="C127" t="s">
        <v>549</v>
      </c>
      <c r="D127" s="1">
        <f t="shared" si="222"/>
        <v>0</v>
      </c>
      <c r="E127" s="1">
        <f t="shared" si="222"/>
        <v>0</v>
      </c>
      <c r="F127" s="1">
        <f t="shared" si="222"/>
        <v>0</v>
      </c>
      <c r="G127" s="1">
        <f t="shared" si="222"/>
        <v>0</v>
      </c>
      <c r="H127" s="1">
        <f t="shared" si="222"/>
        <v>0</v>
      </c>
      <c r="I127" s="1">
        <f t="shared" si="222"/>
        <v>0</v>
      </c>
      <c r="J127" s="1">
        <f t="shared" si="222"/>
        <v>0</v>
      </c>
      <c r="K127" s="1">
        <f t="shared" ref="K127:Y127" si="233">+K103+K80</f>
        <v>0</v>
      </c>
      <c r="L127" s="1">
        <f t="shared" si="233"/>
        <v>0</v>
      </c>
      <c r="M127" s="1">
        <f t="shared" si="233"/>
        <v>0</v>
      </c>
      <c r="N127" s="1">
        <f t="shared" si="233"/>
        <v>0</v>
      </c>
      <c r="O127" s="1">
        <f t="shared" si="233"/>
        <v>0</v>
      </c>
      <c r="P127" s="1">
        <f t="shared" si="233"/>
        <v>0</v>
      </c>
      <c r="Q127" s="1">
        <f t="shared" si="233"/>
        <v>0</v>
      </c>
      <c r="R127" s="1">
        <f t="shared" si="233"/>
        <v>0</v>
      </c>
      <c r="S127" s="1">
        <f t="shared" si="233"/>
        <v>0</v>
      </c>
      <c r="T127" s="1">
        <f t="shared" si="233"/>
        <v>0</v>
      </c>
      <c r="U127" s="1">
        <f t="shared" si="233"/>
        <v>0</v>
      </c>
      <c r="V127" s="1">
        <f t="shared" si="233"/>
        <v>0</v>
      </c>
      <c r="W127" s="1">
        <f t="shared" si="233"/>
        <v>0</v>
      </c>
      <c r="X127" s="1">
        <f t="shared" si="233"/>
        <v>0</v>
      </c>
      <c r="Y127" s="1">
        <f t="shared" si="233"/>
        <v>0</v>
      </c>
      <c r="Z127" s="1">
        <f t="shared" ref="Z127:AQ127" si="234">+Z103+Z80</f>
        <v>0</v>
      </c>
      <c r="AA127" s="1">
        <f t="shared" si="234"/>
        <v>0</v>
      </c>
      <c r="AB127" s="1">
        <f t="shared" si="234"/>
        <v>0</v>
      </c>
      <c r="AC127" s="1">
        <f t="shared" si="234"/>
        <v>0</v>
      </c>
      <c r="AD127" s="1">
        <f t="shared" si="234"/>
        <v>0</v>
      </c>
      <c r="AE127" s="1">
        <f t="shared" si="234"/>
        <v>0</v>
      </c>
      <c r="AF127" s="1">
        <f t="shared" si="234"/>
        <v>0</v>
      </c>
      <c r="AG127" s="1">
        <f t="shared" si="234"/>
        <v>0</v>
      </c>
      <c r="AH127" s="1">
        <f t="shared" si="234"/>
        <v>0</v>
      </c>
      <c r="AI127" s="1">
        <f t="shared" si="234"/>
        <v>0</v>
      </c>
      <c r="AJ127" s="1">
        <f t="shared" si="234"/>
        <v>0</v>
      </c>
      <c r="AK127" s="1">
        <f t="shared" si="234"/>
        <v>0</v>
      </c>
      <c r="AL127" s="1">
        <f t="shared" si="234"/>
        <v>0</v>
      </c>
      <c r="AM127" s="1">
        <f t="shared" si="234"/>
        <v>0</v>
      </c>
      <c r="AN127" s="1">
        <f t="shared" si="234"/>
        <v>0</v>
      </c>
      <c r="AO127" s="1">
        <f t="shared" si="234"/>
        <v>0</v>
      </c>
      <c r="AP127" s="1">
        <f t="shared" si="234"/>
        <v>0</v>
      </c>
      <c r="AQ127" s="1">
        <f t="shared" si="234"/>
        <v>0</v>
      </c>
      <c r="AR127" s="3">
        <f t="shared" si="219"/>
        <v>0</v>
      </c>
      <c r="AT127" s="8">
        <f>IF(AR127=0,0,+AR127/PassVol!AR80)</f>
        <v>0</v>
      </c>
    </row>
    <row r="128" spans="1:47" x14ac:dyDescent="0.25">
      <c r="C128" t="s">
        <v>550</v>
      </c>
      <c r="D128" s="1">
        <f t="shared" si="222"/>
        <v>0</v>
      </c>
      <c r="E128" s="1">
        <f t="shared" si="222"/>
        <v>0</v>
      </c>
      <c r="F128" s="1">
        <f t="shared" si="222"/>
        <v>0</v>
      </c>
      <c r="G128" s="1">
        <f t="shared" si="222"/>
        <v>0</v>
      </c>
      <c r="H128" s="1">
        <f t="shared" si="222"/>
        <v>0</v>
      </c>
      <c r="I128" s="1">
        <f t="shared" si="222"/>
        <v>0</v>
      </c>
      <c r="J128" s="1">
        <f t="shared" si="222"/>
        <v>0</v>
      </c>
      <c r="K128" s="1">
        <f t="shared" ref="K128:Y128" si="235">+K104+K81</f>
        <v>0</v>
      </c>
      <c r="L128" s="1">
        <f t="shared" si="235"/>
        <v>0</v>
      </c>
      <c r="M128" s="1">
        <f t="shared" si="235"/>
        <v>1785.6</v>
      </c>
      <c r="N128" s="1">
        <f t="shared" si="235"/>
        <v>-18.600000000000001</v>
      </c>
      <c r="O128" s="1">
        <f t="shared" si="235"/>
        <v>530.28</v>
      </c>
      <c r="P128" s="1">
        <f t="shared" si="235"/>
        <v>0</v>
      </c>
      <c r="Q128" s="1">
        <f t="shared" si="235"/>
        <v>864.9</v>
      </c>
      <c r="R128" s="1">
        <f t="shared" si="235"/>
        <v>7440.4</v>
      </c>
      <c r="S128" s="1">
        <f t="shared" si="235"/>
        <v>10070.379999999999</v>
      </c>
      <c r="T128" s="1">
        <f t="shared" si="235"/>
        <v>0</v>
      </c>
      <c r="U128" s="1">
        <f t="shared" si="235"/>
        <v>3850.68</v>
      </c>
      <c r="V128" s="1">
        <f t="shared" si="235"/>
        <v>3811.5</v>
      </c>
      <c r="W128" s="1">
        <f t="shared" si="235"/>
        <v>1762.6799999999998</v>
      </c>
      <c r="X128" s="1">
        <f t="shared" si="235"/>
        <v>5157.5400000000009</v>
      </c>
      <c r="Y128" s="1">
        <f t="shared" si="235"/>
        <v>2236.98</v>
      </c>
      <c r="Z128" s="1">
        <f t="shared" ref="Z128:AQ128" si="236">+Z104+Z81</f>
        <v>1106.76</v>
      </c>
      <c r="AA128" s="1">
        <f t="shared" si="236"/>
        <v>1078.8</v>
      </c>
      <c r="AB128" s="1">
        <f t="shared" si="236"/>
        <v>1887.9</v>
      </c>
      <c r="AC128" s="1">
        <f t="shared" si="236"/>
        <v>1590.3</v>
      </c>
      <c r="AD128" s="1">
        <f t="shared" si="236"/>
        <v>2985.2999999999997</v>
      </c>
      <c r="AE128" s="1">
        <f t="shared" si="236"/>
        <v>1739.1</v>
      </c>
      <c r="AF128" s="1">
        <f t="shared" si="236"/>
        <v>139.5</v>
      </c>
      <c r="AG128" s="1">
        <f t="shared" si="236"/>
        <v>511.5</v>
      </c>
      <c r="AH128" s="1">
        <f t="shared" si="236"/>
        <v>1395</v>
      </c>
      <c r="AI128" s="1">
        <f t="shared" si="236"/>
        <v>1562.4</v>
      </c>
      <c r="AJ128" s="1">
        <f t="shared" si="236"/>
        <v>1776.3</v>
      </c>
      <c r="AK128" s="1">
        <f t="shared" si="236"/>
        <v>1134.5999999999999</v>
      </c>
      <c r="AL128" s="1">
        <f t="shared" si="236"/>
        <v>474.3</v>
      </c>
      <c r="AM128" s="1">
        <f t="shared" si="236"/>
        <v>641.69999999999993</v>
      </c>
      <c r="AN128" s="1">
        <f t="shared" si="236"/>
        <v>520.79999999999995</v>
      </c>
      <c r="AO128" s="1">
        <f t="shared" si="236"/>
        <v>-83.7</v>
      </c>
      <c r="AP128" s="1">
        <f t="shared" si="236"/>
        <v>0</v>
      </c>
      <c r="AQ128" s="1">
        <f t="shared" si="236"/>
        <v>0</v>
      </c>
      <c r="AR128" s="3">
        <f t="shared" si="219"/>
        <v>55952.900000000023</v>
      </c>
      <c r="AT128" s="8">
        <f>IF(AR128=0,0,+AR128/PassVol!AR81)</f>
        <v>9.7666084831558777</v>
      </c>
    </row>
    <row r="129" spans="1:47" x14ac:dyDescent="0.25">
      <c r="C129" t="s">
        <v>6</v>
      </c>
      <c r="D129" s="1">
        <f t="shared" si="222"/>
        <v>0</v>
      </c>
      <c r="E129" s="1">
        <f t="shared" si="222"/>
        <v>0</v>
      </c>
      <c r="F129" s="1">
        <f t="shared" si="222"/>
        <v>0</v>
      </c>
      <c r="G129" s="1">
        <f t="shared" si="222"/>
        <v>0</v>
      </c>
      <c r="H129" s="1">
        <f t="shared" si="222"/>
        <v>0</v>
      </c>
      <c r="I129" s="1">
        <f t="shared" si="222"/>
        <v>0</v>
      </c>
      <c r="J129" s="1">
        <f t="shared" si="222"/>
        <v>0</v>
      </c>
      <c r="K129" s="1">
        <f t="shared" ref="K129:Y129" si="237">+K105+K82</f>
        <v>0</v>
      </c>
      <c r="L129" s="1">
        <f t="shared" si="237"/>
        <v>38966.400000000001</v>
      </c>
      <c r="M129" s="1">
        <f t="shared" si="237"/>
        <v>16236</v>
      </c>
      <c r="N129" s="1">
        <f t="shared" si="237"/>
        <v>16434.84</v>
      </c>
      <c r="O129" s="1">
        <f t="shared" si="237"/>
        <v>16236</v>
      </c>
      <c r="P129" s="1">
        <f t="shared" si="237"/>
        <v>12588.800000000001</v>
      </c>
      <c r="Q129" s="1">
        <f t="shared" si="237"/>
        <v>38866.400000000001</v>
      </c>
      <c r="R129" s="1">
        <f t="shared" si="237"/>
        <v>12988.800000000001</v>
      </c>
      <c r="S129" s="1">
        <f t="shared" si="237"/>
        <v>14612.4</v>
      </c>
      <c r="T129" s="1">
        <f t="shared" si="237"/>
        <v>16184.16</v>
      </c>
      <c r="U129" s="1">
        <f t="shared" si="237"/>
        <v>11289.6</v>
      </c>
      <c r="V129" s="1">
        <f t="shared" si="237"/>
        <v>10039.68</v>
      </c>
      <c r="W129" s="1">
        <f t="shared" si="237"/>
        <v>8255.52</v>
      </c>
      <c r="X129" s="1">
        <f t="shared" si="237"/>
        <v>0</v>
      </c>
      <c r="Y129" s="1">
        <f t="shared" si="237"/>
        <v>9084.6</v>
      </c>
      <c r="Z129" s="1">
        <f t="shared" ref="Z129:AQ129" si="238">+Z105+Z82</f>
        <v>-558.6</v>
      </c>
      <c r="AA129" s="1">
        <f t="shared" si="238"/>
        <v>7644</v>
      </c>
      <c r="AB129" s="1">
        <f t="shared" si="238"/>
        <v>0</v>
      </c>
      <c r="AC129" s="1">
        <f t="shared" si="238"/>
        <v>7938</v>
      </c>
      <c r="AD129" s="1">
        <f t="shared" si="238"/>
        <v>0</v>
      </c>
      <c r="AE129" s="1">
        <f t="shared" si="238"/>
        <v>6350.4</v>
      </c>
      <c r="AF129" s="1">
        <f t="shared" si="238"/>
        <v>-58.8</v>
      </c>
      <c r="AG129" s="1">
        <f t="shared" si="238"/>
        <v>0</v>
      </c>
      <c r="AH129" s="1">
        <f t="shared" si="238"/>
        <v>31752</v>
      </c>
      <c r="AI129" s="1">
        <f t="shared" si="238"/>
        <v>0</v>
      </c>
      <c r="AJ129" s="1">
        <f t="shared" si="238"/>
        <v>0</v>
      </c>
      <c r="AK129" s="1">
        <f t="shared" si="238"/>
        <v>0</v>
      </c>
      <c r="AL129" s="1">
        <f t="shared" si="238"/>
        <v>0</v>
      </c>
      <c r="AM129" s="1">
        <f t="shared" si="238"/>
        <v>0</v>
      </c>
      <c r="AN129" s="1">
        <f t="shared" si="238"/>
        <v>0</v>
      </c>
      <c r="AO129" s="1">
        <f t="shared" si="238"/>
        <v>0</v>
      </c>
      <c r="AP129" s="1">
        <f t="shared" si="238"/>
        <v>0</v>
      </c>
      <c r="AQ129" s="1">
        <f t="shared" si="238"/>
        <v>0</v>
      </c>
      <c r="AR129" s="3">
        <f t="shared" ref="AR129:AR137" si="239">SUM(D129:AQ129)</f>
        <v>274850.19999999995</v>
      </c>
      <c r="AT129" s="8">
        <f>IF(AR129=0,0,+AR129/PassVol!AR82)</f>
        <v>5.9607503795272168</v>
      </c>
    </row>
    <row r="130" spans="1:47" x14ac:dyDescent="0.25">
      <c r="C130" t="s">
        <v>262</v>
      </c>
      <c r="D130" s="1">
        <f t="shared" si="222"/>
        <v>0</v>
      </c>
      <c r="E130" s="1">
        <f t="shared" si="222"/>
        <v>0</v>
      </c>
      <c r="F130" s="1">
        <f t="shared" si="222"/>
        <v>0</v>
      </c>
      <c r="G130" s="1">
        <f t="shared" si="222"/>
        <v>0</v>
      </c>
      <c r="H130" s="1">
        <f t="shared" si="222"/>
        <v>0</v>
      </c>
      <c r="I130" s="1">
        <f t="shared" si="222"/>
        <v>0</v>
      </c>
      <c r="J130" s="1">
        <f t="shared" si="222"/>
        <v>0</v>
      </c>
      <c r="K130" s="1">
        <f t="shared" ref="K130:Y130" si="240">+K106+K83</f>
        <v>0</v>
      </c>
      <c r="L130" s="1">
        <f t="shared" si="240"/>
        <v>230.04000000000002</v>
      </c>
      <c r="M130" s="1">
        <f t="shared" si="240"/>
        <v>4863.6000000000004</v>
      </c>
      <c r="N130" s="1">
        <f t="shared" si="240"/>
        <v>3152.7</v>
      </c>
      <c r="O130" s="1">
        <f t="shared" si="240"/>
        <v>5982.66</v>
      </c>
      <c r="P130" s="1">
        <f t="shared" si="240"/>
        <v>5030.32</v>
      </c>
      <c r="Q130" s="1">
        <f t="shared" si="240"/>
        <v>5022</v>
      </c>
      <c r="R130" s="1">
        <f t="shared" si="240"/>
        <v>3291.66</v>
      </c>
      <c r="S130" s="1">
        <f t="shared" si="240"/>
        <v>5508.51</v>
      </c>
      <c r="T130" s="1">
        <f t="shared" si="240"/>
        <v>2851.7499999999995</v>
      </c>
      <c r="U130" s="1">
        <f t="shared" si="240"/>
        <v>2687.52</v>
      </c>
      <c r="V130" s="1">
        <f t="shared" si="240"/>
        <v>3014.34</v>
      </c>
      <c r="W130" s="1">
        <f t="shared" si="240"/>
        <v>3780.84</v>
      </c>
      <c r="X130" s="1">
        <f t="shared" si="240"/>
        <v>2541.84</v>
      </c>
      <c r="Y130" s="1">
        <f t="shared" si="240"/>
        <v>1210.92</v>
      </c>
      <c r="Z130" s="1">
        <f t="shared" ref="Z130:AQ130" si="241">+Z106+Z83</f>
        <v>875.76</v>
      </c>
      <c r="AA130" s="1">
        <f t="shared" si="241"/>
        <v>-46.5</v>
      </c>
      <c r="AB130" s="1">
        <f t="shared" si="241"/>
        <v>948.6</v>
      </c>
      <c r="AC130" s="1">
        <f t="shared" si="241"/>
        <v>186</v>
      </c>
      <c r="AD130" s="1">
        <f t="shared" si="241"/>
        <v>0</v>
      </c>
      <c r="AE130" s="1">
        <f t="shared" si="241"/>
        <v>306.89999999999998</v>
      </c>
      <c r="AF130" s="1">
        <f t="shared" si="241"/>
        <v>874.19999999999993</v>
      </c>
      <c r="AG130" s="1">
        <f t="shared" si="241"/>
        <v>0</v>
      </c>
      <c r="AH130" s="1">
        <f t="shared" si="241"/>
        <v>0</v>
      </c>
      <c r="AI130" s="1">
        <f t="shared" si="241"/>
        <v>0</v>
      </c>
      <c r="AJ130" s="1">
        <f t="shared" si="241"/>
        <v>0</v>
      </c>
      <c r="AK130" s="1">
        <f t="shared" si="241"/>
        <v>1088.0999999999999</v>
      </c>
      <c r="AL130" s="1">
        <f t="shared" si="241"/>
        <v>1478.7</v>
      </c>
      <c r="AM130" s="1">
        <f t="shared" si="241"/>
        <v>279</v>
      </c>
      <c r="AN130" s="1">
        <f t="shared" si="241"/>
        <v>-32.46</v>
      </c>
      <c r="AO130" s="1">
        <f t="shared" si="241"/>
        <v>0</v>
      </c>
      <c r="AP130" s="1">
        <f t="shared" si="241"/>
        <v>0</v>
      </c>
      <c r="AQ130" s="1">
        <f t="shared" si="241"/>
        <v>0</v>
      </c>
      <c r="AR130" s="3">
        <f t="shared" si="239"/>
        <v>55126.999999999978</v>
      </c>
      <c r="AT130" s="8">
        <f>IF(AR130=0,0,+AR130/PassVol!AR83)</f>
        <v>9.6073544789125087</v>
      </c>
    </row>
    <row r="131" spans="1:47" x14ac:dyDescent="0.25">
      <c r="C131" t="s">
        <v>42</v>
      </c>
      <c r="D131" s="1">
        <f t="shared" si="222"/>
        <v>0</v>
      </c>
      <c r="E131" s="1">
        <f t="shared" si="222"/>
        <v>0</v>
      </c>
      <c r="F131" s="1">
        <f t="shared" si="222"/>
        <v>0</v>
      </c>
      <c r="G131" s="1">
        <f t="shared" si="222"/>
        <v>0</v>
      </c>
      <c r="H131" s="1">
        <f t="shared" si="222"/>
        <v>0</v>
      </c>
      <c r="I131" s="1">
        <f t="shared" si="222"/>
        <v>0</v>
      </c>
      <c r="J131" s="1">
        <f t="shared" si="222"/>
        <v>0</v>
      </c>
      <c r="K131" s="1">
        <f t="shared" ref="K131:Y131" si="242">+K107+K84</f>
        <v>0</v>
      </c>
      <c r="L131" s="1">
        <f t="shared" si="242"/>
        <v>12112.56</v>
      </c>
      <c r="M131" s="1">
        <f t="shared" si="242"/>
        <v>0</v>
      </c>
      <c r="N131" s="1">
        <f t="shared" si="242"/>
        <v>3172.5</v>
      </c>
      <c r="O131" s="1">
        <f t="shared" si="242"/>
        <v>1669.4399999999998</v>
      </c>
      <c r="P131" s="1">
        <f t="shared" si="242"/>
        <v>6065.82</v>
      </c>
      <c r="Q131" s="1">
        <f t="shared" si="242"/>
        <v>3356.46</v>
      </c>
      <c r="R131" s="1">
        <f t="shared" si="242"/>
        <v>3477.06</v>
      </c>
      <c r="S131" s="1">
        <f t="shared" si="242"/>
        <v>2867.94</v>
      </c>
      <c r="T131" s="1">
        <f t="shared" si="242"/>
        <v>1531.26</v>
      </c>
      <c r="U131" s="1">
        <f t="shared" si="242"/>
        <v>6116.58</v>
      </c>
      <c r="V131" s="1">
        <f t="shared" si="242"/>
        <v>2791.8</v>
      </c>
      <c r="W131" s="1">
        <f t="shared" si="242"/>
        <v>3361.6800000000003</v>
      </c>
      <c r="X131" s="1">
        <f t="shared" si="242"/>
        <v>5177.5199999999995</v>
      </c>
      <c r="Y131" s="1">
        <f t="shared" si="242"/>
        <v>1387.44</v>
      </c>
      <c r="Z131" s="1">
        <f t="shared" ref="Z131:AQ131" si="243">+Z107+Z84</f>
        <v>659.88</v>
      </c>
      <c r="AA131" s="1">
        <f t="shared" si="243"/>
        <v>448.38</v>
      </c>
      <c r="AB131" s="1">
        <f t="shared" si="243"/>
        <v>0</v>
      </c>
      <c r="AC131" s="1">
        <f t="shared" si="243"/>
        <v>456.84</v>
      </c>
      <c r="AD131" s="1">
        <f t="shared" si="243"/>
        <v>0</v>
      </c>
      <c r="AE131" s="1">
        <f t="shared" si="243"/>
        <v>473.76</v>
      </c>
      <c r="AF131" s="1">
        <f t="shared" si="243"/>
        <v>499.14</v>
      </c>
      <c r="AG131" s="1">
        <f t="shared" si="243"/>
        <v>304.56</v>
      </c>
      <c r="AH131" s="1">
        <f t="shared" si="243"/>
        <v>228.42</v>
      </c>
      <c r="AI131" s="1">
        <f t="shared" si="243"/>
        <v>152.28</v>
      </c>
      <c r="AJ131" s="1">
        <f t="shared" si="243"/>
        <v>380.7</v>
      </c>
      <c r="AK131" s="1">
        <f t="shared" si="243"/>
        <v>0</v>
      </c>
      <c r="AL131" s="1">
        <f t="shared" si="243"/>
        <v>0</v>
      </c>
      <c r="AM131" s="1">
        <f t="shared" si="243"/>
        <v>0</v>
      </c>
      <c r="AN131" s="1">
        <f t="shared" si="243"/>
        <v>177.6</v>
      </c>
      <c r="AO131" s="1">
        <f t="shared" si="243"/>
        <v>-33.840000000000003</v>
      </c>
      <c r="AP131" s="1">
        <f t="shared" si="243"/>
        <v>0</v>
      </c>
      <c r="AQ131" s="1">
        <f t="shared" si="243"/>
        <v>0</v>
      </c>
      <c r="AR131" s="3">
        <f t="shared" si="239"/>
        <v>56835.779999999992</v>
      </c>
      <c r="AT131" s="8">
        <f>IF(AR131=0,0,+AR131/PassVol!AR84)</f>
        <v>8.6310979498861027</v>
      </c>
    </row>
    <row r="132" spans="1:47" x14ac:dyDescent="0.25">
      <c r="C132" t="s">
        <v>192</v>
      </c>
      <c r="D132" s="1">
        <f t="shared" si="222"/>
        <v>0</v>
      </c>
      <c r="E132" s="1">
        <f t="shared" si="222"/>
        <v>0</v>
      </c>
      <c r="F132" s="1">
        <f t="shared" si="222"/>
        <v>0</v>
      </c>
      <c r="G132" s="1">
        <f t="shared" si="222"/>
        <v>0</v>
      </c>
      <c r="H132" s="1">
        <f t="shared" si="222"/>
        <v>0</v>
      </c>
      <c r="I132" s="1">
        <f t="shared" si="222"/>
        <v>0</v>
      </c>
      <c r="J132" s="1">
        <f t="shared" si="222"/>
        <v>0</v>
      </c>
      <c r="K132" s="1">
        <f t="shared" ref="K132:Y132" si="244">+K108+K85</f>
        <v>0</v>
      </c>
      <c r="L132" s="1">
        <f t="shared" si="244"/>
        <v>0</v>
      </c>
      <c r="M132" s="1">
        <f t="shared" si="244"/>
        <v>14940.720000000001</v>
      </c>
      <c r="N132" s="1">
        <f t="shared" si="244"/>
        <v>1914.1799999999998</v>
      </c>
      <c r="O132" s="1">
        <f t="shared" si="244"/>
        <v>4322.4000000000005</v>
      </c>
      <c r="P132" s="1">
        <f t="shared" si="244"/>
        <v>12301.32</v>
      </c>
      <c r="Q132" s="1">
        <f t="shared" si="244"/>
        <v>4127.76</v>
      </c>
      <c r="R132" s="1">
        <f t="shared" si="244"/>
        <v>12753.72</v>
      </c>
      <c r="S132" s="1">
        <f t="shared" si="244"/>
        <v>2512.4100000000003</v>
      </c>
      <c r="T132" s="1">
        <f t="shared" si="244"/>
        <v>5488.02</v>
      </c>
      <c r="U132" s="1">
        <f t="shared" si="244"/>
        <v>6793.56</v>
      </c>
      <c r="V132" s="1">
        <f t="shared" si="244"/>
        <v>4767.2259999999997</v>
      </c>
      <c r="W132" s="1">
        <f t="shared" si="244"/>
        <v>9067.14</v>
      </c>
      <c r="X132" s="1">
        <f t="shared" si="244"/>
        <v>7179.36</v>
      </c>
      <c r="Y132" s="1">
        <f t="shared" si="244"/>
        <v>1481.76</v>
      </c>
      <c r="Z132" s="1">
        <f t="shared" ref="Z132:AQ132" si="245">+Z108+Z85</f>
        <v>1534.68</v>
      </c>
      <c r="AA132" s="1">
        <f t="shared" si="245"/>
        <v>873.18000000000006</v>
      </c>
      <c r="AB132" s="1">
        <f t="shared" si="245"/>
        <v>837.9</v>
      </c>
      <c r="AC132" s="1">
        <f t="shared" si="245"/>
        <v>1084.8599999999999</v>
      </c>
      <c r="AD132" s="1">
        <f t="shared" si="245"/>
        <v>264.60000000000002</v>
      </c>
      <c r="AE132" s="1">
        <f t="shared" si="245"/>
        <v>0</v>
      </c>
      <c r="AF132" s="1">
        <f t="shared" si="245"/>
        <v>-44.1</v>
      </c>
      <c r="AG132" s="1">
        <f t="shared" si="245"/>
        <v>0</v>
      </c>
      <c r="AH132" s="1">
        <f t="shared" si="245"/>
        <v>5821.2</v>
      </c>
      <c r="AI132" s="1">
        <f t="shared" si="245"/>
        <v>792.32999999999993</v>
      </c>
      <c r="AJ132" s="1">
        <f t="shared" si="245"/>
        <v>1614.06</v>
      </c>
      <c r="AK132" s="1">
        <f t="shared" si="245"/>
        <v>-26.46</v>
      </c>
      <c r="AL132" s="1">
        <f t="shared" si="245"/>
        <v>0</v>
      </c>
      <c r="AM132" s="1">
        <f t="shared" si="245"/>
        <v>0</v>
      </c>
      <c r="AN132" s="1">
        <f t="shared" si="245"/>
        <v>0</v>
      </c>
      <c r="AO132" s="1">
        <f t="shared" si="245"/>
        <v>0</v>
      </c>
      <c r="AP132" s="1">
        <f t="shared" si="245"/>
        <v>0</v>
      </c>
      <c r="AQ132" s="1">
        <f t="shared" si="245"/>
        <v>0</v>
      </c>
      <c r="AR132" s="3">
        <f t="shared" si="239"/>
        <v>100401.82599999997</v>
      </c>
      <c r="AT132" s="8">
        <f>IF(AR132=0,0,+AR132/PassVol!AR85)</f>
        <v>8.9700550343964949</v>
      </c>
    </row>
    <row r="133" spans="1:47" x14ac:dyDescent="0.25">
      <c r="C133" t="s">
        <v>133</v>
      </c>
      <c r="D133" s="1">
        <f t="shared" si="222"/>
        <v>0</v>
      </c>
      <c r="E133" s="1">
        <f t="shared" si="222"/>
        <v>0</v>
      </c>
      <c r="F133" s="1">
        <f t="shared" si="222"/>
        <v>0</v>
      </c>
      <c r="G133" s="1">
        <f t="shared" si="222"/>
        <v>0</v>
      </c>
      <c r="H133" s="1">
        <f t="shared" si="222"/>
        <v>0</v>
      </c>
      <c r="I133" s="1">
        <f t="shared" si="222"/>
        <v>0</v>
      </c>
      <c r="J133" s="1">
        <f t="shared" si="222"/>
        <v>0</v>
      </c>
      <c r="K133" s="1">
        <f t="shared" ref="K133:Y133" si="246">+K109+K86</f>
        <v>0</v>
      </c>
      <c r="L133" s="1">
        <f t="shared" si="246"/>
        <v>2317.5</v>
      </c>
      <c r="M133" s="1">
        <f t="shared" si="246"/>
        <v>976.5</v>
      </c>
      <c r="N133" s="1">
        <f t="shared" si="246"/>
        <v>2477.6999999999998</v>
      </c>
      <c r="O133" s="1">
        <f t="shared" si="246"/>
        <v>2739.12</v>
      </c>
      <c r="P133" s="1">
        <f t="shared" si="246"/>
        <v>4689.18</v>
      </c>
      <c r="Q133" s="1">
        <f t="shared" si="246"/>
        <v>3269.3999999999996</v>
      </c>
      <c r="R133" s="1">
        <f t="shared" si="246"/>
        <v>2525.3999999999996</v>
      </c>
      <c r="S133" s="1">
        <f t="shared" si="246"/>
        <v>3823.2000000000003</v>
      </c>
      <c r="T133" s="1">
        <f t="shared" si="246"/>
        <v>6202.7999999999993</v>
      </c>
      <c r="U133" s="1">
        <f t="shared" si="246"/>
        <v>4473.2999999999993</v>
      </c>
      <c r="V133" s="1">
        <f t="shared" si="246"/>
        <v>2492.3999999999996</v>
      </c>
      <c r="W133" s="1">
        <f t="shared" si="246"/>
        <v>2864.46</v>
      </c>
      <c r="X133" s="1">
        <f t="shared" si="246"/>
        <v>4031.8800000000006</v>
      </c>
      <c r="Y133" s="1">
        <f t="shared" si="246"/>
        <v>1692.72</v>
      </c>
      <c r="Z133" s="1">
        <f t="shared" ref="Z133:AQ133" si="247">+Z109+Z86</f>
        <v>1683.54</v>
      </c>
      <c r="AA133" s="1">
        <f t="shared" si="247"/>
        <v>948.83999999999992</v>
      </c>
      <c r="AB133" s="1">
        <f t="shared" si="247"/>
        <v>902.1</v>
      </c>
      <c r="AC133" s="1">
        <f t="shared" si="247"/>
        <v>771.90000000000009</v>
      </c>
      <c r="AD133" s="1">
        <f t="shared" si="247"/>
        <v>669.6</v>
      </c>
      <c r="AE133" s="1">
        <f t="shared" si="247"/>
        <v>530.09999999999991</v>
      </c>
      <c r="AF133" s="1">
        <f t="shared" si="247"/>
        <v>595.19999999999993</v>
      </c>
      <c r="AG133" s="1">
        <f t="shared" si="247"/>
        <v>641.70000000000005</v>
      </c>
      <c r="AH133" s="1">
        <f t="shared" si="247"/>
        <v>542.5</v>
      </c>
      <c r="AI133" s="1">
        <f t="shared" si="247"/>
        <v>809.1</v>
      </c>
      <c r="AJ133" s="1">
        <f t="shared" si="247"/>
        <v>176.7</v>
      </c>
      <c r="AK133" s="1">
        <f t="shared" si="247"/>
        <v>0</v>
      </c>
      <c r="AL133" s="1">
        <f t="shared" si="247"/>
        <v>306.89999999999998</v>
      </c>
      <c r="AM133" s="1">
        <f t="shared" si="247"/>
        <v>279</v>
      </c>
      <c r="AN133" s="1">
        <f t="shared" si="247"/>
        <v>251.1</v>
      </c>
      <c r="AO133" s="1">
        <f t="shared" si="247"/>
        <v>0</v>
      </c>
      <c r="AP133" s="1">
        <f t="shared" si="247"/>
        <v>0</v>
      </c>
      <c r="AQ133" s="1">
        <f t="shared" si="247"/>
        <v>0</v>
      </c>
      <c r="AR133" s="3">
        <f t="shared" si="239"/>
        <v>53683.839999999989</v>
      </c>
      <c r="AT133" s="8">
        <f>IF(AR133=0,0,+AR133/PassVol!AR86)</f>
        <v>9.4730615846126671</v>
      </c>
    </row>
    <row r="134" spans="1:47" x14ac:dyDescent="0.25">
      <c r="C134" t="s">
        <v>41</v>
      </c>
      <c r="D134" s="1">
        <f t="shared" si="222"/>
        <v>0</v>
      </c>
      <c r="E134" s="1">
        <f t="shared" si="222"/>
        <v>0</v>
      </c>
      <c r="F134" s="1">
        <f t="shared" si="222"/>
        <v>0</v>
      </c>
      <c r="G134" s="1">
        <f t="shared" si="222"/>
        <v>0</v>
      </c>
      <c r="H134" s="1">
        <f t="shared" si="222"/>
        <v>0</v>
      </c>
      <c r="I134" s="1">
        <f t="shared" si="222"/>
        <v>0</v>
      </c>
      <c r="J134" s="1">
        <f t="shared" si="222"/>
        <v>0</v>
      </c>
      <c r="K134" s="1">
        <f t="shared" ref="K134:Y134" si="248">+K110+K87</f>
        <v>0</v>
      </c>
      <c r="L134" s="1">
        <f t="shared" si="248"/>
        <v>21426.06</v>
      </c>
      <c r="M134" s="1">
        <f t="shared" si="248"/>
        <v>5767.98</v>
      </c>
      <c r="N134" s="1">
        <f t="shared" si="248"/>
        <v>6450.1200000000008</v>
      </c>
      <c r="O134" s="1">
        <f t="shared" si="248"/>
        <v>24101.7</v>
      </c>
      <c r="P134" s="1">
        <f t="shared" si="248"/>
        <v>13414.68</v>
      </c>
      <c r="Q134" s="1">
        <f t="shared" si="248"/>
        <v>17688.900000000001</v>
      </c>
      <c r="R134" s="1">
        <f t="shared" si="248"/>
        <v>14529.599999999999</v>
      </c>
      <c r="S134" s="1">
        <f t="shared" si="248"/>
        <v>10874.28</v>
      </c>
      <c r="T134" s="1">
        <f t="shared" si="248"/>
        <v>23266.14</v>
      </c>
      <c r="U134" s="1">
        <f t="shared" si="248"/>
        <v>17150.04</v>
      </c>
      <c r="V134" s="1">
        <f t="shared" si="248"/>
        <v>16136.46</v>
      </c>
      <c r="W134" s="1">
        <f t="shared" si="248"/>
        <v>16759.86</v>
      </c>
      <c r="X134" s="1">
        <f t="shared" si="248"/>
        <v>26831.52</v>
      </c>
      <c r="Y134" s="1">
        <f t="shared" si="248"/>
        <v>16196.58</v>
      </c>
      <c r="Z134" s="1">
        <f t="shared" ref="Z134:AQ134" si="249">+Z110+Z87</f>
        <v>7262.1799999999994</v>
      </c>
      <c r="AA134" s="1">
        <f t="shared" si="249"/>
        <v>6620.04</v>
      </c>
      <c r="AB134" s="1">
        <f t="shared" si="249"/>
        <v>3059.7000000000003</v>
      </c>
      <c r="AC134" s="1">
        <f t="shared" si="249"/>
        <v>5049.8999999999996</v>
      </c>
      <c r="AD134" s="1">
        <f t="shared" si="249"/>
        <v>2222.7000000000003</v>
      </c>
      <c r="AE134" s="1">
        <f t="shared" si="249"/>
        <v>5561.4</v>
      </c>
      <c r="AF134" s="1">
        <f t="shared" si="249"/>
        <v>3534</v>
      </c>
      <c r="AG134" s="1">
        <f t="shared" si="249"/>
        <v>2678.4</v>
      </c>
      <c r="AH134" s="1">
        <f t="shared" si="249"/>
        <v>7551.6</v>
      </c>
      <c r="AI134" s="1">
        <f t="shared" si="249"/>
        <v>3764.95</v>
      </c>
      <c r="AJ134" s="1">
        <f t="shared" si="249"/>
        <v>3041.1</v>
      </c>
      <c r="AK134" s="1">
        <f t="shared" si="249"/>
        <v>2148.3000000000002</v>
      </c>
      <c r="AL134" s="1">
        <f t="shared" si="249"/>
        <v>1450.8000000000002</v>
      </c>
      <c r="AM134" s="1">
        <f t="shared" si="249"/>
        <v>1937.5</v>
      </c>
      <c r="AN134" s="1">
        <f t="shared" si="249"/>
        <v>902.1</v>
      </c>
      <c r="AO134" s="1">
        <f t="shared" si="249"/>
        <v>-55.800000000000004</v>
      </c>
      <c r="AP134" s="1">
        <f t="shared" si="249"/>
        <v>0</v>
      </c>
      <c r="AQ134" s="1">
        <f t="shared" si="249"/>
        <v>0</v>
      </c>
      <c r="AR134" s="3">
        <f t="shared" si="239"/>
        <v>287322.78999999992</v>
      </c>
      <c r="AT134" s="8">
        <f>IF(AR134=0,0,+AR134/PassVol!AR87)</f>
        <v>9.6001466804771258</v>
      </c>
    </row>
    <row r="135" spans="1:47" x14ac:dyDescent="0.25">
      <c r="C135" t="s">
        <v>193</v>
      </c>
      <c r="D135" s="1">
        <f t="shared" si="222"/>
        <v>0</v>
      </c>
      <c r="E135" s="1">
        <f t="shared" si="222"/>
        <v>0</v>
      </c>
      <c r="F135" s="1">
        <f t="shared" si="222"/>
        <v>0</v>
      </c>
      <c r="G135" s="1">
        <f t="shared" si="222"/>
        <v>0</v>
      </c>
      <c r="H135" s="1">
        <f t="shared" si="222"/>
        <v>0</v>
      </c>
      <c r="I135" s="1">
        <f t="shared" si="222"/>
        <v>0</v>
      </c>
      <c r="J135" s="1">
        <f t="shared" si="222"/>
        <v>0</v>
      </c>
      <c r="K135" s="1">
        <f t="shared" ref="K135:Y135" si="250">+K111+K88</f>
        <v>0</v>
      </c>
      <c r="L135" s="1">
        <f t="shared" si="250"/>
        <v>0</v>
      </c>
      <c r="M135" s="1">
        <f t="shared" si="250"/>
        <v>0</v>
      </c>
      <c r="N135" s="1">
        <f t="shared" si="250"/>
        <v>0</v>
      </c>
      <c r="O135" s="1">
        <f t="shared" si="250"/>
        <v>0</v>
      </c>
      <c r="P135" s="1">
        <f t="shared" si="250"/>
        <v>0</v>
      </c>
      <c r="Q135" s="1">
        <f t="shared" si="250"/>
        <v>0</v>
      </c>
      <c r="R135" s="1">
        <f t="shared" si="250"/>
        <v>0</v>
      </c>
      <c r="S135" s="1">
        <f t="shared" si="250"/>
        <v>0</v>
      </c>
      <c r="T135" s="1">
        <f t="shared" si="250"/>
        <v>0</v>
      </c>
      <c r="U135" s="1">
        <f t="shared" si="250"/>
        <v>0</v>
      </c>
      <c r="V135" s="1">
        <f t="shared" si="250"/>
        <v>0</v>
      </c>
      <c r="W135" s="1">
        <f t="shared" si="250"/>
        <v>0</v>
      </c>
      <c r="X135" s="1">
        <f t="shared" si="250"/>
        <v>0</v>
      </c>
      <c r="Y135" s="1">
        <f t="shared" si="250"/>
        <v>0</v>
      </c>
      <c r="Z135" s="1">
        <f t="shared" ref="Z135:AQ135" si="251">+Z111+Z88</f>
        <v>0</v>
      </c>
      <c r="AA135" s="1">
        <f t="shared" si="251"/>
        <v>0</v>
      </c>
      <c r="AB135" s="1">
        <f t="shared" si="251"/>
        <v>0</v>
      </c>
      <c r="AC135" s="1">
        <f t="shared" si="251"/>
        <v>0</v>
      </c>
      <c r="AD135" s="1">
        <f t="shared" si="251"/>
        <v>0</v>
      </c>
      <c r="AE135" s="1">
        <f t="shared" si="251"/>
        <v>0</v>
      </c>
      <c r="AF135" s="1">
        <f t="shared" si="251"/>
        <v>0</v>
      </c>
      <c r="AG135" s="1">
        <f t="shared" si="251"/>
        <v>0</v>
      </c>
      <c r="AH135" s="1">
        <f t="shared" si="251"/>
        <v>0</v>
      </c>
      <c r="AI135" s="1">
        <f t="shared" si="251"/>
        <v>0</v>
      </c>
      <c r="AJ135" s="1">
        <f t="shared" si="251"/>
        <v>0</v>
      </c>
      <c r="AK135" s="1">
        <f t="shared" si="251"/>
        <v>0</v>
      </c>
      <c r="AL135" s="1">
        <f t="shared" si="251"/>
        <v>0</v>
      </c>
      <c r="AM135" s="1">
        <f t="shared" si="251"/>
        <v>0</v>
      </c>
      <c r="AN135" s="1">
        <f t="shared" si="251"/>
        <v>0</v>
      </c>
      <c r="AO135" s="1">
        <f t="shared" si="251"/>
        <v>0</v>
      </c>
      <c r="AP135" s="1">
        <f t="shared" si="251"/>
        <v>0</v>
      </c>
      <c r="AQ135" s="1">
        <f t="shared" si="251"/>
        <v>0</v>
      </c>
      <c r="AR135" s="3">
        <f t="shared" si="239"/>
        <v>0</v>
      </c>
      <c r="AT135" s="8">
        <f>IF(AR135=0,0,+AR135/PassVol!AR88)</f>
        <v>0</v>
      </c>
    </row>
    <row r="136" spans="1:47" x14ac:dyDescent="0.25">
      <c r="C136" t="s">
        <v>297</v>
      </c>
      <c r="D136" s="1">
        <f t="shared" si="222"/>
        <v>0</v>
      </c>
      <c r="E136" s="1">
        <f t="shared" si="222"/>
        <v>0</v>
      </c>
      <c r="F136" s="1">
        <f t="shared" si="222"/>
        <v>0</v>
      </c>
      <c r="G136" s="1">
        <f t="shared" si="222"/>
        <v>0</v>
      </c>
      <c r="H136" s="1">
        <f t="shared" si="222"/>
        <v>0</v>
      </c>
      <c r="I136" s="1">
        <f t="shared" si="222"/>
        <v>0</v>
      </c>
      <c r="J136" s="1">
        <f t="shared" si="222"/>
        <v>0</v>
      </c>
      <c r="K136" s="1">
        <f t="shared" ref="K136:Y136" si="252">+K112+K89</f>
        <v>0</v>
      </c>
      <c r="L136" s="1">
        <f t="shared" si="252"/>
        <v>0</v>
      </c>
      <c r="M136" s="1">
        <f t="shared" si="252"/>
        <v>0</v>
      </c>
      <c r="N136" s="1">
        <f t="shared" si="252"/>
        <v>0</v>
      </c>
      <c r="O136" s="1">
        <f t="shared" si="252"/>
        <v>0</v>
      </c>
      <c r="P136" s="1">
        <f t="shared" si="252"/>
        <v>0</v>
      </c>
      <c r="Q136" s="1">
        <f t="shared" si="252"/>
        <v>0</v>
      </c>
      <c r="R136" s="1">
        <f t="shared" si="252"/>
        <v>0</v>
      </c>
      <c r="S136" s="1">
        <f t="shared" si="252"/>
        <v>0</v>
      </c>
      <c r="T136" s="1">
        <f t="shared" si="252"/>
        <v>0</v>
      </c>
      <c r="U136" s="1">
        <f t="shared" si="252"/>
        <v>0</v>
      </c>
      <c r="V136" s="1">
        <f t="shared" si="252"/>
        <v>0</v>
      </c>
      <c r="W136" s="1">
        <f t="shared" si="252"/>
        <v>0</v>
      </c>
      <c r="X136" s="1">
        <f t="shared" si="252"/>
        <v>0</v>
      </c>
      <c r="Y136" s="1">
        <f t="shared" si="252"/>
        <v>0</v>
      </c>
      <c r="Z136" s="1">
        <f t="shared" ref="Z136:AQ136" si="253">+Z112+Z89</f>
        <v>0</v>
      </c>
      <c r="AA136" s="1">
        <f t="shared" si="253"/>
        <v>0</v>
      </c>
      <c r="AB136" s="1">
        <f t="shared" si="253"/>
        <v>0</v>
      </c>
      <c r="AC136" s="1">
        <f t="shared" si="253"/>
        <v>0</v>
      </c>
      <c r="AD136" s="1">
        <f t="shared" si="253"/>
        <v>0</v>
      </c>
      <c r="AE136" s="1">
        <f t="shared" si="253"/>
        <v>0</v>
      </c>
      <c r="AF136" s="1">
        <f t="shared" si="253"/>
        <v>0</v>
      </c>
      <c r="AG136" s="1">
        <f t="shared" si="253"/>
        <v>0</v>
      </c>
      <c r="AH136" s="1">
        <f t="shared" si="253"/>
        <v>0</v>
      </c>
      <c r="AI136" s="1">
        <f t="shared" si="253"/>
        <v>0</v>
      </c>
      <c r="AJ136" s="1">
        <f t="shared" si="253"/>
        <v>0</v>
      </c>
      <c r="AK136" s="1">
        <f t="shared" si="253"/>
        <v>0</v>
      </c>
      <c r="AL136" s="1">
        <f t="shared" si="253"/>
        <v>0</v>
      </c>
      <c r="AM136" s="1">
        <f t="shared" si="253"/>
        <v>0</v>
      </c>
      <c r="AN136" s="1">
        <f t="shared" si="253"/>
        <v>0</v>
      </c>
      <c r="AO136" s="1">
        <f t="shared" si="253"/>
        <v>0</v>
      </c>
      <c r="AP136" s="1">
        <f t="shared" si="253"/>
        <v>0</v>
      </c>
      <c r="AQ136" s="1">
        <f t="shared" si="253"/>
        <v>0</v>
      </c>
      <c r="AR136" s="3">
        <f t="shared" si="239"/>
        <v>0</v>
      </c>
      <c r="AT136" s="8">
        <f>IF(AR136=0,0,+AR136/PassVol!AR89)</f>
        <v>0</v>
      </c>
    </row>
    <row r="137" spans="1:47" x14ac:dyDescent="0.25">
      <c r="C137" t="s">
        <v>296</v>
      </c>
      <c r="D137" s="1">
        <f t="shared" si="222"/>
        <v>0</v>
      </c>
      <c r="E137" s="1">
        <f t="shared" si="222"/>
        <v>0</v>
      </c>
      <c r="F137" s="1">
        <f t="shared" si="222"/>
        <v>0</v>
      </c>
      <c r="G137" s="1">
        <f t="shared" si="222"/>
        <v>0</v>
      </c>
      <c r="H137" s="1">
        <f t="shared" si="222"/>
        <v>0</v>
      </c>
      <c r="I137" s="1">
        <f t="shared" si="222"/>
        <v>0</v>
      </c>
      <c r="J137" s="1">
        <f t="shared" si="222"/>
        <v>0</v>
      </c>
      <c r="K137" s="1">
        <f t="shared" ref="K137:Y137" si="254">+K113+K90</f>
        <v>0</v>
      </c>
      <c r="L137" s="1">
        <f t="shared" si="254"/>
        <v>837.72</v>
      </c>
      <c r="M137" s="1">
        <f t="shared" si="254"/>
        <v>1249.02</v>
      </c>
      <c r="N137" s="1">
        <f t="shared" si="254"/>
        <v>1409.4</v>
      </c>
      <c r="O137" s="1">
        <f t="shared" si="254"/>
        <v>2254.3199999999997</v>
      </c>
      <c r="P137" s="1">
        <f t="shared" si="254"/>
        <v>2986.02</v>
      </c>
      <c r="Q137" s="1">
        <f t="shared" si="254"/>
        <v>1709.1</v>
      </c>
      <c r="R137" s="1">
        <f t="shared" si="254"/>
        <v>1178.8200000000002</v>
      </c>
      <c r="S137" s="1">
        <f t="shared" si="254"/>
        <v>1706.94</v>
      </c>
      <c r="T137" s="1">
        <f t="shared" si="254"/>
        <v>2874.42</v>
      </c>
      <c r="U137" s="1">
        <f t="shared" si="254"/>
        <v>3320.1</v>
      </c>
      <c r="V137" s="1">
        <f t="shared" si="254"/>
        <v>2760.12</v>
      </c>
      <c r="W137" s="1">
        <f t="shared" si="254"/>
        <v>3969.36</v>
      </c>
      <c r="X137" s="1">
        <f t="shared" si="254"/>
        <v>3108.78</v>
      </c>
      <c r="Y137" s="1">
        <f t="shared" si="254"/>
        <v>1530.0000000000002</v>
      </c>
      <c r="Z137" s="1">
        <f t="shared" ref="Z137:AQ137" si="255">+Z113+Z90</f>
        <v>1492.74</v>
      </c>
      <c r="AA137" s="1">
        <f t="shared" si="255"/>
        <v>1278.9000000000001</v>
      </c>
      <c r="AB137" s="1">
        <f t="shared" si="255"/>
        <v>1069.5</v>
      </c>
      <c r="AC137" s="1">
        <f t="shared" si="255"/>
        <v>1181.0999999999999</v>
      </c>
      <c r="AD137" s="1">
        <f t="shared" si="255"/>
        <v>306.89999999999998</v>
      </c>
      <c r="AE137" s="1">
        <f t="shared" si="255"/>
        <v>1134.5999999999999</v>
      </c>
      <c r="AF137" s="1">
        <f t="shared" si="255"/>
        <v>688.2</v>
      </c>
      <c r="AG137" s="1">
        <f t="shared" si="255"/>
        <v>279</v>
      </c>
      <c r="AH137" s="1">
        <f t="shared" si="255"/>
        <v>474.3</v>
      </c>
      <c r="AI137" s="1">
        <f t="shared" si="255"/>
        <v>390.6</v>
      </c>
      <c r="AJ137" s="1">
        <f t="shared" si="255"/>
        <v>809.1</v>
      </c>
      <c r="AK137" s="1">
        <f t="shared" si="255"/>
        <v>418.5</v>
      </c>
      <c r="AL137" s="1">
        <f t="shared" si="255"/>
        <v>279</v>
      </c>
      <c r="AM137" s="1">
        <f t="shared" si="255"/>
        <v>139.5</v>
      </c>
      <c r="AN137" s="1">
        <f t="shared" si="255"/>
        <v>-18.600000000000001</v>
      </c>
      <c r="AO137" s="1">
        <f t="shared" si="255"/>
        <v>0</v>
      </c>
      <c r="AP137" s="1">
        <f t="shared" si="255"/>
        <v>0</v>
      </c>
      <c r="AQ137" s="1">
        <f t="shared" si="255"/>
        <v>0</v>
      </c>
      <c r="AR137" s="3">
        <f t="shared" si="239"/>
        <v>40817.46</v>
      </c>
      <c r="AT137" s="8">
        <f>IF(AR137=0,0,+AR137/PassVol!AR90)</f>
        <v>9.485814547989774</v>
      </c>
    </row>
    <row r="138" spans="1:47" x14ac:dyDescent="0.25">
      <c r="C138" t="s">
        <v>44</v>
      </c>
      <c r="D138" s="1">
        <f>+D114+D91+D115</f>
        <v>0</v>
      </c>
      <c r="E138" s="1">
        <f t="shared" ref="E138:J138" si="256">+E114+E91+E115</f>
        <v>0</v>
      </c>
      <c r="F138" s="1">
        <f t="shared" si="256"/>
        <v>0</v>
      </c>
      <c r="G138" s="1">
        <f t="shared" si="256"/>
        <v>0</v>
      </c>
      <c r="H138" s="1">
        <f t="shared" si="256"/>
        <v>0</v>
      </c>
      <c r="I138" s="1">
        <f t="shared" si="256"/>
        <v>0</v>
      </c>
      <c r="J138" s="1">
        <f t="shared" si="256"/>
        <v>0</v>
      </c>
      <c r="K138" s="1">
        <f t="shared" ref="K138:AQ138" si="257">+K114+K91+K115</f>
        <v>0</v>
      </c>
      <c r="L138" s="1">
        <f t="shared" si="257"/>
        <v>33526.160000000003</v>
      </c>
      <c r="M138" s="1">
        <f t="shared" si="257"/>
        <v>26507.260000000006</v>
      </c>
      <c r="N138" s="1">
        <f t="shared" si="257"/>
        <v>52101.540000000008</v>
      </c>
      <c r="O138" s="1">
        <f t="shared" si="257"/>
        <v>71889.700000000012</v>
      </c>
      <c r="P138" s="1">
        <f t="shared" si="257"/>
        <v>105259.72</v>
      </c>
      <c r="Q138" s="1">
        <f t="shared" si="257"/>
        <v>76289.010000000009</v>
      </c>
      <c r="R138" s="1">
        <f t="shared" si="257"/>
        <v>93465.080000000016</v>
      </c>
      <c r="S138" s="1">
        <f t="shared" si="257"/>
        <v>93343.460000000021</v>
      </c>
      <c r="T138" s="1">
        <f t="shared" si="257"/>
        <v>91315.349999999977</v>
      </c>
      <c r="U138" s="1">
        <f t="shared" si="257"/>
        <v>125921.19000000002</v>
      </c>
      <c r="V138" s="1">
        <f t="shared" si="257"/>
        <v>108875.08000000002</v>
      </c>
      <c r="W138" s="1">
        <f t="shared" si="257"/>
        <v>132987.59999999998</v>
      </c>
      <c r="X138" s="1">
        <f t="shared" si="257"/>
        <v>103393.72</v>
      </c>
      <c r="Y138" s="1">
        <f t="shared" si="257"/>
        <v>36850.33</v>
      </c>
      <c r="Z138" s="1">
        <f t="shared" si="257"/>
        <v>31759.380000000005</v>
      </c>
      <c r="AA138" s="1">
        <f t="shared" si="257"/>
        <v>19165.530000000002</v>
      </c>
      <c r="AB138" s="1">
        <f t="shared" si="257"/>
        <v>12460.150000000003</v>
      </c>
      <c r="AC138" s="1">
        <f t="shared" si="257"/>
        <v>11653.760000000004</v>
      </c>
      <c r="AD138" s="1">
        <f t="shared" si="257"/>
        <v>2018.3199999999993</v>
      </c>
      <c r="AE138" s="1">
        <f t="shared" si="257"/>
        <v>8430.9000000000015</v>
      </c>
      <c r="AF138" s="1">
        <f t="shared" si="257"/>
        <v>5123.4399999999996</v>
      </c>
      <c r="AG138" s="1">
        <f t="shared" si="257"/>
        <v>3171.33</v>
      </c>
      <c r="AH138" s="1">
        <f t="shared" si="257"/>
        <v>9261.8700000000063</v>
      </c>
      <c r="AI138" s="1">
        <f t="shared" si="257"/>
        <v>6371.3100000000013</v>
      </c>
      <c r="AJ138" s="1">
        <f t="shared" si="257"/>
        <v>8161.57</v>
      </c>
      <c r="AK138" s="1">
        <f t="shared" si="257"/>
        <v>3652.5500000000011</v>
      </c>
      <c r="AL138" s="1">
        <f t="shared" si="257"/>
        <v>4420.1999999999989</v>
      </c>
      <c r="AM138" s="1">
        <f t="shared" si="257"/>
        <v>687.99999999999955</v>
      </c>
      <c r="AN138" s="1">
        <f t="shared" si="257"/>
        <v>1290.92</v>
      </c>
      <c r="AO138" s="1">
        <f t="shared" si="257"/>
        <v>-74.740000000000009</v>
      </c>
      <c r="AP138" s="1">
        <f t="shared" si="257"/>
        <v>0</v>
      </c>
      <c r="AQ138" s="1">
        <f t="shared" si="257"/>
        <v>0</v>
      </c>
      <c r="AR138" s="3">
        <f>SUM(D138:AQ138)</f>
        <v>1279279.6900000002</v>
      </c>
      <c r="AT138" s="8">
        <f>IF(AR138=0,0,+AR138/PassVol!AR91)</f>
        <v>9.4131821225432866</v>
      </c>
    </row>
    <row r="139" spans="1:47" s="2" customFormat="1" x14ac:dyDescent="0.25">
      <c r="B139" s="2" t="s">
        <v>201</v>
      </c>
      <c r="D139" s="3">
        <f>SUM(D120:D138)</f>
        <v>0</v>
      </c>
      <c r="E139" s="3">
        <f t="shared" ref="E139:J139" si="258">SUM(E120:E138)</f>
        <v>0</v>
      </c>
      <c r="F139" s="3">
        <f t="shared" si="258"/>
        <v>0</v>
      </c>
      <c r="G139" s="3">
        <f t="shared" si="258"/>
        <v>0</v>
      </c>
      <c r="H139" s="3">
        <f t="shared" si="258"/>
        <v>0</v>
      </c>
      <c r="I139" s="3">
        <f t="shared" si="258"/>
        <v>0</v>
      </c>
      <c r="J139" s="3">
        <f t="shared" si="258"/>
        <v>0</v>
      </c>
      <c r="K139" s="3">
        <f>SUM(K120:K138)</f>
        <v>0</v>
      </c>
      <c r="L139" s="3">
        <f>SUM(L120:L138)</f>
        <v>198124.85</v>
      </c>
      <c r="M139" s="3">
        <f t="shared" ref="M139:AR139" si="259">SUM(M120:M138)</f>
        <v>114369.42000000001</v>
      </c>
      <c r="N139" s="3">
        <f t="shared" si="259"/>
        <v>118531.32</v>
      </c>
      <c r="O139" s="3">
        <f t="shared" si="259"/>
        <v>195535.83000000002</v>
      </c>
      <c r="P139" s="3">
        <f t="shared" si="259"/>
        <v>244392.78</v>
      </c>
      <c r="Q139" s="3">
        <f t="shared" si="259"/>
        <v>222650.2</v>
      </c>
      <c r="R139" s="3">
        <f t="shared" si="259"/>
        <v>250021.80000000002</v>
      </c>
      <c r="S139" s="3">
        <f t="shared" si="259"/>
        <v>230474.13000000003</v>
      </c>
      <c r="T139" s="3">
        <f t="shared" si="259"/>
        <v>239714.87</v>
      </c>
      <c r="U139" s="3">
        <f t="shared" si="259"/>
        <v>279185.84000000003</v>
      </c>
      <c r="V139" s="3">
        <f t="shared" si="259"/>
        <v>218970.166</v>
      </c>
      <c r="W139" s="3">
        <f t="shared" si="259"/>
        <v>270899.45999999996</v>
      </c>
      <c r="X139" s="3">
        <f t="shared" si="259"/>
        <v>246089.44</v>
      </c>
      <c r="Y139" s="3">
        <f t="shared" si="259"/>
        <v>125480.41</v>
      </c>
      <c r="Z139" s="3">
        <f t="shared" si="259"/>
        <v>87245.6</v>
      </c>
      <c r="AA139" s="3">
        <f t="shared" si="259"/>
        <v>70172.67</v>
      </c>
      <c r="AB139" s="3">
        <f t="shared" si="259"/>
        <v>54421.72</v>
      </c>
      <c r="AC139" s="3">
        <f t="shared" si="259"/>
        <v>43187.94</v>
      </c>
      <c r="AD139" s="3">
        <f t="shared" si="259"/>
        <v>34366.539999999994</v>
      </c>
      <c r="AE139" s="3">
        <f t="shared" si="259"/>
        <v>30659.8</v>
      </c>
      <c r="AF139" s="3">
        <f t="shared" si="259"/>
        <v>15459.579999999998</v>
      </c>
      <c r="AG139" s="3">
        <f t="shared" si="259"/>
        <v>15267.359999999999</v>
      </c>
      <c r="AH139" s="3">
        <f t="shared" si="259"/>
        <v>90201.940000000017</v>
      </c>
      <c r="AI139" s="3">
        <f t="shared" si="259"/>
        <v>19993.120000000003</v>
      </c>
      <c r="AJ139" s="3">
        <f t="shared" si="259"/>
        <v>20653.300000000003</v>
      </c>
      <c r="AK139" s="3">
        <f t="shared" si="259"/>
        <v>20249.75</v>
      </c>
      <c r="AL139" s="3">
        <f t="shared" si="259"/>
        <v>15547.06</v>
      </c>
      <c r="AM139" s="3">
        <f t="shared" si="259"/>
        <v>8163.7999999999993</v>
      </c>
      <c r="AN139" s="3">
        <f t="shared" si="259"/>
        <v>3965.6099999999997</v>
      </c>
      <c r="AO139" s="3">
        <f t="shared" si="259"/>
        <v>-341.08</v>
      </c>
      <c r="AP139" s="3">
        <f t="shared" si="259"/>
        <v>0</v>
      </c>
      <c r="AQ139" s="3">
        <f t="shared" si="259"/>
        <v>0</v>
      </c>
      <c r="AR139" s="3">
        <f t="shared" si="259"/>
        <v>3483655.2259999998</v>
      </c>
      <c r="AS139" s="3"/>
      <c r="AT139" s="9">
        <f>IF(AR139=0,0,+AR139/PassVol!AR92)</f>
        <v>8.7505280627367448</v>
      </c>
      <c r="AU139" s="61"/>
    </row>
    <row r="140" spans="1:47" s="24" customFormat="1" x14ac:dyDescent="0.25">
      <c r="A140" s="23"/>
      <c r="B140" s="23"/>
      <c r="C140" s="27" t="s">
        <v>102</v>
      </c>
      <c r="D140" s="25">
        <f>+D139</f>
        <v>0</v>
      </c>
      <c r="E140" s="25">
        <f>+D140+E139</f>
        <v>0</v>
      </c>
      <c r="F140" s="25">
        <f t="shared" ref="F140" si="260">+E140+F139</f>
        <v>0</v>
      </c>
      <c r="G140" s="25">
        <f t="shared" ref="G140" si="261">+F140+G139</f>
        <v>0</v>
      </c>
      <c r="H140" s="25">
        <f t="shared" ref="H140" si="262">+G140+H139</f>
        <v>0</v>
      </c>
      <c r="I140" s="25">
        <f t="shared" ref="I140" si="263">+H140+I139</f>
        <v>0</v>
      </c>
      <c r="J140" s="25">
        <f t="shared" ref="J140" si="264">+I140+J139</f>
        <v>0</v>
      </c>
      <c r="K140" s="25">
        <f t="shared" ref="K140" si="265">+J140+K139</f>
        <v>0</v>
      </c>
      <c r="L140" s="25">
        <f t="shared" ref="L140" si="266">+K140+L139</f>
        <v>198124.85</v>
      </c>
      <c r="M140" s="25">
        <f t="shared" ref="M140" si="267">+L140+M139</f>
        <v>312494.27</v>
      </c>
      <c r="N140" s="25">
        <f t="shared" ref="N140" si="268">+M140+N139</f>
        <v>431025.59</v>
      </c>
      <c r="O140" s="25">
        <f t="shared" ref="O140" si="269">+N140+O139</f>
        <v>626561.42000000004</v>
      </c>
      <c r="P140" s="25">
        <f t="shared" ref="P140" si="270">+O140+P139</f>
        <v>870954.20000000007</v>
      </c>
      <c r="Q140" s="25">
        <f t="shared" ref="Q140" si="271">+P140+Q139</f>
        <v>1093604.4000000001</v>
      </c>
      <c r="R140" s="25">
        <f t="shared" ref="R140" si="272">+Q140+R139</f>
        <v>1343626.2000000002</v>
      </c>
      <c r="S140" s="25">
        <f t="shared" ref="S140" si="273">+R140+S139</f>
        <v>1574100.3300000003</v>
      </c>
      <c r="T140" s="25">
        <f t="shared" ref="T140" si="274">+S140+T139</f>
        <v>1813815.2000000002</v>
      </c>
      <c r="U140" s="25">
        <f t="shared" ref="U140" si="275">+T140+U139</f>
        <v>2093001.0400000003</v>
      </c>
      <c r="V140" s="25">
        <f t="shared" ref="V140" si="276">+U140+V139</f>
        <v>2311971.2060000002</v>
      </c>
      <c r="W140" s="25">
        <f t="shared" ref="W140" si="277">+V140+W139</f>
        <v>2582870.6660000002</v>
      </c>
      <c r="X140" s="25">
        <f t="shared" ref="X140" si="278">+W140+X139</f>
        <v>2828960.1060000001</v>
      </c>
      <c r="Y140" s="25">
        <f t="shared" ref="Y140" si="279">+X140+Y139</f>
        <v>2954440.5160000003</v>
      </c>
      <c r="Z140" s="25">
        <f t="shared" ref="Z140" si="280">+Y140+Z139</f>
        <v>3041686.1160000004</v>
      </c>
      <c r="AA140" s="25">
        <f t="shared" ref="AA140" si="281">+Z140+AA139</f>
        <v>3111858.7860000003</v>
      </c>
      <c r="AB140" s="25">
        <f t="shared" ref="AB140" si="282">+AA140+AB139</f>
        <v>3166280.5060000005</v>
      </c>
      <c r="AC140" s="25">
        <f t="shared" ref="AC140" si="283">+AB140+AC139</f>
        <v>3209468.4460000005</v>
      </c>
      <c r="AD140" s="25">
        <f t="shared" ref="AD140" si="284">+AC140+AD139</f>
        <v>3243834.9860000005</v>
      </c>
      <c r="AE140" s="25">
        <f t="shared" ref="AE140" si="285">+AD140+AE139</f>
        <v>3274494.7860000003</v>
      </c>
      <c r="AF140" s="25">
        <f t="shared" ref="AF140" si="286">+AE140+AF139</f>
        <v>3289954.3660000004</v>
      </c>
      <c r="AG140" s="25">
        <f t="shared" ref="AG140" si="287">+AF140+AG139</f>
        <v>3305221.7260000003</v>
      </c>
      <c r="AH140" s="25">
        <f t="shared" ref="AH140" si="288">+AG140+AH139</f>
        <v>3395423.6660000002</v>
      </c>
      <c r="AI140" s="25">
        <f t="shared" ref="AI140" si="289">+AH140+AI139</f>
        <v>3415416.7860000003</v>
      </c>
      <c r="AJ140" s="25">
        <f t="shared" ref="AJ140" si="290">+AI140+AJ139</f>
        <v>3436070.0860000001</v>
      </c>
      <c r="AK140" s="25">
        <f t="shared" ref="AK140" si="291">+AJ140+AK139</f>
        <v>3456319.8360000001</v>
      </c>
      <c r="AL140" s="25">
        <f t="shared" ref="AL140" si="292">+AK140+AL139</f>
        <v>3471866.8960000002</v>
      </c>
      <c r="AM140" s="25">
        <f t="shared" ref="AM140" si="293">+AL140+AM139</f>
        <v>3480030.696</v>
      </c>
      <c r="AN140" s="25">
        <f t="shared" ref="AN140" si="294">+AM140+AN139</f>
        <v>3483996.3059999999</v>
      </c>
      <c r="AO140" s="25">
        <f t="shared" ref="AO140" si="295">+AN140+AO139</f>
        <v>3483655.2259999998</v>
      </c>
      <c r="AP140" s="25">
        <f t="shared" ref="AP140" si="296">+AO140+AP139</f>
        <v>3483655.2259999998</v>
      </c>
      <c r="AQ140" s="25">
        <f t="shared" ref="AQ140" si="297">+AP140+AQ139</f>
        <v>3483655.2259999998</v>
      </c>
      <c r="AR140" s="48"/>
      <c r="AS140" s="25"/>
      <c r="AT140" s="26"/>
      <c r="AU140" s="60"/>
    </row>
    <row r="141" spans="1:47" x14ac:dyDescent="0.25">
      <c r="D141" s="8">
        <f>IF(D139=0,0,D139/PassVol!D92)</f>
        <v>0</v>
      </c>
      <c r="E141" s="8">
        <f>IF(E139=0,0,E139/PassVol!E92)</f>
        <v>0</v>
      </c>
      <c r="F141" s="8">
        <f>IF(F139=0,0,F139/PassVol!F92)</f>
        <v>0</v>
      </c>
      <c r="G141" s="8">
        <f>IF(G139=0,0,G139/PassVol!G92)</f>
        <v>0</v>
      </c>
      <c r="H141" s="8">
        <f>IF(H139=0,0,H139/PassVol!H92)</f>
        <v>0</v>
      </c>
      <c r="I141" s="8">
        <f>IF(I139=0,0,I139/PassVol!I92)</f>
        <v>0</v>
      </c>
      <c r="J141" s="8">
        <f>IF(J139=0,0,J139/PassVol!J92)</f>
        <v>0</v>
      </c>
      <c r="K141" s="8">
        <f>IF(K139=0,0,K139/PassVol!K92)</f>
        <v>0</v>
      </c>
      <c r="L141" s="8">
        <f>IF(L139=0,0,L139/PassVol!L92)</f>
        <v>8.5461264719837811</v>
      </c>
      <c r="M141" s="8">
        <f>IF(M139=0,0,M139/PassVol!M92)</f>
        <v>8.8727245927075256</v>
      </c>
      <c r="N141" s="8">
        <f>IF(N139=0,0,N139/PassVol!N92)</f>
        <v>8.6785268706984926</v>
      </c>
      <c r="O141" s="8">
        <f>IF(O139=0,0,O139/PassVol!O92)</f>
        <v>8.9017495219885276</v>
      </c>
      <c r="P141" s="8">
        <f>IF(P139=0,0,P139/PassVol!P92)</f>
        <v>9.2122876851747151</v>
      </c>
      <c r="Q141" s="8">
        <f>IF(Q139=0,0,Q139/PassVol!Q92)</f>
        <v>8.2757285162057688</v>
      </c>
      <c r="R141" s="8">
        <f>IF(R139=0,0,R139/PassVol!R92)</f>
        <v>9.0133674609755232</v>
      </c>
      <c r="S141" s="8">
        <f>IF(S139=0,0,S139/PassVol!S92)</f>
        <v>8.8975844496776446</v>
      </c>
      <c r="T141" s="8">
        <f>IF(T139=0,0,T139/PassVol!T92)</f>
        <v>8.9582895474419821</v>
      </c>
      <c r="U141" s="8">
        <f>IF(U139=0,0,U139/PassVol!U92)</f>
        <v>8.8805216616833142</v>
      </c>
      <c r="V141" s="8">
        <f>IF(V139=0,0,V139/PassVol!V92)</f>
        <v>8.9320891698959812</v>
      </c>
      <c r="W141" s="8">
        <f>IF(W139=0,0,W139/PassVol!W92)</f>
        <v>8.9686959112729667</v>
      </c>
      <c r="X141" s="8">
        <f>IF(X139=0,0,X139/PassVol!X92)</f>
        <v>8.9305211206270876</v>
      </c>
      <c r="Y141" s="8">
        <f>IF(Y139=0,0,Y139/PassVol!Y92)</f>
        <v>8.4904533459638678</v>
      </c>
      <c r="Z141" s="8">
        <f>IF(Z139=0,0,Z139/PassVol!Z92)</f>
        <v>8.7045395590142682</v>
      </c>
      <c r="AA141" s="8">
        <f>IF(AA139=0,0,AA139/PassVol!AA92)</f>
        <v>8.3888427973699944</v>
      </c>
      <c r="AB141" s="8">
        <f>IF(AB139=0,0,AB139/PassVol!AB92)</f>
        <v>8.4270238463920712</v>
      </c>
      <c r="AC141" s="8">
        <f>IF(AC139=0,0,AC139/PassVol!AC92)</f>
        <v>8.0409495438465832</v>
      </c>
      <c r="AD141" s="8">
        <f>IF(AD139=0,0,AD139/PassVol!AD92)</f>
        <v>8.3841278360575728</v>
      </c>
      <c r="AE141" s="8">
        <f>IF(AE139=0,0,AE139/PassVol!AE92)</f>
        <v>7.7345610494450048</v>
      </c>
      <c r="AF141" s="8">
        <f>IF(AF139=0,0,AF139/PassVol!AF92)</f>
        <v>8.8038610478359907</v>
      </c>
      <c r="AG141" s="8">
        <f>IF(AG139=0,0,AG139/PassVol!AG92)</f>
        <v>8.5819898819561544</v>
      </c>
      <c r="AH141" s="8">
        <f>IF(AH139=0,0,AH139/PassVol!AH92)</f>
        <v>7.4258615295957862</v>
      </c>
      <c r="AI141" s="8">
        <f>IF(AI139=0,0,AI139/PassVol!AI92)</f>
        <v>8.8739991122947188</v>
      </c>
      <c r="AJ141" s="8">
        <f>IF(AJ139=0,0,AJ139/PassVol!AJ92)</f>
        <v>8.8869621342512914</v>
      </c>
      <c r="AK141" s="8">
        <f>IF(AK139=0,0,AK139/PassVol!AK92)</f>
        <v>8.6205832269050653</v>
      </c>
      <c r="AL141" s="8">
        <f>IF(AL139=0,0,AL139/PassVol!AL92)</f>
        <v>8.8285406019307207</v>
      </c>
      <c r="AM141" s="8">
        <f>IF(AM139=0,0,AM139/PassVol!AM92)</f>
        <v>8.5217118997912316</v>
      </c>
      <c r="AN141" s="8">
        <f>IF(AN139=0,0,AN139/PassVol!AN92)</f>
        <v>8.3136477987421369</v>
      </c>
      <c r="AO141" s="8" t="e">
        <f>IF(AO139=0,0,AO139/PassVol!AO92)</f>
        <v>#DIV/0!</v>
      </c>
      <c r="AP141" s="8">
        <f>IF(AP139=0,0,AP139/PassVol!AP92)</f>
        <v>0</v>
      </c>
      <c r="AQ141" s="8">
        <f>IF(AQ139=0,0,AQ139/PassVol!AQ92)</f>
        <v>0</v>
      </c>
    </row>
    <row r="142" spans="1:47" x14ac:dyDescent="0.25">
      <c r="P142" s="117" t="s">
        <v>748</v>
      </c>
      <c r="Q142" s="117"/>
    </row>
  </sheetData>
  <sortState xmlns:xlrd2="http://schemas.microsoft.com/office/spreadsheetml/2017/richdata2" ref="C64:C81">
    <sortCondition ref="C64:C81"/>
  </sortState>
  <pageMargins left="0.11811023622047245" right="0" top="0.19685039370078741" bottom="0.15748031496062992" header="0.31496062992125984" footer="0.31496062992125984"/>
  <pageSetup paperSize="9" scale="4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40"/>
  <sheetViews>
    <sheetView workbookViewId="0">
      <pane xSplit="3" ySplit="2" topLeftCell="U391" activePane="bottomRight" state="frozen"/>
      <selection pane="topRight" activeCell="D1" sqref="D1"/>
      <selection pane="bottomLeft" activeCell="A3" sqref="A3"/>
      <selection pane="bottomRight" activeCell="AP413" sqref="AP413"/>
    </sheetView>
  </sheetViews>
  <sheetFormatPr defaultRowHeight="15" x14ac:dyDescent="0.25"/>
  <cols>
    <col min="1" max="2" width="3.42578125" style="2" customWidth="1"/>
    <col min="3" max="3" width="28.85546875" customWidth="1"/>
    <col min="4" max="14" width="9.140625" style="1"/>
    <col min="15" max="43" width="9.140625" style="1" customWidth="1"/>
    <col min="44" max="44" width="9.140625" style="3"/>
    <col min="45" max="45" width="4.42578125" style="1" customWidth="1"/>
    <col min="46" max="46" width="9.140625" style="8" customWidth="1"/>
    <col min="47" max="47" width="9.140625" style="60" customWidth="1"/>
    <col min="50" max="50" width="39.7109375" customWidth="1"/>
    <col min="51" max="51" width="27" customWidth="1"/>
  </cols>
  <sheetData>
    <row r="1" spans="1:51" x14ac:dyDescent="0.25">
      <c r="A1" s="2" t="s">
        <v>43</v>
      </c>
      <c r="D1" s="142">
        <v>45292</v>
      </c>
      <c r="E1" s="142">
        <v>45292</v>
      </c>
      <c r="F1" s="142">
        <v>45292</v>
      </c>
      <c r="G1" s="142">
        <v>45292</v>
      </c>
      <c r="H1" s="142">
        <v>45292</v>
      </c>
      <c r="I1" s="142">
        <v>45323</v>
      </c>
      <c r="J1" s="142">
        <v>45323</v>
      </c>
      <c r="K1" s="142">
        <v>45323</v>
      </c>
      <c r="L1" s="142">
        <v>45323</v>
      </c>
      <c r="M1" s="142">
        <v>45352</v>
      </c>
      <c r="N1" s="142">
        <v>45352</v>
      </c>
      <c r="O1" s="142">
        <v>45352</v>
      </c>
      <c r="P1" s="142">
        <v>45352</v>
      </c>
      <c r="Q1" s="142">
        <v>45383</v>
      </c>
      <c r="R1" s="142">
        <v>45383</v>
      </c>
      <c r="S1" s="142">
        <v>45383</v>
      </c>
      <c r="T1" s="142">
        <v>45383</v>
      </c>
      <c r="U1" s="142">
        <v>45413</v>
      </c>
      <c r="V1" s="142">
        <v>45413</v>
      </c>
      <c r="W1" s="142">
        <v>45413</v>
      </c>
      <c r="X1" s="142">
        <v>45413</v>
      </c>
      <c r="Y1" s="142">
        <v>45413</v>
      </c>
      <c r="Z1" s="142">
        <v>45444</v>
      </c>
      <c r="AA1" s="142">
        <v>45444</v>
      </c>
      <c r="AB1" s="142">
        <v>45444</v>
      </c>
      <c r="AC1" s="142">
        <v>45444</v>
      </c>
      <c r="AD1" s="142">
        <v>45474</v>
      </c>
      <c r="AE1" s="142">
        <v>45474</v>
      </c>
      <c r="AF1" s="142">
        <v>45474</v>
      </c>
      <c r="AG1" s="142">
        <v>45474</v>
      </c>
      <c r="AH1" s="142">
        <v>45474</v>
      </c>
      <c r="AI1" s="142">
        <v>45505</v>
      </c>
      <c r="AJ1" s="142">
        <v>45505</v>
      </c>
      <c r="AK1" s="142">
        <v>45505</v>
      </c>
      <c r="AL1" s="142">
        <v>45505</v>
      </c>
      <c r="AM1" s="142">
        <v>45536</v>
      </c>
      <c r="AN1" s="142">
        <v>45536</v>
      </c>
      <c r="AO1" s="142">
        <v>45536</v>
      </c>
      <c r="AP1" s="142">
        <v>45536</v>
      </c>
      <c r="AQ1" s="13" t="s">
        <v>282</v>
      </c>
      <c r="AU1" s="140" t="s">
        <v>716</v>
      </c>
    </row>
    <row r="2" spans="1:51" x14ac:dyDescent="0.25">
      <c r="A2" s="2" t="s">
        <v>68</v>
      </c>
      <c r="D2" s="13" t="s">
        <v>491</v>
      </c>
      <c r="E2" s="13" t="s">
        <v>492</v>
      </c>
      <c r="F2" s="13" t="s">
        <v>493</v>
      </c>
      <c r="G2" s="13" t="s">
        <v>494</v>
      </c>
      <c r="H2" s="13" t="s">
        <v>495</v>
      </c>
      <c r="I2" s="13" t="s">
        <v>496</v>
      </c>
      <c r="J2" s="13" t="s">
        <v>263</v>
      </c>
      <c r="K2" s="13" t="s">
        <v>264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3" t="s">
        <v>54</v>
      </c>
      <c r="V2" s="13" t="s">
        <v>20</v>
      </c>
      <c r="W2" s="13" t="s">
        <v>21</v>
      </c>
      <c r="X2" s="13" t="s">
        <v>22</v>
      </c>
      <c r="Y2" s="13" t="s">
        <v>23</v>
      </c>
      <c r="Z2" s="13" t="s">
        <v>24</v>
      </c>
      <c r="AA2" s="13" t="s">
        <v>25</v>
      </c>
      <c r="AB2" s="13" t="s">
        <v>26</v>
      </c>
      <c r="AC2" s="13" t="s">
        <v>27</v>
      </c>
      <c r="AD2" s="13" t="s">
        <v>28</v>
      </c>
      <c r="AE2" s="13" t="s">
        <v>29</v>
      </c>
      <c r="AF2" s="13" t="s">
        <v>30</v>
      </c>
      <c r="AG2" s="13" t="s">
        <v>31</v>
      </c>
      <c r="AH2" s="13" t="s">
        <v>32</v>
      </c>
      <c r="AI2" s="13" t="s">
        <v>33</v>
      </c>
      <c r="AJ2" s="13" t="s">
        <v>34</v>
      </c>
      <c r="AK2" s="120" t="s">
        <v>55</v>
      </c>
      <c r="AL2" s="13" t="s">
        <v>56</v>
      </c>
      <c r="AM2" s="13" t="s">
        <v>57</v>
      </c>
      <c r="AN2" s="13" t="s">
        <v>58</v>
      </c>
      <c r="AO2" s="13" t="s">
        <v>59</v>
      </c>
      <c r="AP2" s="13" t="s">
        <v>60</v>
      </c>
      <c r="AQ2" s="4" t="s">
        <v>61</v>
      </c>
      <c r="AR2" s="52" t="s">
        <v>2</v>
      </c>
      <c r="AU2" s="60" t="s">
        <v>715</v>
      </c>
      <c r="AV2">
        <v>2017</v>
      </c>
      <c r="AW2" s="80" t="s">
        <v>374</v>
      </c>
    </row>
    <row r="3" spans="1:51" x14ac:dyDescent="0.25">
      <c r="B3" s="2" t="s">
        <v>146</v>
      </c>
    </row>
    <row r="4" spans="1:51" x14ac:dyDescent="0.25">
      <c r="C4" t="s">
        <v>190</v>
      </c>
      <c r="N4" s="1">
        <v>536.76</v>
      </c>
      <c r="O4" s="1">
        <v>293.94</v>
      </c>
      <c r="P4" s="1">
        <v>1776.42</v>
      </c>
      <c r="Q4" s="1">
        <v>2044.8</v>
      </c>
      <c r="R4" s="1">
        <v>2032.02</v>
      </c>
      <c r="S4" s="1">
        <v>2415.42</v>
      </c>
      <c r="T4" s="1">
        <v>2121.48</v>
      </c>
      <c r="U4" s="1">
        <v>1111.8599999999999</v>
      </c>
      <c r="V4" s="1">
        <v>3488.94</v>
      </c>
      <c r="W4" s="1">
        <v>2798.82</v>
      </c>
      <c r="X4" s="1">
        <v>4102.38</v>
      </c>
      <c r="Y4" s="1">
        <v>1252.44</v>
      </c>
      <c r="Z4" s="1">
        <v>17.100000000000001</v>
      </c>
      <c r="AA4" s="1">
        <v>179.1</v>
      </c>
      <c r="AB4" s="1">
        <v>12.78</v>
      </c>
      <c r="AD4" s="1">
        <v>17.100000000000001</v>
      </c>
      <c r="AR4" s="3">
        <f t="shared" ref="AR4:AR12" si="0">SUM(D4:AQ4)</f>
        <v>24201.359999999997</v>
      </c>
      <c r="AT4" s="8">
        <f>IF(AR4=0,0,+AR4/PassVol!AR101)</f>
        <v>12.791416490486256</v>
      </c>
      <c r="AU4" s="60">
        <f>0.71*18</f>
        <v>12.78</v>
      </c>
      <c r="AV4" s="3"/>
      <c r="AW4" s="81" t="e">
        <f>IF(AR4=0,0,+(AR4-AV4)/AV4)</f>
        <v>#DIV/0!</v>
      </c>
      <c r="AX4" s="82"/>
      <c r="AY4" s="84"/>
    </row>
    <row r="5" spans="1:51" x14ac:dyDescent="0.25">
      <c r="C5" t="s">
        <v>424</v>
      </c>
      <c r="M5" s="1">
        <v>1053</v>
      </c>
      <c r="N5" s="1">
        <v>772.2</v>
      </c>
      <c r="O5" s="1">
        <v>1628.64</v>
      </c>
      <c r="P5" s="1">
        <v>1193.4000000000001</v>
      </c>
      <c r="Q5" s="1">
        <v>2709.72</v>
      </c>
      <c r="R5" s="1">
        <v>3130.92</v>
      </c>
      <c r="S5" s="1">
        <v>3467.88</v>
      </c>
      <c r="T5" s="1">
        <v>3594.24</v>
      </c>
      <c r="U5" s="1">
        <v>4408.5600000000004</v>
      </c>
      <c r="V5" s="1">
        <v>3790.8</v>
      </c>
      <c r="W5" s="1">
        <v>3566.16</v>
      </c>
      <c r="X5" s="1">
        <v>2836.08</v>
      </c>
      <c r="Y5" s="1">
        <v>1319.76</v>
      </c>
      <c r="Z5" s="1">
        <v>435.24</v>
      </c>
      <c r="AA5" s="1">
        <v>393.12</v>
      </c>
      <c r="AB5" s="1">
        <v>421.2</v>
      </c>
      <c r="AR5" s="3">
        <f t="shared" si="0"/>
        <v>34720.92</v>
      </c>
      <c r="AT5" s="8">
        <f>IF(AR5=0,0,+AR5/PassVol!AR102)</f>
        <v>14.04</v>
      </c>
      <c r="AU5" s="60">
        <f>0.78*18</f>
        <v>14.040000000000001</v>
      </c>
      <c r="AV5" s="3"/>
      <c r="AW5" s="81"/>
      <c r="AX5" s="82"/>
      <c r="AY5" s="85"/>
    </row>
    <row r="6" spans="1:51" x14ac:dyDescent="0.25">
      <c r="C6" t="s">
        <v>347</v>
      </c>
      <c r="M6" s="1">
        <v>1207.44</v>
      </c>
      <c r="N6" s="1">
        <v>982.8</v>
      </c>
      <c r="O6" s="1">
        <v>1067.04</v>
      </c>
      <c r="P6" s="1">
        <v>3187.08</v>
      </c>
      <c r="Q6" s="1">
        <v>2920.32</v>
      </c>
      <c r="R6" s="1">
        <v>5082.4799999999996</v>
      </c>
      <c r="S6" s="1">
        <v>5587.92</v>
      </c>
      <c r="T6" s="1">
        <v>3594.24</v>
      </c>
      <c r="U6" s="1">
        <v>4984.2</v>
      </c>
      <c r="V6" s="1">
        <v>3762.72</v>
      </c>
      <c r="W6" s="1">
        <v>3861</v>
      </c>
      <c r="X6" s="1">
        <v>3776.76</v>
      </c>
      <c r="Y6" s="1">
        <v>1656.72</v>
      </c>
      <c r="Z6" s="1">
        <v>224.64</v>
      </c>
      <c r="AA6" s="1">
        <v>28.08</v>
      </c>
      <c r="AB6" s="1">
        <v>14.04</v>
      </c>
      <c r="AD6" s="1">
        <v>37.44</v>
      </c>
      <c r="AR6" s="3">
        <f t="shared" si="0"/>
        <v>41974.920000000013</v>
      </c>
      <c r="AT6" s="8">
        <f>IF(AR6=0,0,+AR6/PassVol!AR103)</f>
        <v>14.043131482101041</v>
      </c>
      <c r="AU6" s="60">
        <f>0.78*18</f>
        <v>14.040000000000001</v>
      </c>
      <c r="AV6" s="3"/>
      <c r="AW6" s="81" t="e">
        <f>IF(AR6=0,0,+(AR6-AV6)/AV6)</f>
        <v>#DIV/0!</v>
      </c>
      <c r="AX6" s="82"/>
      <c r="AY6" s="85"/>
    </row>
    <row r="7" spans="1:51" x14ac:dyDescent="0.25">
      <c r="C7" t="s">
        <v>0</v>
      </c>
      <c r="M7" s="1">
        <v>21871.62</v>
      </c>
      <c r="N7" s="1">
        <v>16220.52</v>
      </c>
      <c r="O7" s="1">
        <v>17698.5</v>
      </c>
      <c r="P7" s="1">
        <v>17524.62</v>
      </c>
      <c r="Q7" s="1">
        <v>25187.759999999998</v>
      </c>
      <c r="R7" s="1">
        <v>18108.36</v>
      </c>
      <c r="S7" s="1">
        <v>25013.88</v>
      </c>
      <c r="T7" s="1">
        <v>22281.48</v>
      </c>
      <c r="U7" s="1">
        <v>23399.279999999999</v>
      </c>
      <c r="V7" s="1">
        <v>17425.259999999998</v>
      </c>
      <c r="W7" s="1">
        <v>19151.64</v>
      </c>
      <c r="X7" s="1">
        <v>27249.48</v>
      </c>
      <c r="Y7" s="1">
        <v>20902.86</v>
      </c>
      <c r="Z7" s="1">
        <v>14680.44</v>
      </c>
      <c r="AA7" s="1">
        <v>3764.34</v>
      </c>
      <c r="AB7" s="1">
        <v>1497.96</v>
      </c>
      <c r="AR7" s="3">
        <f t="shared" si="0"/>
        <v>291978.00000000006</v>
      </c>
      <c r="AT7" s="8">
        <f>IF(AR7=0,0,+AR7/PassVol!AR104)</f>
        <v>12.421952776005108</v>
      </c>
      <c r="AU7" s="60">
        <f>0.69*18</f>
        <v>12.419999999999998</v>
      </c>
      <c r="AV7" s="3"/>
      <c r="AW7" s="81" t="e">
        <f>IF(AR7=0,0,+(AR7-AV7)/AV7)</f>
        <v>#DIV/0!</v>
      </c>
      <c r="AX7" s="82"/>
      <c r="AY7" s="85"/>
    </row>
    <row r="8" spans="1:51" x14ac:dyDescent="0.25">
      <c r="C8" t="s">
        <v>354</v>
      </c>
      <c r="M8" s="1">
        <v>56.16</v>
      </c>
      <c r="N8" s="1">
        <v>435.24</v>
      </c>
      <c r="O8" s="1">
        <v>322.92</v>
      </c>
      <c r="P8" s="1">
        <v>758.16</v>
      </c>
      <c r="Q8" s="1">
        <v>856.44</v>
      </c>
      <c r="R8" s="1">
        <v>1249.56</v>
      </c>
      <c r="S8" s="1">
        <v>1740.96</v>
      </c>
      <c r="T8" s="1">
        <v>1291.68</v>
      </c>
      <c r="U8" s="1">
        <v>730.08</v>
      </c>
      <c r="V8" s="1">
        <v>533.52</v>
      </c>
      <c r="W8" s="1">
        <v>828.36</v>
      </c>
      <c r="X8" s="1">
        <v>1193.4000000000001</v>
      </c>
      <c r="Y8" s="1">
        <v>659.88</v>
      </c>
      <c r="Z8" s="1">
        <v>238.68</v>
      </c>
      <c r="AA8" s="1">
        <v>238.68</v>
      </c>
      <c r="AB8" s="1">
        <v>98.28</v>
      </c>
      <c r="AR8" s="3">
        <f t="shared" si="0"/>
        <v>11232.000000000002</v>
      </c>
      <c r="AT8" s="8">
        <f>IF(AR8=0,0,+AR8/PassVol!AR105)</f>
        <v>14.040000000000003</v>
      </c>
      <c r="AU8" s="60">
        <f>0.78*18</f>
        <v>14.040000000000001</v>
      </c>
      <c r="AV8" s="3"/>
      <c r="AW8" t="s">
        <v>373</v>
      </c>
      <c r="AX8" s="82"/>
      <c r="AY8" s="85"/>
    </row>
    <row r="9" spans="1:51" x14ac:dyDescent="0.25">
      <c r="C9" t="s">
        <v>265</v>
      </c>
      <c r="M9" s="1">
        <v>1931.4</v>
      </c>
      <c r="N9" s="1">
        <v>359.64</v>
      </c>
      <c r="O9" s="1">
        <v>1265.4000000000001</v>
      </c>
      <c r="P9" s="1">
        <v>3143.52</v>
      </c>
      <c r="Q9" s="1">
        <v>1478.52</v>
      </c>
      <c r="R9" s="1">
        <v>1318.68</v>
      </c>
      <c r="S9" s="1">
        <v>2530.8000000000002</v>
      </c>
      <c r="T9" s="1">
        <v>2517.48</v>
      </c>
      <c r="U9" s="1">
        <v>3409.92</v>
      </c>
      <c r="V9" s="1">
        <v>2331</v>
      </c>
      <c r="W9" s="1">
        <v>1411.92</v>
      </c>
      <c r="X9" s="1">
        <v>3143.52</v>
      </c>
      <c r="Y9" s="1">
        <v>679.32</v>
      </c>
      <c r="AR9" s="3">
        <f t="shared" si="0"/>
        <v>25521.119999999999</v>
      </c>
      <c r="AT9" s="8">
        <f>IF(AR9=0,0,+AR9/PassVol!AR106)</f>
        <v>13.32</v>
      </c>
      <c r="AU9" s="60">
        <f>0.74*18</f>
        <v>13.32</v>
      </c>
      <c r="AV9" s="3"/>
      <c r="AW9" s="81" t="e">
        <f>IF(AR9=0,0,+(AR9-AV9)/AV9)</f>
        <v>#DIV/0!</v>
      </c>
      <c r="AX9" s="82"/>
      <c r="AY9" s="85"/>
    </row>
    <row r="10" spans="1:51" x14ac:dyDescent="0.25">
      <c r="C10" t="s">
        <v>191</v>
      </c>
      <c r="M10" s="1">
        <v>1614.6</v>
      </c>
      <c r="N10" s="1">
        <v>687.96</v>
      </c>
      <c r="O10" s="1">
        <v>1165.32</v>
      </c>
      <c r="P10" s="1">
        <v>8030.88</v>
      </c>
      <c r="Q10" s="1">
        <v>4661.28</v>
      </c>
      <c r="R10" s="1">
        <v>7736.04</v>
      </c>
      <c r="S10" s="1">
        <v>6963.84</v>
      </c>
      <c r="T10" s="1">
        <v>4942.08</v>
      </c>
      <c r="U10" s="1">
        <v>4899.96</v>
      </c>
      <c r="V10" s="1">
        <v>266.76</v>
      </c>
      <c r="W10" s="1">
        <v>5096.5200000000004</v>
      </c>
      <c r="X10" s="1">
        <v>7034.04</v>
      </c>
      <c r="Y10" s="1">
        <v>3411.72</v>
      </c>
      <c r="Z10" s="1">
        <v>3313.44</v>
      </c>
      <c r="AA10" s="1">
        <v>2541.2399999999998</v>
      </c>
      <c r="AB10" s="1">
        <v>42.12</v>
      </c>
      <c r="AR10" s="3">
        <f t="shared" si="0"/>
        <v>62407.80000000001</v>
      </c>
      <c r="AT10" s="8">
        <f>IF(AR10=0,0,+AR10/PassVol!AR107)</f>
        <v>14.040000000000003</v>
      </c>
      <c r="AU10" s="60">
        <f t="shared" ref="AU10:AU12" si="1">0.78*18</f>
        <v>14.040000000000001</v>
      </c>
      <c r="AV10" s="3"/>
      <c r="AW10" s="81" t="e">
        <f>IF(AR10=0,0,+(AR10-AV10)/AV10)</f>
        <v>#DIV/0!</v>
      </c>
      <c r="AX10" s="82"/>
      <c r="AY10" s="85"/>
    </row>
    <row r="11" spans="1:51" x14ac:dyDescent="0.25">
      <c r="C11" t="s">
        <v>549</v>
      </c>
      <c r="AR11" s="3">
        <f t="shared" si="0"/>
        <v>0</v>
      </c>
      <c r="AT11" s="8">
        <f>IF(AR11=0,0,+AR11/PassVol!AR108)</f>
        <v>0</v>
      </c>
      <c r="AU11" s="60">
        <f t="shared" si="1"/>
        <v>14.040000000000001</v>
      </c>
      <c r="AV11" s="3"/>
      <c r="AW11" s="81">
        <f>IF(AR11=0,0,+(AR11-AV11)/AV11)</f>
        <v>0</v>
      </c>
      <c r="AX11" s="82"/>
      <c r="AY11" s="85"/>
    </row>
    <row r="12" spans="1:51" x14ac:dyDescent="0.25">
      <c r="C12" t="s">
        <v>550</v>
      </c>
      <c r="M12" s="1">
        <v>7413.12</v>
      </c>
      <c r="O12" s="1">
        <v>252.72</v>
      </c>
      <c r="Q12" s="1">
        <v>491.4</v>
      </c>
      <c r="R12" s="1">
        <v>2358.7199999999998</v>
      </c>
      <c r="S12" s="1">
        <v>3790.8</v>
      </c>
      <c r="U12" s="1">
        <v>3130.92</v>
      </c>
      <c r="V12" s="1">
        <v>3608.28</v>
      </c>
      <c r="W12" s="1">
        <v>1825.2</v>
      </c>
      <c r="X12" s="1">
        <v>1726.92</v>
      </c>
      <c r="Y12" s="1">
        <v>1010.88</v>
      </c>
      <c r="Z12" s="1">
        <v>421.2</v>
      </c>
      <c r="AA12" s="1">
        <v>365.04</v>
      </c>
      <c r="AB12" s="1">
        <v>425.88</v>
      </c>
      <c r="AC12" s="1">
        <v>42.12</v>
      </c>
      <c r="AD12" s="1">
        <v>37.44</v>
      </c>
      <c r="AR12" s="3">
        <f t="shared" si="0"/>
        <v>26900.640000000003</v>
      </c>
      <c r="AT12" s="8">
        <f>IF(AR12=0,0,+AR12/PassVol!AR109)</f>
        <v>14.054670846394986</v>
      </c>
      <c r="AU12" s="60">
        <f t="shared" si="1"/>
        <v>14.040000000000001</v>
      </c>
      <c r="AV12" s="3"/>
      <c r="AW12" s="81" t="e">
        <f>IF(AR12=0,0,+(AR12-AV12)/AV12)</f>
        <v>#DIV/0!</v>
      </c>
      <c r="AX12" s="82"/>
      <c r="AY12" s="85"/>
    </row>
    <row r="13" spans="1:51" x14ac:dyDescent="0.25">
      <c r="C13" t="s">
        <v>6</v>
      </c>
      <c r="AR13" s="3">
        <f t="shared" ref="AR13:AR21" si="2">SUM(D13:AQ13)</f>
        <v>0</v>
      </c>
      <c r="AT13" s="8">
        <f>IF(AR13=0,0,+AR13/PassVol!AR110)</f>
        <v>0</v>
      </c>
      <c r="AU13" s="60">
        <v>0</v>
      </c>
      <c r="AV13" s="3"/>
      <c r="AW13" s="81">
        <f>IF(AR13=0,0,+(AR13-AV13)/AV13)</f>
        <v>0</v>
      </c>
      <c r="AX13" s="82"/>
      <c r="AY13" s="85"/>
    </row>
    <row r="14" spans="1:51" x14ac:dyDescent="0.25">
      <c r="C14" t="s">
        <v>262</v>
      </c>
      <c r="M14" s="1">
        <v>1179.3599999999999</v>
      </c>
      <c r="N14" s="1">
        <v>2504.52</v>
      </c>
      <c r="O14" s="1">
        <v>2332.8000000000002</v>
      </c>
      <c r="P14" s="1">
        <v>2700</v>
      </c>
      <c r="Q14" s="1">
        <v>4311.3599999999997</v>
      </c>
      <c r="R14" s="1">
        <v>3728.16</v>
      </c>
      <c r="S14" s="1">
        <v>2901.96</v>
      </c>
      <c r="T14" s="1">
        <v>4607.28</v>
      </c>
      <c r="U14" s="1">
        <v>2879.28</v>
      </c>
      <c r="V14" s="1">
        <v>2427.84</v>
      </c>
      <c r="W14" s="1">
        <v>2808</v>
      </c>
      <c r="X14" s="1">
        <v>1316.52</v>
      </c>
      <c r="Y14" s="1">
        <v>279.72000000000003</v>
      </c>
      <c r="Z14" s="1">
        <v>56.16</v>
      </c>
      <c r="AB14" s="1">
        <v>495.72</v>
      </c>
      <c r="AC14" s="1">
        <v>85.32</v>
      </c>
      <c r="AR14" s="3">
        <f t="shared" si="2"/>
        <v>34614</v>
      </c>
      <c r="AT14" s="8">
        <f>IF(AR14=0,0,+AR14/PassVol!AR111)</f>
        <v>14.410491257285596</v>
      </c>
      <c r="AU14" s="60">
        <f>0.78*18</f>
        <v>14.040000000000001</v>
      </c>
      <c r="AV14" s="3"/>
      <c r="AW14" s="81" t="e">
        <f t="shared" ref="AW14:AW23" si="3">IF(AR14=0,0,+(AR14-AV14)/AV14)</f>
        <v>#DIV/0!</v>
      </c>
      <c r="AX14" s="82"/>
      <c r="AY14" s="85"/>
    </row>
    <row r="15" spans="1:51" x14ac:dyDescent="0.25">
      <c r="C15" t="s">
        <v>42</v>
      </c>
      <c r="M15" s="1">
        <v>7037.28</v>
      </c>
      <c r="N15" s="1">
        <v>1308.96</v>
      </c>
      <c r="O15" s="1">
        <v>1231.2</v>
      </c>
      <c r="P15" s="1">
        <v>7724.16</v>
      </c>
      <c r="Q15" s="1">
        <v>3097.44</v>
      </c>
      <c r="R15" s="1">
        <v>3745.44</v>
      </c>
      <c r="S15" s="1">
        <v>5015.5200000000004</v>
      </c>
      <c r="T15" s="1">
        <v>2838.24</v>
      </c>
      <c r="U15" s="1">
        <v>7788.96</v>
      </c>
      <c r="V15" s="1">
        <v>2047.68</v>
      </c>
      <c r="W15" s="1">
        <v>1451.52</v>
      </c>
      <c r="X15" s="1">
        <v>2436.48</v>
      </c>
      <c r="Y15" s="1">
        <v>285.12</v>
      </c>
      <c r="Z15" s="1">
        <v>18.18</v>
      </c>
      <c r="AA15" s="1">
        <v>90.72</v>
      </c>
      <c r="AR15" s="3">
        <f t="shared" si="2"/>
        <v>46116.9</v>
      </c>
      <c r="AT15" s="8">
        <f>IF(AR15=0,0,+AR15/PassVol!AR112)</f>
        <v>12.961467116357504</v>
      </c>
      <c r="AU15" s="60">
        <f>0.72*18</f>
        <v>12.959999999999999</v>
      </c>
      <c r="AV15" s="3"/>
      <c r="AW15" s="81" t="e">
        <f t="shared" si="3"/>
        <v>#DIV/0!</v>
      </c>
      <c r="AX15" s="82"/>
      <c r="AY15" s="85"/>
    </row>
    <row r="16" spans="1:51" x14ac:dyDescent="0.25">
      <c r="C16" t="s">
        <v>192</v>
      </c>
      <c r="M16" s="1">
        <v>6806.52</v>
      </c>
      <c r="N16" s="1">
        <v>1385.28</v>
      </c>
      <c r="O16" s="1">
        <v>2370.96</v>
      </c>
      <c r="P16" s="1">
        <v>7592.4</v>
      </c>
      <c r="Q16" s="1">
        <v>3023.64</v>
      </c>
      <c r="R16" s="1">
        <v>2304.36</v>
      </c>
      <c r="S16" s="1">
        <v>3862.8</v>
      </c>
      <c r="T16" s="1">
        <v>3996</v>
      </c>
      <c r="U16" s="1">
        <v>5074.92</v>
      </c>
      <c r="V16" s="1">
        <v>1638.36</v>
      </c>
      <c r="W16" s="1">
        <v>2064.6</v>
      </c>
      <c r="X16" s="1">
        <v>3636.36</v>
      </c>
      <c r="Y16" s="1">
        <v>1105.56</v>
      </c>
      <c r="Z16" s="1">
        <v>293.04000000000002</v>
      </c>
      <c r="AA16" s="1">
        <v>159.84</v>
      </c>
      <c r="AB16" s="1">
        <v>39.96</v>
      </c>
      <c r="AC16" s="1">
        <v>79.92</v>
      </c>
      <c r="AR16" s="3">
        <f t="shared" si="2"/>
        <v>45434.51999999999</v>
      </c>
      <c r="AT16" s="8">
        <f>IF(AR16=0,0,+AR16/PassVol!AR113)</f>
        <v>13.319999999999997</v>
      </c>
      <c r="AU16" s="60">
        <f>0.74*18</f>
        <v>13.32</v>
      </c>
      <c r="AV16" s="3"/>
      <c r="AW16" s="81" t="e">
        <f t="shared" si="3"/>
        <v>#DIV/0!</v>
      </c>
      <c r="AX16" s="82"/>
      <c r="AY16" s="85"/>
    </row>
    <row r="17" spans="1:51" x14ac:dyDescent="0.25">
      <c r="C17" t="s">
        <v>133</v>
      </c>
      <c r="M17" s="1">
        <v>814.32</v>
      </c>
      <c r="N17" s="1">
        <v>1347.84</v>
      </c>
      <c r="O17" s="1">
        <v>1488.24</v>
      </c>
      <c r="P17" s="1">
        <v>2190.2399999999998</v>
      </c>
      <c r="Q17" s="1">
        <v>2611.44</v>
      </c>
      <c r="R17" s="1">
        <v>1628.64</v>
      </c>
      <c r="S17" s="1">
        <v>2386.8000000000002</v>
      </c>
      <c r="T17" s="1">
        <v>3369.6</v>
      </c>
      <c r="U17" s="1">
        <v>3018.6</v>
      </c>
      <c r="V17" s="1">
        <v>1291.68</v>
      </c>
      <c r="W17" s="1">
        <v>1235.52</v>
      </c>
      <c r="X17" s="1">
        <v>2428.92</v>
      </c>
      <c r="Y17" s="1">
        <v>1979.64</v>
      </c>
      <c r="Z17" s="1">
        <v>421.2</v>
      </c>
      <c r="AA17" s="1">
        <v>594.36</v>
      </c>
      <c r="AB17" s="1">
        <v>280.8</v>
      </c>
      <c r="AC17" s="1">
        <v>112.32</v>
      </c>
      <c r="AR17" s="3">
        <f t="shared" si="2"/>
        <v>27200.160000000003</v>
      </c>
      <c r="AT17" s="8">
        <f>IF(AR17=0,0,+AR17/PassVol!AR114)</f>
        <v>14.042416107382552</v>
      </c>
      <c r="AU17" s="60">
        <f t="shared" ref="AU17:AU18" si="4">0.78*18</f>
        <v>14.040000000000001</v>
      </c>
      <c r="AV17" s="3"/>
      <c r="AW17" s="81" t="e">
        <f t="shared" si="3"/>
        <v>#DIV/0!</v>
      </c>
      <c r="AX17" s="82"/>
      <c r="AY17" s="85"/>
    </row>
    <row r="18" spans="1:51" x14ac:dyDescent="0.25">
      <c r="C18" t="s">
        <v>41</v>
      </c>
      <c r="M18" s="1">
        <v>8283.6</v>
      </c>
      <c r="N18" s="1">
        <v>2428.92</v>
      </c>
      <c r="O18" s="1">
        <v>7862.4</v>
      </c>
      <c r="P18" s="1">
        <v>6753.24</v>
      </c>
      <c r="Q18" s="1">
        <v>9968.4</v>
      </c>
      <c r="R18" s="1">
        <v>9238.32</v>
      </c>
      <c r="S18" s="1">
        <v>6444.36</v>
      </c>
      <c r="T18" s="1">
        <v>11077.56</v>
      </c>
      <c r="U18" s="1">
        <v>12116.52</v>
      </c>
      <c r="V18" s="1">
        <v>9041.76</v>
      </c>
      <c r="W18" s="1">
        <v>7413.12</v>
      </c>
      <c r="X18" s="1">
        <v>17592.12</v>
      </c>
      <c r="Y18" s="1">
        <v>12144.6</v>
      </c>
      <c r="Z18" s="1">
        <v>2428.92</v>
      </c>
      <c r="AA18" s="1">
        <v>519.48</v>
      </c>
      <c r="AB18" s="1">
        <v>491.4</v>
      </c>
      <c r="AC18" s="1">
        <v>126.36</v>
      </c>
      <c r="AR18" s="3">
        <f t="shared" si="2"/>
        <v>123931.07999999997</v>
      </c>
      <c r="AT18" s="8">
        <f>IF(AR18=0,0,+AR18/PassVol!AR115)</f>
        <v>14.039999999999997</v>
      </c>
      <c r="AU18" s="60">
        <f t="shared" si="4"/>
        <v>14.040000000000001</v>
      </c>
      <c r="AV18" s="3"/>
      <c r="AW18" s="81" t="e">
        <f t="shared" si="3"/>
        <v>#DIV/0!</v>
      </c>
      <c r="AX18" s="82"/>
      <c r="AY18" s="85"/>
    </row>
    <row r="19" spans="1:51" x14ac:dyDescent="0.25">
      <c r="C19" t="s">
        <v>193</v>
      </c>
      <c r="AR19" s="3">
        <f t="shared" si="2"/>
        <v>0</v>
      </c>
      <c r="AT19" s="8">
        <f>IF(AR19=0,0,+AR19/PassVol!AR116)</f>
        <v>0</v>
      </c>
      <c r="AU19" s="60">
        <v>0</v>
      </c>
      <c r="AV19" s="3"/>
      <c r="AW19" s="81">
        <f t="shared" si="3"/>
        <v>0</v>
      </c>
      <c r="AX19" s="82"/>
      <c r="AY19" s="85"/>
    </row>
    <row r="20" spans="1:51" x14ac:dyDescent="0.25">
      <c r="C20" t="s">
        <v>297</v>
      </c>
      <c r="AR20" s="3">
        <f t="shared" si="2"/>
        <v>0</v>
      </c>
      <c r="AT20" s="8">
        <f>IF(AR20=0,0,+AR20/PassVol!AR117)</f>
        <v>0</v>
      </c>
      <c r="AU20" s="60">
        <v>0</v>
      </c>
      <c r="AV20" s="3"/>
      <c r="AW20" s="81">
        <f t="shared" si="3"/>
        <v>0</v>
      </c>
      <c r="AX20" s="82"/>
      <c r="AY20" s="85"/>
    </row>
    <row r="21" spans="1:51" x14ac:dyDescent="0.25">
      <c r="C21" t="s">
        <v>296</v>
      </c>
      <c r="M21" s="1">
        <v>266.76</v>
      </c>
      <c r="N21" s="1">
        <v>238.68</v>
      </c>
      <c r="O21" s="1">
        <v>294.83999999999997</v>
      </c>
      <c r="P21" s="1">
        <v>673.92</v>
      </c>
      <c r="Q21" s="1">
        <v>716.04</v>
      </c>
      <c r="R21" s="1">
        <v>575.64</v>
      </c>
      <c r="S21" s="1">
        <v>800.28</v>
      </c>
      <c r="T21" s="1">
        <v>870.48</v>
      </c>
      <c r="U21" s="1">
        <v>1291.68</v>
      </c>
      <c r="V21" s="1">
        <v>758.16</v>
      </c>
      <c r="W21" s="1">
        <v>744.12</v>
      </c>
      <c r="X21" s="1">
        <v>870.48</v>
      </c>
      <c r="Y21" s="1">
        <v>603.72</v>
      </c>
      <c r="Z21" s="1">
        <v>238.68</v>
      </c>
      <c r="AA21" s="1">
        <v>449.28</v>
      </c>
      <c r="AB21" s="1">
        <v>182.52</v>
      </c>
      <c r="AC21" s="1">
        <v>56.16</v>
      </c>
      <c r="AR21" s="3">
        <f t="shared" si="2"/>
        <v>9631.44</v>
      </c>
      <c r="AT21" s="8">
        <f>IF(AR21=0,0,+AR21/PassVol!AR118)</f>
        <v>14.040000000000001</v>
      </c>
      <c r="AU21" s="60">
        <f t="shared" ref="AU21:AU22" si="5">0.78*18</f>
        <v>14.040000000000001</v>
      </c>
      <c r="AV21" s="3"/>
      <c r="AW21" s="81" t="e">
        <f t="shared" si="3"/>
        <v>#DIV/0!</v>
      </c>
      <c r="AX21" s="82"/>
      <c r="AY21" s="85"/>
    </row>
    <row r="22" spans="1:51" x14ac:dyDescent="0.25">
      <c r="A22"/>
      <c r="C22" t="s">
        <v>44</v>
      </c>
      <c r="M22" s="1">
        <f>73982.34-59535</f>
        <v>14447.339999999997</v>
      </c>
      <c r="N22" s="1">
        <f>52112.88-29209</f>
        <v>22903.879999999997</v>
      </c>
      <c r="O22" s="1">
        <f>64996.2-39275</f>
        <v>25721.199999999997</v>
      </c>
      <c r="P22" s="1">
        <f>107138.7-63236</f>
        <v>43902.7</v>
      </c>
      <c r="Q22" s="1">
        <f>114903.36-64079</f>
        <v>50824.36</v>
      </c>
      <c r="R22" s="1">
        <f>126372.06-62237</f>
        <v>64135.06</v>
      </c>
      <c r="S22" s="1">
        <f>141620.94-72923</f>
        <v>68697.94</v>
      </c>
      <c r="T22" s="1">
        <f>126420.84-67102</f>
        <v>59318.84</v>
      </c>
      <c r="U22" s="1">
        <f>144064.26-78245</f>
        <v>65819.260000000009</v>
      </c>
      <c r="V22" s="1">
        <f>102746.16-52413</f>
        <v>50333.16</v>
      </c>
      <c r="W22" s="1">
        <f>113603.58-54257</f>
        <v>59346.58</v>
      </c>
      <c r="X22" s="1">
        <f>128553.66-79343</f>
        <v>49210.66</v>
      </c>
      <c r="Y22" s="1">
        <f>70331.58-47292</f>
        <v>23039.58</v>
      </c>
      <c r="Z22" s="1">
        <f>27986.4-22787</f>
        <v>5199.4000000000015</v>
      </c>
      <c r="AA22" s="1">
        <f>14780.16-9323</f>
        <v>5457.16</v>
      </c>
      <c r="AB22" s="1">
        <f>6674.94-4003</f>
        <v>2671.9399999999996</v>
      </c>
      <c r="AC22" s="1">
        <f>572.4-502</f>
        <v>70.399999999999977</v>
      </c>
      <c r="AD22" s="1">
        <f>166.86-92</f>
        <v>74.860000000000014</v>
      </c>
      <c r="AR22" s="3">
        <f>SUM(D22:AQ22)</f>
        <v>611174.31999999995</v>
      </c>
      <c r="AT22" s="8">
        <f>IF(AR22=0,0,+AR22/PassVol!AR119)</f>
        <v>14.039011347452565</v>
      </c>
      <c r="AU22" s="60">
        <f t="shared" si="5"/>
        <v>14.040000000000001</v>
      </c>
      <c r="AV22" s="3"/>
      <c r="AW22" s="81" t="e">
        <f t="shared" si="3"/>
        <v>#DIV/0!</v>
      </c>
      <c r="AX22" s="82"/>
      <c r="AY22" s="85"/>
    </row>
    <row r="23" spans="1:51" s="2" customFormat="1" x14ac:dyDescent="0.25">
      <c r="B23" s="2" t="s">
        <v>149</v>
      </c>
      <c r="D23" s="3">
        <f>SUM(D4:D22)</f>
        <v>0</v>
      </c>
      <c r="E23" s="3">
        <f t="shared" ref="E23:J23" si="6">SUM(E4:E22)</f>
        <v>0</v>
      </c>
      <c r="F23" s="3">
        <f t="shared" si="6"/>
        <v>0</v>
      </c>
      <c r="G23" s="3">
        <f t="shared" si="6"/>
        <v>0</v>
      </c>
      <c r="H23" s="3">
        <f t="shared" si="6"/>
        <v>0</v>
      </c>
      <c r="I23" s="3">
        <f t="shared" si="6"/>
        <v>0</v>
      </c>
      <c r="J23" s="3">
        <f t="shared" si="6"/>
        <v>0</v>
      </c>
      <c r="K23" s="3">
        <f>SUM(K4:K22)</f>
        <v>0</v>
      </c>
      <c r="L23" s="3">
        <f>SUM(L4:L22)</f>
        <v>0</v>
      </c>
      <c r="M23" s="3">
        <f>SUM(M4:M22)</f>
        <v>73982.51999999999</v>
      </c>
      <c r="N23" s="3">
        <f>SUM(N4:N22)</f>
        <v>52113.2</v>
      </c>
      <c r="O23" s="3">
        <f t="shared" ref="O23:AR23" si="7">SUM(O4:O22)</f>
        <v>64996.119999999995</v>
      </c>
      <c r="P23" s="3">
        <f t="shared" si="7"/>
        <v>107150.73999999999</v>
      </c>
      <c r="Q23" s="3">
        <f t="shared" si="7"/>
        <v>114902.92000000001</v>
      </c>
      <c r="R23" s="3">
        <f t="shared" si="7"/>
        <v>126372.4</v>
      </c>
      <c r="S23" s="3">
        <f t="shared" si="7"/>
        <v>141621.16000000003</v>
      </c>
      <c r="T23" s="3">
        <f t="shared" si="7"/>
        <v>126420.68</v>
      </c>
      <c r="U23" s="3">
        <f t="shared" si="7"/>
        <v>144064</v>
      </c>
      <c r="V23" s="3">
        <f t="shared" si="7"/>
        <v>102745.92000000001</v>
      </c>
      <c r="W23" s="3">
        <f t="shared" si="7"/>
        <v>113603.07999999999</v>
      </c>
      <c r="X23" s="3">
        <f t="shared" si="7"/>
        <v>128554.12</v>
      </c>
      <c r="Y23" s="3">
        <f t="shared" si="7"/>
        <v>70331.520000000004</v>
      </c>
      <c r="Z23" s="3">
        <f t="shared" si="7"/>
        <v>27986.320000000007</v>
      </c>
      <c r="AA23" s="3">
        <f t="shared" si="7"/>
        <v>14780.44</v>
      </c>
      <c r="AB23" s="3">
        <f t="shared" si="7"/>
        <v>6674.6</v>
      </c>
      <c r="AC23" s="3">
        <f t="shared" si="7"/>
        <v>572.6</v>
      </c>
      <c r="AD23" s="3">
        <f t="shared" si="7"/>
        <v>166.84</v>
      </c>
      <c r="AE23" s="3">
        <f t="shared" si="7"/>
        <v>0</v>
      </c>
      <c r="AF23" s="3">
        <f t="shared" si="7"/>
        <v>0</v>
      </c>
      <c r="AG23" s="3">
        <f t="shared" si="7"/>
        <v>0</v>
      </c>
      <c r="AH23" s="3">
        <f t="shared" si="7"/>
        <v>0</v>
      </c>
      <c r="AI23" s="3">
        <f t="shared" si="7"/>
        <v>0</v>
      </c>
      <c r="AJ23" s="3">
        <f t="shared" si="7"/>
        <v>0</v>
      </c>
      <c r="AK23" s="3">
        <f t="shared" si="7"/>
        <v>0</v>
      </c>
      <c r="AL23" s="3">
        <f t="shared" si="7"/>
        <v>0</v>
      </c>
      <c r="AM23" s="3">
        <f t="shared" si="7"/>
        <v>0</v>
      </c>
      <c r="AN23" s="3">
        <f t="shared" si="7"/>
        <v>0</v>
      </c>
      <c r="AO23" s="3">
        <f t="shared" si="7"/>
        <v>0</v>
      </c>
      <c r="AP23" s="3">
        <f t="shared" si="7"/>
        <v>0</v>
      </c>
      <c r="AQ23" s="3">
        <f t="shared" si="7"/>
        <v>0</v>
      </c>
      <c r="AR23" s="3">
        <f t="shared" si="7"/>
        <v>1417039.18</v>
      </c>
      <c r="AS23" s="3"/>
      <c r="AT23" s="9">
        <f>IF(AR23=0,0,+AR23/PassVol!AR120)</f>
        <v>13.587618828447869</v>
      </c>
      <c r="AU23" s="61"/>
      <c r="AV23" s="3">
        <f>SUM(AV4:AV22)</f>
        <v>0</v>
      </c>
      <c r="AW23" s="81" t="e">
        <f t="shared" si="3"/>
        <v>#DIV/0!</v>
      </c>
      <c r="AX23" s="83"/>
      <c r="AY23" s="86"/>
    </row>
    <row r="24" spans="1:51" s="24" customFormat="1" x14ac:dyDescent="0.25">
      <c r="A24" s="23"/>
      <c r="B24" s="23"/>
      <c r="C24" s="27" t="s">
        <v>102</v>
      </c>
      <c r="D24" s="25">
        <f>+D23</f>
        <v>0</v>
      </c>
      <c r="E24" s="25">
        <f>+D24+E23</f>
        <v>0</v>
      </c>
      <c r="F24" s="25">
        <f t="shared" ref="F24:AQ24" si="8">+E24+F23</f>
        <v>0</v>
      </c>
      <c r="G24" s="25">
        <f t="shared" si="8"/>
        <v>0</v>
      </c>
      <c r="H24" s="25">
        <f t="shared" si="8"/>
        <v>0</v>
      </c>
      <c r="I24" s="25">
        <f t="shared" si="8"/>
        <v>0</v>
      </c>
      <c r="J24" s="25">
        <f t="shared" si="8"/>
        <v>0</v>
      </c>
      <c r="K24" s="25">
        <f t="shared" si="8"/>
        <v>0</v>
      </c>
      <c r="L24" s="25">
        <f t="shared" si="8"/>
        <v>0</v>
      </c>
      <c r="M24" s="25">
        <f t="shared" si="8"/>
        <v>73982.51999999999</v>
      </c>
      <c r="N24" s="25">
        <f t="shared" si="8"/>
        <v>126095.71999999999</v>
      </c>
      <c r="O24" s="25">
        <f t="shared" si="8"/>
        <v>191091.83999999997</v>
      </c>
      <c r="P24" s="25">
        <f t="shared" si="8"/>
        <v>298242.57999999996</v>
      </c>
      <c r="Q24" s="25">
        <f t="shared" si="8"/>
        <v>413145.5</v>
      </c>
      <c r="R24" s="25">
        <f t="shared" si="8"/>
        <v>539517.9</v>
      </c>
      <c r="S24" s="25">
        <f t="shared" si="8"/>
        <v>681139.06</v>
      </c>
      <c r="T24" s="25">
        <f t="shared" si="8"/>
        <v>807559.74</v>
      </c>
      <c r="U24" s="25">
        <f t="shared" si="8"/>
        <v>951623.74</v>
      </c>
      <c r="V24" s="25">
        <f t="shared" si="8"/>
        <v>1054369.6599999999</v>
      </c>
      <c r="W24" s="25">
        <f t="shared" si="8"/>
        <v>1167972.74</v>
      </c>
      <c r="X24" s="25">
        <f t="shared" si="8"/>
        <v>1296526.8599999999</v>
      </c>
      <c r="Y24" s="25">
        <f t="shared" si="8"/>
        <v>1366858.38</v>
      </c>
      <c r="Z24" s="25">
        <f t="shared" si="8"/>
        <v>1394844.7</v>
      </c>
      <c r="AA24" s="25">
        <f t="shared" si="8"/>
        <v>1409625.14</v>
      </c>
      <c r="AB24" s="25">
        <f t="shared" si="8"/>
        <v>1416299.74</v>
      </c>
      <c r="AC24" s="25">
        <f t="shared" si="8"/>
        <v>1416872.34</v>
      </c>
      <c r="AD24" s="25">
        <f t="shared" si="8"/>
        <v>1417039.1800000002</v>
      </c>
      <c r="AE24" s="25">
        <f t="shared" si="8"/>
        <v>1417039.1800000002</v>
      </c>
      <c r="AF24" s="25">
        <f t="shared" si="8"/>
        <v>1417039.1800000002</v>
      </c>
      <c r="AG24" s="25">
        <f t="shared" si="8"/>
        <v>1417039.1800000002</v>
      </c>
      <c r="AH24" s="25">
        <f t="shared" si="8"/>
        <v>1417039.1800000002</v>
      </c>
      <c r="AI24" s="25">
        <f t="shared" si="8"/>
        <v>1417039.1800000002</v>
      </c>
      <c r="AJ24" s="25">
        <f t="shared" si="8"/>
        <v>1417039.1800000002</v>
      </c>
      <c r="AK24" s="25">
        <f t="shared" si="8"/>
        <v>1417039.1800000002</v>
      </c>
      <c r="AL24" s="25">
        <f t="shared" si="8"/>
        <v>1417039.1800000002</v>
      </c>
      <c r="AM24" s="25">
        <f t="shared" si="8"/>
        <v>1417039.1800000002</v>
      </c>
      <c r="AN24" s="25">
        <f t="shared" si="8"/>
        <v>1417039.1800000002</v>
      </c>
      <c r="AO24" s="25">
        <f t="shared" si="8"/>
        <v>1417039.1800000002</v>
      </c>
      <c r="AP24" s="25">
        <f t="shared" si="8"/>
        <v>1417039.1800000002</v>
      </c>
      <c r="AQ24" s="25">
        <f t="shared" si="8"/>
        <v>1417039.1800000002</v>
      </c>
      <c r="AR24" s="49"/>
      <c r="AS24" s="25"/>
      <c r="AT24" s="26"/>
      <c r="AU24" s="60"/>
    </row>
    <row r="25" spans="1:51" s="24" customFormat="1" x14ac:dyDescent="0.25">
      <c r="A25" s="23"/>
      <c r="B25" s="23"/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49"/>
      <c r="AS25" s="25"/>
      <c r="AT25" s="26"/>
      <c r="AU25" s="60"/>
    </row>
    <row r="26" spans="1:51" s="24" customFormat="1" x14ac:dyDescent="0.25">
      <c r="A26" s="23"/>
      <c r="B26" s="2" t="s">
        <v>165</v>
      </c>
      <c r="C26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49"/>
      <c r="AS26" s="25"/>
      <c r="AT26" s="26"/>
      <c r="AU26" s="60"/>
    </row>
    <row r="27" spans="1:51" s="24" customFormat="1" x14ac:dyDescent="0.25">
      <c r="A27" s="23"/>
      <c r="B27" s="2"/>
      <c r="C27" t="s">
        <v>190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>
        <v>316.8</v>
      </c>
      <c r="P27" s="1">
        <v>864</v>
      </c>
      <c r="Q27" s="1">
        <v>936</v>
      </c>
      <c r="R27" s="1">
        <v>1728</v>
      </c>
      <c r="S27" s="1">
        <v>1065.5999999999999</v>
      </c>
      <c r="T27" s="1">
        <v>936</v>
      </c>
      <c r="U27" s="1">
        <v>475.2</v>
      </c>
      <c r="V27" s="1">
        <v>1411.2</v>
      </c>
      <c r="W27" s="1">
        <v>489.6</v>
      </c>
      <c r="X27" s="1">
        <v>1238.4000000000001</v>
      </c>
      <c r="Y27" s="1">
        <v>590.4</v>
      </c>
      <c r="Z27" s="1"/>
      <c r="AA27" s="1">
        <v>86.4</v>
      </c>
      <c r="AB27" s="1">
        <v>43.2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3">
        <f>SUM(D27:AQ27)</f>
        <v>10180.799999999999</v>
      </c>
      <c r="AS27" s="25"/>
      <c r="AT27" s="8">
        <f>IF(AR27=0,0,+AR27/PassVol!AR125)</f>
        <v>14.399999999999999</v>
      </c>
      <c r="AU27" s="60">
        <f>0.8*18</f>
        <v>14.4</v>
      </c>
      <c r="AV27" s="3"/>
      <c r="AW27" s="81" t="e">
        <f>IF(AR27=0,0,+(AR27-AV27)/AV27)</f>
        <v>#DIV/0!</v>
      </c>
      <c r="AX27" s="82"/>
      <c r="AY27" s="84"/>
    </row>
    <row r="28" spans="1:51" s="24" customFormat="1" x14ac:dyDescent="0.25">
      <c r="A28" s="23"/>
      <c r="B28" s="2"/>
      <c r="C28" t="s">
        <v>424</v>
      </c>
      <c r="D28" s="1"/>
      <c r="E28" s="1"/>
      <c r="F28" s="1"/>
      <c r="G28" s="1"/>
      <c r="H28" s="1"/>
      <c r="I28" s="1"/>
      <c r="J28" s="1"/>
      <c r="K28" s="1"/>
      <c r="L28" s="1"/>
      <c r="M28" s="1">
        <v>45.36</v>
      </c>
      <c r="N28" s="1">
        <v>166.32</v>
      </c>
      <c r="O28" s="1">
        <v>362.88</v>
      </c>
      <c r="P28" s="1">
        <v>635.04</v>
      </c>
      <c r="Q28" s="1">
        <v>1224.72</v>
      </c>
      <c r="R28" s="1">
        <v>997.92</v>
      </c>
      <c r="S28" s="1">
        <v>1466.64</v>
      </c>
      <c r="T28" s="1">
        <v>1708.56</v>
      </c>
      <c r="U28" s="1">
        <v>1995.84</v>
      </c>
      <c r="V28" s="1">
        <v>1451.52</v>
      </c>
      <c r="W28" s="1">
        <v>756</v>
      </c>
      <c r="X28" s="1">
        <v>287.27999999999997</v>
      </c>
      <c r="Y28" s="1">
        <v>423.36</v>
      </c>
      <c r="Z28" s="1">
        <v>90.72</v>
      </c>
      <c r="AA28" s="1">
        <v>196.56</v>
      </c>
      <c r="AB28" s="1">
        <v>90.72</v>
      </c>
      <c r="AC28" s="1">
        <v>15.12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3">
        <f>SUM(D28:AQ28)</f>
        <v>11914.560000000001</v>
      </c>
      <c r="AS28" s="25"/>
      <c r="AT28" s="8">
        <f>IF(AR28=0,0,+AR28/PassVol!AR126)</f>
        <v>15.120000000000001</v>
      </c>
      <c r="AU28" s="60">
        <f>0.84*18</f>
        <v>15.12</v>
      </c>
      <c r="AV28" s="3"/>
      <c r="AW28" s="81"/>
      <c r="AX28" s="82"/>
      <c r="AY28" s="85"/>
    </row>
    <row r="29" spans="1:51" s="24" customFormat="1" x14ac:dyDescent="0.25">
      <c r="A29" s="23"/>
      <c r="B29" s="2"/>
      <c r="C29" t="s">
        <v>347</v>
      </c>
      <c r="D29" s="1"/>
      <c r="E29" s="1"/>
      <c r="F29" s="1"/>
      <c r="G29" s="1"/>
      <c r="H29" s="1"/>
      <c r="I29" s="1"/>
      <c r="J29" s="1"/>
      <c r="K29" s="1"/>
      <c r="L29" s="1"/>
      <c r="M29" s="1">
        <v>151.19999999999999</v>
      </c>
      <c r="N29" s="1">
        <v>181.44</v>
      </c>
      <c r="O29" s="1">
        <v>468.72</v>
      </c>
      <c r="P29" s="1">
        <v>710.64</v>
      </c>
      <c r="Q29" s="1">
        <v>907.2</v>
      </c>
      <c r="R29" s="1">
        <v>1980.72</v>
      </c>
      <c r="S29" s="1">
        <v>1769.04</v>
      </c>
      <c r="T29" s="1">
        <v>1980.72</v>
      </c>
      <c r="U29" s="1">
        <v>2010.96</v>
      </c>
      <c r="V29" s="1">
        <v>2192.4</v>
      </c>
      <c r="W29" s="1">
        <v>1496.88</v>
      </c>
      <c r="X29" s="1">
        <v>589.67999999999995</v>
      </c>
      <c r="Y29" s="1">
        <v>257.04000000000002</v>
      </c>
      <c r="Z29" s="1">
        <v>60.48</v>
      </c>
      <c r="AA29" s="1">
        <v>75.599999999999994</v>
      </c>
      <c r="AB29" s="1">
        <v>15.12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3">
        <f t="shared" ref="AR29:AR45" si="9">SUM(D29:AQ29)</f>
        <v>14847.84</v>
      </c>
      <c r="AS29" s="25"/>
      <c r="AT29" s="8">
        <f>IF(AR29=0,0,+AR29/PassVol!AR127)</f>
        <v>15.120000000000001</v>
      </c>
      <c r="AU29" s="60">
        <f>0.84*18</f>
        <v>15.12</v>
      </c>
      <c r="AV29" s="3"/>
      <c r="AW29" s="81" t="e">
        <f>IF(AR29=0,0,+(AR29-AV29)/AV29)</f>
        <v>#DIV/0!</v>
      </c>
      <c r="AX29" s="82"/>
      <c r="AY29" s="85"/>
    </row>
    <row r="30" spans="1:51" s="24" customFormat="1" x14ac:dyDescent="0.25">
      <c r="A30" s="23"/>
      <c r="B30" s="2"/>
      <c r="C30" t="s">
        <v>0</v>
      </c>
      <c r="D30" s="1"/>
      <c r="E30" s="1"/>
      <c r="F30" s="1"/>
      <c r="G30" s="1"/>
      <c r="H30" s="1"/>
      <c r="I30" s="1"/>
      <c r="J30" s="1"/>
      <c r="K30" s="1"/>
      <c r="L30" s="1"/>
      <c r="M30" s="1">
        <v>3850.2</v>
      </c>
      <c r="N30" s="1">
        <v>4756.8599999999997</v>
      </c>
      <c r="O30" s="1">
        <v>5427.54</v>
      </c>
      <c r="P30" s="1">
        <v>7812.18</v>
      </c>
      <c r="Q30" s="1">
        <v>10942.02</v>
      </c>
      <c r="R30" s="1">
        <v>6048.54</v>
      </c>
      <c r="S30" s="1">
        <v>9762.1200000000008</v>
      </c>
      <c r="T30" s="1">
        <v>8681.58</v>
      </c>
      <c r="U30" s="1">
        <v>9240.48</v>
      </c>
      <c r="V30" s="1">
        <v>8544.9599999999991</v>
      </c>
      <c r="W30" s="1">
        <v>8097.84</v>
      </c>
      <c r="X30" s="1">
        <v>10606.68</v>
      </c>
      <c r="Y30" s="1">
        <v>7874.28</v>
      </c>
      <c r="Z30" s="1">
        <v>4111.0200000000004</v>
      </c>
      <c r="AA30" s="1">
        <v>1614.6</v>
      </c>
      <c r="AB30" s="1">
        <v>521.64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3">
        <f t="shared" si="9"/>
        <v>107892.54000000001</v>
      </c>
      <c r="AS30" s="25"/>
      <c r="AT30" s="8">
        <f>IF(AR30=0,0,+AR30/PassVol!AR128)</f>
        <v>12.420000000000002</v>
      </c>
      <c r="AU30" s="60">
        <v>12.42</v>
      </c>
      <c r="AV30" s="3"/>
      <c r="AW30" s="81" t="e">
        <f>IF(AR30=0,0,+(AR30-AV30)/AV30)</f>
        <v>#DIV/0!</v>
      </c>
      <c r="AX30" s="82"/>
      <c r="AY30" s="85"/>
    </row>
    <row r="31" spans="1:51" s="24" customFormat="1" x14ac:dyDescent="0.25">
      <c r="A31" s="23"/>
      <c r="B31" s="2"/>
      <c r="C31" t="s">
        <v>354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v>60.48</v>
      </c>
      <c r="O31" s="1">
        <v>90.72</v>
      </c>
      <c r="P31" s="1">
        <v>120.96</v>
      </c>
      <c r="Q31" s="1">
        <v>423.36</v>
      </c>
      <c r="R31" s="1">
        <v>362.88</v>
      </c>
      <c r="S31" s="1">
        <v>393.12</v>
      </c>
      <c r="T31" s="1">
        <v>287.27999999999997</v>
      </c>
      <c r="U31" s="1">
        <v>483.84</v>
      </c>
      <c r="V31" s="1">
        <v>211.68</v>
      </c>
      <c r="W31" s="1">
        <v>302.39999999999998</v>
      </c>
      <c r="X31" s="1">
        <v>211.68</v>
      </c>
      <c r="Y31" s="1">
        <v>453.6</v>
      </c>
      <c r="Z31" s="1">
        <v>45.36</v>
      </c>
      <c r="AA31" s="1">
        <v>211.68</v>
      </c>
      <c r="AB31" s="1">
        <v>45.36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3">
        <f t="shared" si="9"/>
        <v>3704.3999999999996</v>
      </c>
      <c r="AS31" s="25"/>
      <c r="AT31" s="8">
        <f>IF(AR31=0,0,+AR31/PassVol!AR129)</f>
        <v>15.12</v>
      </c>
      <c r="AU31" s="60">
        <f>0.84*18</f>
        <v>15.12</v>
      </c>
      <c r="AV31" s="3"/>
      <c r="AW31" t="s">
        <v>373</v>
      </c>
      <c r="AX31" s="82"/>
      <c r="AY31" s="85"/>
    </row>
    <row r="32" spans="1:51" s="24" customFormat="1" x14ac:dyDescent="0.25">
      <c r="A32" s="23"/>
      <c r="B32" s="2"/>
      <c r="C32" t="s">
        <v>265</v>
      </c>
      <c r="D32" s="1"/>
      <c r="E32" s="1"/>
      <c r="F32" s="1"/>
      <c r="G32" s="1"/>
      <c r="H32" s="1"/>
      <c r="I32" s="1"/>
      <c r="J32" s="1"/>
      <c r="K32" s="1"/>
      <c r="L32" s="1"/>
      <c r="M32" s="1">
        <v>426.6</v>
      </c>
      <c r="N32" s="1">
        <v>298.62</v>
      </c>
      <c r="O32" s="1">
        <v>398.16</v>
      </c>
      <c r="P32" s="1">
        <v>1066.5</v>
      </c>
      <c r="Q32" s="1">
        <v>426.6</v>
      </c>
      <c r="R32" s="1">
        <v>1237.1400000000001</v>
      </c>
      <c r="S32" s="1">
        <v>1407.78</v>
      </c>
      <c r="T32" s="1">
        <v>1166.04</v>
      </c>
      <c r="U32" s="1">
        <v>1891.26</v>
      </c>
      <c r="V32" s="1">
        <v>1592.64</v>
      </c>
      <c r="W32" s="1">
        <v>881.64</v>
      </c>
      <c r="X32" s="1">
        <v>1948.14</v>
      </c>
      <c r="Y32" s="1">
        <v>327.06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3">
        <f t="shared" si="9"/>
        <v>13068.179999999997</v>
      </c>
      <c r="AS32" s="25"/>
      <c r="AT32" s="8">
        <f>IF(AR32=0,0,+AR32/PassVol!AR130)</f>
        <v>14.219999999999997</v>
      </c>
      <c r="AU32" s="60">
        <v>14.22</v>
      </c>
      <c r="AV32" s="3"/>
      <c r="AW32" s="81" t="e">
        <f t="shared" ref="AW32:AW46" si="10">IF(AR32=0,0,+(AR32-AV32)/AV32)</f>
        <v>#DIV/0!</v>
      </c>
      <c r="AX32" s="82"/>
      <c r="AY32" s="85"/>
    </row>
    <row r="33" spans="1:51" s="24" customFormat="1" x14ac:dyDescent="0.25">
      <c r="A33" s="23"/>
      <c r="B33" s="2"/>
      <c r="C33" t="s">
        <v>191</v>
      </c>
      <c r="D33" s="1"/>
      <c r="E33" s="1"/>
      <c r="F33" s="1"/>
      <c r="G33" s="1"/>
      <c r="H33" s="1"/>
      <c r="I33" s="1"/>
      <c r="J33" s="1"/>
      <c r="K33" s="1"/>
      <c r="L33" s="1"/>
      <c r="M33" s="1">
        <v>514.08000000000004</v>
      </c>
      <c r="N33" s="1">
        <v>120.96</v>
      </c>
      <c r="O33" s="1">
        <v>665.28</v>
      </c>
      <c r="P33" s="1">
        <v>1935.36</v>
      </c>
      <c r="Q33" s="1">
        <v>1708.56</v>
      </c>
      <c r="R33" s="1">
        <v>1799.28</v>
      </c>
      <c r="S33" s="1">
        <v>3870.72</v>
      </c>
      <c r="T33" s="1">
        <v>2328.48</v>
      </c>
      <c r="U33" s="1">
        <v>1753.92</v>
      </c>
      <c r="V33" s="1">
        <v>45.36</v>
      </c>
      <c r="W33" s="1">
        <v>2766.96</v>
      </c>
      <c r="X33" s="1">
        <v>2298.2399999999998</v>
      </c>
      <c r="Y33" s="1">
        <v>2464.56</v>
      </c>
      <c r="Z33" s="1">
        <v>771.12</v>
      </c>
      <c r="AA33" s="1">
        <v>1451.52</v>
      </c>
      <c r="AB33" s="1">
        <v>15.12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3">
        <f t="shared" si="9"/>
        <v>24509.519999999997</v>
      </c>
      <c r="AS33" s="25"/>
      <c r="AT33" s="8">
        <f>IF(AR33=0,0,+AR33/PassVol!AR131)</f>
        <v>15.119999999999997</v>
      </c>
      <c r="AU33" s="60">
        <f>0.84*18</f>
        <v>15.12</v>
      </c>
      <c r="AV33" s="3"/>
      <c r="AW33" s="81" t="e">
        <f t="shared" si="10"/>
        <v>#DIV/0!</v>
      </c>
      <c r="AX33" s="82"/>
      <c r="AY33" s="85"/>
    </row>
    <row r="34" spans="1:51" s="24" customFormat="1" x14ac:dyDescent="0.25">
      <c r="A34" s="23"/>
      <c r="B34" s="2"/>
      <c r="C34" t="s">
        <v>549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3">
        <f t="shared" si="9"/>
        <v>0</v>
      </c>
      <c r="AS34" s="25"/>
      <c r="AT34" s="8">
        <f>IF(AR34=0,0,+AR34/PassVol!AR132)</f>
        <v>0</v>
      </c>
      <c r="AU34" s="60">
        <f t="shared" ref="AU34:AU41" si="11">0.84*18</f>
        <v>15.12</v>
      </c>
      <c r="AV34" s="3"/>
      <c r="AW34" s="81">
        <f t="shared" si="10"/>
        <v>0</v>
      </c>
      <c r="AX34" s="82"/>
      <c r="AY34" s="85"/>
    </row>
    <row r="35" spans="1:51" s="24" customFormat="1" x14ac:dyDescent="0.25">
      <c r="A35" s="23"/>
      <c r="B35" s="2"/>
      <c r="C35" t="s">
        <v>550</v>
      </c>
      <c r="D35" s="1"/>
      <c r="E35" s="1"/>
      <c r="F35" s="1"/>
      <c r="G35" s="1"/>
      <c r="H35" s="1"/>
      <c r="I35" s="1"/>
      <c r="J35" s="1"/>
      <c r="K35" s="1"/>
      <c r="L35" s="1"/>
      <c r="M35" s="1">
        <v>362.88</v>
      </c>
      <c r="N35" s="1"/>
      <c r="O35" s="1">
        <v>45.36</v>
      </c>
      <c r="P35" s="1"/>
      <c r="Q35" s="1">
        <v>241.92</v>
      </c>
      <c r="R35" s="1"/>
      <c r="S35" s="1"/>
      <c r="T35" s="1"/>
      <c r="U35" s="1">
        <v>559.44000000000005</v>
      </c>
      <c r="V35" s="1">
        <v>1663.2</v>
      </c>
      <c r="W35" s="1">
        <v>3039.12</v>
      </c>
      <c r="X35" s="1">
        <v>1375.92</v>
      </c>
      <c r="Y35" s="1">
        <v>997.92</v>
      </c>
      <c r="Z35" s="1">
        <v>317.52</v>
      </c>
      <c r="AA35" s="1">
        <v>272.16000000000003</v>
      </c>
      <c r="AB35" s="1"/>
      <c r="AC35" s="1">
        <v>105.84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3">
        <f t="shared" si="9"/>
        <v>8981.2800000000007</v>
      </c>
      <c r="AS35" s="25"/>
      <c r="AT35" s="8">
        <f>IF(AR35=0,0,+AR35/PassVol!AR133)</f>
        <v>15.120000000000001</v>
      </c>
      <c r="AU35" s="60">
        <f t="shared" si="11"/>
        <v>15.12</v>
      </c>
      <c r="AV35" s="3"/>
      <c r="AW35" s="81" t="e">
        <f t="shared" si="10"/>
        <v>#DIV/0!</v>
      </c>
      <c r="AX35" s="82"/>
      <c r="AY35" s="85"/>
    </row>
    <row r="36" spans="1:51" x14ac:dyDescent="0.25">
      <c r="C36" t="s">
        <v>6</v>
      </c>
      <c r="AR36" s="3">
        <f t="shared" si="9"/>
        <v>0</v>
      </c>
      <c r="AT36" s="8">
        <f>IF(AR36=0,0,+AR36/PassVol!AR134)</f>
        <v>0</v>
      </c>
      <c r="AU36" s="60">
        <v>0</v>
      </c>
      <c r="AV36" s="3"/>
      <c r="AW36" s="81">
        <f t="shared" si="10"/>
        <v>0</v>
      </c>
      <c r="AX36" s="82"/>
      <c r="AY36" s="85"/>
    </row>
    <row r="37" spans="1:51" x14ac:dyDescent="0.25">
      <c r="C37" t="s">
        <v>262</v>
      </c>
      <c r="M37" s="1">
        <v>84.24</v>
      </c>
      <c r="N37" s="1">
        <v>814.32</v>
      </c>
      <c r="O37" s="1">
        <v>1279.8</v>
      </c>
      <c r="P37" s="1">
        <v>1707.48</v>
      </c>
      <c r="Q37" s="1">
        <v>1483.92</v>
      </c>
      <c r="R37" s="1">
        <v>2033.64</v>
      </c>
      <c r="S37" s="1">
        <v>1652.4</v>
      </c>
      <c r="T37" s="1">
        <v>2233.44</v>
      </c>
      <c r="U37" s="1">
        <v>1415.88</v>
      </c>
      <c r="V37" s="1">
        <v>936.36</v>
      </c>
      <c r="W37" s="1">
        <v>657.72</v>
      </c>
      <c r="X37" s="1">
        <v>45.36</v>
      </c>
      <c r="Y37" s="1">
        <v>90.72</v>
      </c>
      <c r="Z37" s="1">
        <v>120.96</v>
      </c>
      <c r="AB37" s="1">
        <v>14.04</v>
      </c>
      <c r="AC37" s="1">
        <v>28.08</v>
      </c>
      <c r="AR37" s="3">
        <f t="shared" si="9"/>
        <v>14598.360000000002</v>
      </c>
      <c r="AT37" s="8">
        <f>IF(AR37=0,0,+AR37/PassVol!AR135)</f>
        <v>14.86594704684318</v>
      </c>
      <c r="AU37" s="60">
        <f t="shared" si="11"/>
        <v>15.12</v>
      </c>
      <c r="AV37" s="3"/>
      <c r="AW37" s="81" t="e">
        <f t="shared" si="10"/>
        <v>#DIV/0!</v>
      </c>
      <c r="AX37" s="82"/>
      <c r="AY37" s="85"/>
    </row>
    <row r="38" spans="1:51" x14ac:dyDescent="0.25">
      <c r="C38" t="s">
        <v>42</v>
      </c>
      <c r="M38" s="1">
        <v>816.48</v>
      </c>
      <c r="N38" s="1">
        <v>181.44</v>
      </c>
      <c r="O38" s="1">
        <v>298.08</v>
      </c>
      <c r="P38" s="1">
        <v>712.8</v>
      </c>
      <c r="Q38" s="1">
        <v>518.4</v>
      </c>
      <c r="R38" s="1">
        <v>790.56</v>
      </c>
      <c r="S38" s="1">
        <v>997.92</v>
      </c>
      <c r="T38" s="1">
        <v>518.4</v>
      </c>
      <c r="U38" s="1">
        <v>635.04</v>
      </c>
      <c r="V38" s="1">
        <v>414.72</v>
      </c>
      <c r="X38" s="1">
        <v>233.28</v>
      </c>
      <c r="Y38" s="1">
        <v>142.56</v>
      </c>
      <c r="Z38" s="1">
        <v>51.84</v>
      </c>
      <c r="AA38" s="1">
        <v>155.52000000000001</v>
      </c>
      <c r="AR38" s="3">
        <f t="shared" si="9"/>
        <v>6467.04</v>
      </c>
      <c r="AT38" s="8">
        <f>IF(AR38=0,0,+AR38/PassVol!AR136)</f>
        <v>12.959999999999999</v>
      </c>
      <c r="AU38" s="60">
        <f>0.72*18</f>
        <v>12.959999999999999</v>
      </c>
      <c r="AV38" s="3"/>
      <c r="AW38" s="81" t="e">
        <f t="shared" si="10"/>
        <v>#DIV/0!</v>
      </c>
      <c r="AX38" s="82"/>
      <c r="AY38" s="85"/>
    </row>
    <row r="39" spans="1:51" x14ac:dyDescent="0.25">
      <c r="C39" t="s">
        <v>192</v>
      </c>
      <c r="M39" s="1">
        <v>1137.5999999999999</v>
      </c>
      <c r="N39" s="1">
        <v>230.4</v>
      </c>
      <c r="O39" s="1">
        <v>1195.2</v>
      </c>
      <c r="P39" s="1">
        <v>1641.6</v>
      </c>
      <c r="Q39" s="1">
        <v>1123.2</v>
      </c>
      <c r="R39" s="1">
        <v>1080</v>
      </c>
      <c r="S39" s="1">
        <v>1310.4000000000001</v>
      </c>
      <c r="T39" s="1">
        <v>1425.6</v>
      </c>
      <c r="U39" s="1">
        <v>2433.6</v>
      </c>
      <c r="V39" s="1">
        <v>1152</v>
      </c>
      <c r="W39" s="1">
        <v>1195.2</v>
      </c>
      <c r="X39" s="1">
        <v>820.8</v>
      </c>
      <c r="Y39" s="1">
        <v>216</v>
      </c>
      <c r="Z39" s="1">
        <v>172.8</v>
      </c>
      <c r="AB39" s="1">
        <v>43.2</v>
      </c>
      <c r="AC39" s="1">
        <v>28.8</v>
      </c>
      <c r="AR39" s="3">
        <f t="shared" si="9"/>
        <v>15206.4</v>
      </c>
      <c r="AT39" s="8">
        <f>IF(AR39=0,0,+AR39/PassVol!AR137)</f>
        <v>14.4</v>
      </c>
      <c r="AU39" s="60">
        <f>0.8*18</f>
        <v>14.4</v>
      </c>
      <c r="AV39" s="3"/>
      <c r="AW39" s="81" t="e">
        <f t="shared" si="10"/>
        <v>#DIV/0!</v>
      </c>
      <c r="AX39" s="82"/>
      <c r="AY39" s="85"/>
    </row>
    <row r="40" spans="1:51" x14ac:dyDescent="0.25">
      <c r="C40" t="s">
        <v>133</v>
      </c>
      <c r="M40" s="1">
        <v>60.48</v>
      </c>
      <c r="N40" s="1">
        <v>393.12</v>
      </c>
      <c r="O40" s="1">
        <v>756</v>
      </c>
      <c r="P40" s="1">
        <v>1572.48</v>
      </c>
      <c r="Q40" s="1">
        <v>1527.12</v>
      </c>
      <c r="R40" s="1">
        <v>725.76</v>
      </c>
      <c r="S40" s="1">
        <v>1542.24</v>
      </c>
      <c r="T40" s="1">
        <v>2404.08</v>
      </c>
      <c r="U40" s="1">
        <v>1769.04</v>
      </c>
      <c r="V40" s="1">
        <v>846.72</v>
      </c>
      <c r="W40" s="1">
        <v>892.08</v>
      </c>
      <c r="X40" s="1">
        <v>468.72</v>
      </c>
      <c r="Y40" s="1">
        <v>529.20000000000005</v>
      </c>
      <c r="Z40" s="1">
        <v>151.19999999999999</v>
      </c>
      <c r="AA40" s="1">
        <v>181.44</v>
      </c>
      <c r="AB40" s="1">
        <v>393.12</v>
      </c>
      <c r="AR40" s="3">
        <f t="shared" si="9"/>
        <v>14212.800000000001</v>
      </c>
      <c r="AT40" s="8">
        <f>IF(AR40=0,0,+AR40/PassVol!AR138)</f>
        <v>15.120000000000001</v>
      </c>
      <c r="AU40" s="60">
        <f t="shared" si="11"/>
        <v>15.12</v>
      </c>
      <c r="AV40" s="3"/>
      <c r="AW40" s="81" t="e">
        <f t="shared" si="10"/>
        <v>#DIV/0!</v>
      </c>
      <c r="AX40" s="82"/>
      <c r="AY40" s="85"/>
    </row>
    <row r="41" spans="1:51" x14ac:dyDescent="0.25">
      <c r="C41" t="s">
        <v>41</v>
      </c>
      <c r="M41" s="1">
        <v>120.96</v>
      </c>
      <c r="N41" s="1">
        <v>710.64</v>
      </c>
      <c r="O41" s="1">
        <v>2464.56</v>
      </c>
      <c r="P41" s="1">
        <v>2963.52</v>
      </c>
      <c r="Q41" s="1">
        <v>3235.68</v>
      </c>
      <c r="R41" s="1">
        <v>3825.36</v>
      </c>
      <c r="S41" s="1">
        <v>2509.92</v>
      </c>
      <c r="T41" s="1">
        <v>3976.56</v>
      </c>
      <c r="U41" s="1">
        <v>4777.92</v>
      </c>
      <c r="V41" s="1">
        <v>3326.4</v>
      </c>
      <c r="W41" s="1">
        <v>1995.84</v>
      </c>
      <c r="X41" s="1">
        <v>2782.08</v>
      </c>
      <c r="Y41" s="1">
        <v>4551.12</v>
      </c>
      <c r="Z41" s="1">
        <v>801.36</v>
      </c>
      <c r="AA41" s="1">
        <v>559.44000000000005</v>
      </c>
      <c r="AC41" s="1">
        <v>45.36</v>
      </c>
      <c r="AR41" s="3">
        <f t="shared" si="9"/>
        <v>38646.720000000008</v>
      </c>
      <c r="AT41" s="8">
        <f>IF(AR41=0,0,+AR41/PassVol!AR139)</f>
        <v>15.120000000000003</v>
      </c>
      <c r="AU41" s="60">
        <f t="shared" si="11"/>
        <v>15.12</v>
      </c>
      <c r="AV41" s="3"/>
      <c r="AW41" s="81" t="e">
        <f t="shared" si="10"/>
        <v>#DIV/0!</v>
      </c>
      <c r="AX41" s="82"/>
      <c r="AY41" s="85"/>
    </row>
    <row r="42" spans="1:51" x14ac:dyDescent="0.25">
      <c r="C42" t="s">
        <v>193</v>
      </c>
      <c r="AR42" s="3">
        <f t="shared" si="9"/>
        <v>0</v>
      </c>
      <c r="AT42" s="8">
        <f>IF(AR42=0,0,+AR42/PassVol!AR140)</f>
        <v>0</v>
      </c>
      <c r="AU42" s="60">
        <v>0</v>
      </c>
      <c r="AV42" s="3"/>
      <c r="AW42" s="81">
        <f t="shared" si="10"/>
        <v>0</v>
      </c>
      <c r="AX42" s="82"/>
      <c r="AY42" s="85"/>
    </row>
    <row r="43" spans="1:51" x14ac:dyDescent="0.25">
      <c r="C43" t="s">
        <v>297</v>
      </c>
      <c r="AR43" s="3">
        <f t="shared" si="9"/>
        <v>0</v>
      </c>
      <c r="AT43" s="8">
        <f>IF(AR43=0,0,+AR43/PassVol!AR141)</f>
        <v>0</v>
      </c>
      <c r="AU43" s="60">
        <v>0</v>
      </c>
      <c r="AV43" s="3"/>
      <c r="AW43" s="81">
        <f t="shared" si="10"/>
        <v>0</v>
      </c>
      <c r="AX43" s="82"/>
      <c r="AY43" s="85"/>
    </row>
    <row r="44" spans="1:51" x14ac:dyDescent="0.25">
      <c r="C44" t="s">
        <v>296</v>
      </c>
      <c r="M44" s="1">
        <v>15.12</v>
      </c>
      <c r="N44" s="1">
        <v>151.19999999999999</v>
      </c>
      <c r="O44" s="1">
        <v>136.08000000000001</v>
      </c>
      <c r="P44" s="1">
        <v>423.36</v>
      </c>
      <c r="Q44" s="1">
        <v>468.72</v>
      </c>
      <c r="R44" s="1">
        <v>423.36</v>
      </c>
      <c r="S44" s="1">
        <v>574.55999999999995</v>
      </c>
      <c r="T44" s="1">
        <v>635.04</v>
      </c>
      <c r="U44" s="1">
        <v>861.84</v>
      </c>
      <c r="V44" s="1">
        <v>604.79999999999995</v>
      </c>
      <c r="W44" s="1">
        <v>408.24</v>
      </c>
      <c r="X44" s="1">
        <v>120.96</v>
      </c>
      <c r="Y44" s="1">
        <v>151.19999999999999</v>
      </c>
      <c r="AA44" s="1">
        <v>241.92</v>
      </c>
      <c r="AB44" s="1">
        <v>30.24</v>
      </c>
      <c r="AR44" s="3">
        <f t="shared" si="9"/>
        <v>5246.6399999999994</v>
      </c>
      <c r="AT44" s="8">
        <f>IF(AR44=0,0,+AR44/PassVol!AR142)</f>
        <v>15.119999999999997</v>
      </c>
      <c r="AU44" s="60">
        <f t="shared" ref="AU44:AU45" si="12">0.84*18</f>
        <v>15.12</v>
      </c>
      <c r="AV44" s="3"/>
      <c r="AW44" s="81" t="e">
        <f t="shared" si="10"/>
        <v>#DIV/0!</v>
      </c>
      <c r="AX44" s="82"/>
      <c r="AY44" s="85"/>
    </row>
    <row r="45" spans="1:51" s="24" customFormat="1" x14ac:dyDescent="0.25">
      <c r="A45" s="23"/>
      <c r="B45" s="2"/>
      <c r="C45" t="s">
        <v>44</v>
      </c>
      <c r="D45" s="1"/>
      <c r="E45" s="1"/>
      <c r="F45" s="1"/>
      <c r="G45" s="1"/>
      <c r="H45" s="1"/>
      <c r="I45" s="1"/>
      <c r="J45" s="1"/>
      <c r="K45" s="1"/>
      <c r="L45" s="1"/>
      <c r="M45" s="1">
        <f>8855.28-7585</f>
        <v>1270.2800000000007</v>
      </c>
      <c r="N45" s="1">
        <f>13960.44-8066</f>
        <v>5894.4400000000005</v>
      </c>
      <c r="O45" s="1">
        <f>23037.66-13905</f>
        <v>9132.66</v>
      </c>
      <c r="P45" s="1">
        <f>41020.56-22166</f>
        <v>18854.559999999998</v>
      </c>
      <c r="Q45" s="1">
        <f>40892.22-25167</f>
        <v>15725.220000000001</v>
      </c>
      <c r="R45" s="1">
        <f>48010.32-23033</f>
        <v>24977.32</v>
      </c>
      <c r="S45" s="1">
        <f>56354.94-28322</f>
        <v>28032.940000000002</v>
      </c>
      <c r="T45" s="1">
        <f>51973.74-28282</f>
        <v>23691.739999999998</v>
      </c>
      <c r="U45" s="1">
        <f>57715.74-30304</f>
        <v>27411.739999999998</v>
      </c>
      <c r="V45" s="1">
        <f>48661.56-24394</f>
        <v>24267.559999999998</v>
      </c>
      <c r="W45" s="1">
        <f>37600.56-22980</f>
        <v>14620.559999999998</v>
      </c>
      <c r="X45" s="1">
        <f>31706.1-23027</f>
        <v>8679.0999999999985</v>
      </c>
      <c r="Y45" s="1">
        <f>25011.18-19069</f>
        <v>5942.18</v>
      </c>
      <c r="Z45" s="1">
        <f>8354.34-6694</f>
        <v>1660.3400000000001</v>
      </c>
      <c r="AA45" s="1">
        <f>7511.4-5047</f>
        <v>2464.3999999999996</v>
      </c>
      <c r="AB45" s="1">
        <f>1861.92-1212</f>
        <v>649.92000000000007</v>
      </c>
      <c r="AC45" s="1">
        <f>268.56-223</f>
        <v>45.56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3">
        <f t="shared" si="9"/>
        <v>213320.52</v>
      </c>
      <c r="AS45" s="25"/>
      <c r="AT45" s="8">
        <f>IF(AR45=0,0,+AR45/PassVol!AR143)</f>
        <v>15.118392629340892</v>
      </c>
      <c r="AU45" s="60">
        <f t="shared" si="12"/>
        <v>15.12</v>
      </c>
      <c r="AV45" s="3"/>
      <c r="AW45" s="81" t="e">
        <f t="shared" si="10"/>
        <v>#DIV/0!</v>
      </c>
      <c r="AX45" s="82"/>
      <c r="AY45" s="85"/>
    </row>
    <row r="46" spans="1:51" s="24" customFormat="1" x14ac:dyDescent="0.25">
      <c r="A46" s="23"/>
      <c r="B46" s="2" t="s">
        <v>166</v>
      </c>
      <c r="C46" s="2"/>
      <c r="D46" s="3">
        <f>SUM(D27:D45)</f>
        <v>0</v>
      </c>
      <c r="E46" s="3">
        <f t="shared" ref="E46:J46" si="13">SUM(E27:E45)</f>
        <v>0</v>
      </c>
      <c r="F46" s="3">
        <f t="shared" si="13"/>
        <v>0</v>
      </c>
      <c r="G46" s="3">
        <f t="shared" si="13"/>
        <v>0</v>
      </c>
      <c r="H46" s="3">
        <f t="shared" si="13"/>
        <v>0</v>
      </c>
      <c r="I46" s="3">
        <f t="shared" si="13"/>
        <v>0</v>
      </c>
      <c r="J46" s="3">
        <f t="shared" si="13"/>
        <v>0</v>
      </c>
      <c r="K46" s="3">
        <f>SUM(K27:K45)</f>
        <v>0</v>
      </c>
      <c r="L46" s="3">
        <f>SUM(L27:L45)</f>
        <v>0</v>
      </c>
      <c r="M46" s="3">
        <f t="shared" ref="M46:AR46" si="14">SUM(M27:M45)</f>
        <v>8855.48</v>
      </c>
      <c r="N46" s="3">
        <f t="shared" si="14"/>
        <v>13960.239999999998</v>
      </c>
      <c r="O46" s="3">
        <f t="shared" si="14"/>
        <v>23037.84</v>
      </c>
      <c r="P46" s="3">
        <f t="shared" si="14"/>
        <v>41020.479999999996</v>
      </c>
      <c r="Q46" s="3">
        <f t="shared" si="14"/>
        <v>40892.640000000007</v>
      </c>
      <c r="R46" s="3">
        <f t="shared" si="14"/>
        <v>48010.479999999996</v>
      </c>
      <c r="S46" s="3">
        <f t="shared" si="14"/>
        <v>56355.400000000009</v>
      </c>
      <c r="T46" s="3">
        <f t="shared" si="14"/>
        <v>51973.520000000004</v>
      </c>
      <c r="U46" s="3">
        <f t="shared" si="14"/>
        <v>57716</v>
      </c>
      <c r="V46" s="3">
        <f t="shared" si="14"/>
        <v>48661.520000000004</v>
      </c>
      <c r="W46" s="3">
        <f t="shared" si="14"/>
        <v>37600.080000000002</v>
      </c>
      <c r="X46" s="3">
        <f t="shared" si="14"/>
        <v>31706.319999999992</v>
      </c>
      <c r="Y46" s="3">
        <f t="shared" si="14"/>
        <v>25011.200000000001</v>
      </c>
      <c r="Z46" s="3">
        <f t="shared" si="14"/>
        <v>8354.7199999999993</v>
      </c>
      <c r="AA46" s="3">
        <f t="shared" si="14"/>
        <v>7511.24</v>
      </c>
      <c r="AB46" s="3">
        <f t="shared" si="14"/>
        <v>1861.68</v>
      </c>
      <c r="AC46" s="3">
        <f t="shared" si="14"/>
        <v>268.76000000000005</v>
      </c>
      <c r="AD46" s="3">
        <f t="shared" si="14"/>
        <v>0</v>
      </c>
      <c r="AE46" s="3">
        <f t="shared" si="14"/>
        <v>0</v>
      </c>
      <c r="AF46" s="3">
        <f t="shared" si="14"/>
        <v>0</v>
      </c>
      <c r="AG46" s="3">
        <f t="shared" si="14"/>
        <v>0</v>
      </c>
      <c r="AH46" s="3">
        <f t="shared" si="14"/>
        <v>0</v>
      </c>
      <c r="AI46" s="3">
        <f t="shared" si="14"/>
        <v>0</v>
      </c>
      <c r="AJ46" s="3">
        <f t="shared" si="14"/>
        <v>0</v>
      </c>
      <c r="AK46" s="3">
        <f t="shared" si="14"/>
        <v>0</v>
      </c>
      <c r="AL46" s="3">
        <f t="shared" si="14"/>
        <v>0</v>
      </c>
      <c r="AM46" s="3">
        <f t="shared" si="14"/>
        <v>0</v>
      </c>
      <c r="AN46" s="3">
        <f t="shared" si="14"/>
        <v>0</v>
      </c>
      <c r="AO46" s="3">
        <f t="shared" si="14"/>
        <v>0</v>
      </c>
      <c r="AP46" s="3">
        <f t="shared" si="14"/>
        <v>0</v>
      </c>
      <c r="AQ46" s="3">
        <f t="shared" si="14"/>
        <v>0</v>
      </c>
      <c r="AR46" s="3">
        <f t="shared" si="14"/>
        <v>502797.6</v>
      </c>
      <c r="AS46" s="25"/>
      <c r="AT46" s="9">
        <f>IF(AR46=0,0,+AR46/PassVol!AR144)</f>
        <v>14.352113721348442</v>
      </c>
      <c r="AU46" s="60"/>
      <c r="AV46" s="3">
        <f>SUM(AV27:AV45)</f>
        <v>0</v>
      </c>
      <c r="AW46" s="81" t="e">
        <f t="shared" si="10"/>
        <v>#DIV/0!</v>
      </c>
      <c r="AX46" s="83"/>
      <c r="AY46" s="86"/>
    </row>
    <row r="47" spans="1:51" s="24" customFormat="1" x14ac:dyDescent="0.25">
      <c r="A47" s="23"/>
      <c r="B47" s="23"/>
      <c r="C47" s="27" t="s">
        <v>102</v>
      </c>
      <c r="D47" s="25">
        <f>+D46</f>
        <v>0</v>
      </c>
      <c r="E47" s="25">
        <f>+D47+E46</f>
        <v>0</v>
      </c>
      <c r="F47" s="25">
        <f t="shared" ref="F47" si="15">+E47+F46</f>
        <v>0</v>
      </c>
      <c r="G47" s="25">
        <f t="shared" ref="G47" si="16">+F47+G46</f>
        <v>0</v>
      </c>
      <c r="H47" s="25">
        <f t="shared" ref="H47" si="17">+G47+H46</f>
        <v>0</v>
      </c>
      <c r="I47" s="25">
        <f t="shared" ref="I47" si="18">+H47+I46</f>
        <v>0</v>
      </c>
      <c r="J47" s="25">
        <f t="shared" ref="J47" si="19">+I47+J46</f>
        <v>0</v>
      </c>
      <c r="K47" s="25">
        <f t="shared" ref="K47" si="20">+J47+K46</f>
        <v>0</v>
      </c>
      <c r="L47" s="25">
        <f t="shared" ref="L47" si="21">+K47+L46</f>
        <v>0</v>
      </c>
      <c r="M47" s="25">
        <f t="shared" ref="M47" si="22">+L47+M46</f>
        <v>8855.48</v>
      </c>
      <c r="N47" s="25">
        <f t="shared" ref="N47" si="23">+M47+N46</f>
        <v>22815.719999999998</v>
      </c>
      <c r="O47" s="25">
        <f t="shared" ref="O47" si="24">+N47+O46</f>
        <v>45853.56</v>
      </c>
      <c r="P47" s="25">
        <f t="shared" ref="P47" si="25">+O47+P46</f>
        <v>86874.04</v>
      </c>
      <c r="Q47" s="25">
        <f t="shared" ref="Q47" si="26">+P47+Q46</f>
        <v>127766.68</v>
      </c>
      <c r="R47" s="25">
        <f t="shared" ref="R47" si="27">+Q47+R46</f>
        <v>175777.15999999997</v>
      </c>
      <c r="S47" s="25">
        <f t="shared" ref="S47" si="28">+R47+S46</f>
        <v>232132.56</v>
      </c>
      <c r="T47" s="25">
        <f t="shared" ref="T47" si="29">+S47+T46</f>
        <v>284106.08</v>
      </c>
      <c r="U47" s="25">
        <f t="shared" ref="U47" si="30">+T47+U46</f>
        <v>341822.08</v>
      </c>
      <c r="V47" s="25">
        <f t="shared" ref="V47" si="31">+U47+V46</f>
        <v>390483.60000000003</v>
      </c>
      <c r="W47" s="25">
        <f t="shared" ref="W47" si="32">+V47+W46</f>
        <v>428083.68000000005</v>
      </c>
      <c r="X47" s="25">
        <f t="shared" ref="X47" si="33">+W47+X46</f>
        <v>459790.00000000006</v>
      </c>
      <c r="Y47" s="25">
        <f t="shared" ref="Y47" si="34">+X47+Y46</f>
        <v>484801.20000000007</v>
      </c>
      <c r="Z47" s="25">
        <f t="shared" ref="Z47" si="35">+Y47+Z46</f>
        <v>493155.92000000004</v>
      </c>
      <c r="AA47" s="25">
        <f t="shared" ref="AA47" si="36">+Z47+AA46</f>
        <v>500667.16000000003</v>
      </c>
      <c r="AB47" s="25">
        <f t="shared" ref="AB47" si="37">+AA47+AB46</f>
        <v>502528.84</v>
      </c>
      <c r="AC47" s="25">
        <f t="shared" ref="AC47" si="38">+AB47+AC46</f>
        <v>502797.60000000003</v>
      </c>
      <c r="AD47" s="25">
        <f t="shared" ref="AD47" si="39">+AC47+AD46</f>
        <v>502797.60000000003</v>
      </c>
      <c r="AE47" s="25">
        <f t="shared" ref="AE47" si="40">+AD47+AE46</f>
        <v>502797.60000000003</v>
      </c>
      <c r="AF47" s="25">
        <f t="shared" ref="AF47" si="41">+AE47+AF46</f>
        <v>502797.60000000003</v>
      </c>
      <c r="AG47" s="25">
        <f t="shared" ref="AG47" si="42">+AF47+AG46</f>
        <v>502797.60000000003</v>
      </c>
      <c r="AH47" s="25">
        <f t="shared" ref="AH47" si="43">+AG47+AH46</f>
        <v>502797.60000000003</v>
      </c>
      <c r="AI47" s="25">
        <f t="shared" ref="AI47" si="44">+AH47+AI46</f>
        <v>502797.60000000003</v>
      </c>
      <c r="AJ47" s="25">
        <f t="shared" ref="AJ47" si="45">+AI47+AJ46</f>
        <v>502797.60000000003</v>
      </c>
      <c r="AK47" s="25">
        <f t="shared" ref="AK47" si="46">+AJ47+AK46</f>
        <v>502797.60000000003</v>
      </c>
      <c r="AL47" s="25">
        <f t="shared" ref="AL47" si="47">+AK47+AL46</f>
        <v>502797.60000000003</v>
      </c>
      <c r="AM47" s="25">
        <f t="shared" ref="AM47" si="48">+AL47+AM46</f>
        <v>502797.60000000003</v>
      </c>
      <c r="AN47" s="25">
        <f t="shared" ref="AN47" si="49">+AM47+AN46</f>
        <v>502797.60000000003</v>
      </c>
      <c r="AO47" s="25">
        <f t="shared" ref="AO47" si="50">+AN47+AO46</f>
        <v>502797.60000000003</v>
      </c>
      <c r="AP47" s="25">
        <f t="shared" ref="AP47" si="51">+AO47+AP46</f>
        <v>502797.60000000003</v>
      </c>
      <c r="AQ47" s="25">
        <f t="shared" ref="AQ47" si="52">+AP47+AQ46</f>
        <v>502797.60000000003</v>
      </c>
      <c r="AR47" s="49"/>
      <c r="AS47" s="25"/>
      <c r="AT47" s="26"/>
      <c r="AU47" s="60"/>
    </row>
    <row r="48" spans="1:51" s="24" customFormat="1" x14ac:dyDescent="0.25">
      <c r="A48" s="23"/>
      <c r="B48" s="23"/>
      <c r="C48" s="27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49"/>
      <c r="AS48" s="25"/>
      <c r="AT48" s="26"/>
      <c r="AU48" s="60"/>
    </row>
    <row r="49" spans="1:51" s="24" customFormat="1" x14ac:dyDescent="0.25">
      <c r="A49" s="23"/>
      <c r="B49" s="2" t="s">
        <v>397</v>
      </c>
      <c r="C49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49"/>
      <c r="AS49" s="25"/>
      <c r="AT49" s="26"/>
      <c r="AU49" s="60"/>
    </row>
    <row r="50" spans="1:51" s="24" customFormat="1" x14ac:dyDescent="0.25">
      <c r="A50" s="23"/>
      <c r="B50" s="2"/>
      <c r="C50" t="s">
        <v>190</v>
      </c>
      <c r="D50" s="1"/>
      <c r="E50" s="1"/>
      <c r="F50" s="1"/>
      <c r="G50" s="1"/>
      <c r="H50" s="1"/>
      <c r="I50" s="1"/>
      <c r="J50" s="1"/>
      <c r="K50" s="1"/>
      <c r="L50" s="1">
        <v>222.48</v>
      </c>
      <c r="M50" s="1"/>
      <c r="N50" s="1"/>
      <c r="O50" s="1">
        <v>667.44</v>
      </c>
      <c r="P50" s="1">
        <v>537.66</v>
      </c>
      <c r="Q50" s="1">
        <v>1575.9</v>
      </c>
      <c r="R50" s="1"/>
      <c r="S50" s="1">
        <v>278.10000000000002</v>
      </c>
      <c r="T50" s="1">
        <v>537.66</v>
      </c>
      <c r="U50" s="1"/>
      <c r="V50" s="1">
        <v>333.72</v>
      </c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3">
        <f>SUM(D50:AQ50)</f>
        <v>4152.96</v>
      </c>
      <c r="AS50" s="25"/>
      <c r="AT50" s="8">
        <f>IF(AR50=0,0,+AR50/PassVol!AR149)</f>
        <v>18.54</v>
      </c>
      <c r="AU50" s="60">
        <v>18.54</v>
      </c>
      <c r="AV50" s="3"/>
      <c r="AW50" s="81" t="e">
        <f>IF(AR50=0,0,+(AR50-AV50)/AV50)</f>
        <v>#DIV/0!</v>
      </c>
      <c r="AX50" s="82"/>
      <c r="AY50" s="84"/>
    </row>
    <row r="51" spans="1:51" s="24" customFormat="1" x14ac:dyDescent="0.25">
      <c r="A51" s="23"/>
      <c r="B51" s="2"/>
      <c r="C51" t="s">
        <v>424</v>
      </c>
      <c r="D51" s="1"/>
      <c r="E51" s="1"/>
      <c r="F51" s="1"/>
      <c r="G51" s="1"/>
      <c r="H51" s="1"/>
      <c r="I51" s="1"/>
      <c r="J51" s="1"/>
      <c r="K51" s="1"/>
      <c r="L51" s="1">
        <v>1366.2</v>
      </c>
      <c r="M51" s="1">
        <v>2197.8000000000002</v>
      </c>
      <c r="N51" s="1">
        <v>316.8</v>
      </c>
      <c r="O51" s="1">
        <v>1564.2</v>
      </c>
      <c r="P51" s="1">
        <v>3564</v>
      </c>
      <c r="Q51" s="1">
        <v>1148.4000000000001</v>
      </c>
      <c r="R51" s="1"/>
      <c r="S51" s="1">
        <v>1524.6</v>
      </c>
      <c r="T51" s="1">
        <v>2217.6</v>
      </c>
      <c r="U51" s="1">
        <v>1009.8</v>
      </c>
      <c r="V51" s="1">
        <v>158.4</v>
      </c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3">
        <f>SUM(D51:AQ51)</f>
        <v>15067.8</v>
      </c>
      <c r="AS51" s="25"/>
      <c r="AT51" s="8">
        <f>IF(AR51=0,0,+AR51/PassVol!AR150)</f>
        <v>19.8</v>
      </c>
      <c r="AU51" s="60">
        <f>1.1*18</f>
        <v>19.8</v>
      </c>
      <c r="AV51" s="3"/>
      <c r="AW51" s="81"/>
      <c r="AX51" s="82"/>
      <c r="AY51" s="85"/>
    </row>
    <row r="52" spans="1:51" s="24" customFormat="1" x14ac:dyDescent="0.25">
      <c r="A52" s="23"/>
      <c r="B52" s="2"/>
      <c r="C52" t="s">
        <v>347</v>
      </c>
      <c r="D52" s="1"/>
      <c r="E52" s="1"/>
      <c r="F52" s="1"/>
      <c r="G52" s="1"/>
      <c r="H52" s="1"/>
      <c r="I52" s="1"/>
      <c r="J52" s="1"/>
      <c r="K52" s="1"/>
      <c r="L52" s="1">
        <v>1425.6</v>
      </c>
      <c r="M52" s="1">
        <v>2059.1999999999998</v>
      </c>
      <c r="N52" s="1">
        <v>554.4</v>
      </c>
      <c r="O52" s="1">
        <v>633.6</v>
      </c>
      <c r="P52" s="1">
        <v>1504.8</v>
      </c>
      <c r="Q52" s="1">
        <v>138.6</v>
      </c>
      <c r="R52" s="1">
        <v>1386</v>
      </c>
      <c r="S52" s="1">
        <v>990</v>
      </c>
      <c r="T52" s="1">
        <v>1960.2</v>
      </c>
      <c r="U52" s="1">
        <v>396</v>
      </c>
      <c r="V52" s="1">
        <v>752.4</v>
      </c>
      <c r="W52" s="1">
        <v>237.6</v>
      </c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3">
        <f t="shared" ref="AR52:AR68" si="53">SUM(D52:AQ52)</f>
        <v>12038.400000000001</v>
      </c>
      <c r="AS52" s="25"/>
      <c r="AT52" s="8">
        <f>IF(AR52=0,0,+AR52/PassVol!AR151)</f>
        <v>19.8</v>
      </c>
      <c r="AU52" s="60">
        <f>1.1*18</f>
        <v>19.8</v>
      </c>
      <c r="AV52" s="3"/>
      <c r="AW52" s="81" t="e">
        <f>IF(AR52=0,0,+(AR52-AV52)/AV52)</f>
        <v>#DIV/0!</v>
      </c>
      <c r="AX52" s="82"/>
      <c r="AY52" s="85"/>
    </row>
    <row r="53" spans="1:51" s="24" customFormat="1" x14ac:dyDescent="0.25">
      <c r="A53" s="23"/>
      <c r="B53" s="2"/>
      <c r="C53" t="s">
        <v>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3">
        <f t="shared" si="53"/>
        <v>0</v>
      </c>
      <c r="AS53" s="25"/>
      <c r="AT53" s="8">
        <f>IF(AR53=0,0,+AR53/PassVol!AR152)</f>
        <v>0</v>
      </c>
      <c r="AU53" s="60">
        <v>0</v>
      </c>
      <c r="AV53" s="3"/>
      <c r="AW53" s="81">
        <f>IF(AR53=0,0,+(AR53-AV53)/AV53)</f>
        <v>0</v>
      </c>
      <c r="AX53" s="82"/>
      <c r="AY53" s="85"/>
    </row>
    <row r="54" spans="1:51" s="24" customFormat="1" x14ac:dyDescent="0.25">
      <c r="A54" s="23"/>
      <c r="B54" s="2"/>
      <c r="C54" t="s">
        <v>354</v>
      </c>
      <c r="D54" s="1"/>
      <c r="E54" s="1"/>
      <c r="F54" s="1"/>
      <c r="G54" s="1"/>
      <c r="H54" s="1"/>
      <c r="I54" s="1"/>
      <c r="J54" s="1"/>
      <c r="K54" s="1"/>
      <c r="L54" s="1">
        <v>1267.2</v>
      </c>
      <c r="M54" s="1"/>
      <c r="N54" s="1"/>
      <c r="O54" s="1">
        <v>39.6</v>
      </c>
      <c r="P54" s="1">
        <v>950.4</v>
      </c>
      <c r="Q54" s="1">
        <v>316.8</v>
      </c>
      <c r="R54" s="1"/>
      <c r="S54" s="1">
        <v>138.6</v>
      </c>
      <c r="T54" s="1">
        <v>1366.2</v>
      </c>
      <c r="U54" s="1"/>
      <c r="V54" s="1"/>
      <c r="W54" s="1">
        <v>792</v>
      </c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3">
        <f t="shared" si="53"/>
        <v>4870.8</v>
      </c>
      <c r="AS54" s="25"/>
      <c r="AT54" s="8">
        <f>IF(AR54=0,0,+AR54/PassVol!AR153)</f>
        <v>19.8</v>
      </c>
      <c r="AU54" s="60">
        <f t="shared" ref="AU54:AU58" si="54">1.1*18</f>
        <v>19.8</v>
      </c>
      <c r="AV54" s="3"/>
      <c r="AW54" s="81" t="e">
        <f>IF(AR54=0,0,+(AR54-AV54)/AV54)</f>
        <v>#DIV/0!</v>
      </c>
      <c r="AX54" s="82"/>
      <c r="AY54" s="85"/>
    </row>
    <row r="55" spans="1:51" s="24" customFormat="1" x14ac:dyDescent="0.25">
      <c r="A55" s="23"/>
      <c r="B55" s="2"/>
      <c r="C55" t="s">
        <v>265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3">
        <f t="shared" si="53"/>
        <v>0</v>
      </c>
      <c r="AS55" s="25"/>
      <c r="AT55" s="8">
        <f>IF(AR55=0,0,+AR55/PassVol!AR154)</f>
        <v>0</v>
      </c>
      <c r="AU55" s="60">
        <f t="shared" si="54"/>
        <v>19.8</v>
      </c>
      <c r="AV55" s="3"/>
      <c r="AW55" s="81">
        <f t="shared" ref="AW55:AW69" si="55">IF(AR55=0,0,+(AR55-AV55)/AV55)</f>
        <v>0</v>
      </c>
      <c r="AX55" s="82"/>
      <c r="AY55" s="85"/>
    </row>
    <row r="56" spans="1:51" s="24" customFormat="1" x14ac:dyDescent="0.25">
      <c r="A56" s="23"/>
      <c r="B56" s="2"/>
      <c r="C56" t="s">
        <v>191</v>
      </c>
      <c r="D56" s="1"/>
      <c r="E56" s="1"/>
      <c r="F56" s="1"/>
      <c r="G56" s="1"/>
      <c r="H56" s="1"/>
      <c r="I56" s="1"/>
      <c r="J56" s="1"/>
      <c r="K56" s="1"/>
      <c r="L56" s="1"/>
      <c r="M56" s="1">
        <v>6177.6</v>
      </c>
      <c r="N56" s="1">
        <v>297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3">
        <f t="shared" si="53"/>
        <v>6474.6</v>
      </c>
      <c r="AS56" s="25"/>
      <c r="AT56" s="8">
        <f>IF(AR56=0,0,+AR56/PassVol!AR155)</f>
        <v>19.8</v>
      </c>
      <c r="AU56" s="60">
        <f t="shared" si="54"/>
        <v>19.8</v>
      </c>
      <c r="AV56" s="3"/>
      <c r="AW56" s="81" t="e">
        <f t="shared" si="55"/>
        <v>#DIV/0!</v>
      </c>
      <c r="AX56" s="82"/>
      <c r="AY56" s="85"/>
    </row>
    <row r="57" spans="1:51" s="24" customFormat="1" x14ac:dyDescent="0.25">
      <c r="A57" s="23"/>
      <c r="B57" s="2"/>
      <c r="C57" t="s">
        <v>549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3">
        <f t="shared" si="53"/>
        <v>0</v>
      </c>
      <c r="AS57" s="25"/>
      <c r="AT57" s="8">
        <f>IF(AR57=0,0,+AR57/PassVol!AR156)</f>
        <v>0</v>
      </c>
      <c r="AU57" s="60">
        <f t="shared" si="54"/>
        <v>19.8</v>
      </c>
      <c r="AV57" s="3"/>
      <c r="AW57" s="81">
        <f t="shared" si="55"/>
        <v>0</v>
      </c>
      <c r="AX57" s="82"/>
      <c r="AY57" s="85"/>
    </row>
    <row r="58" spans="1:51" s="24" customFormat="1" x14ac:dyDescent="0.25">
      <c r="A58" s="23"/>
      <c r="B58" s="2"/>
      <c r="C58" t="s">
        <v>550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3">
        <f t="shared" si="53"/>
        <v>0</v>
      </c>
      <c r="AS58" s="25"/>
      <c r="AT58" s="8">
        <f>IF(AR58=0,0,+AR58/PassVol!AR157)</f>
        <v>0</v>
      </c>
      <c r="AU58" s="60">
        <f t="shared" si="54"/>
        <v>19.8</v>
      </c>
      <c r="AV58" s="3"/>
      <c r="AW58" s="81">
        <f t="shared" si="55"/>
        <v>0</v>
      </c>
      <c r="AX58" s="82"/>
      <c r="AY58" s="85"/>
    </row>
    <row r="59" spans="1:51" x14ac:dyDescent="0.25">
      <c r="C59" t="s">
        <v>6</v>
      </c>
      <c r="AR59" s="3">
        <f t="shared" si="53"/>
        <v>0</v>
      </c>
      <c r="AT59" s="8">
        <f>IF(AR59=0,0,+AR59/PassVol!AR158)</f>
        <v>0</v>
      </c>
      <c r="AU59" s="60">
        <v>0</v>
      </c>
      <c r="AV59" s="3"/>
      <c r="AW59" s="81">
        <f t="shared" si="55"/>
        <v>0</v>
      </c>
      <c r="AX59" s="82"/>
      <c r="AY59" s="85"/>
    </row>
    <row r="60" spans="1:51" x14ac:dyDescent="0.25">
      <c r="C60" t="s">
        <v>262</v>
      </c>
      <c r="L60" s="1">
        <v>712.8</v>
      </c>
      <c r="AR60" s="3">
        <f t="shared" si="53"/>
        <v>712.8</v>
      </c>
      <c r="AT60" s="8">
        <f>IF(AR60=0,0,+AR60/PassVol!AR159)</f>
        <v>19.799999999999997</v>
      </c>
      <c r="AU60" s="60">
        <f>1.1*18</f>
        <v>19.8</v>
      </c>
      <c r="AV60" s="3"/>
      <c r="AW60" s="81" t="e">
        <f t="shared" si="55"/>
        <v>#DIV/0!</v>
      </c>
      <c r="AX60" s="82"/>
      <c r="AY60" s="85"/>
    </row>
    <row r="61" spans="1:51" x14ac:dyDescent="0.25">
      <c r="C61" t="s">
        <v>42</v>
      </c>
      <c r="L61" s="1">
        <v>5636.16</v>
      </c>
      <c r="N61" s="1">
        <v>111.24</v>
      </c>
      <c r="O61" s="1">
        <v>1223.6400000000001</v>
      </c>
      <c r="P61" s="1">
        <v>92.7</v>
      </c>
      <c r="Q61" s="1">
        <v>1371.96</v>
      </c>
      <c r="R61" s="1">
        <v>482.04</v>
      </c>
      <c r="S61" s="1">
        <v>519.12</v>
      </c>
      <c r="T61" s="1">
        <v>259.56</v>
      </c>
      <c r="V61" s="1">
        <v>74.16</v>
      </c>
      <c r="AR61" s="3">
        <f t="shared" si="53"/>
        <v>9770.5800000000017</v>
      </c>
      <c r="AT61" s="8">
        <f>IF(AR61=0,0,+AR61/PassVol!AR160)</f>
        <v>18.540000000000003</v>
      </c>
      <c r="AU61" s="60">
        <f>1.03*18</f>
        <v>18.54</v>
      </c>
      <c r="AV61" s="3"/>
      <c r="AW61" s="81" t="e">
        <f t="shared" si="55"/>
        <v>#DIV/0!</v>
      </c>
      <c r="AX61" s="82"/>
      <c r="AY61" s="85"/>
    </row>
    <row r="62" spans="1:51" x14ac:dyDescent="0.25">
      <c r="C62" t="s">
        <v>192</v>
      </c>
      <c r="M62" s="1">
        <v>8618.4</v>
      </c>
      <c r="O62" s="1">
        <v>737.1</v>
      </c>
      <c r="P62" s="1">
        <v>529.20000000000005</v>
      </c>
      <c r="Q62" s="1">
        <v>6652.8</v>
      </c>
      <c r="T62" s="1">
        <v>396.9</v>
      </c>
      <c r="U62" s="1">
        <v>3420.9</v>
      </c>
      <c r="AR62" s="3">
        <f t="shared" si="53"/>
        <v>20355.300000000003</v>
      </c>
      <c r="AT62" s="8">
        <f>IF(AR62=0,0,+AR62/PassVol!AR161)</f>
        <v>18.900000000000002</v>
      </c>
      <c r="AU62" s="60">
        <f>1.05*18</f>
        <v>18.900000000000002</v>
      </c>
      <c r="AV62" s="3"/>
      <c r="AW62" s="81" t="e">
        <f t="shared" si="55"/>
        <v>#DIV/0!</v>
      </c>
      <c r="AX62" s="82"/>
      <c r="AY62" s="85"/>
    </row>
    <row r="63" spans="1:51" x14ac:dyDescent="0.25">
      <c r="C63" t="s">
        <v>133</v>
      </c>
      <c r="L63" s="1">
        <v>475.2</v>
      </c>
      <c r="Q63" s="1">
        <v>79.2</v>
      </c>
      <c r="S63" s="1">
        <v>39.6</v>
      </c>
      <c r="AR63" s="3">
        <f t="shared" si="53"/>
        <v>594</v>
      </c>
      <c r="AT63" s="8">
        <f>IF(AR63=0,0,+AR63/PassVol!AR162)</f>
        <v>19.8</v>
      </c>
      <c r="AU63" s="60">
        <f t="shared" ref="AU63:AU64" si="56">1.1*18</f>
        <v>19.8</v>
      </c>
      <c r="AV63" s="3"/>
      <c r="AW63" s="81" t="e">
        <f t="shared" si="55"/>
        <v>#DIV/0!</v>
      </c>
      <c r="AX63" s="82"/>
      <c r="AY63" s="85"/>
    </row>
    <row r="64" spans="1:51" x14ac:dyDescent="0.25">
      <c r="C64" t="s">
        <v>41</v>
      </c>
      <c r="L64" s="1">
        <v>2178</v>
      </c>
      <c r="M64" s="1">
        <v>1267.2</v>
      </c>
      <c r="N64" s="1">
        <v>158.4</v>
      </c>
      <c r="O64" s="1">
        <v>1465.2</v>
      </c>
      <c r="P64" s="1">
        <v>7821</v>
      </c>
      <c r="Q64" s="1">
        <v>1544.4</v>
      </c>
      <c r="R64" s="1">
        <v>1029.5999999999999</v>
      </c>
      <c r="S64" s="1">
        <v>1881</v>
      </c>
      <c r="T64" s="1">
        <v>1227.5999999999999</v>
      </c>
      <c r="U64" s="1">
        <v>1465.2</v>
      </c>
      <c r="V64" s="1">
        <v>356.4</v>
      </c>
      <c r="W64" s="1">
        <v>198</v>
      </c>
      <c r="AR64" s="3">
        <f t="shared" si="53"/>
        <v>20592</v>
      </c>
      <c r="AT64" s="8">
        <f>IF(AR64=0,0,+AR64/PassVol!AR163)</f>
        <v>19.8</v>
      </c>
      <c r="AU64" s="60">
        <f t="shared" si="56"/>
        <v>19.8</v>
      </c>
      <c r="AV64" s="3"/>
      <c r="AW64" s="81" t="e">
        <f t="shared" si="55"/>
        <v>#DIV/0!</v>
      </c>
      <c r="AX64" s="82"/>
      <c r="AY64" s="85"/>
    </row>
    <row r="65" spans="1:51" x14ac:dyDescent="0.25">
      <c r="C65" t="s">
        <v>193</v>
      </c>
      <c r="AR65" s="3">
        <f t="shared" si="53"/>
        <v>0</v>
      </c>
      <c r="AT65" s="8">
        <f>IF(AR65=0,0,+AR65/PassVol!AR164)</f>
        <v>0</v>
      </c>
      <c r="AU65" s="60">
        <v>0</v>
      </c>
      <c r="AV65" s="3"/>
      <c r="AW65" s="81">
        <f t="shared" si="55"/>
        <v>0</v>
      </c>
      <c r="AX65" s="82"/>
      <c r="AY65" s="85"/>
    </row>
    <row r="66" spans="1:51" x14ac:dyDescent="0.25">
      <c r="C66" t="s">
        <v>297</v>
      </c>
      <c r="AR66" s="3">
        <f t="shared" si="53"/>
        <v>0</v>
      </c>
      <c r="AT66" s="8">
        <f>IF(AR66=0,0,+AR66/PassVol!AR165)</f>
        <v>0</v>
      </c>
      <c r="AU66" s="60">
        <v>0</v>
      </c>
      <c r="AV66" s="3"/>
      <c r="AW66" s="81">
        <f t="shared" si="55"/>
        <v>0</v>
      </c>
      <c r="AX66" s="82"/>
      <c r="AY66" s="85"/>
    </row>
    <row r="67" spans="1:51" x14ac:dyDescent="0.25">
      <c r="C67" t="s">
        <v>296</v>
      </c>
      <c r="M67" s="1">
        <v>277.2</v>
      </c>
      <c r="N67" s="1">
        <v>316.8</v>
      </c>
      <c r="O67" s="1">
        <v>396</v>
      </c>
      <c r="P67" s="1">
        <v>475.2</v>
      </c>
      <c r="Q67" s="1">
        <v>554.4</v>
      </c>
      <c r="S67" s="1">
        <v>118.8</v>
      </c>
      <c r="T67" s="1">
        <v>99</v>
      </c>
      <c r="U67" s="1">
        <v>495</v>
      </c>
      <c r="V67" s="1">
        <v>39.6</v>
      </c>
      <c r="AR67" s="3">
        <f t="shared" si="53"/>
        <v>2772</v>
      </c>
      <c r="AT67" s="8">
        <f>IF(AR67=0,0,+AR67/PassVol!AR166)</f>
        <v>19.8</v>
      </c>
      <c r="AU67" s="60">
        <f t="shared" ref="AU67:AU68" si="57">1.1*18</f>
        <v>19.8</v>
      </c>
      <c r="AV67" s="3"/>
      <c r="AW67" s="81" t="e">
        <f t="shared" si="55"/>
        <v>#DIV/0!</v>
      </c>
      <c r="AX67" s="82"/>
      <c r="AY67" s="85"/>
    </row>
    <row r="68" spans="1:51" s="24" customFormat="1" x14ac:dyDescent="0.25">
      <c r="A68" s="23"/>
      <c r="B68" s="2"/>
      <c r="C68" t="s">
        <v>44</v>
      </c>
      <c r="D68" s="1"/>
      <c r="E68" s="1"/>
      <c r="F68" s="1"/>
      <c r="G68" s="1"/>
      <c r="H68" s="1"/>
      <c r="I68" s="1"/>
      <c r="J68" s="1"/>
      <c r="K68" s="1"/>
      <c r="L68" s="1">
        <f>29163.24-13284</f>
        <v>15879.240000000002</v>
      </c>
      <c r="M68" s="1">
        <f>34021.8-20597</f>
        <v>13424.800000000003</v>
      </c>
      <c r="N68" s="1">
        <f>5635.44-1755</f>
        <v>3880.4399999999996</v>
      </c>
      <c r="O68" s="1">
        <f>21556.98-6727</f>
        <v>14829.98</v>
      </c>
      <c r="P68" s="1">
        <f>32245.56-15475</f>
        <v>16770.560000000001</v>
      </c>
      <c r="Q68" s="1">
        <f>23935.86-13382</f>
        <v>10553.86</v>
      </c>
      <c r="R68" s="1">
        <f>8164.44-2898</f>
        <v>5266.44</v>
      </c>
      <c r="S68" s="1">
        <f>18518.22-5490</f>
        <v>13028.220000000001</v>
      </c>
      <c r="T68" s="1">
        <f>21370.32-8065</f>
        <v>13305.32</v>
      </c>
      <c r="U68" s="1">
        <f>11499.3-6787</f>
        <v>4712.2999999999993</v>
      </c>
      <c r="V68" s="1">
        <f>6070.68-1715</f>
        <v>4355.68</v>
      </c>
      <c r="W68" s="1">
        <f>2851.2-1228</f>
        <v>1623.1999999999998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3">
        <f t="shared" si="53"/>
        <v>117630.04000000002</v>
      </c>
      <c r="AS68" s="25"/>
      <c r="AT68" s="8">
        <f>IF(AR68=0,0,+AR68/PassVol!AR167)</f>
        <v>19.796371592056552</v>
      </c>
      <c r="AU68" s="60">
        <f t="shared" si="57"/>
        <v>19.8</v>
      </c>
      <c r="AV68" s="3"/>
      <c r="AW68" s="81" t="e">
        <f t="shared" si="55"/>
        <v>#DIV/0!</v>
      </c>
      <c r="AX68" s="82"/>
      <c r="AY68" s="85"/>
    </row>
    <row r="69" spans="1:51" s="24" customFormat="1" x14ac:dyDescent="0.25">
      <c r="A69" s="23"/>
      <c r="B69" s="2" t="s">
        <v>398</v>
      </c>
      <c r="C69" s="2"/>
      <c r="D69" s="3">
        <f>SUM(D50:D68)</f>
        <v>0</v>
      </c>
      <c r="E69" s="3">
        <f t="shared" ref="E69:J69" si="58">SUM(E50:E68)</f>
        <v>0</v>
      </c>
      <c r="F69" s="3">
        <f t="shared" si="58"/>
        <v>0</v>
      </c>
      <c r="G69" s="3">
        <f t="shared" si="58"/>
        <v>0</v>
      </c>
      <c r="H69" s="3">
        <f t="shared" si="58"/>
        <v>0</v>
      </c>
      <c r="I69" s="3">
        <f t="shared" si="58"/>
        <v>0</v>
      </c>
      <c r="J69" s="3">
        <f t="shared" si="58"/>
        <v>0</v>
      </c>
      <c r="K69" s="3">
        <f>SUM(K50:K68)</f>
        <v>0</v>
      </c>
      <c r="L69" s="3">
        <f>SUM(L50:L68)</f>
        <v>29162.880000000001</v>
      </c>
      <c r="M69" s="3">
        <f t="shared" ref="M69:AR69" si="59">SUM(M50:M68)</f>
        <v>34022.200000000004</v>
      </c>
      <c r="N69" s="3">
        <f t="shared" si="59"/>
        <v>5635.08</v>
      </c>
      <c r="O69" s="3">
        <f t="shared" si="59"/>
        <v>21556.760000000002</v>
      </c>
      <c r="P69" s="3">
        <f t="shared" si="59"/>
        <v>32245.52</v>
      </c>
      <c r="Q69" s="3">
        <f t="shared" si="59"/>
        <v>23936.32</v>
      </c>
      <c r="R69" s="3">
        <f t="shared" si="59"/>
        <v>8164.08</v>
      </c>
      <c r="S69" s="3">
        <f t="shared" si="59"/>
        <v>18518.04</v>
      </c>
      <c r="T69" s="3">
        <f t="shared" si="59"/>
        <v>21370.04</v>
      </c>
      <c r="U69" s="3">
        <f t="shared" si="59"/>
        <v>11499.199999999999</v>
      </c>
      <c r="V69" s="3">
        <f t="shared" si="59"/>
        <v>6070.3600000000006</v>
      </c>
      <c r="W69" s="3">
        <f t="shared" si="59"/>
        <v>2850.7999999999997</v>
      </c>
      <c r="X69" s="3">
        <f t="shared" si="59"/>
        <v>0</v>
      </c>
      <c r="Y69" s="3">
        <f t="shared" si="59"/>
        <v>0</v>
      </c>
      <c r="Z69" s="3">
        <f t="shared" si="59"/>
        <v>0</v>
      </c>
      <c r="AA69" s="3">
        <f t="shared" si="59"/>
        <v>0</v>
      </c>
      <c r="AB69" s="3">
        <f t="shared" si="59"/>
        <v>0</v>
      </c>
      <c r="AC69" s="3">
        <f t="shared" si="59"/>
        <v>0</v>
      </c>
      <c r="AD69" s="3">
        <f t="shared" si="59"/>
        <v>0</v>
      </c>
      <c r="AE69" s="3">
        <f t="shared" si="59"/>
        <v>0</v>
      </c>
      <c r="AF69" s="3">
        <f t="shared" si="59"/>
        <v>0</v>
      </c>
      <c r="AG69" s="3">
        <f t="shared" si="59"/>
        <v>0</v>
      </c>
      <c r="AH69" s="3">
        <f t="shared" si="59"/>
        <v>0</v>
      </c>
      <c r="AI69" s="3">
        <f t="shared" si="59"/>
        <v>0</v>
      </c>
      <c r="AJ69" s="3">
        <f t="shared" si="59"/>
        <v>0</v>
      </c>
      <c r="AK69" s="3">
        <f t="shared" si="59"/>
        <v>0</v>
      </c>
      <c r="AL69" s="3">
        <f t="shared" si="59"/>
        <v>0</v>
      </c>
      <c r="AM69" s="3">
        <f t="shared" si="59"/>
        <v>0</v>
      </c>
      <c r="AN69" s="3">
        <f t="shared" si="59"/>
        <v>0</v>
      </c>
      <c r="AO69" s="3">
        <f t="shared" si="59"/>
        <v>0</v>
      </c>
      <c r="AP69" s="3">
        <f t="shared" si="59"/>
        <v>0</v>
      </c>
      <c r="AQ69" s="3">
        <f t="shared" si="59"/>
        <v>0</v>
      </c>
      <c r="AR69" s="3">
        <f t="shared" si="59"/>
        <v>215031.28000000003</v>
      </c>
      <c r="AS69" s="25"/>
      <c r="AT69" s="8">
        <f>IF(AR69=0,0,+AR69/PassVol!AR168)</f>
        <v>19.623223215915317</v>
      </c>
      <c r="AU69" s="60"/>
      <c r="AV69" s="3">
        <f>SUM(AV50:AV68)</f>
        <v>0</v>
      </c>
      <c r="AW69" s="81" t="e">
        <f t="shared" si="55"/>
        <v>#DIV/0!</v>
      </c>
      <c r="AX69" s="83"/>
      <c r="AY69" s="86"/>
    </row>
    <row r="70" spans="1:51" s="24" customFormat="1" x14ac:dyDescent="0.25">
      <c r="A70" s="23"/>
      <c r="B70" s="23"/>
      <c r="C70" s="27" t="s">
        <v>102</v>
      </c>
      <c r="D70" s="25">
        <f>+D69</f>
        <v>0</v>
      </c>
      <c r="E70" s="25">
        <f>+D70+E69</f>
        <v>0</v>
      </c>
      <c r="F70" s="25">
        <f t="shared" ref="F70" si="60">+E70+F69</f>
        <v>0</v>
      </c>
      <c r="G70" s="25">
        <f t="shared" ref="G70" si="61">+F70+G69</f>
        <v>0</v>
      </c>
      <c r="H70" s="25">
        <f t="shared" ref="H70" si="62">+G70+H69</f>
        <v>0</v>
      </c>
      <c r="I70" s="25">
        <f t="shared" ref="I70" si="63">+H70+I69</f>
        <v>0</v>
      </c>
      <c r="J70" s="25">
        <f t="shared" ref="J70" si="64">+I70+J69</f>
        <v>0</v>
      </c>
      <c r="K70" s="25">
        <f t="shared" ref="K70" si="65">+J70+K69</f>
        <v>0</v>
      </c>
      <c r="L70" s="25">
        <f t="shared" ref="L70" si="66">+K70+L69</f>
        <v>29162.880000000001</v>
      </c>
      <c r="M70" s="25">
        <f t="shared" ref="M70" si="67">+L70+M69</f>
        <v>63185.08</v>
      </c>
      <c r="N70" s="25">
        <f t="shared" ref="N70" si="68">+M70+N69</f>
        <v>68820.160000000003</v>
      </c>
      <c r="O70" s="25">
        <f t="shared" ref="O70" si="69">+N70+O69</f>
        <v>90376.920000000013</v>
      </c>
      <c r="P70" s="25">
        <f t="shared" ref="P70" si="70">+O70+P69</f>
        <v>122622.44000000002</v>
      </c>
      <c r="Q70" s="25">
        <f t="shared" ref="Q70" si="71">+P70+Q69</f>
        <v>146558.76</v>
      </c>
      <c r="R70" s="25">
        <f t="shared" ref="R70" si="72">+Q70+R69</f>
        <v>154722.84</v>
      </c>
      <c r="S70" s="25">
        <f t="shared" ref="S70" si="73">+R70+S69</f>
        <v>173240.88</v>
      </c>
      <c r="T70" s="25">
        <f t="shared" ref="T70" si="74">+S70+T69</f>
        <v>194610.92</v>
      </c>
      <c r="U70" s="25">
        <f t="shared" ref="U70" si="75">+T70+U69</f>
        <v>206110.12000000002</v>
      </c>
      <c r="V70" s="25">
        <f t="shared" ref="V70" si="76">+U70+V69</f>
        <v>212180.48000000004</v>
      </c>
      <c r="W70" s="25">
        <f t="shared" ref="W70" si="77">+V70+W69</f>
        <v>215031.28000000003</v>
      </c>
      <c r="X70" s="25">
        <f t="shared" ref="X70" si="78">+W70+X69</f>
        <v>215031.28000000003</v>
      </c>
      <c r="Y70" s="25">
        <f t="shared" ref="Y70" si="79">+X70+Y69</f>
        <v>215031.28000000003</v>
      </c>
      <c r="Z70" s="25">
        <f t="shared" ref="Z70" si="80">+Y70+Z69</f>
        <v>215031.28000000003</v>
      </c>
      <c r="AA70" s="25">
        <f t="shared" ref="AA70" si="81">+Z70+AA69</f>
        <v>215031.28000000003</v>
      </c>
      <c r="AB70" s="25">
        <f t="shared" ref="AB70" si="82">+AA70+AB69</f>
        <v>215031.28000000003</v>
      </c>
      <c r="AC70" s="25">
        <f t="shared" ref="AC70" si="83">+AB70+AC69</f>
        <v>215031.28000000003</v>
      </c>
      <c r="AD70" s="25">
        <f t="shared" ref="AD70" si="84">+AC70+AD69</f>
        <v>215031.28000000003</v>
      </c>
      <c r="AE70" s="25">
        <f t="shared" ref="AE70" si="85">+AD70+AE69</f>
        <v>215031.28000000003</v>
      </c>
      <c r="AF70" s="25">
        <f t="shared" ref="AF70" si="86">+AE70+AF69</f>
        <v>215031.28000000003</v>
      </c>
      <c r="AG70" s="25">
        <f t="shared" ref="AG70" si="87">+AF70+AG69</f>
        <v>215031.28000000003</v>
      </c>
      <c r="AH70" s="25">
        <f t="shared" ref="AH70" si="88">+AG70+AH69</f>
        <v>215031.28000000003</v>
      </c>
      <c r="AI70" s="25">
        <f t="shared" ref="AI70" si="89">+AH70+AI69</f>
        <v>215031.28000000003</v>
      </c>
      <c r="AJ70" s="25">
        <f t="shared" ref="AJ70" si="90">+AI70+AJ69</f>
        <v>215031.28000000003</v>
      </c>
      <c r="AK70" s="25">
        <f t="shared" ref="AK70" si="91">+AJ70+AK69</f>
        <v>215031.28000000003</v>
      </c>
      <c r="AL70" s="25">
        <f t="shared" ref="AL70" si="92">+AK70+AL69</f>
        <v>215031.28000000003</v>
      </c>
      <c r="AM70" s="25">
        <f t="shared" ref="AM70" si="93">+AL70+AM69</f>
        <v>215031.28000000003</v>
      </c>
      <c r="AN70" s="25">
        <f t="shared" ref="AN70" si="94">+AM70+AN69</f>
        <v>215031.28000000003</v>
      </c>
      <c r="AO70" s="25">
        <f t="shared" ref="AO70" si="95">+AN70+AO69</f>
        <v>215031.28000000003</v>
      </c>
      <c r="AP70" s="25">
        <f t="shared" ref="AP70" si="96">+AO70+AP69</f>
        <v>215031.28000000003</v>
      </c>
      <c r="AQ70" s="25">
        <f t="shared" ref="AQ70" si="97">+AP70+AQ69</f>
        <v>215031.28000000003</v>
      </c>
      <c r="AR70" s="49"/>
      <c r="AS70" s="25"/>
      <c r="AT70" s="26"/>
      <c r="AU70" s="60"/>
    </row>
    <row r="71" spans="1:51" s="24" customFormat="1" x14ac:dyDescent="0.25">
      <c r="A71" s="23"/>
      <c r="B71" s="23"/>
      <c r="C71" s="38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49"/>
      <c r="AS71" s="25"/>
      <c r="AT71" s="26"/>
      <c r="AU71" s="60"/>
    </row>
    <row r="72" spans="1:51" x14ac:dyDescent="0.25">
      <c r="A72"/>
      <c r="B72" s="2" t="s">
        <v>147</v>
      </c>
    </row>
    <row r="73" spans="1:51" x14ac:dyDescent="0.25">
      <c r="A73"/>
      <c r="C73" t="s">
        <v>190</v>
      </c>
      <c r="Q73" s="1">
        <v>45030.6</v>
      </c>
      <c r="S73" s="1">
        <v>24552</v>
      </c>
      <c r="U73" s="1">
        <v>13140.9</v>
      </c>
      <c r="AR73" s="3">
        <f>SUM(D73:AQ73)</f>
        <v>82723.5</v>
      </c>
      <c r="AT73" s="8">
        <f>IF(AR73=0,0,+AR73/PassVol!AR173)</f>
        <v>27.9</v>
      </c>
      <c r="AU73" s="60">
        <f>2.79*10</f>
        <v>27.9</v>
      </c>
      <c r="AV73" s="3"/>
      <c r="AW73" s="81" t="e">
        <f t="shared" ref="AW73:AW92" si="98">IF(AR73=0,0,+(AR73-AV73)/AV73)</f>
        <v>#DIV/0!</v>
      </c>
      <c r="AX73" s="82"/>
      <c r="AY73" s="84"/>
    </row>
    <row r="74" spans="1:51" x14ac:dyDescent="0.25">
      <c r="A74"/>
      <c r="C74" t="s">
        <v>424</v>
      </c>
      <c r="Q74" s="1">
        <v>3422</v>
      </c>
      <c r="S74" s="1">
        <v>5162.5</v>
      </c>
      <c r="U74" s="1">
        <v>590</v>
      </c>
      <c r="V74" s="1">
        <v>29.5</v>
      </c>
      <c r="AR74" s="3">
        <f>SUM(D74:AQ74)</f>
        <v>9204</v>
      </c>
      <c r="AT74" s="8">
        <f>IF(AR74=0,0,+AR74/PassVol!AR174)</f>
        <v>29.5</v>
      </c>
      <c r="AU74" s="60">
        <v>29.5</v>
      </c>
      <c r="AV74" s="3"/>
      <c r="AW74" s="81"/>
      <c r="AX74" s="82"/>
      <c r="AY74" s="85"/>
    </row>
    <row r="75" spans="1:51" x14ac:dyDescent="0.25">
      <c r="A75"/>
      <c r="C75" t="s">
        <v>347</v>
      </c>
      <c r="Q75" s="1">
        <v>10531.5</v>
      </c>
      <c r="S75" s="1">
        <v>7670</v>
      </c>
      <c r="U75" s="1">
        <v>6431</v>
      </c>
      <c r="AR75" s="3">
        <f t="shared" ref="AR75:AR91" si="99">SUM(D75:AQ75)</f>
        <v>24632.5</v>
      </c>
      <c r="AT75" s="8">
        <f>IF(AR75=0,0,+AR75/PassVol!AR175)</f>
        <v>29.5</v>
      </c>
      <c r="AU75" s="60">
        <v>29.5</v>
      </c>
      <c r="AV75" s="3"/>
      <c r="AW75" s="81" t="e">
        <f t="shared" si="98"/>
        <v>#DIV/0!</v>
      </c>
      <c r="AX75" s="82"/>
      <c r="AY75" s="85"/>
    </row>
    <row r="76" spans="1:51" x14ac:dyDescent="0.25">
      <c r="A76"/>
      <c r="C76" t="s">
        <v>0</v>
      </c>
      <c r="Q76" s="1">
        <v>43920</v>
      </c>
      <c r="S76" s="1">
        <v>32112</v>
      </c>
      <c r="U76" s="1">
        <v>16128</v>
      </c>
      <c r="AR76" s="3">
        <f t="shared" si="99"/>
        <v>92160</v>
      </c>
      <c r="AT76" s="8">
        <f>IF(AR76=0,0,+AR76/PassVol!AR176)</f>
        <v>28.8</v>
      </c>
      <c r="AU76" s="60">
        <v>28.8</v>
      </c>
      <c r="AV76" s="3"/>
      <c r="AW76" s="81" t="e">
        <f t="shared" si="98"/>
        <v>#DIV/0!</v>
      </c>
      <c r="AX76" s="82"/>
      <c r="AY76" s="85"/>
    </row>
    <row r="77" spans="1:51" x14ac:dyDescent="0.25">
      <c r="A77"/>
      <c r="C77" t="s">
        <v>354</v>
      </c>
      <c r="AR77" s="3">
        <f t="shared" si="99"/>
        <v>0</v>
      </c>
      <c r="AT77" s="8">
        <f>IF(AR77=0,0,+AR77/PassVol!AR177)</f>
        <v>0</v>
      </c>
      <c r="AU77" s="60">
        <v>29.5</v>
      </c>
      <c r="AV77" s="3"/>
      <c r="AW77" t="s">
        <v>373</v>
      </c>
      <c r="AX77" s="82"/>
      <c r="AY77" s="85"/>
    </row>
    <row r="78" spans="1:51" x14ac:dyDescent="0.25">
      <c r="A78"/>
      <c r="C78" t="s">
        <v>265</v>
      </c>
      <c r="Q78" s="1">
        <v>9151.2000000000007</v>
      </c>
      <c r="S78" s="1">
        <v>8035.2</v>
      </c>
      <c r="U78" s="1">
        <v>4687.2</v>
      </c>
      <c r="AR78" s="3">
        <f t="shared" si="99"/>
        <v>21873.600000000002</v>
      </c>
      <c r="AT78" s="8">
        <f>IF(AR78=0,0,+AR78/PassVol!AR178)</f>
        <v>27.900000000000002</v>
      </c>
      <c r="AU78" s="60">
        <v>27.9</v>
      </c>
      <c r="AV78" s="3"/>
      <c r="AW78" s="81" t="e">
        <f t="shared" si="98"/>
        <v>#DIV/0!</v>
      </c>
      <c r="AX78" s="82"/>
      <c r="AY78" s="85"/>
    </row>
    <row r="79" spans="1:51" x14ac:dyDescent="0.25">
      <c r="A79"/>
      <c r="C79" t="s">
        <v>191</v>
      </c>
      <c r="Q79" s="1">
        <v>18467</v>
      </c>
      <c r="S79" s="1">
        <v>12685</v>
      </c>
      <c r="AR79" s="3">
        <f t="shared" si="99"/>
        <v>31152</v>
      </c>
      <c r="AT79" s="8">
        <f>IF(AR79=0,0,+AR79/PassVol!AR179)</f>
        <v>29.5</v>
      </c>
      <c r="AU79" s="60">
        <v>29.5</v>
      </c>
      <c r="AV79" s="3"/>
      <c r="AW79" s="81" t="e">
        <f t="shared" si="98"/>
        <v>#DIV/0!</v>
      </c>
      <c r="AX79" s="82"/>
      <c r="AY79" s="85"/>
    </row>
    <row r="80" spans="1:51" x14ac:dyDescent="0.25">
      <c r="A80"/>
      <c r="C80" t="s">
        <v>549</v>
      </c>
      <c r="AR80" s="3">
        <f t="shared" si="99"/>
        <v>0</v>
      </c>
      <c r="AT80" s="8">
        <f>IF(AR80=0,0,+AR80/PassVol!AR180)</f>
        <v>0</v>
      </c>
      <c r="AU80" s="60">
        <v>28.8</v>
      </c>
      <c r="AV80" s="3"/>
      <c r="AW80" s="81">
        <f t="shared" si="98"/>
        <v>0</v>
      </c>
      <c r="AX80" s="82"/>
      <c r="AY80" s="85"/>
    </row>
    <row r="81" spans="1:51" x14ac:dyDescent="0.25">
      <c r="A81"/>
      <c r="C81" t="s">
        <v>550</v>
      </c>
      <c r="Q81" s="1">
        <v>23040</v>
      </c>
      <c r="S81" s="1">
        <v>5760</v>
      </c>
      <c r="U81" s="1">
        <v>1065.5999999999999</v>
      </c>
      <c r="AR81" s="3">
        <f t="shared" si="99"/>
        <v>29865.599999999999</v>
      </c>
      <c r="AT81" s="8">
        <f>IF(AR81=0,0,+AR81/PassVol!AR181)</f>
        <v>28.799999999999997</v>
      </c>
      <c r="AU81" s="60">
        <v>28.8</v>
      </c>
      <c r="AV81" s="3"/>
      <c r="AW81" s="81" t="e">
        <f t="shared" si="98"/>
        <v>#DIV/0!</v>
      </c>
      <c r="AX81" s="82"/>
      <c r="AY81" s="85"/>
    </row>
    <row r="82" spans="1:51" x14ac:dyDescent="0.25">
      <c r="C82" t="s">
        <v>6</v>
      </c>
      <c r="R82" s="1">
        <v>16896</v>
      </c>
      <c r="T82" s="1">
        <v>5376</v>
      </c>
      <c r="V82" s="1">
        <v>4224</v>
      </c>
      <c r="AR82" s="3">
        <f t="shared" si="99"/>
        <v>26496</v>
      </c>
      <c r="AT82" s="8">
        <f>IF(AR82=0,0,+AR82/PassVol!AR182)</f>
        <v>25.6</v>
      </c>
      <c r="AU82" s="60">
        <v>25.5</v>
      </c>
      <c r="AV82" s="3"/>
      <c r="AW82" s="81" t="e">
        <f t="shared" si="98"/>
        <v>#DIV/0!</v>
      </c>
      <c r="AX82" s="82"/>
      <c r="AY82" s="85"/>
    </row>
    <row r="83" spans="1:51" x14ac:dyDescent="0.25">
      <c r="C83" t="s">
        <v>262</v>
      </c>
      <c r="Q83" s="1">
        <v>11505</v>
      </c>
      <c r="V83" s="1">
        <v>59</v>
      </c>
      <c r="AR83" s="3">
        <f t="shared" si="99"/>
        <v>11564</v>
      </c>
      <c r="AT83" s="8">
        <f>IF(AR83=0,0,+AR83/PassVol!AR183)</f>
        <v>29.5</v>
      </c>
      <c r="AU83" s="60">
        <v>29.5</v>
      </c>
      <c r="AV83" s="3"/>
      <c r="AW83" s="81" t="e">
        <f t="shared" si="98"/>
        <v>#DIV/0!</v>
      </c>
      <c r="AX83" s="82"/>
      <c r="AY83" s="85"/>
    </row>
    <row r="84" spans="1:51" x14ac:dyDescent="0.25">
      <c r="C84" t="s">
        <v>42</v>
      </c>
      <c r="Q84" s="1">
        <v>9486</v>
      </c>
      <c r="AR84" s="3">
        <f t="shared" si="99"/>
        <v>9486</v>
      </c>
      <c r="AT84" s="8">
        <f>IF(AR84=0,0,+AR84/PassVol!AR184)</f>
        <v>27.9</v>
      </c>
      <c r="AU84" s="60">
        <v>27.9</v>
      </c>
      <c r="AV84" s="3"/>
      <c r="AW84" s="81" t="e">
        <f t="shared" si="98"/>
        <v>#DIV/0!</v>
      </c>
      <c r="AX84" s="82"/>
      <c r="AY84" s="85"/>
    </row>
    <row r="85" spans="1:51" x14ac:dyDescent="0.25">
      <c r="C85" t="s">
        <v>192</v>
      </c>
      <c r="Q85" s="1">
        <v>12320</v>
      </c>
      <c r="S85" s="1">
        <v>3360</v>
      </c>
      <c r="U85" s="1">
        <v>2240</v>
      </c>
      <c r="AR85" s="3">
        <f t="shared" si="99"/>
        <v>17920</v>
      </c>
      <c r="AT85" s="8">
        <f>IF(AR85=0,0,+AR85/PassVol!AR185)</f>
        <v>28</v>
      </c>
      <c r="AU85" s="60">
        <v>27.9</v>
      </c>
      <c r="AV85" s="3"/>
      <c r="AW85" s="81" t="e">
        <f t="shared" si="98"/>
        <v>#DIV/0!</v>
      </c>
      <c r="AX85" s="82"/>
      <c r="AY85" s="85"/>
    </row>
    <row r="86" spans="1:51" x14ac:dyDescent="0.25">
      <c r="C86" t="s">
        <v>133</v>
      </c>
      <c r="Q86" s="1">
        <v>1357</v>
      </c>
      <c r="S86" s="1">
        <v>1534</v>
      </c>
      <c r="AR86" s="3">
        <f t="shared" si="99"/>
        <v>2891</v>
      </c>
      <c r="AT86" s="8">
        <f>IF(AR86=0,0,+AR86/PassVol!AR186)</f>
        <v>29.5</v>
      </c>
      <c r="AU86" s="60">
        <v>29.5</v>
      </c>
      <c r="AV86" s="3"/>
      <c r="AW86" s="81" t="e">
        <f t="shared" si="98"/>
        <v>#DIV/0!</v>
      </c>
      <c r="AX86" s="82"/>
      <c r="AY86" s="85"/>
    </row>
    <row r="87" spans="1:51" x14ac:dyDescent="0.25">
      <c r="C87" t="s">
        <v>41</v>
      </c>
      <c r="Q87" s="1">
        <v>29942.5</v>
      </c>
      <c r="S87" s="1">
        <v>18762</v>
      </c>
      <c r="U87" s="1">
        <v>14396</v>
      </c>
      <c r="AR87" s="3">
        <f t="shared" si="99"/>
        <v>63100.5</v>
      </c>
      <c r="AT87" s="8">
        <f>IF(AR87=0,0,+AR87/PassVol!AR187)</f>
        <v>29.5</v>
      </c>
      <c r="AU87" s="60">
        <v>29.5</v>
      </c>
      <c r="AV87" s="3"/>
      <c r="AW87" s="81" t="e">
        <f t="shared" si="98"/>
        <v>#DIV/0!</v>
      </c>
      <c r="AX87" s="82"/>
      <c r="AY87" s="85"/>
    </row>
    <row r="88" spans="1:51" x14ac:dyDescent="0.25">
      <c r="C88" t="s">
        <v>193</v>
      </c>
      <c r="AR88" s="3">
        <f t="shared" si="99"/>
        <v>0</v>
      </c>
      <c r="AT88" s="8">
        <f>IF(AR88=0,0,+AR88/PassVol!AR188)</f>
        <v>0</v>
      </c>
      <c r="AU88" s="60">
        <v>0</v>
      </c>
      <c r="AV88" s="3"/>
      <c r="AW88" s="81">
        <f t="shared" si="98"/>
        <v>0</v>
      </c>
      <c r="AX88" s="82"/>
      <c r="AY88" s="85"/>
    </row>
    <row r="89" spans="1:51" x14ac:dyDescent="0.25">
      <c r="C89" t="s">
        <v>297</v>
      </c>
      <c r="AR89" s="3">
        <f t="shared" si="99"/>
        <v>0</v>
      </c>
      <c r="AT89" s="8">
        <f>IF(AR89=0,0,+AR89/PassVol!AR189)</f>
        <v>0</v>
      </c>
      <c r="AU89" s="60">
        <v>0</v>
      </c>
      <c r="AV89" s="3"/>
      <c r="AW89" s="81">
        <f t="shared" si="98"/>
        <v>0</v>
      </c>
      <c r="AX89" s="82"/>
      <c r="AY89" s="85"/>
    </row>
    <row r="90" spans="1:51" x14ac:dyDescent="0.25">
      <c r="C90" t="s">
        <v>296</v>
      </c>
      <c r="S90" s="1">
        <v>1563.5</v>
      </c>
      <c r="AR90" s="3">
        <f t="shared" si="99"/>
        <v>1563.5</v>
      </c>
      <c r="AT90" s="8">
        <f>IF(AR90=0,0,+AR90/PassVol!AR190)</f>
        <v>29.5</v>
      </c>
      <c r="AU90" s="60">
        <v>29.5</v>
      </c>
      <c r="AV90" s="3"/>
      <c r="AW90" s="81" t="e">
        <f t="shared" si="98"/>
        <v>#DIV/0!</v>
      </c>
      <c r="AX90" s="82"/>
      <c r="AY90" s="85"/>
    </row>
    <row r="91" spans="1:51" x14ac:dyDescent="0.25">
      <c r="A91"/>
      <c r="C91" t="s">
        <v>44</v>
      </c>
      <c r="Q91" s="1">
        <f>262276.8-218173</f>
        <v>44103.799999999988</v>
      </c>
      <c r="R91" s="1">
        <f>17102.5-16896</f>
        <v>206.5</v>
      </c>
      <c r="S91" s="1">
        <f>155445.7-121196</f>
        <v>34249.700000000012</v>
      </c>
      <c r="T91" s="1">
        <v>0</v>
      </c>
      <c r="U91" s="1">
        <f>78237.2-58679</f>
        <v>19558.199999999997</v>
      </c>
      <c r="V91" s="1">
        <f>4548.5-4313</f>
        <v>235.5</v>
      </c>
      <c r="AR91" s="3">
        <f t="shared" si="99"/>
        <v>98353.7</v>
      </c>
      <c r="AT91" s="8">
        <f>IF(AR91=0,0,+AR91/PassVol!AR191)</f>
        <v>29.491364317841079</v>
      </c>
      <c r="AU91" s="60">
        <v>29.5</v>
      </c>
      <c r="AV91" s="3"/>
      <c r="AW91" s="81" t="e">
        <f t="shared" si="98"/>
        <v>#DIV/0!</v>
      </c>
      <c r="AX91" s="82"/>
      <c r="AY91" s="85"/>
    </row>
    <row r="92" spans="1:51" x14ac:dyDescent="0.25">
      <c r="A92"/>
      <c r="B92" s="2" t="s">
        <v>150</v>
      </c>
      <c r="C92" s="2"/>
      <c r="D92" s="3">
        <f>SUM(D73:D91)</f>
        <v>0</v>
      </c>
      <c r="E92" s="3">
        <f t="shared" ref="E92:J92" si="100">SUM(E73:E91)</f>
        <v>0</v>
      </c>
      <c r="F92" s="3">
        <f t="shared" si="100"/>
        <v>0</v>
      </c>
      <c r="G92" s="3">
        <f t="shared" si="100"/>
        <v>0</v>
      </c>
      <c r="H92" s="3">
        <f t="shared" si="100"/>
        <v>0</v>
      </c>
      <c r="I92" s="3">
        <f t="shared" si="100"/>
        <v>0</v>
      </c>
      <c r="J92" s="3">
        <f t="shared" si="100"/>
        <v>0</v>
      </c>
      <c r="K92" s="3">
        <f>SUM(K73:K91)</f>
        <v>0</v>
      </c>
      <c r="L92" s="3">
        <f>SUM(L73:L91)</f>
        <v>0</v>
      </c>
      <c r="M92" s="3">
        <f t="shared" ref="M92:AR92" si="101">SUM(M73:M91)</f>
        <v>0</v>
      </c>
      <c r="N92" s="3">
        <f t="shared" si="101"/>
        <v>0</v>
      </c>
      <c r="O92" s="3">
        <f t="shared" si="101"/>
        <v>0</v>
      </c>
      <c r="P92" s="3">
        <f t="shared" si="101"/>
        <v>0</v>
      </c>
      <c r="Q92" s="3">
        <f t="shared" si="101"/>
        <v>262276.59999999998</v>
      </c>
      <c r="R92" s="3">
        <f t="shared" si="101"/>
        <v>17102.5</v>
      </c>
      <c r="S92" s="3">
        <f t="shared" si="101"/>
        <v>155445.90000000002</v>
      </c>
      <c r="T92" s="3">
        <f t="shared" si="101"/>
        <v>5376</v>
      </c>
      <c r="U92" s="3">
        <f t="shared" si="101"/>
        <v>78236.899999999994</v>
      </c>
      <c r="V92" s="3">
        <f t="shared" si="101"/>
        <v>4548</v>
      </c>
      <c r="W92" s="3">
        <f t="shared" si="101"/>
        <v>0</v>
      </c>
      <c r="X92" s="3">
        <f t="shared" si="101"/>
        <v>0</v>
      </c>
      <c r="Y92" s="3">
        <f t="shared" si="101"/>
        <v>0</v>
      </c>
      <c r="Z92" s="3">
        <f t="shared" si="101"/>
        <v>0</v>
      </c>
      <c r="AA92" s="3">
        <f t="shared" si="101"/>
        <v>0</v>
      </c>
      <c r="AB92" s="3">
        <f t="shared" si="101"/>
        <v>0</v>
      </c>
      <c r="AC92" s="3">
        <f t="shared" si="101"/>
        <v>0</v>
      </c>
      <c r="AD92" s="3">
        <f t="shared" si="101"/>
        <v>0</v>
      </c>
      <c r="AE92" s="3">
        <f t="shared" si="101"/>
        <v>0</v>
      </c>
      <c r="AF92" s="3">
        <f t="shared" si="101"/>
        <v>0</v>
      </c>
      <c r="AG92" s="3">
        <f t="shared" si="101"/>
        <v>0</v>
      </c>
      <c r="AH92" s="3">
        <f t="shared" si="101"/>
        <v>0</v>
      </c>
      <c r="AI92" s="3">
        <f t="shared" si="101"/>
        <v>0</v>
      </c>
      <c r="AJ92" s="3">
        <f t="shared" si="101"/>
        <v>0</v>
      </c>
      <c r="AK92" s="3">
        <f t="shared" si="101"/>
        <v>0</v>
      </c>
      <c r="AL92" s="3">
        <f t="shared" si="101"/>
        <v>0</v>
      </c>
      <c r="AM92" s="3">
        <f t="shared" si="101"/>
        <v>0</v>
      </c>
      <c r="AN92" s="3">
        <f t="shared" si="101"/>
        <v>0</v>
      </c>
      <c r="AO92" s="3">
        <f t="shared" si="101"/>
        <v>0</v>
      </c>
      <c r="AP92" s="3">
        <f t="shared" si="101"/>
        <v>0</v>
      </c>
      <c r="AQ92" s="3">
        <f t="shared" si="101"/>
        <v>0</v>
      </c>
      <c r="AR92" s="3">
        <f t="shared" si="101"/>
        <v>522985.9</v>
      </c>
      <c r="AT92" s="9">
        <f>IF(AR92=0,0,+AR92/PassVol!AR192)</f>
        <v>28.702370890730478</v>
      </c>
      <c r="AV92" s="3">
        <f>SUM(AV73:AV91)</f>
        <v>0</v>
      </c>
      <c r="AW92" s="81" t="e">
        <f t="shared" si="98"/>
        <v>#DIV/0!</v>
      </c>
      <c r="AX92" s="83"/>
      <c r="AY92" s="86"/>
    </row>
    <row r="93" spans="1:51" s="24" customFormat="1" x14ac:dyDescent="0.25">
      <c r="A93" s="23"/>
      <c r="B93" s="23"/>
      <c r="C93" s="27" t="s">
        <v>102</v>
      </c>
      <c r="D93" s="25">
        <f>+D92</f>
        <v>0</v>
      </c>
      <c r="E93" s="25">
        <f>+D93+E92</f>
        <v>0</v>
      </c>
      <c r="F93" s="25">
        <f t="shared" ref="F93" si="102">+E93+F92</f>
        <v>0</v>
      </c>
      <c r="G93" s="25">
        <f t="shared" ref="G93" si="103">+F93+G92</f>
        <v>0</v>
      </c>
      <c r="H93" s="25">
        <f t="shared" ref="H93" si="104">+G93+H92</f>
        <v>0</v>
      </c>
      <c r="I93" s="25">
        <f t="shared" ref="I93" si="105">+H93+I92</f>
        <v>0</v>
      </c>
      <c r="J93" s="25">
        <f t="shared" ref="J93" si="106">+I93+J92</f>
        <v>0</v>
      </c>
      <c r="K93" s="25">
        <f t="shared" ref="K93" si="107">+J93+K92</f>
        <v>0</v>
      </c>
      <c r="L93" s="25">
        <f t="shared" ref="L93" si="108">+K93+L92</f>
        <v>0</v>
      </c>
      <c r="M93" s="25">
        <f t="shared" ref="M93" si="109">+L93+M92</f>
        <v>0</v>
      </c>
      <c r="N93" s="25">
        <f t="shared" ref="N93" si="110">+M93+N92</f>
        <v>0</v>
      </c>
      <c r="O93" s="25">
        <f t="shared" ref="O93" si="111">+N93+O92</f>
        <v>0</v>
      </c>
      <c r="P93" s="25">
        <f t="shared" ref="P93" si="112">+O93+P92</f>
        <v>0</v>
      </c>
      <c r="Q93" s="25">
        <f t="shared" ref="Q93" si="113">+P93+Q92</f>
        <v>262276.59999999998</v>
      </c>
      <c r="R93" s="25">
        <f t="shared" ref="R93" si="114">+Q93+R92</f>
        <v>279379.09999999998</v>
      </c>
      <c r="S93" s="25">
        <f t="shared" ref="S93" si="115">+R93+S92</f>
        <v>434825</v>
      </c>
      <c r="T93" s="25">
        <f t="shared" ref="T93" si="116">+S93+T92</f>
        <v>440201</v>
      </c>
      <c r="U93" s="25">
        <f t="shared" ref="U93" si="117">+T93+U92</f>
        <v>518437.9</v>
      </c>
      <c r="V93" s="25">
        <f t="shared" ref="V93" si="118">+U93+V92</f>
        <v>522985.9</v>
      </c>
      <c r="W93" s="25">
        <f t="shared" ref="W93" si="119">+V93+W92</f>
        <v>522985.9</v>
      </c>
      <c r="X93" s="25">
        <f t="shared" ref="X93" si="120">+W93+X92</f>
        <v>522985.9</v>
      </c>
      <c r="Y93" s="25">
        <f t="shared" ref="Y93" si="121">+X93+Y92</f>
        <v>522985.9</v>
      </c>
      <c r="Z93" s="25">
        <f t="shared" ref="Z93" si="122">+Y93+Z92</f>
        <v>522985.9</v>
      </c>
      <c r="AA93" s="25">
        <f t="shared" ref="AA93" si="123">+Z93+AA92</f>
        <v>522985.9</v>
      </c>
      <c r="AB93" s="25">
        <f t="shared" ref="AB93" si="124">+AA93+AB92</f>
        <v>522985.9</v>
      </c>
      <c r="AC93" s="25">
        <f t="shared" ref="AC93" si="125">+AB93+AC92</f>
        <v>522985.9</v>
      </c>
      <c r="AD93" s="25">
        <f t="shared" ref="AD93" si="126">+AC93+AD92</f>
        <v>522985.9</v>
      </c>
      <c r="AE93" s="25">
        <f t="shared" ref="AE93" si="127">+AD93+AE92</f>
        <v>522985.9</v>
      </c>
      <c r="AF93" s="25">
        <f t="shared" ref="AF93" si="128">+AE93+AF92</f>
        <v>522985.9</v>
      </c>
      <c r="AG93" s="25">
        <f t="shared" ref="AG93" si="129">+AF93+AG92</f>
        <v>522985.9</v>
      </c>
      <c r="AH93" s="25">
        <f t="shared" ref="AH93" si="130">+AG93+AH92</f>
        <v>522985.9</v>
      </c>
      <c r="AI93" s="25">
        <f t="shared" ref="AI93" si="131">+AH93+AI92</f>
        <v>522985.9</v>
      </c>
      <c r="AJ93" s="25">
        <f t="shared" ref="AJ93" si="132">+AI93+AJ92</f>
        <v>522985.9</v>
      </c>
      <c r="AK93" s="25">
        <f t="shared" ref="AK93" si="133">+AJ93+AK92</f>
        <v>522985.9</v>
      </c>
      <c r="AL93" s="25">
        <f t="shared" ref="AL93" si="134">+AK93+AL92</f>
        <v>522985.9</v>
      </c>
      <c r="AM93" s="25">
        <f t="shared" ref="AM93" si="135">+AL93+AM92</f>
        <v>522985.9</v>
      </c>
      <c r="AN93" s="25">
        <f t="shared" ref="AN93" si="136">+AM93+AN92</f>
        <v>522985.9</v>
      </c>
      <c r="AO93" s="25">
        <f t="shared" ref="AO93" si="137">+AN93+AO92</f>
        <v>522985.9</v>
      </c>
      <c r="AP93" s="25">
        <f t="shared" ref="AP93" si="138">+AO93+AP92</f>
        <v>522985.9</v>
      </c>
      <c r="AQ93" s="25">
        <f t="shared" ref="AQ93" si="139">+AP93+AQ92</f>
        <v>522985.9</v>
      </c>
      <c r="AR93" s="49"/>
      <c r="AS93" s="25"/>
      <c r="AT93" s="26"/>
      <c r="AU93" s="60"/>
    </row>
    <row r="94" spans="1:51" s="24" customFormat="1" x14ac:dyDescent="0.25">
      <c r="A94" s="23"/>
      <c r="B94" s="23"/>
      <c r="C94" s="38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49"/>
      <c r="AS94" s="25"/>
      <c r="AT94" s="26"/>
      <c r="AU94" s="60"/>
    </row>
    <row r="95" spans="1:51" s="24" customFormat="1" x14ac:dyDescent="0.25">
      <c r="A95" s="23"/>
      <c r="B95" s="2" t="s">
        <v>196</v>
      </c>
      <c r="C95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3"/>
      <c r="AS95" s="1"/>
      <c r="AT95" s="8"/>
      <c r="AU95" s="60"/>
    </row>
    <row r="96" spans="1:51" s="24" customFormat="1" x14ac:dyDescent="0.25">
      <c r="A96" s="23"/>
      <c r="B96" s="2"/>
      <c r="C96" t="s">
        <v>190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>
        <v>269.27999999999997</v>
      </c>
      <c r="P96" s="1"/>
      <c r="Q96" s="1"/>
      <c r="R96" s="1"/>
      <c r="S96" s="1">
        <v>285.12</v>
      </c>
      <c r="T96" s="1"/>
      <c r="U96" s="1">
        <v>31.68</v>
      </c>
      <c r="V96" s="1">
        <v>79.2</v>
      </c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3">
        <f>SUM(D96:AQ96)</f>
        <v>665.28</v>
      </c>
      <c r="AS96" s="1"/>
      <c r="AT96" s="8">
        <f>IF(AR96=0,0,+AR96/PassVol!AR245)</f>
        <v>15.84</v>
      </c>
      <c r="AU96" s="60">
        <f>0.88*18</f>
        <v>15.84</v>
      </c>
      <c r="AV96" s="3"/>
      <c r="AW96" s="81">
        <f t="shared" ref="AW96:AW115" si="140">IF(AV96=0,0,+(AR96-AV96)/AV96)</f>
        <v>0</v>
      </c>
      <c r="AX96" s="82"/>
      <c r="AY96" s="84"/>
    </row>
    <row r="97" spans="1:51" s="24" customFormat="1" x14ac:dyDescent="0.25">
      <c r="A97" s="23"/>
      <c r="B97" s="2"/>
      <c r="C97" t="s">
        <v>424</v>
      </c>
      <c r="D97" s="1"/>
      <c r="E97" s="1"/>
      <c r="F97" s="1"/>
      <c r="G97" s="1"/>
      <c r="H97" s="1"/>
      <c r="I97" s="1"/>
      <c r="J97" s="1"/>
      <c r="K97" s="1"/>
      <c r="L97" s="1"/>
      <c r="M97" s="1">
        <v>1387.44</v>
      </c>
      <c r="N97" s="1"/>
      <c r="O97" s="1">
        <v>659.88</v>
      </c>
      <c r="P97" s="1">
        <v>270.72000000000003</v>
      </c>
      <c r="Q97" s="1">
        <v>1049.04</v>
      </c>
      <c r="R97" s="1">
        <v>812.16</v>
      </c>
      <c r="S97" s="1">
        <v>761.45</v>
      </c>
      <c r="T97" s="1">
        <v>372.24</v>
      </c>
      <c r="U97" s="1">
        <v>389.16</v>
      </c>
      <c r="V97" s="1">
        <v>389.16</v>
      </c>
      <c r="W97" s="1">
        <v>67.680000000000007</v>
      </c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3">
        <f>SUM(D97:AQ97)</f>
        <v>6158.9299999999994</v>
      </c>
      <c r="AS97" s="1"/>
      <c r="AT97" s="8">
        <f>IF(AR97=0,0,+AR97/PassVol!AR246)</f>
        <v>16.920137362637362</v>
      </c>
      <c r="AU97" s="60">
        <f>0.94*18</f>
        <v>16.919999999999998</v>
      </c>
      <c r="AV97" s="3"/>
      <c r="AW97" s="81"/>
      <c r="AX97" s="82"/>
      <c r="AY97" s="85"/>
    </row>
    <row r="98" spans="1:51" s="24" customFormat="1" x14ac:dyDescent="0.25">
      <c r="A98" s="23"/>
      <c r="B98" s="2"/>
      <c r="C98" t="s">
        <v>347</v>
      </c>
      <c r="D98" s="1"/>
      <c r="E98" s="1"/>
      <c r="F98" s="1"/>
      <c r="G98" s="1"/>
      <c r="H98" s="1"/>
      <c r="I98" s="1"/>
      <c r="J98" s="1"/>
      <c r="K98" s="1"/>
      <c r="L98" s="1"/>
      <c r="M98" s="1">
        <v>1049.04</v>
      </c>
      <c r="N98" s="1">
        <v>541.44000000000005</v>
      </c>
      <c r="O98" s="1">
        <v>812.16</v>
      </c>
      <c r="P98" s="1">
        <v>1049.04</v>
      </c>
      <c r="Q98" s="1"/>
      <c r="R98" s="1">
        <v>406.08</v>
      </c>
      <c r="S98" s="1">
        <v>372.24</v>
      </c>
      <c r="T98" s="1">
        <v>575.28</v>
      </c>
      <c r="U98" s="1"/>
      <c r="V98" s="1">
        <v>355.32</v>
      </c>
      <c r="W98" s="1">
        <v>406.08</v>
      </c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3">
        <f t="shared" ref="AR98:AR114" si="141">SUM(D98:AQ98)</f>
        <v>5566.6799999999994</v>
      </c>
      <c r="AS98" s="1"/>
      <c r="AT98" s="8">
        <f>IF(AR98=0,0,+AR98/PassVol!AR247)</f>
        <v>16.919999999999998</v>
      </c>
      <c r="AU98" s="60">
        <f>0.94*18</f>
        <v>16.919999999999998</v>
      </c>
      <c r="AV98" s="3"/>
      <c r="AW98" s="81">
        <f t="shared" si="140"/>
        <v>0</v>
      </c>
      <c r="AX98" s="82"/>
      <c r="AY98" s="85"/>
    </row>
    <row r="99" spans="1:51" s="24" customFormat="1" x14ac:dyDescent="0.25">
      <c r="A99" s="23"/>
      <c r="B99" s="2"/>
      <c r="C99" t="s">
        <v>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3">
        <f t="shared" si="141"/>
        <v>0</v>
      </c>
      <c r="AS99" s="1"/>
      <c r="AT99" s="8">
        <f>IF(AR99=0,0,+AR99/PassVol!AR248)</f>
        <v>0</v>
      </c>
      <c r="AU99" s="60">
        <v>0</v>
      </c>
      <c r="AV99" s="3"/>
      <c r="AW99" s="81">
        <f t="shared" si="140"/>
        <v>0</v>
      </c>
      <c r="AX99" s="82"/>
      <c r="AY99" s="85"/>
    </row>
    <row r="100" spans="1:51" s="24" customFormat="1" x14ac:dyDescent="0.25">
      <c r="A100" s="23"/>
      <c r="B100" s="2"/>
      <c r="C100" t="s">
        <v>354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>
        <v>1082.8800000000001</v>
      </c>
      <c r="P100" s="1"/>
      <c r="Q100" s="1"/>
      <c r="R100" s="1"/>
      <c r="S100" s="1">
        <v>118.44</v>
      </c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3">
        <f t="shared" si="141"/>
        <v>1201.3200000000002</v>
      </c>
      <c r="AS100" s="1"/>
      <c r="AT100" s="8">
        <f>IF(AR100=0,0,+AR100/PassVol!AR249)</f>
        <v>16.920000000000002</v>
      </c>
      <c r="AU100" s="60">
        <f>0.94*18</f>
        <v>16.919999999999998</v>
      </c>
      <c r="AV100" s="3"/>
      <c r="AW100" t="s">
        <v>373</v>
      </c>
      <c r="AX100" s="82"/>
      <c r="AY100" s="85"/>
    </row>
    <row r="101" spans="1:51" s="24" customFormat="1" x14ac:dyDescent="0.25">
      <c r="A101" s="23"/>
      <c r="B101" s="2"/>
      <c r="C101" t="s">
        <v>265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>
        <v>640.79999999999995</v>
      </c>
      <c r="O101" s="1"/>
      <c r="P101" s="1"/>
      <c r="Q101" s="1"/>
      <c r="R101" s="1">
        <v>1281.5999999999999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3">
        <f t="shared" si="141"/>
        <v>1922.3999999999999</v>
      </c>
      <c r="AS101" s="1"/>
      <c r="AT101" s="8">
        <f>IF(AR101=0,0,+AR101/PassVol!AR250)</f>
        <v>16.02</v>
      </c>
      <c r="AU101" s="60">
        <f>0.89*18</f>
        <v>16.02</v>
      </c>
      <c r="AV101" s="3"/>
      <c r="AW101" s="81">
        <f t="shared" si="140"/>
        <v>0</v>
      </c>
      <c r="AX101" s="82"/>
      <c r="AY101" s="85"/>
    </row>
    <row r="102" spans="1:51" s="24" customFormat="1" x14ac:dyDescent="0.25">
      <c r="A102" s="23"/>
      <c r="B102" s="2"/>
      <c r="C102" t="s">
        <v>191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>
        <v>541.44000000000005</v>
      </c>
      <c r="O102" s="1"/>
      <c r="P102" s="1"/>
      <c r="Q102" s="1"/>
      <c r="R102" s="1">
        <v>5685.12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3">
        <f t="shared" si="141"/>
        <v>6226.5599999999995</v>
      </c>
      <c r="AS102" s="1"/>
      <c r="AT102" s="8">
        <f>IF(AR102=0,0,+AR102/PassVol!AR251)</f>
        <v>16.919999999999998</v>
      </c>
      <c r="AU102" s="60">
        <f t="shared" ref="AU102:AU104" si="142">0.94*18</f>
        <v>16.919999999999998</v>
      </c>
      <c r="AV102" s="3"/>
      <c r="AW102" s="81">
        <f t="shared" si="140"/>
        <v>0</v>
      </c>
      <c r="AX102" s="82"/>
      <c r="AY102" s="85"/>
    </row>
    <row r="103" spans="1:51" s="24" customFormat="1" x14ac:dyDescent="0.25">
      <c r="A103" s="23"/>
      <c r="B103" s="2"/>
      <c r="C103" t="s">
        <v>549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3">
        <f t="shared" si="141"/>
        <v>0</v>
      </c>
      <c r="AS103" s="1"/>
      <c r="AT103" s="8">
        <f>IF(AR103=0,0,+AR103/PassVol!AR252)</f>
        <v>0</v>
      </c>
      <c r="AU103" s="60">
        <f t="shared" si="142"/>
        <v>16.919999999999998</v>
      </c>
      <c r="AV103" s="3"/>
      <c r="AW103" s="81">
        <f t="shared" si="140"/>
        <v>0</v>
      </c>
      <c r="AX103" s="82"/>
      <c r="AY103" s="85"/>
    </row>
    <row r="104" spans="1:51" s="24" customFormat="1" x14ac:dyDescent="0.25">
      <c r="A104" s="23"/>
      <c r="B104" s="2"/>
      <c r="C104" t="s">
        <v>550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3">
        <f t="shared" si="141"/>
        <v>0</v>
      </c>
      <c r="AS104" s="1"/>
      <c r="AT104" s="8">
        <f>IF(AR104=0,0,+AR104/PassVol!AR253)</f>
        <v>0</v>
      </c>
      <c r="AU104" s="60">
        <f t="shared" si="142"/>
        <v>16.919999999999998</v>
      </c>
      <c r="AV104" s="3"/>
      <c r="AW104" s="81">
        <f t="shared" si="140"/>
        <v>0</v>
      </c>
      <c r="AX104" s="82"/>
      <c r="AY104" s="85"/>
    </row>
    <row r="105" spans="1:51" s="24" customFormat="1" x14ac:dyDescent="0.25">
      <c r="A105" s="23"/>
      <c r="B105" s="2"/>
      <c r="C105" t="s">
        <v>6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3">
        <f t="shared" si="141"/>
        <v>0</v>
      </c>
      <c r="AS105" s="1"/>
      <c r="AT105" s="8">
        <f>IF(AR105=0,0,+AR105/PassVol!AR254)</f>
        <v>0</v>
      </c>
      <c r="AU105" s="60">
        <v>0</v>
      </c>
      <c r="AV105" s="3"/>
      <c r="AW105" s="81">
        <f t="shared" si="140"/>
        <v>0</v>
      </c>
      <c r="AX105" s="82"/>
      <c r="AY105" s="85"/>
    </row>
    <row r="106" spans="1:51" s="24" customFormat="1" x14ac:dyDescent="0.25">
      <c r="A106" s="23"/>
      <c r="B106" s="2"/>
      <c r="C106" t="s">
        <v>262</v>
      </c>
      <c r="D106" s="1"/>
      <c r="E106" s="1"/>
      <c r="F106" s="1"/>
      <c r="G106" s="1"/>
      <c r="H106" s="1"/>
      <c r="I106" s="1"/>
      <c r="J106" s="1"/>
      <c r="K106" s="1"/>
      <c r="L106" s="1"/>
      <c r="M106" s="1">
        <v>4653</v>
      </c>
      <c r="N106" s="1"/>
      <c r="O106" s="1">
        <v>152.28</v>
      </c>
      <c r="P106" s="1"/>
      <c r="Q106" s="1"/>
      <c r="R106" s="1"/>
      <c r="S106" s="1">
        <v>321.48</v>
      </c>
      <c r="T106" s="1">
        <v>693.72</v>
      </c>
      <c r="U106" s="1">
        <v>270.72000000000003</v>
      </c>
      <c r="V106" s="1">
        <v>270.72000000000003</v>
      </c>
      <c r="W106" s="1">
        <v>67.680000000000007</v>
      </c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3">
        <f t="shared" si="141"/>
        <v>6429.6000000000013</v>
      </c>
      <c r="AS106" s="1"/>
      <c r="AT106" s="8">
        <f>IF(AR106=0,0,+AR106/PassVol!AR255)</f>
        <v>16.920000000000002</v>
      </c>
      <c r="AU106" s="60">
        <f>0.94*18</f>
        <v>16.919999999999998</v>
      </c>
      <c r="AV106" s="3"/>
      <c r="AW106" s="81">
        <f t="shared" si="140"/>
        <v>0</v>
      </c>
      <c r="AX106" s="82"/>
      <c r="AY106" s="85"/>
    </row>
    <row r="107" spans="1:51" s="24" customFormat="1" x14ac:dyDescent="0.25">
      <c r="A107" s="23"/>
      <c r="B107" s="2"/>
      <c r="C107" t="s">
        <v>42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>
        <v>3801.6</v>
      </c>
      <c r="O107" s="1"/>
      <c r="P107" s="1"/>
      <c r="Q107" s="1">
        <v>253.44</v>
      </c>
      <c r="R107" s="1"/>
      <c r="S107" s="1">
        <v>205.92</v>
      </c>
      <c r="T107" s="1"/>
      <c r="U107" s="1"/>
      <c r="V107" s="1">
        <v>190.08</v>
      </c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3">
        <f t="shared" si="141"/>
        <v>4451.04</v>
      </c>
      <c r="AS107" s="1"/>
      <c r="AT107" s="8">
        <f>IF(AR107=0,0,+AR107/PassVol!AR256)</f>
        <v>15.84</v>
      </c>
      <c r="AU107" s="60">
        <f>0.88*18</f>
        <v>15.84</v>
      </c>
      <c r="AV107" s="3"/>
      <c r="AW107" s="81">
        <f t="shared" si="140"/>
        <v>0</v>
      </c>
      <c r="AX107" s="82"/>
      <c r="AY107" s="85"/>
    </row>
    <row r="108" spans="1:51" s="24" customFormat="1" x14ac:dyDescent="0.25">
      <c r="A108" s="23"/>
      <c r="B108" s="2"/>
      <c r="C108" t="s">
        <v>192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>
        <v>5382.72</v>
      </c>
      <c r="S108" s="1"/>
      <c r="T108" s="1"/>
      <c r="U108" s="1"/>
      <c r="V108" s="1"/>
      <c r="W108" s="1">
        <v>128.16</v>
      </c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3">
        <f t="shared" si="141"/>
        <v>5510.88</v>
      </c>
      <c r="AS108" s="1"/>
      <c r="AT108" s="8">
        <f>IF(AR108=0,0,+AR108/PassVol!AR257)</f>
        <v>16.02</v>
      </c>
      <c r="AU108" s="60">
        <f>0.89*18</f>
        <v>16.02</v>
      </c>
      <c r="AV108" s="3"/>
      <c r="AW108" s="81">
        <f t="shared" si="140"/>
        <v>0</v>
      </c>
      <c r="AX108" s="82"/>
      <c r="AY108" s="85"/>
    </row>
    <row r="109" spans="1:51" s="24" customFormat="1" x14ac:dyDescent="0.25">
      <c r="A109" s="23"/>
      <c r="B109" s="2"/>
      <c r="C109" t="s">
        <v>133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>
        <v>169.2</v>
      </c>
      <c r="V109" s="1">
        <v>101.52</v>
      </c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3">
        <f t="shared" si="141"/>
        <v>270.71999999999997</v>
      </c>
      <c r="AS109" s="1"/>
      <c r="AT109" s="8">
        <f>IF(AR109=0,0,+AR109/PassVol!AR258)</f>
        <v>16.919999999999998</v>
      </c>
      <c r="AU109" s="60">
        <f t="shared" ref="AU109:AU110" si="143">0.94*18</f>
        <v>16.919999999999998</v>
      </c>
      <c r="AV109" s="3"/>
      <c r="AW109" s="81">
        <f t="shared" si="140"/>
        <v>0</v>
      </c>
      <c r="AX109" s="82"/>
      <c r="AY109" s="85"/>
    </row>
    <row r="110" spans="1:51" s="24" customFormat="1" x14ac:dyDescent="0.25">
      <c r="A110" s="23"/>
      <c r="B110" s="2"/>
      <c r="C110" t="s">
        <v>41</v>
      </c>
      <c r="D110" s="1"/>
      <c r="E110" s="1"/>
      <c r="F110" s="1"/>
      <c r="G110" s="1"/>
      <c r="H110" s="1"/>
      <c r="I110" s="1"/>
      <c r="J110" s="1"/>
      <c r="K110" s="1"/>
      <c r="L110" s="1"/>
      <c r="M110" s="1">
        <v>1082.8800000000001</v>
      </c>
      <c r="N110" s="1">
        <v>1201.32</v>
      </c>
      <c r="O110" s="1">
        <v>609.12</v>
      </c>
      <c r="P110" s="1">
        <v>1082.8800000000001</v>
      </c>
      <c r="Q110" s="1">
        <v>1624.32</v>
      </c>
      <c r="R110" s="1">
        <v>270.72000000000003</v>
      </c>
      <c r="S110" s="1">
        <v>1049.04</v>
      </c>
      <c r="T110" s="1">
        <v>575.28</v>
      </c>
      <c r="U110" s="1">
        <v>609.12</v>
      </c>
      <c r="V110" s="1">
        <v>423</v>
      </c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3">
        <f t="shared" si="141"/>
        <v>8527.68</v>
      </c>
      <c r="AS110" s="1"/>
      <c r="AT110" s="8">
        <f>IF(AR110=0,0,+AR110/PassVol!AR259)</f>
        <v>16.920000000000002</v>
      </c>
      <c r="AU110" s="60">
        <f t="shared" si="143"/>
        <v>16.919999999999998</v>
      </c>
      <c r="AV110" s="3"/>
      <c r="AW110" s="81">
        <f t="shared" si="140"/>
        <v>0</v>
      </c>
      <c r="AX110" s="82"/>
      <c r="AY110" s="85"/>
    </row>
    <row r="111" spans="1:51" s="24" customFormat="1" x14ac:dyDescent="0.25">
      <c r="A111" s="23"/>
      <c r="B111" s="2"/>
      <c r="C111" t="s">
        <v>193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3">
        <f t="shared" si="141"/>
        <v>0</v>
      </c>
      <c r="AS111" s="1"/>
      <c r="AT111" s="8">
        <f>IF(AR111=0,0,+AR111/PassVol!AR260)</f>
        <v>0</v>
      </c>
      <c r="AU111" s="60">
        <v>0</v>
      </c>
      <c r="AV111" s="3"/>
      <c r="AW111" s="81">
        <f t="shared" si="140"/>
        <v>0</v>
      </c>
      <c r="AX111" s="82"/>
      <c r="AY111" s="85"/>
    </row>
    <row r="112" spans="1:51" s="24" customFormat="1" x14ac:dyDescent="0.25">
      <c r="A112" s="23"/>
      <c r="B112" s="2"/>
      <c r="C112" t="s">
        <v>297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3">
        <f t="shared" si="141"/>
        <v>0</v>
      </c>
      <c r="AS112" s="1"/>
      <c r="AT112" s="8">
        <f>IF(AR112=0,0,+AR112/PassVol!AR261)</f>
        <v>0</v>
      </c>
      <c r="AU112" s="60">
        <v>0</v>
      </c>
      <c r="AV112" s="3"/>
      <c r="AW112" s="81">
        <f t="shared" si="140"/>
        <v>0</v>
      </c>
      <c r="AX112" s="82"/>
      <c r="AY112" s="85"/>
    </row>
    <row r="113" spans="1:51" s="24" customFormat="1" x14ac:dyDescent="0.25">
      <c r="A113" s="23"/>
      <c r="B113" s="2"/>
      <c r="C113" t="s">
        <v>296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>
        <v>270.72000000000003</v>
      </c>
      <c r="O113" s="1">
        <v>270.72000000000003</v>
      </c>
      <c r="P113" s="1"/>
      <c r="Q113" s="1"/>
      <c r="R113" s="1"/>
      <c r="S113" s="1">
        <v>84.6</v>
      </c>
      <c r="T113" s="1">
        <v>439.92</v>
      </c>
      <c r="U113" s="1"/>
      <c r="V113" s="1">
        <v>219.96</v>
      </c>
      <c r="W113" s="1">
        <v>33.840000000000003</v>
      </c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3">
        <f t="shared" si="141"/>
        <v>1319.76</v>
      </c>
      <c r="AS113" s="1"/>
      <c r="AT113" s="8">
        <f>IF(AR113=0,0,+AR113/PassVol!AR262)</f>
        <v>16.919999999999998</v>
      </c>
      <c r="AU113" s="60">
        <f t="shared" ref="AU113:AU114" si="144">0.94*18</f>
        <v>16.919999999999998</v>
      </c>
      <c r="AV113" s="3"/>
      <c r="AW113" s="81">
        <f t="shared" si="140"/>
        <v>0</v>
      </c>
      <c r="AX113" s="82"/>
      <c r="AY113" s="85"/>
    </row>
    <row r="114" spans="1:51" s="24" customFormat="1" x14ac:dyDescent="0.25">
      <c r="A114" s="23"/>
      <c r="B114" s="2"/>
      <c r="C114" t="s">
        <v>44</v>
      </c>
      <c r="D114" s="1"/>
      <c r="E114" s="1"/>
      <c r="F114" s="1"/>
      <c r="G114" s="1"/>
      <c r="H114" s="1"/>
      <c r="I114" s="1"/>
      <c r="J114" s="1"/>
      <c r="K114" s="1"/>
      <c r="L114" s="1"/>
      <c r="M114" s="1">
        <f>15600.24-8172</f>
        <v>7428.24</v>
      </c>
      <c r="N114" s="1">
        <f>9112.32-6997</f>
        <v>2115.3199999999997</v>
      </c>
      <c r="O114" s="1">
        <f>13974.48-3856</f>
        <v>10118.48</v>
      </c>
      <c r="P114" s="1">
        <f>6937.2-2403</f>
        <v>4534.2</v>
      </c>
      <c r="Q114" s="1">
        <f>4821.84-2927</f>
        <v>1894.8400000000001</v>
      </c>
      <c r="R114" s="1">
        <f>16833.24-13838</f>
        <v>2995.2400000000016</v>
      </c>
      <c r="S114" s="1">
        <f>10169.28-3198</f>
        <v>6971.2800000000007</v>
      </c>
      <c r="T114" s="1">
        <f>7817.04-2656</f>
        <v>5161.04</v>
      </c>
      <c r="U114" s="1">
        <f>4650.84-1470</f>
        <v>3180.84</v>
      </c>
      <c r="V114" s="1">
        <f>7104.96-2029</f>
        <v>5075.96</v>
      </c>
      <c r="W114" s="1">
        <f>2666.16-703</f>
        <v>1963.1599999999999</v>
      </c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3">
        <f t="shared" si="141"/>
        <v>51438.600000000006</v>
      </c>
      <c r="AS114" s="1"/>
      <c r="AT114" s="8">
        <f>IF(AR114=0,0,+AR114/PassVol!AR263)</f>
        <v>16.915027951331801</v>
      </c>
      <c r="AU114" s="60">
        <f t="shared" si="144"/>
        <v>16.919999999999998</v>
      </c>
      <c r="AV114" s="3"/>
      <c r="AW114" s="81">
        <f t="shared" si="140"/>
        <v>0</v>
      </c>
      <c r="AX114" s="82"/>
      <c r="AY114" s="85"/>
    </row>
    <row r="115" spans="1:51" s="24" customFormat="1" x14ac:dyDescent="0.25">
      <c r="A115" s="23"/>
      <c r="B115" s="2" t="s">
        <v>218</v>
      </c>
      <c r="C115" s="2"/>
      <c r="D115" s="3">
        <f>SUM(D96:D114)</f>
        <v>0</v>
      </c>
      <c r="E115" s="3">
        <f t="shared" ref="E115:J115" si="145">SUM(E96:E114)</f>
        <v>0</v>
      </c>
      <c r="F115" s="3">
        <f t="shared" si="145"/>
        <v>0</v>
      </c>
      <c r="G115" s="3">
        <f t="shared" si="145"/>
        <v>0</v>
      </c>
      <c r="H115" s="3">
        <f t="shared" si="145"/>
        <v>0</v>
      </c>
      <c r="I115" s="3">
        <f t="shared" si="145"/>
        <v>0</v>
      </c>
      <c r="J115" s="3">
        <f t="shared" si="145"/>
        <v>0</v>
      </c>
      <c r="K115" s="3">
        <f>SUM(K96:K114)</f>
        <v>0</v>
      </c>
      <c r="L115" s="3">
        <f>SUM(L96:L114)</f>
        <v>0</v>
      </c>
      <c r="M115" s="3">
        <f t="shared" ref="M115:AR115" si="146">SUM(M96:M114)</f>
        <v>15600.599999999999</v>
      </c>
      <c r="N115" s="3">
        <f t="shared" si="146"/>
        <v>9112.64</v>
      </c>
      <c r="O115" s="3">
        <f t="shared" si="146"/>
        <v>13974.8</v>
      </c>
      <c r="P115" s="3">
        <f t="shared" si="146"/>
        <v>6936.84</v>
      </c>
      <c r="Q115" s="3">
        <f t="shared" si="146"/>
        <v>4821.6400000000003</v>
      </c>
      <c r="R115" s="3">
        <f t="shared" si="146"/>
        <v>16833.64</v>
      </c>
      <c r="S115" s="3">
        <f t="shared" si="146"/>
        <v>10169.57</v>
      </c>
      <c r="T115" s="3">
        <f t="shared" si="146"/>
        <v>7817.48</v>
      </c>
      <c r="U115" s="3">
        <f t="shared" si="146"/>
        <v>4650.72</v>
      </c>
      <c r="V115" s="3">
        <f t="shared" si="146"/>
        <v>7104.92</v>
      </c>
      <c r="W115" s="3">
        <f t="shared" si="146"/>
        <v>2666.6</v>
      </c>
      <c r="X115" s="3">
        <f t="shared" si="146"/>
        <v>0</v>
      </c>
      <c r="Y115" s="3">
        <f t="shared" si="146"/>
        <v>0</v>
      </c>
      <c r="Z115" s="3">
        <f t="shared" si="146"/>
        <v>0</v>
      </c>
      <c r="AA115" s="3">
        <f t="shared" si="146"/>
        <v>0</v>
      </c>
      <c r="AB115" s="3">
        <f t="shared" si="146"/>
        <v>0</v>
      </c>
      <c r="AC115" s="3">
        <f t="shared" si="146"/>
        <v>0</v>
      </c>
      <c r="AD115" s="3">
        <f t="shared" si="146"/>
        <v>0</v>
      </c>
      <c r="AE115" s="3">
        <f t="shared" si="146"/>
        <v>0</v>
      </c>
      <c r="AF115" s="3">
        <f t="shared" si="146"/>
        <v>0</v>
      </c>
      <c r="AG115" s="3">
        <f t="shared" si="146"/>
        <v>0</v>
      </c>
      <c r="AH115" s="3">
        <f t="shared" si="146"/>
        <v>0</v>
      </c>
      <c r="AI115" s="3">
        <f t="shared" si="146"/>
        <v>0</v>
      </c>
      <c r="AJ115" s="3">
        <f t="shared" si="146"/>
        <v>0</v>
      </c>
      <c r="AK115" s="3">
        <f t="shared" si="146"/>
        <v>0</v>
      </c>
      <c r="AL115" s="3">
        <f t="shared" si="146"/>
        <v>0</v>
      </c>
      <c r="AM115" s="3">
        <f t="shared" si="146"/>
        <v>0</v>
      </c>
      <c r="AN115" s="3">
        <f t="shared" si="146"/>
        <v>0</v>
      </c>
      <c r="AO115" s="3">
        <f t="shared" si="146"/>
        <v>0</v>
      </c>
      <c r="AP115" s="3">
        <f t="shared" si="146"/>
        <v>0</v>
      </c>
      <c r="AQ115" s="3">
        <f t="shared" si="146"/>
        <v>0</v>
      </c>
      <c r="AR115" s="3">
        <f t="shared" si="146"/>
        <v>99689.450000000012</v>
      </c>
      <c r="AS115" s="3"/>
      <c r="AT115" s="9">
        <f>IF(AR115=0,0,+AR115/PassVol!AR264)</f>
        <v>16.788388346244528</v>
      </c>
      <c r="AU115" s="60"/>
      <c r="AV115" s="3">
        <f>SUM(AV96:AV114)</f>
        <v>0</v>
      </c>
      <c r="AW115" s="81">
        <f t="shared" si="140"/>
        <v>0</v>
      </c>
      <c r="AX115" s="83"/>
      <c r="AY115" s="86"/>
    </row>
    <row r="116" spans="1:51" s="24" customFormat="1" x14ac:dyDescent="0.25">
      <c r="A116" s="23"/>
      <c r="B116" s="23"/>
      <c r="C116" s="27" t="s">
        <v>102</v>
      </c>
      <c r="D116" s="25">
        <f>+D115</f>
        <v>0</v>
      </c>
      <c r="E116" s="25">
        <f>+D116+E115</f>
        <v>0</v>
      </c>
      <c r="F116" s="25">
        <f t="shared" ref="F116" si="147">+E116+F115</f>
        <v>0</v>
      </c>
      <c r="G116" s="25">
        <f t="shared" ref="G116" si="148">+F116+G115</f>
        <v>0</v>
      </c>
      <c r="H116" s="25">
        <f t="shared" ref="H116" si="149">+G116+H115</f>
        <v>0</v>
      </c>
      <c r="I116" s="25">
        <f t="shared" ref="I116" si="150">+H116+I115</f>
        <v>0</v>
      </c>
      <c r="J116" s="25">
        <f t="shared" ref="J116" si="151">+I116+J115</f>
        <v>0</v>
      </c>
      <c r="K116" s="25">
        <f t="shared" ref="K116" si="152">+J116+K115</f>
        <v>0</v>
      </c>
      <c r="L116" s="25">
        <f t="shared" ref="L116" si="153">+K116+L115</f>
        <v>0</v>
      </c>
      <c r="M116" s="25">
        <f t="shared" ref="M116" si="154">+L116+M115</f>
        <v>15600.599999999999</v>
      </c>
      <c r="N116" s="25">
        <f t="shared" ref="N116" si="155">+M116+N115</f>
        <v>24713.239999999998</v>
      </c>
      <c r="O116" s="25">
        <f t="shared" ref="O116" si="156">+N116+O115</f>
        <v>38688.039999999994</v>
      </c>
      <c r="P116" s="25">
        <f t="shared" ref="P116" si="157">+O116+P115</f>
        <v>45624.87999999999</v>
      </c>
      <c r="Q116" s="25">
        <f t="shared" ref="Q116" si="158">+P116+Q115</f>
        <v>50446.51999999999</v>
      </c>
      <c r="R116" s="25">
        <f t="shared" ref="R116" si="159">+Q116+R115</f>
        <v>67280.159999999989</v>
      </c>
      <c r="S116" s="25">
        <f t="shared" ref="S116" si="160">+R116+S115</f>
        <v>77449.729999999981</v>
      </c>
      <c r="T116" s="25">
        <f t="shared" ref="T116" si="161">+S116+T115</f>
        <v>85267.209999999977</v>
      </c>
      <c r="U116" s="25">
        <f t="shared" ref="U116" si="162">+T116+U115</f>
        <v>89917.929999999978</v>
      </c>
      <c r="V116" s="25">
        <f t="shared" ref="V116" si="163">+U116+V115</f>
        <v>97022.849999999977</v>
      </c>
      <c r="W116" s="25">
        <f t="shared" ref="W116" si="164">+V116+W115</f>
        <v>99689.449999999983</v>
      </c>
      <c r="X116" s="25">
        <f t="shared" ref="X116" si="165">+W116+X115</f>
        <v>99689.449999999983</v>
      </c>
      <c r="Y116" s="25">
        <f t="shared" ref="Y116" si="166">+X116+Y115</f>
        <v>99689.449999999983</v>
      </c>
      <c r="Z116" s="25">
        <f t="shared" ref="Z116" si="167">+Y116+Z115</f>
        <v>99689.449999999983</v>
      </c>
      <c r="AA116" s="25">
        <f t="shared" ref="AA116" si="168">+Z116+AA115</f>
        <v>99689.449999999983</v>
      </c>
      <c r="AB116" s="25">
        <f t="shared" ref="AB116" si="169">+AA116+AB115</f>
        <v>99689.449999999983</v>
      </c>
      <c r="AC116" s="25">
        <f t="shared" ref="AC116" si="170">+AB116+AC115</f>
        <v>99689.449999999983</v>
      </c>
      <c r="AD116" s="25">
        <f t="shared" ref="AD116" si="171">+AC116+AD115</f>
        <v>99689.449999999983</v>
      </c>
      <c r="AE116" s="25">
        <f t="shared" ref="AE116" si="172">+AD116+AE115</f>
        <v>99689.449999999983</v>
      </c>
      <c r="AF116" s="25">
        <f t="shared" ref="AF116" si="173">+AE116+AF115</f>
        <v>99689.449999999983</v>
      </c>
      <c r="AG116" s="25">
        <f t="shared" ref="AG116" si="174">+AF116+AG115</f>
        <v>99689.449999999983</v>
      </c>
      <c r="AH116" s="25">
        <f t="shared" ref="AH116" si="175">+AG116+AH115</f>
        <v>99689.449999999983</v>
      </c>
      <c r="AI116" s="25">
        <f t="shared" ref="AI116" si="176">+AH116+AI115</f>
        <v>99689.449999999983</v>
      </c>
      <c r="AJ116" s="25">
        <f t="shared" ref="AJ116" si="177">+AI116+AJ115</f>
        <v>99689.449999999983</v>
      </c>
      <c r="AK116" s="25">
        <f t="shared" ref="AK116" si="178">+AJ116+AK115</f>
        <v>99689.449999999983</v>
      </c>
      <c r="AL116" s="25">
        <f t="shared" ref="AL116" si="179">+AK116+AL115</f>
        <v>99689.449999999983</v>
      </c>
      <c r="AM116" s="25">
        <f t="shared" ref="AM116" si="180">+AL116+AM115</f>
        <v>99689.449999999983</v>
      </c>
      <c r="AN116" s="25">
        <f t="shared" ref="AN116" si="181">+AM116+AN115</f>
        <v>99689.449999999983</v>
      </c>
      <c r="AO116" s="25">
        <f t="shared" ref="AO116" si="182">+AN116+AO115</f>
        <v>99689.449999999983</v>
      </c>
      <c r="AP116" s="25">
        <f t="shared" ref="AP116" si="183">+AO116+AP115</f>
        <v>99689.449999999983</v>
      </c>
      <c r="AQ116" s="25">
        <f t="shared" ref="AQ116" si="184">+AP116+AQ115</f>
        <v>99689.449999999983</v>
      </c>
      <c r="AR116" s="49"/>
      <c r="AS116" s="25"/>
      <c r="AT116" s="26"/>
      <c r="AU116" s="60"/>
    </row>
    <row r="117" spans="1:51" s="24" customFormat="1" x14ac:dyDescent="0.25">
      <c r="A117" s="23"/>
      <c r="B117" s="23"/>
      <c r="C117" s="38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49"/>
      <c r="AS117" s="25"/>
      <c r="AT117" s="26"/>
      <c r="AU117" s="60"/>
    </row>
    <row r="118" spans="1:51" x14ac:dyDescent="0.25">
      <c r="A118"/>
      <c r="B118" s="2" t="s">
        <v>195</v>
      </c>
    </row>
    <row r="119" spans="1:51" x14ac:dyDescent="0.25">
      <c r="A119"/>
      <c r="C119" t="s">
        <v>190</v>
      </c>
      <c r="T119" s="1">
        <v>6803.6</v>
      </c>
      <c r="V119" s="1">
        <v>46.6</v>
      </c>
      <c r="AR119" s="3">
        <f>SUM(D119:AQ119)</f>
        <v>6850.2000000000007</v>
      </c>
      <c r="AT119" s="8">
        <f>IF(AR119=0,0,+AR119/PassVol!AR269)</f>
        <v>23.3</v>
      </c>
      <c r="AU119" s="60">
        <v>23.3</v>
      </c>
      <c r="AV119" s="3"/>
      <c r="AW119" s="81">
        <f t="shared" ref="AW119:AW138" si="185">IF(AV119=0,0,+(AR119-AV119)/AV119)</f>
        <v>0</v>
      </c>
      <c r="AX119" s="82"/>
      <c r="AY119" s="84"/>
    </row>
    <row r="120" spans="1:51" x14ac:dyDescent="0.25">
      <c r="A120"/>
      <c r="C120" t="s">
        <v>424</v>
      </c>
      <c r="T120" s="1">
        <v>1813</v>
      </c>
      <c r="U120" s="1">
        <v>147</v>
      </c>
      <c r="AR120" s="3">
        <f>SUM(D120:AQ120)</f>
        <v>1960</v>
      </c>
      <c r="AT120" s="8">
        <f>IF(AR120=0,0,+AR120/PassVol!AR270)</f>
        <v>24.5</v>
      </c>
      <c r="AU120" s="60">
        <v>24.5</v>
      </c>
      <c r="AV120" s="3"/>
      <c r="AW120" s="81"/>
      <c r="AX120" s="82"/>
      <c r="AY120" s="85"/>
    </row>
    <row r="121" spans="1:51" x14ac:dyDescent="0.25">
      <c r="A121"/>
      <c r="C121" t="s">
        <v>347</v>
      </c>
      <c r="T121" s="1">
        <v>3528</v>
      </c>
      <c r="U121" s="1">
        <v>245</v>
      </c>
      <c r="V121" s="1">
        <v>49</v>
      </c>
      <c r="AR121" s="3">
        <f t="shared" ref="AR121:AR137" si="186">SUM(D121:AQ121)</f>
        <v>3822</v>
      </c>
      <c r="AT121" s="8">
        <f>IF(AR121=0,0,+AR121/PassVol!AR271)</f>
        <v>24.5</v>
      </c>
      <c r="AU121" s="60">
        <v>24.5</v>
      </c>
      <c r="AV121" s="3"/>
      <c r="AW121" s="81">
        <f t="shared" si="185"/>
        <v>0</v>
      </c>
      <c r="AX121" s="82"/>
      <c r="AY121" s="85"/>
    </row>
    <row r="122" spans="1:51" x14ac:dyDescent="0.25">
      <c r="A122"/>
      <c r="C122" t="s">
        <v>0</v>
      </c>
      <c r="AR122" s="3">
        <f t="shared" si="186"/>
        <v>0</v>
      </c>
      <c r="AT122" s="8">
        <f>IF(AR122=0,0,+AR122/PassVol!AR272)</f>
        <v>0</v>
      </c>
      <c r="AU122" s="60">
        <v>0</v>
      </c>
      <c r="AV122" s="3"/>
      <c r="AW122" s="81">
        <f t="shared" si="185"/>
        <v>0</v>
      </c>
      <c r="AX122" s="82"/>
      <c r="AY122" s="85"/>
    </row>
    <row r="123" spans="1:51" x14ac:dyDescent="0.25">
      <c r="A123"/>
      <c r="C123" t="s">
        <v>354</v>
      </c>
      <c r="U123" s="1">
        <v>73.5</v>
      </c>
      <c r="AR123" s="3">
        <f t="shared" si="186"/>
        <v>73.5</v>
      </c>
      <c r="AT123" s="8">
        <f>IF(AR123=0,0,+AR123/PassVol!AR273)</f>
        <v>24.5</v>
      </c>
      <c r="AU123" s="60">
        <v>24.5</v>
      </c>
      <c r="AV123" s="3"/>
      <c r="AW123" t="s">
        <v>373</v>
      </c>
      <c r="AX123" s="82"/>
      <c r="AY123" s="85"/>
    </row>
    <row r="124" spans="1:51" x14ac:dyDescent="0.25">
      <c r="A124"/>
      <c r="C124" t="s">
        <v>265</v>
      </c>
      <c r="T124" s="1">
        <v>2691.2</v>
      </c>
      <c r="AR124" s="3">
        <f t="shared" si="186"/>
        <v>2691.2</v>
      </c>
      <c r="AT124" s="8">
        <f>IF(AR124=0,0,+AR124/PassVol!AR274)</f>
        <v>23.2</v>
      </c>
      <c r="AU124" s="60">
        <v>23.2</v>
      </c>
      <c r="AV124" s="3"/>
      <c r="AW124" s="81">
        <f t="shared" si="185"/>
        <v>0</v>
      </c>
      <c r="AX124" s="82"/>
      <c r="AY124" s="85"/>
    </row>
    <row r="125" spans="1:51" x14ac:dyDescent="0.25">
      <c r="A125"/>
      <c r="C125" t="s">
        <v>191</v>
      </c>
      <c r="S125" s="1">
        <v>4557</v>
      </c>
      <c r="AR125" s="3">
        <f t="shared" si="186"/>
        <v>4557</v>
      </c>
      <c r="AT125" s="8">
        <f>IF(AR125=0,0,+AR125/PassVol!AR275)</f>
        <v>24.5</v>
      </c>
      <c r="AU125" s="60">
        <v>24.5</v>
      </c>
      <c r="AV125" s="3"/>
      <c r="AW125" s="81">
        <f t="shared" si="185"/>
        <v>0</v>
      </c>
      <c r="AX125" s="82"/>
      <c r="AY125" s="85"/>
    </row>
    <row r="126" spans="1:51" x14ac:dyDescent="0.25">
      <c r="A126"/>
      <c r="C126" t="s">
        <v>549</v>
      </c>
      <c r="AR126" s="3">
        <f t="shared" si="186"/>
        <v>0</v>
      </c>
      <c r="AT126" s="8">
        <f>IF(AR126=0,0,+AR126/PassVol!AR276)</f>
        <v>0</v>
      </c>
      <c r="AU126" s="60">
        <v>24.5</v>
      </c>
      <c r="AV126" s="3"/>
      <c r="AW126" s="81">
        <f t="shared" si="185"/>
        <v>0</v>
      </c>
      <c r="AX126" s="82"/>
      <c r="AY126" s="85"/>
    </row>
    <row r="127" spans="1:51" x14ac:dyDescent="0.25">
      <c r="A127"/>
      <c r="C127" t="s">
        <v>550</v>
      </c>
      <c r="T127" s="1">
        <v>3822</v>
      </c>
      <c r="U127" s="1">
        <v>245</v>
      </c>
      <c r="AR127" s="3">
        <f t="shared" si="186"/>
        <v>4067</v>
      </c>
      <c r="AT127" s="8">
        <f>IF(AR127=0,0,+AR127/PassVol!AR277)</f>
        <v>24.5</v>
      </c>
      <c r="AU127" s="60">
        <v>24.5</v>
      </c>
      <c r="AV127" s="3"/>
      <c r="AW127" s="81">
        <f t="shared" si="185"/>
        <v>0</v>
      </c>
      <c r="AX127" s="82"/>
      <c r="AY127" s="85"/>
    </row>
    <row r="128" spans="1:51" x14ac:dyDescent="0.25">
      <c r="C128" t="s">
        <v>6</v>
      </c>
      <c r="R128" s="1">
        <v>1350</v>
      </c>
      <c r="T128" s="1">
        <v>1012.5</v>
      </c>
      <c r="U128" s="1">
        <v>5400</v>
      </c>
      <c r="V128" s="1">
        <v>900</v>
      </c>
      <c r="AR128" s="3">
        <f t="shared" si="186"/>
        <v>8662.5</v>
      </c>
      <c r="AT128" s="8">
        <f>IF(AR128=0,0,+AR128/PassVol!AR278)</f>
        <v>22.5</v>
      </c>
      <c r="AU128" s="60">
        <v>0</v>
      </c>
      <c r="AV128" s="3"/>
      <c r="AW128" s="81">
        <f t="shared" si="185"/>
        <v>0</v>
      </c>
      <c r="AX128" s="82"/>
      <c r="AY128" s="85"/>
    </row>
    <row r="129" spans="1:51" x14ac:dyDescent="0.25">
      <c r="C129" t="s">
        <v>262</v>
      </c>
      <c r="T129" s="1">
        <v>1911</v>
      </c>
      <c r="U129" s="1">
        <v>49</v>
      </c>
      <c r="AR129" s="3">
        <f t="shared" si="186"/>
        <v>1960</v>
      </c>
      <c r="AT129" s="8">
        <f>IF(AR129=0,0,+AR129/PassVol!AR279)</f>
        <v>24.5</v>
      </c>
      <c r="AU129" s="60">
        <v>24.5</v>
      </c>
      <c r="AV129" s="3"/>
      <c r="AW129" s="81">
        <f t="shared" si="185"/>
        <v>0</v>
      </c>
      <c r="AX129" s="82"/>
      <c r="AY129" s="85"/>
    </row>
    <row r="130" spans="1:51" x14ac:dyDescent="0.25">
      <c r="C130" t="s">
        <v>42</v>
      </c>
      <c r="T130" s="1">
        <v>2772</v>
      </c>
      <c r="U130" s="1">
        <v>554.4</v>
      </c>
      <c r="AR130" s="3">
        <f t="shared" si="186"/>
        <v>3326.4</v>
      </c>
      <c r="AT130" s="8">
        <f>IF(AR130=0,0,+AR130/PassVol!AR280)</f>
        <v>23.1</v>
      </c>
      <c r="AU130" s="60">
        <v>23.1</v>
      </c>
      <c r="AV130" s="3"/>
      <c r="AW130" s="81">
        <f t="shared" si="185"/>
        <v>0</v>
      </c>
      <c r="AX130" s="82"/>
      <c r="AY130" s="85"/>
    </row>
    <row r="131" spans="1:51" x14ac:dyDescent="0.25">
      <c r="C131" t="s">
        <v>192</v>
      </c>
      <c r="U131" s="1">
        <v>442.7</v>
      </c>
      <c r="AR131" s="3">
        <f t="shared" si="186"/>
        <v>442.7</v>
      </c>
      <c r="AT131" s="8">
        <f>IF(AR131=0,0,+AR131/PassVol!AR281)</f>
        <v>23.3</v>
      </c>
      <c r="AU131" s="60">
        <v>23.3</v>
      </c>
      <c r="AV131" s="3"/>
      <c r="AW131" s="81">
        <f t="shared" si="185"/>
        <v>0</v>
      </c>
      <c r="AX131" s="82"/>
      <c r="AY131" s="85"/>
    </row>
    <row r="132" spans="1:51" x14ac:dyDescent="0.25">
      <c r="C132" t="s">
        <v>133</v>
      </c>
      <c r="AR132" s="3">
        <f t="shared" si="186"/>
        <v>0</v>
      </c>
      <c r="AT132" s="8">
        <f>IF(AR132=0,0,+AR132/PassVol!AR282)</f>
        <v>0</v>
      </c>
      <c r="AU132" s="60">
        <v>24.5</v>
      </c>
      <c r="AV132" s="3"/>
      <c r="AW132" s="81">
        <f t="shared" si="185"/>
        <v>0</v>
      </c>
      <c r="AX132" s="82"/>
      <c r="AY132" s="85"/>
    </row>
    <row r="133" spans="1:51" x14ac:dyDescent="0.25">
      <c r="C133" t="s">
        <v>41</v>
      </c>
      <c r="T133" s="1">
        <v>8330</v>
      </c>
      <c r="U133" s="1">
        <v>220.5</v>
      </c>
      <c r="V133" s="1">
        <v>49</v>
      </c>
      <c r="AR133" s="3">
        <f t="shared" si="186"/>
        <v>8599.5</v>
      </c>
      <c r="AT133" s="8">
        <f>IF(AR133=0,0,+AR133/PassVol!AR283)</f>
        <v>24.5</v>
      </c>
      <c r="AU133" s="60">
        <v>24.5</v>
      </c>
      <c r="AV133" s="3"/>
      <c r="AW133" s="81">
        <f t="shared" si="185"/>
        <v>0</v>
      </c>
      <c r="AX133" s="82"/>
      <c r="AY133" s="85"/>
    </row>
    <row r="134" spans="1:51" x14ac:dyDescent="0.25">
      <c r="C134" t="s">
        <v>193</v>
      </c>
      <c r="AR134" s="3">
        <f t="shared" si="186"/>
        <v>0</v>
      </c>
      <c r="AT134" s="8">
        <f>IF(AR134=0,0,+AR134/PassVol!AR284)</f>
        <v>0</v>
      </c>
      <c r="AU134" s="60">
        <v>0</v>
      </c>
      <c r="AV134" s="3"/>
      <c r="AW134" s="81">
        <f t="shared" si="185"/>
        <v>0</v>
      </c>
      <c r="AX134" s="82"/>
      <c r="AY134" s="85"/>
    </row>
    <row r="135" spans="1:51" x14ac:dyDescent="0.25">
      <c r="C135" t="s">
        <v>297</v>
      </c>
      <c r="AR135" s="3">
        <f t="shared" si="186"/>
        <v>0</v>
      </c>
      <c r="AT135" s="8">
        <f>IF(AR135=0,0,+AR135/PassVol!AR285)</f>
        <v>0</v>
      </c>
      <c r="AU135" s="60">
        <v>0</v>
      </c>
      <c r="AV135" s="3"/>
      <c r="AW135" s="81">
        <f t="shared" si="185"/>
        <v>0</v>
      </c>
      <c r="AX135" s="82"/>
      <c r="AY135" s="85"/>
    </row>
    <row r="136" spans="1:51" x14ac:dyDescent="0.25">
      <c r="C136" t="s">
        <v>296</v>
      </c>
      <c r="T136" s="1">
        <v>686</v>
      </c>
      <c r="U136" s="1">
        <v>73.5</v>
      </c>
      <c r="AR136" s="3">
        <f t="shared" si="186"/>
        <v>759.5</v>
      </c>
      <c r="AT136" s="8">
        <f>IF(AR136=0,0,+AR136/PassVol!AR286)</f>
        <v>24.5</v>
      </c>
      <c r="AU136" s="60">
        <v>24.5</v>
      </c>
      <c r="AV136" s="3"/>
      <c r="AW136" s="81">
        <f t="shared" si="185"/>
        <v>0</v>
      </c>
      <c r="AX136" s="82"/>
      <c r="AY136" s="85"/>
    </row>
    <row r="137" spans="1:51" x14ac:dyDescent="0.25">
      <c r="A137"/>
      <c r="C137" t="s">
        <v>44</v>
      </c>
      <c r="T137" s="1">
        <f>49906.8-33369</f>
        <v>16537.800000000003</v>
      </c>
      <c r="U137" s="1">
        <f>9900.6-7451</f>
        <v>2449.6000000000004</v>
      </c>
      <c r="V137" s="1">
        <f>3658.6-1045</f>
        <v>2613.6</v>
      </c>
      <c r="AR137" s="3">
        <f t="shared" si="186"/>
        <v>21601</v>
      </c>
      <c r="AT137" s="8">
        <f>IF(AR137=0,0,+AR137/PassVol!AR287)</f>
        <v>24.407909604519773</v>
      </c>
      <c r="AU137" s="60">
        <v>24.5</v>
      </c>
      <c r="AV137" s="3"/>
      <c r="AW137" s="81">
        <f t="shared" si="185"/>
        <v>0</v>
      </c>
      <c r="AX137" s="82"/>
      <c r="AY137" s="85"/>
    </row>
    <row r="138" spans="1:51" s="2" customFormat="1" x14ac:dyDescent="0.25">
      <c r="B138" s="2" t="s">
        <v>198</v>
      </c>
      <c r="D138" s="3">
        <f>SUM(D119:D137)</f>
        <v>0</v>
      </c>
      <c r="E138" s="3">
        <f t="shared" ref="E138:J138" si="187">SUM(E119:E137)</f>
        <v>0</v>
      </c>
      <c r="F138" s="3">
        <f t="shared" si="187"/>
        <v>0</v>
      </c>
      <c r="G138" s="3">
        <f t="shared" si="187"/>
        <v>0</v>
      </c>
      <c r="H138" s="3">
        <f t="shared" si="187"/>
        <v>0</v>
      </c>
      <c r="I138" s="3">
        <f t="shared" si="187"/>
        <v>0</v>
      </c>
      <c r="J138" s="3">
        <f t="shared" si="187"/>
        <v>0</v>
      </c>
      <c r="K138" s="3">
        <f>SUM(K119:K137)</f>
        <v>0</v>
      </c>
      <c r="L138" s="3">
        <f>SUM(L119:L137)</f>
        <v>0</v>
      </c>
      <c r="M138" s="3">
        <f t="shared" ref="M138:AR138" si="188">SUM(M119:M137)</f>
        <v>0</v>
      </c>
      <c r="N138" s="3">
        <f t="shared" si="188"/>
        <v>0</v>
      </c>
      <c r="O138" s="3">
        <f t="shared" si="188"/>
        <v>0</v>
      </c>
      <c r="P138" s="3">
        <f t="shared" si="188"/>
        <v>0</v>
      </c>
      <c r="Q138" s="3">
        <f t="shared" si="188"/>
        <v>0</v>
      </c>
      <c r="R138" s="3">
        <f t="shared" si="188"/>
        <v>1350</v>
      </c>
      <c r="S138" s="3">
        <f t="shared" si="188"/>
        <v>4557</v>
      </c>
      <c r="T138" s="3">
        <f t="shared" si="188"/>
        <v>49907.100000000006</v>
      </c>
      <c r="U138" s="3">
        <f t="shared" si="188"/>
        <v>9900.2000000000007</v>
      </c>
      <c r="V138" s="3">
        <f t="shared" si="188"/>
        <v>3658.2</v>
      </c>
      <c r="W138" s="3">
        <f t="shared" si="188"/>
        <v>0</v>
      </c>
      <c r="X138" s="3">
        <f t="shared" si="188"/>
        <v>0</v>
      </c>
      <c r="Y138" s="3">
        <f t="shared" si="188"/>
        <v>0</v>
      </c>
      <c r="Z138" s="3">
        <f t="shared" si="188"/>
        <v>0</v>
      </c>
      <c r="AA138" s="3">
        <f t="shared" si="188"/>
        <v>0</v>
      </c>
      <c r="AB138" s="3">
        <f t="shared" si="188"/>
        <v>0</v>
      </c>
      <c r="AC138" s="3">
        <f t="shared" si="188"/>
        <v>0</v>
      </c>
      <c r="AD138" s="3">
        <f t="shared" si="188"/>
        <v>0</v>
      </c>
      <c r="AE138" s="3">
        <f t="shared" si="188"/>
        <v>0</v>
      </c>
      <c r="AF138" s="3">
        <f t="shared" si="188"/>
        <v>0</v>
      </c>
      <c r="AG138" s="3">
        <f t="shared" si="188"/>
        <v>0</v>
      </c>
      <c r="AH138" s="3">
        <f t="shared" si="188"/>
        <v>0</v>
      </c>
      <c r="AI138" s="3">
        <f t="shared" si="188"/>
        <v>0</v>
      </c>
      <c r="AJ138" s="3">
        <f t="shared" si="188"/>
        <v>0</v>
      </c>
      <c r="AK138" s="3">
        <f t="shared" si="188"/>
        <v>0</v>
      </c>
      <c r="AL138" s="3">
        <f t="shared" si="188"/>
        <v>0</v>
      </c>
      <c r="AM138" s="3">
        <f t="shared" si="188"/>
        <v>0</v>
      </c>
      <c r="AN138" s="3">
        <f t="shared" si="188"/>
        <v>0</v>
      </c>
      <c r="AO138" s="3">
        <f t="shared" si="188"/>
        <v>0</v>
      </c>
      <c r="AP138" s="3">
        <f t="shared" si="188"/>
        <v>0</v>
      </c>
      <c r="AQ138" s="3">
        <f t="shared" si="188"/>
        <v>0</v>
      </c>
      <c r="AR138" s="3">
        <f t="shared" si="188"/>
        <v>69372.5</v>
      </c>
      <c r="AS138" s="3"/>
      <c r="AT138" s="9">
        <f>IF(AR138=0,0,+AR138/PassVol!AR288)</f>
        <v>23.954592541436465</v>
      </c>
      <c r="AU138" s="61"/>
      <c r="AV138" s="3">
        <f>SUM(AV119:AV137)</f>
        <v>0</v>
      </c>
      <c r="AW138" s="81">
        <f t="shared" si="185"/>
        <v>0</v>
      </c>
      <c r="AX138" s="83"/>
      <c r="AY138" s="86"/>
    </row>
    <row r="139" spans="1:51" s="24" customFormat="1" x14ac:dyDescent="0.25">
      <c r="A139" s="23"/>
      <c r="B139" s="23"/>
      <c r="C139" s="27" t="s">
        <v>102</v>
      </c>
      <c r="D139" s="25">
        <f>+D138</f>
        <v>0</v>
      </c>
      <c r="E139" s="25">
        <f>+D139+E138</f>
        <v>0</v>
      </c>
      <c r="F139" s="25">
        <f t="shared" ref="F139" si="189">+E139+F138</f>
        <v>0</v>
      </c>
      <c r="G139" s="25">
        <f t="shared" ref="G139" si="190">+F139+G138</f>
        <v>0</v>
      </c>
      <c r="H139" s="25">
        <f t="shared" ref="H139" si="191">+G139+H138</f>
        <v>0</v>
      </c>
      <c r="I139" s="25">
        <f t="shared" ref="I139" si="192">+H139+I138</f>
        <v>0</v>
      </c>
      <c r="J139" s="25">
        <f t="shared" ref="J139" si="193">+I139+J138</f>
        <v>0</v>
      </c>
      <c r="K139" s="25">
        <f t="shared" ref="K139" si="194">+J139+K138</f>
        <v>0</v>
      </c>
      <c r="L139" s="25">
        <f t="shared" ref="L139" si="195">+K139+L138</f>
        <v>0</v>
      </c>
      <c r="M139" s="25">
        <f t="shared" ref="M139" si="196">+L139+M138</f>
        <v>0</v>
      </c>
      <c r="N139" s="25">
        <f t="shared" ref="N139" si="197">+M139+N138</f>
        <v>0</v>
      </c>
      <c r="O139" s="25">
        <f t="shared" ref="O139" si="198">+N139+O138</f>
        <v>0</v>
      </c>
      <c r="P139" s="25">
        <f t="shared" ref="P139" si="199">+O139+P138</f>
        <v>0</v>
      </c>
      <c r="Q139" s="25">
        <f t="shared" ref="Q139" si="200">+P139+Q138</f>
        <v>0</v>
      </c>
      <c r="R139" s="25">
        <f t="shared" ref="R139" si="201">+Q139+R138</f>
        <v>1350</v>
      </c>
      <c r="S139" s="25">
        <f t="shared" ref="S139" si="202">+R139+S138</f>
        <v>5907</v>
      </c>
      <c r="T139" s="25">
        <f t="shared" ref="T139" si="203">+S139+T138</f>
        <v>55814.100000000006</v>
      </c>
      <c r="U139" s="25">
        <f t="shared" ref="U139" si="204">+T139+U138</f>
        <v>65714.3</v>
      </c>
      <c r="V139" s="25">
        <f t="shared" ref="V139" si="205">+U139+V138</f>
        <v>69372.5</v>
      </c>
      <c r="W139" s="25">
        <f t="shared" ref="W139" si="206">+V139+W138</f>
        <v>69372.5</v>
      </c>
      <c r="X139" s="25">
        <f t="shared" ref="X139" si="207">+W139+X138</f>
        <v>69372.5</v>
      </c>
      <c r="Y139" s="25">
        <f t="shared" ref="Y139" si="208">+X139+Y138</f>
        <v>69372.5</v>
      </c>
      <c r="Z139" s="25">
        <f t="shared" ref="Z139" si="209">+Y139+Z138</f>
        <v>69372.5</v>
      </c>
      <c r="AA139" s="25">
        <f t="shared" ref="AA139" si="210">+Z139+AA138</f>
        <v>69372.5</v>
      </c>
      <c r="AB139" s="25">
        <f t="shared" ref="AB139" si="211">+AA139+AB138</f>
        <v>69372.5</v>
      </c>
      <c r="AC139" s="25">
        <f t="shared" ref="AC139" si="212">+AB139+AC138</f>
        <v>69372.5</v>
      </c>
      <c r="AD139" s="25">
        <f t="shared" ref="AD139" si="213">+AC139+AD138</f>
        <v>69372.5</v>
      </c>
      <c r="AE139" s="25">
        <f t="shared" ref="AE139" si="214">+AD139+AE138</f>
        <v>69372.5</v>
      </c>
      <c r="AF139" s="25">
        <f t="shared" ref="AF139" si="215">+AE139+AF138</f>
        <v>69372.5</v>
      </c>
      <c r="AG139" s="25">
        <f t="shared" ref="AG139" si="216">+AF139+AG138</f>
        <v>69372.5</v>
      </c>
      <c r="AH139" s="25">
        <f t="shared" ref="AH139" si="217">+AG139+AH138</f>
        <v>69372.5</v>
      </c>
      <c r="AI139" s="25">
        <f t="shared" ref="AI139" si="218">+AH139+AI138</f>
        <v>69372.5</v>
      </c>
      <c r="AJ139" s="25">
        <f t="shared" ref="AJ139" si="219">+AI139+AJ138</f>
        <v>69372.5</v>
      </c>
      <c r="AK139" s="25">
        <f t="shared" ref="AK139" si="220">+AJ139+AK138</f>
        <v>69372.5</v>
      </c>
      <c r="AL139" s="25">
        <f t="shared" ref="AL139" si="221">+AK139+AL138</f>
        <v>69372.5</v>
      </c>
      <c r="AM139" s="25">
        <f t="shared" ref="AM139" si="222">+AL139+AM138</f>
        <v>69372.5</v>
      </c>
      <c r="AN139" s="25">
        <f t="shared" ref="AN139" si="223">+AM139+AN138</f>
        <v>69372.5</v>
      </c>
      <c r="AO139" s="25">
        <f t="shared" ref="AO139" si="224">+AN139+AO138</f>
        <v>69372.5</v>
      </c>
      <c r="AP139" s="25">
        <f t="shared" ref="AP139" si="225">+AO139+AP138</f>
        <v>69372.5</v>
      </c>
      <c r="AQ139" s="25">
        <f t="shared" ref="AQ139" si="226">+AP139+AQ138</f>
        <v>69372.5</v>
      </c>
      <c r="AR139" s="49"/>
      <c r="AS139" s="25"/>
      <c r="AT139" s="26"/>
      <c r="AU139" s="60"/>
    </row>
    <row r="140" spans="1:51" s="24" customFormat="1" x14ac:dyDescent="0.25">
      <c r="A140" s="23"/>
      <c r="B140" s="23"/>
      <c r="C140" s="27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49"/>
      <c r="AS140" s="25"/>
      <c r="AT140" s="26"/>
      <c r="AU140" s="60"/>
    </row>
    <row r="141" spans="1:51" s="24" customFormat="1" x14ac:dyDescent="0.25">
      <c r="A141" s="23"/>
      <c r="B141" s="2" t="s">
        <v>273</v>
      </c>
      <c r="C141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49"/>
      <c r="AS141" s="25"/>
      <c r="AT141" s="26"/>
      <c r="AU141" s="60"/>
    </row>
    <row r="142" spans="1:51" s="24" customFormat="1" x14ac:dyDescent="0.25">
      <c r="A142" s="23"/>
      <c r="B142" s="2"/>
      <c r="C142" t="s">
        <v>190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>
        <v>3564</v>
      </c>
      <c r="S142" s="1"/>
      <c r="T142" s="1">
        <v>594</v>
      </c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3">
        <f>SUM(D142:AQ142)</f>
        <v>4158</v>
      </c>
      <c r="AS142" s="25"/>
      <c r="AT142" s="8">
        <f>IF(AR142=0,0,+AR142/PassVol!AR293)</f>
        <v>19.8</v>
      </c>
      <c r="AU142" s="60">
        <v>19.8</v>
      </c>
      <c r="AV142" s="3"/>
      <c r="AW142" s="81">
        <f t="shared" ref="AW142:AW161" si="227">IF(AV142=0,0,+(AR142-AV142)/AV142)</f>
        <v>0</v>
      </c>
      <c r="AX142" s="82"/>
      <c r="AY142" s="84"/>
    </row>
    <row r="143" spans="1:51" s="24" customFormat="1" x14ac:dyDescent="0.25">
      <c r="A143" s="23"/>
      <c r="B143" s="2"/>
      <c r="C143" t="s">
        <v>424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>
        <v>3445.2</v>
      </c>
      <c r="S143" s="1"/>
      <c r="T143" s="1">
        <v>1584</v>
      </c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3">
        <f>SUM(D143:AQ143)</f>
        <v>5029.2</v>
      </c>
      <c r="AS143" s="25"/>
      <c r="AT143" s="8">
        <f>IF(AR143=0,0,+AR143/PassVol!AR294)</f>
        <v>19.8</v>
      </c>
      <c r="AU143" s="60">
        <v>19.8</v>
      </c>
      <c r="AV143" s="3"/>
      <c r="AW143" s="81"/>
      <c r="AX143" s="82"/>
      <c r="AY143" s="85"/>
    </row>
    <row r="144" spans="1:51" s="24" customFormat="1" x14ac:dyDescent="0.25">
      <c r="A144" s="23"/>
      <c r="B144" s="2"/>
      <c r="C144" t="s">
        <v>347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>
        <v>4197.6000000000004</v>
      </c>
      <c r="S144" s="1"/>
      <c r="T144" s="1">
        <v>1267.2</v>
      </c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3">
        <f t="shared" ref="AR144:AR160" si="228">SUM(D144:AQ144)</f>
        <v>5464.8</v>
      </c>
      <c r="AS144" s="25"/>
      <c r="AT144" s="8">
        <f>IF(AR144=0,0,+AR144/PassVol!AR295)</f>
        <v>19.8</v>
      </c>
      <c r="AU144" s="60">
        <v>19.8</v>
      </c>
      <c r="AV144" s="3"/>
      <c r="AW144" s="81">
        <f t="shared" si="227"/>
        <v>0</v>
      </c>
      <c r="AX144" s="82"/>
      <c r="AY144" s="85"/>
    </row>
    <row r="145" spans="1:51" s="24" customFormat="1" x14ac:dyDescent="0.25">
      <c r="A145" s="23"/>
      <c r="B145" s="2"/>
      <c r="C145" t="s">
        <v>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>
        <v>16569.599999999999</v>
      </c>
      <c r="S145" s="1"/>
      <c r="T145" s="1">
        <v>11942.4</v>
      </c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3">
        <f t="shared" si="228"/>
        <v>28512</v>
      </c>
      <c r="AS145" s="25"/>
      <c r="AT145" s="8">
        <f>IF(AR145=0,0,+AR145/PassVol!AR296)</f>
        <v>19.2</v>
      </c>
      <c r="AU145" s="60">
        <v>19.2</v>
      </c>
      <c r="AV145" s="3"/>
      <c r="AW145" s="81">
        <f t="shared" si="227"/>
        <v>0</v>
      </c>
      <c r="AX145" s="82"/>
      <c r="AY145" s="85"/>
    </row>
    <row r="146" spans="1:51" s="24" customFormat="1" x14ac:dyDescent="0.25">
      <c r="A146" s="23"/>
      <c r="B146" s="2"/>
      <c r="C146" t="s">
        <v>354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3">
        <f t="shared" si="228"/>
        <v>0</v>
      </c>
      <c r="AS146" s="25"/>
      <c r="AT146" s="8">
        <f>IF(AR146=0,0,+AR146/PassVol!AR297)</f>
        <v>0</v>
      </c>
      <c r="AU146" s="60">
        <v>19.8</v>
      </c>
      <c r="AV146" s="3"/>
      <c r="AW146" t="s">
        <v>373</v>
      </c>
      <c r="AX146" s="82"/>
      <c r="AY146" s="85"/>
    </row>
    <row r="147" spans="1:51" s="24" customFormat="1" x14ac:dyDescent="0.25">
      <c r="A147" s="23"/>
      <c r="B147" s="2"/>
      <c r="C147" t="s">
        <v>265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>
        <v>2256</v>
      </c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3">
        <f t="shared" si="228"/>
        <v>2256</v>
      </c>
      <c r="AS147" s="25"/>
      <c r="AT147" s="8">
        <f>IF(AR147=0,0,+AR147/PassVol!AR298)</f>
        <v>18.8</v>
      </c>
      <c r="AU147" s="60">
        <v>18.8</v>
      </c>
      <c r="AV147" s="3"/>
      <c r="AW147" s="81">
        <f t="shared" si="227"/>
        <v>0</v>
      </c>
      <c r="AX147" s="82"/>
      <c r="AY147" s="85"/>
    </row>
    <row r="148" spans="1:51" s="24" customFormat="1" x14ac:dyDescent="0.25">
      <c r="A148" s="23"/>
      <c r="B148" s="2"/>
      <c r="C148" t="s">
        <v>191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>
        <v>6652.8</v>
      </c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3">
        <f t="shared" si="228"/>
        <v>6652.8</v>
      </c>
      <c r="AS148" s="25"/>
      <c r="AT148" s="8">
        <f>IF(AR148=0,0,+AR148/PassVol!AR299)</f>
        <v>19.8</v>
      </c>
      <c r="AU148" s="60">
        <v>19.8</v>
      </c>
      <c r="AV148" s="3"/>
      <c r="AW148" s="81">
        <f t="shared" si="227"/>
        <v>0</v>
      </c>
      <c r="AX148" s="82"/>
      <c r="AY148" s="85"/>
    </row>
    <row r="149" spans="1:51" s="24" customFormat="1" x14ac:dyDescent="0.25">
      <c r="A149" s="23"/>
      <c r="B149" s="2"/>
      <c r="C149" t="s">
        <v>549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3">
        <f t="shared" si="228"/>
        <v>0</v>
      </c>
      <c r="AS149" s="25"/>
      <c r="AT149" s="8">
        <f>IF(AR149=0,0,+AR149/PassVol!AR300)</f>
        <v>0</v>
      </c>
      <c r="AU149" s="60">
        <v>19.8</v>
      </c>
      <c r="AV149" s="3"/>
      <c r="AW149" s="81">
        <f t="shared" si="227"/>
        <v>0</v>
      </c>
      <c r="AX149" s="82"/>
      <c r="AY149" s="85"/>
    </row>
    <row r="150" spans="1:51" s="24" customFormat="1" x14ac:dyDescent="0.25">
      <c r="A150" s="23"/>
      <c r="B150" s="2"/>
      <c r="C150" t="s">
        <v>550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>
        <v>4435.2</v>
      </c>
      <c r="S150" s="1"/>
      <c r="T150" s="1">
        <v>16453.8</v>
      </c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3">
        <f t="shared" si="228"/>
        <v>20889</v>
      </c>
      <c r="AS150" s="25"/>
      <c r="AT150" s="8">
        <f>IF(AR150=0,0,+AR150/PassVol!AR301)</f>
        <v>19.8</v>
      </c>
      <c r="AU150" s="60">
        <v>19.8</v>
      </c>
      <c r="AV150" s="3"/>
      <c r="AW150" s="81">
        <f t="shared" si="227"/>
        <v>0</v>
      </c>
      <c r="AX150" s="82"/>
      <c r="AY150" s="85"/>
    </row>
    <row r="151" spans="1:51" s="24" customFormat="1" x14ac:dyDescent="0.25">
      <c r="A151" s="23"/>
      <c r="B151" s="2"/>
      <c r="C151" t="s">
        <v>6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>
        <v>6228</v>
      </c>
      <c r="S151" s="1"/>
      <c r="T151" s="1">
        <v>5190</v>
      </c>
      <c r="U151" s="1"/>
      <c r="V151" s="1">
        <v>4359.6000000000004</v>
      </c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3">
        <f t="shared" si="228"/>
        <v>15777.6</v>
      </c>
      <c r="AS151" s="25"/>
      <c r="AT151" s="8">
        <f>IF(AR151=0,0,+AR151/PassVol!AR302)</f>
        <v>17.3</v>
      </c>
      <c r="AU151" s="60">
        <v>17.3</v>
      </c>
      <c r="AV151" s="3"/>
      <c r="AW151" s="81">
        <f t="shared" si="227"/>
        <v>0</v>
      </c>
      <c r="AX151" s="82"/>
      <c r="AY151" s="85"/>
    </row>
    <row r="152" spans="1:51" s="24" customFormat="1" x14ac:dyDescent="0.25">
      <c r="A152" s="23"/>
      <c r="B152" s="2"/>
      <c r="C152" t="s">
        <v>262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>
        <v>4950</v>
      </c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3">
        <f t="shared" si="228"/>
        <v>4950</v>
      </c>
      <c r="AS152" s="25"/>
      <c r="AT152" s="8">
        <f>IF(AR152=0,0,+AR152/PassVol!AR303)</f>
        <v>19.8</v>
      </c>
      <c r="AU152" s="60">
        <v>19.8</v>
      </c>
      <c r="AV152" s="3"/>
      <c r="AW152" s="81">
        <f t="shared" si="227"/>
        <v>0</v>
      </c>
      <c r="AX152" s="82"/>
      <c r="AY152" s="85"/>
    </row>
    <row r="153" spans="1:51" s="24" customFormat="1" x14ac:dyDescent="0.25">
      <c r="A153" s="23"/>
      <c r="B153" s="2"/>
      <c r="C153" t="s">
        <v>42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3">
        <f t="shared" si="228"/>
        <v>0</v>
      </c>
      <c r="AS153" s="25"/>
      <c r="AT153" s="8">
        <f>IF(AR153=0,0,+AR153/PassVol!AR304)</f>
        <v>0</v>
      </c>
      <c r="AU153" s="60">
        <v>18.600000000000001</v>
      </c>
      <c r="AV153" s="3"/>
      <c r="AW153" s="81">
        <f t="shared" si="227"/>
        <v>0</v>
      </c>
      <c r="AX153" s="82"/>
      <c r="AY153" s="85"/>
    </row>
    <row r="154" spans="1:51" s="24" customFormat="1" x14ac:dyDescent="0.25">
      <c r="A154" s="23"/>
      <c r="B154" s="2"/>
      <c r="C154" t="s">
        <v>192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>
        <v>6016</v>
      </c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3">
        <f t="shared" si="228"/>
        <v>6016</v>
      </c>
      <c r="AS154" s="25"/>
      <c r="AT154" s="8">
        <f>IF(AR154=0,0,+AR154/PassVol!AR305)</f>
        <v>18.8</v>
      </c>
      <c r="AU154" s="60">
        <v>18.8</v>
      </c>
      <c r="AV154" s="3"/>
      <c r="AW154" s="81">
        <f t="shared" si="227"/>
        <v>0</v>
      </c>
      <c r="AX154" s="82"/>
      <c r="AY154" s="85"/>
    </row>
    <row r="155" spans="1:51" s="24" customFormat="1" x14ac:dyDescent="0.25">
      <c r="A155" s="23"/>
      <c r="B155" s="2"/>
      <c r="C155" t="s">
        <v>133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>
        <v>910.8</v>
      </c>
      <c r="S155" s="1"/>
      <c r="T155" s="1">
        <v>594</v>
      </c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3">
        <f t="shared" si="228"/>
        <v>1504.8</v>
      </c>
      <c r="AS155" s="25"/>
      <c r="AT155" s="8">
        <f>IF(AR155=0,0,+AR155/PassVol!AR306)</f>
        <v>19.8</v>
      </c>
      <c r="AU155" s="60">
        <v>19.8</v>
      </c>
      <c r="AV155" s="3"/>
      <c r="AW155" s="81">
        <f t="shared" si="227"/>
        <v>0</v>
      </c>
      <c r="AX155" s="82"/>
      <c r="AY155" s="85"/>
    </row>
    <row r="156" spans="1:51" s="24" customFormat="1" x14ac:dyDescent="0.25">
      <c r="A156" s="23"/>
      <c r="B156" s="2"/>
      <c r="C156" t="s">
        <v>41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>
        <v>11919.6</v>
      </c>
      <c r="S156" s="1">
        <v>316.8</v>
      </c>
      <c r="T156" s="1">
        <v>3445.2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3">
        <f t="shared" si="228"/>
        <v>15681.599999999999</v>
      </c>
      <c r="AS156" s="25"/>
      <c r="AT156" s="8">
        <f>IF(AR156=0,0,+AR156/PassVol!AR307)</f>
        <v>19.799999999999997</v>
      </c>
      <c r="AU156" s="60">
        <v>19.8</v>
      </c>
      <c r="AV156" s="3"/>
      <c r="AW156" s="81">
        <f t="shared" si="227"/>
        <v>0</v>
      </c>
      <c r="AX156" s="82"/>
      <c r="AY156" s="85"/>
    </row>
    <row r="157" spans="1:51" s="24" customFormat="1" x14ac:dyDescent="0.25">
      <c r="A157" s="23"/>
      <c r="B157" s="2"/>
      <c r="C157" t="s">
        <v>193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3">
        <f t="shared" si="228"/>
        <v>0</v>
      </c>
      <c r="AS157" s="25"/>
      <c r="AT157" s="8">
        <f>IF(AR157=0,0,+AR157/PassVol!AR308)</f>
        <v>0</v>
      </c>
      <c r="AU157" s="60">
        <v>0</v>
      </c>
      <c r="AV157" s="3"/>
      <c r="AW157" s="81">
        <f t="shared" si="227"/>
        <v>0</v>
      </c>
      <c r="AX157" s="82"/>
      <c r="AY157" s="85"/>
    </row>
    <row r="158" spans="1:51" s="24" customFormat="1" x14ac:dyDescent="0.25">
      <c r="A158" s="23"/>
      <c r="B158" s="2"/>
      <c r="C158" t="s">
        <v>297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3">
        <f t="shared" si="228"/>
        <v>0</v>
      </c>
      <c r="AS158" s="25"/>
      <c r="AT158" s="8">
        <f>IF(AR158=0,0,+AR158/PassVol!AR309)</f>
        <v>0</v>
      </c>
      <c r="AU158" s="60">
        <v>0</v>
      </c>
      <c r="AV158" s="3"/>
      <c r="AW158" s="81">
        <f t="shared" si="227"/>
        <v>0</v>
      </c>
      <c r="AX158" s="82"/>
      <c r="AY158" s="85"/>
    </row>
    <row r="159" spans="1:51" s="24" customFormat="1" x14ac:dyDescent="0.25">
      <c r="A159" s="23"/>
      <c r="B159" s="2"/>
      <c r="C159" t="s">
        <v>296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>
        <v>950.4</v>
      </c>
      <c r="S159" s="1"/>
      <c r="T159" s="1">
        <v>316.8</v>
      </c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3">
        <f t="shared" si="228"/>
        <v>1267.2</v>
      </c>
      <c r="AS159" s="25"/>
      <c r="AT159" s="8">
        <f>IF(AR159=0,0,+AR159/PassVol!AR310)</f>
        <v>19.8</v>
      </c>
      <c r="AU159" s="60">
        <v>19.8</v>
      </c>
      <c r="AV159" s="3"/>
      <c r="AW159" s="81">
        <f t="shared" si="227"/>
        <v>0</v>
      </c>
      <c r="AX159" s="82"/>
      <c r="AY159" s="85"/>
    </row>
    <row r="160" spans="1:51" s="24" customFormat="1" x14ac:dyDescent="0.25">
      <c r="A160" s="23"/>
      <c r="B160" s="2"/>
      <c r="C160" t="s">
        <v>44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>
        <f>94152.4-72095</f>
        <v>22057.399999999994</v>
      </c>
      <c r="S160" s="1">
        <f>673.2-317</f>
        <v>356.20000000000005</v>
      </c>
      <c r="T160" s="1">
        <f>55306.8-41387</f>
        <v>13919.800000000003</v>
      </c>
      <c r="U160" s="1">
        <v>217.8</v>
      </c>
      <c r="V160" s="1">
        <v>0</v>
      </c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3">
        <f t="shared" si="228"/>
        <v>36551.199999999997</v>
      </c>
      <c r="AS160" s="25"/>
      <c r="AT160" s="8">
        <f>IF(AR160=0,0,+AR160/PassVol!AR311)</f>
        <v>19.778787878787877</v>
      </c>
      <c r="AU160" s="60">
        <v>19.8</v>
      </c>
      <c r="AV160" s="3"/>
      <c r="AW160" s="81">
        <f t="shared" si="227"/>
        <v>0</v>
      </c>
      <c r="AX160" s="82"/>
      <c r="AY160" s="85"/>
    </row>
    <row r="161" spans="1:51" s="24" customFormat="1" x14ac:dyDescent="0.25">
      <c r="A161" s="23"/>
      <c r="B161" s="2" t="s">
        <v>272</v>
      </c>
      <c r="C161" s="2"/>
      <c r="D161" s="3">
        <f t="shared" ref="D161:AR161" si="229">SUM(D142:D160)</f>
        <v>0</v>
      </c>
      <c r="E161" s="3">
        <f t="shared" ref="E161:J161" si="230">SUM(E142:E160)</f>
        <v>0</v>
      </c>
      <c r="F161" s="3">
        <f t="shared" si="230"/>
        <v>0</v>
      </c>
      <c r="G161" s="3">
        <f t="shared" si="230"/>
        <v>0</v>
      </c>
      <c r="H161" s="3">
        <f t="shared" si="230"/>
        <v>0</v>
      </c>
      <c r="I161" s="3">
        <f t="shared" si="230"/>
        <v>0</v>
      </c>
      <c r="J161" s="3">
        <f t="shared" si="230"/>
        <v>0</v>
      </c>
      <c r="K161" s="3">
        <f t="shared" si="229"/>
        <v>0</v>
      </c>
      <c r="L161" s="3">
        <f t="shared" si="229"/>
        <v>0</v>
      </c>
      <c r="M161" s="3">
        <f t="shared" si="229"/>
        <v>0</v>
      </c>
      <c r="N161" s="3">
        <f t="shared" si="229"/>
        <v>0</v>
      </c>
      <c r="O161" s="3">
        <f t="shared" si="229"/>
        <v>0</v>
      </c>
      <c r="P161" s="3">
        <f t="shared" si="229"/>
        <v>0</v>
      </c>
      <c r="Q161" s="3">
        <f t="shared" si="229"/>
        <v>0</v>
      </c>
      <c r="R161" s="3">
        <f t="shared" si="229"/>
        <v>94152.599999999991</v>
      </c>
      <c r="S161" s="3">
        <f t="shared" si="229"/>
        <v>673</v>
      </c>
      <c r="T161" s="3">
        <f t="shared" si="229"/>
        <v>55307.199999999997</v>
      </c>
      <c r="U161" s="3">
        <f t="shared" si="229"/>
        <v>217.8</v>
      </c>
      <c r="V161" s="3">
        <f t="shared" si="229"/>
        <v>4359.6000000000004</v>
      </c>
      <c r="W161" s="3">
        <f t="shared" si="229"/>
        <v>0</v>
      </c>
      <c r="X161" s="3">
        <f t="shared" si="229"/>
        <v>0</v>
      </c>
      <c r="Y161" s="3">
        <f t="shared" si="229"/>
        <v>0</v>
      </c>
      <c r="Z161" s="3">
        <f t="shared" si="229"/>
        <v>0</v>
      </c>
      <c r="AA161" s="3">
        <f t="shared" si="229"/>
        <v>0</v>
      </c>
      <c r="AB161" s="3">
        <f t="shared" si="229"/>
        <v>0</v>
      </c>
      <c r="AC161" s="3">
        <f t="shared" si="229"/>
        <v>0</v>
      </c>
      <c r="AD161" s="3">
        <f t="shared" si="229"/>
        <v>0</v>
      </c>
      <c r="AE161" s="3">
        <f t="shared" si="229"/>
        <v>0</v>
      </c>
      <c r="AF161" s="3">
        <f t="shared" si="229"/>
        <v>0</v>
      </c>
      <c r="AG161" s="3">
        <f t="shared" si="229"/>
        <v>0</v>
      </c>
      <c r="AH161" s="3">
        <f t="shared" si="229"/>
        <v>0</v>
      </c>
      <c r="AI161" s="3">
        <f t="shared" si="229"/>
        <v>0</v>
      </c>
      <c r="AJ161" s="3">
        <f t="shared" si="229"/>
        <v>0</v>
      </c>
      <c r="AK161" s="3">
        <f t="shared" si="229"/>
        <v>0</v>
      </c>
      <c r="AL161" s="3">
        <f t="shared" si="229"/>
        <v>0</v>
      </c>
      <c r="AM161" s="3">
        <f t="shared" si="229"/>
        <v>0</v>
      </c>
      <c r="AN161" s="3">
        <f t="shared" si="229"/>
        <v>0</v>
      </c>
      <c r="AO161" s="3">
        <f t="shared" si="229"/>
        <v>0</v>
      </c>
      <c r="AP161" s="3">
        <f t="shared" si="229"/>
        <v>0</v>
      </c>
      <c r="AQ161" s="3">
        <f t="shared" si="229"/>
        <v>0</v>
      </c>
      <c r="AR161" s="3">
        <f t="shared" si="229"/>
        <v>154710.20000000001</v>
      </c>
      <c r="AS161" s="25"/>
      <c r="AT161" s="9">
        <f>IF(AR161=0,0,+AR161/PassVol!AR312)</f>
        <v>19.343610902725683</v>
      </c>
      <c r="AU161" s="60"/>
      <c r="AV161" s="3">
        <f>SUM(AV142:AV160)</f>
        <v>0</v>
      </c>
      <c r="AW161" s="81">
        <f t="shared" si="227"/>
        <v>0</v>
      </c>
      <c r="AX161" s="83"/>
      <c r="AY161" s="86"/>
    </row>
    <row r="162" spans="1:51" s="24" customFormat="1" x14ac:dyDescent="0.25">
      <c r="A162" s="23"/>
      <c r="B162" s="23"/>
      <c r="C162" s="27" t="s">
        <v>102</v>
      </c>
      <c r="D162" s="25">
        <f>+D161</f>
        <v>0</v>
      </c>
      <c r="E162" s="25">
        <f>+D162+E161</f>
        <v>0</v>
      </c>
      <c r="F162" s="25">
        <f t="shared" ref="F162" si="231">+E162+F161</f>
        <v>0</v>
      </c>
      <c r="G162" s="25">
        <f t="shared" ref="G162" si="232">+F162+G161</f>
        <v>0</v>
      </c>
      <c r="H162" s="25">
        <f t="shared" ref="H162" si="233">+G162+H161</f>
        <v>0</v>
      </c>
      <c r="I162" s="25">
        <f t="shared" ref="I162" si="234">+H162+I161</f>
        <v>0</v>
      </c>
      <c r="J162" s="25">
        <f t="shared" ref="J162" si="235">+I162+J161</f>
        <v>0</v>
      </c>
      <c r="K162" s="25">
        <f t="shared" ref="K162" si="236">+J162+K161</f>
        <v>0</v>
      </c>
      <c r="L162" s="25">
        <f t="shared" ref="L162" si="237">+K162+L161</f>
        <v>0</v>
      </c>
      <c r="M162" s="25">
        <f t="shared" ref="M162" si="238">+L162+M161</f>
        <v>0</v>
      </c>
      <c r="N162" s="25">
        <f t="shared" ref="N162" si="239">+M162+N161</f>
        <v>0</v>
      </c>
      <c r="O162" s="25">
        <f t="shared" ref="O162" si="240">+N162+O161</f>
        <v>0</v>
      </c>
      <c r="P162" s="25">
        <f t="shared" ref="P162" si="241">+O162+P161</f>
        <v>0</v>
      </c>
      <c r="Q162" s="25">
        <f t="shared" ref="Q162" si="242">+P162+Q161</f>
        <v>0</v>
      </c>
      <c r="R162" s="25">
        <f t="shared" ref="R162" si="243">+Q162+R161</f>
        <v>94152.599999999991</v>
      </c>
      <c r="S162" s="25">
        <f t="shared" ref="S162" si="244">+R162+S161</f>
        <v>94825.599999999991</v>
      </c>
      <c r="T162" s="25">
        <f t="shared" ref="T162" si="245">+S162+T161</f>
        <v>150132.79999999999</v>
      </c>
      <c r="U162" s="25">
        <f t="shared" ref="U162" si="246">+T162+U161</f>
        <v>150350.59999999998</v>
      </c>
      <c r="V162" s="25">
        <f t="shared" ref="V162" si="247">+U162+V161</f>
        <v>154710.19999999998</v>
      </c>
      <c r="W162" s="25">
        <f t="shared" ref="W162" si="248">+V162+W161</f>
        <v>154710.19999999998</v>
      </c>
      <c r="X162" s="25">
        <f t="shared" ref="X162" si="249">+W162+X161</f>
        <v>154710.19999999998</v>
      </c>
      <c r="Y162" s="25">
        <f t="shared" ref="Y162" si="250">+X162+Y161</f>
        <v>154710.19999999998</v>
      </c>
      <c r="Z162" s="25">
        <f t="shared" ref="Z162" si="251">+Y162+Z161</f>
        <v>154710.19999999998</v>
      </c>
      <c r="AA162" s="25">
        <f t="shared" ref="AA162" si="252">+Z162+AA161</f>
        <v>154710.19999999998</v>
      </c>
      <c r="AB162" s="25">
        <f t="shared" ref="AB162" si="253">+AA162+AB161</f>
        <v>154710.19999999998</v>
      </c>
      <c r="AC162" s="25">
        <f t="shared" ref="AC162" si="254">+AB162+AC161</f>
        <v>154710.19999999998</v>
      </c>
      <c r="AD162" s="25">
        <f t="shared" ref="AD162" si="255">+AC162+AD161</f>
        <v>154710.19999999998</v>
      </c>
      <c r="AE162" s="25">
        <f t="shared" ref="AE162" si="256">+AD162+AE161</f>
        <v>154710.19999999998</v>
      </c>
      <c r="AF162" s="25">
        <f t="shared" ref="AF162" si="257">+AE162+AF161</f>
        <v>154710.19999999998</v>
      </c>
      <c r="AG162" s="25">
        <f t="shared" ref="AG162" si="258">+AF162+AG161</f>
        <v>154710.19999999998</v>
      </c>
      <c r="AH162" s="25">
        <f t="shared" ref="AH162" si="259">+AG162+AH161</f>
        <v>154710.19999999998</v>
      </c>
      <c r="AI162" s="25">
        <f t="shared" ref="AI162" si="260">+AH162+AI161</f>
        <v>154710.19999999998</v>
      </c>
      <c r="AJ162" s="25">
        <f t="shared" ref="AJ162" si="261">+AI162+AJ161</f>
        <v>154710.19999999998</v>
      </c>
      <c r="AK162" s="25">
        <f t="shared" ref="AK162" si="262">+AJ162+AK161</f>
        <v>154710.19999999998</v>
      </c>
      <c r="AL162" s="25">
        <f t="shared" ref="AL162" si="263">+AK162+AL161</f>
        <v>154710.19999999998</v>
      </c>
      <c r="AM162" s="25">
        <f t="shared" ref="AM162" si="264">+AL162+AM161</f>
        <v>154710.19999999998</v>
      </c>
      <c r="AN162" s="25">
        <f t="shared" ref="AN162" si="265">+AM162+AN161</f>
        <v>154710.19999999998</v>
      </c>
      <c r="AO162" s="25">
        <f t="shared" ref="AO162" si="266">+AN162+AO161</f>
        <v>154710.19999999998</v>
      </c>
      <c r="AP162" s="25">
        <f t="shared" ref="AP162" si="267">+AO162+AP161</f>
        <v>154710.19999999998</v>
      </c>
      <c r="AQ162" s="25">
        <f t="shared" ref="AQ162" si="268">+AP162+AQ161</f>
        <v>154710.19999999998</v>
      </c>
      <c r="AR162" s="49"/>
      <c r="AS162" s="25"/>
      <c r="AT162" s="26"/>
      <c r="AU162" s="60"/>
    </row>
    <row r="163" spans="1:51" s="24" customFormat="1" x14ac:dyDescent="0.25">
      <c r="A163" s="23"/>
      <c r="B163" s="23"/>
      <c r="C163" s="27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49"/>
      <c r="AS163" s="25"/>
      <c r="AT163" s="26"/>
      <c r="AU163" s="60"/>
    </row>
    <row r="164" spans="1:51" s="24" customFormat="1" x14ac:dyDescent="0.25">
      <c r="A164" s="23"/>
      <c r="B164" s="2" t="s">
        <v>322</v>
      </c>
      <c r="C164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49"/>
      <c r="AS164" s="25"/>
      <c r="AT164" s="26"/>
      <c r="AU164" s="60"/>
    </row>
    <row r="165" spans="1:51" s="24" customFormat="1" x14ac:dyDescent="0.25">
      <c r="A165" s="23"/>
      <c r="B165" s="2"/>
      <c r="C165" t="s">
        <v>190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3">
        <f>SUM(D165:AQ165)</f>
        <v>0</v>
      </c>
      <c r="AS165" s="25"/>
      <c r="AT165" s="8">
        <f>IF(AR165=0,0,+AR165/PassVol!AR317)</f>
        <v>0</v>
      </c>
      <c r="AU165" s="60">
        <v>11.4</v>
      </c>
      <c r="AV165" s="3"/>
      <c r="AW165" s="81">
        <f t="shared" ref="AW165:AW184" si="269">IF(AV165=0,0,+(AR165-AV165)/AV165)</f>
        <v>0</v>
      </c>
      <c r="AX165" s="82"/>
      <c r="AY165" s="84"/>
    </row>
    <row r="166" spans="1:51" s="24" customFormat="1" x14ac:dyDescent="0.25">
      <c r="A166" s="23"/>
      <c r="B166" s="2"/>
      <c r="C166" t="s">
        <v>424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>
        <v>384</v>
      </c>
      <c r="S166" s="1"/>
      <c r="T166" s="1">
        <v>1920</v>
      </c>
      <c r="U166" s="1"/>
      <c r="V166" s="1">
        <v>960</v>
      </c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3">
        <f>SUM(D166:AQ166)</f>
        <v>3264</v>
      </c>
      <c r="AS166" s="25"/>
      <c r="AT166" s="8">
        <f>IF(AR166=0,0,+AR166/PassVol!AR318)</f>
        <v>12</v>
      </c>
      <c r="AU166" s="60">
        <v>12</v>
      </c>
      <c r="AV166" s="3"/>
      <c r="AW166" s="81"/>
      <c r="AX166" s="82"/>
      <c r="AY166" s="85"/>
    </row>
    <row r="167" spans="1:51" s="24" customFormat="1" x14ac:dyDescent="0.25">
      <c r="A167" s="23"/>
      <c r="B167" s="2"/>
      <c r="C167" t="s">
        <v>347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>
        <v>1104</v>
      </c>
      <c r="S167" s="1"/>
      <c r="T167" s="1">
        <v>744</v>
      </c>
      <c r="U167" s="1"/>
      <c r="V167" s="1">
        <v>744</v>
      </c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3">
        <f t="shared" ref="AR167:AR183" si="270">SUM(D167:AQ167)</f>
        <v>2592</v>
      </c>
      <c r="AS167" s="25"/>
      <c r="AT167" s="8">
        <f>IF(AR167=0,0,+AR167/PassVol!AR319)</f>
        <v>12</v>
      </c>
      <c r="AU167" s="60">
        <v>12</v>
      </c>
      <c r="AV167" s="3"/>
      <c r="AW167" s="81">
        <f t="shared" si="269"/>
        <v>0</v>
      </c>
      <c r="AX167" s="82"/>
      <c r="AY167" s="85"/>
    </row>
    <row r="168" spans="1:51" s="24" customFormat="1" x14ac:dyDescent="0.25">
      <c r="A168" s="23"/>
      <c r="B168" s="2"/>
      <c r="C168" t="s">
        <v>0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>
        <v>10714.4</v>
      </c>
      <c r="S168" s="1"/>
      <c r="T168" s="1">
        <v>10879.6</v>
      </c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3">
        <f t="shared" si="270"/>
        <v>21594</v>
      </c>
      <c r="AS168" s="25"/>
      <c r="AT168" s="8">
        <f>IF(AR168=0,0,+AR168/PassVol!AR320)</f>
        <v>11.8</v>
      </c>
      <c r="AU168" s="60">
        <v>11.8</v>
      </c>
      <c r="AV168" s="3"/>
      <c r="AW168" s="81">
        <f t="shared" si="269"/>
        <v>0</v>
      </c>
      <c r="AX168" s="82"/>
      <c r="AY168" s="85"/>
    </row>
    <row r="169" spans="1:51" s="24" customFormat="1" x14ac:dyDescent="0.25">
      <c r="A169" s="23"/>
      <c r="B169" s="2"/>
      <c r="C169" t="s">
        <v>354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>
        <v>768</v>
      </c>
      <c r="S169" s="1"/>
      <c r="T169" s="1">
        <v>768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3">
        <f t="shared" si="270"/>
        <v>1536</v>
      </c>
      <c r="AS169" s="25"/>
      <c r="AT169" s="8">
        <f>IF(AR169=0,0,+AR169/PassVol!AR321)</f>
        <v>12</v>
      </c>
      <c r="AU169" s="60">
        <v>12</v>
      </c>
      <c r="AV169" s="3"/>
      <c r="AW169" t="s">
        <v>373</v>
      </c>
      <c r="AX169" s="82"/>
      <c r="AY169" s="85"/>
    </row>
    <row r="170" spans="1:51" s="24" customFormat="1" x14ac:dyDescent="0.25">
      <c r="A170" s="23"/>
      <c r="B170" s="2"/>
      <c r="C170" t="s">
        <v>265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>
        <v>900.6</v>
      </c>
      <c r="S170" s="1"/>
      <c r="T170" s="1">
        <v>376.2</v>
      </c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3">
        <f t="shared" si="270"/>
        <v>1276.8</v>
      </c>
      <c r="AS170" s="25"/>
      <c r="AT170" s="8">
        <f>IF(AR170=0,0,+AR170/PassVol!AR322)</f>
        <v>11.4</v>
      </c>
      <c r="AU170" s="60">
        <v>11.4</v>
      </c>
      <c r="AV170" s="3"/>
      <c r="AW170" s="81">
        <f t="shared" si="269"/>
        <v>0</v>
      </c>
      <c r="AX170" s="82"/>
      <c r="AY170" s="85"/>
    </row>
    <row r="171" spans="1:51" s="24" customFormat="1" x14ac:dyDescent="0.25">
      <c r="A171" s="23"/>
      <c r="B171" s="2"/>
      <c r="C171" t="s">
        <v>191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>
        <v>4012.8</v>
      </c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3">
        <f t="shared" si="270"/>
        <v>4012.8</v>
      </c>
      <c r="AS171" s="25"/>
      <c r="AT171" s="8">
        <f>IF(AR171=0,0,+AR171/PassVol!AR323)</f>
        <v>11.4</v>
      </c>
      <c r="AU171" s="60">
        <v>11.4</v>
      </c>
      <c r="AV171" s="3"/>
      <c r="AW171" s="81">
        <f t="shared" si="269"/>
        <v>0</v>
      </c>
      <c r="AX171" s="82"/>
      <c r="AY171" s="85"/>
    </row>
    <row r="172" spans="1:51" s="24" customFormat="1" x14ac:dyDescent="0.25">
      <c r="A172" s="23"/>
      <c r="B172" s="2"/>
      <c r="C172" t="s">
        <v>549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3">
        <f t="shared" si="270"/>
        <v>0</v>
      </c>
      <c r="AS172" s="25"/>
      <c r="AT172" s="8">
        <f>IF(AR172=0,0,+AR172/PassVol!AR324)</f>
        <v>0</v>
      </c>
      <c r="AU172" s="60">
        <v>12</v>
      </c>
      <c r="AV172" s="3"/>
      <c r="AW172" s="81">
        <f t="shared" si="269"/>
        <v>0</v>
      </c>
      <c r="AX172" s="82"/>
      <c r="AY172" s="85"/>
    </row>
    <row r="173" spans="1:51" s="24" customFormat="1" x14ac:dyDescent="0.25">
      <c r="A173" s="23"/>
      <c r="B173" s="2"/>
      <c r="C173" t="s">
        <v>550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>
        <v>8784</v>
      </c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3">
        <f t="shared" si="270"/>
        <v>8784</v>
      </c>
      <c r="AS173" s="25"/>
      <c r="AT173" s="8">
        <f>IF(AR173=0,0,+AR173/PassVol!AR325)</f>
        <v>12</v>
      </c>
      <c r="AU173" s="60">
        <v>12</v>
      </c>
      <c r="AV173" s="3"/>
      <c r="AW173" s="81">
        <f t="shared" si="269"/>
        <v>0</v>
      </c>
      <c r="AX173" s="82"/>
      <c r="AY173" s="85"/>
    </row>
    <row r="174" spans="1:51" s="24" customFormat="1" x14ac:dyDescent="0.25">
      <c r="A174" s="23"/>
      <c r="B174" s="2"/>
      <c r="C174" t="s">
        <v>6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>
        <v>5544</v>
      </c>
      <c r="S174" s="1"/>
      <c r="T174" s="1">
        <v>4260</v>
      </c>
      <c r="U174" s="1"/>
      <c r="V174" s="1">
        <v>3880.8</v>
      </c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3">
        <f t="shared" si="270"/>
        <v>13684.8</v>
      </c>
      <c r="AS174" s="25"/>
      <c r="AT174" s="8">
        <f>IF(AR174=0,0,+AR174/PassVol!AR326)</f>
        <v>7.5026315789473683</v>
      </c>
      <c r="AU174" s="60">
        <v>7.6</v>
      </c>
      <c r="AV174" s="3"/>
      <c r="AW174" s="81">
        <f t="shared" si="269"/>
        <v>0</v>
      </c>
      <c r="AX174" s="82"/>
      <c r="AY174" s="85"/>
    </row>
    <row r="175" spans="1:51" s="24" customFormat="1" x14ac:dyDescent="0.25">
      <c r="A175" s="23"/>
      <c r="B175" s="2"/>
      <c r="C175" t="s">
        <v>262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>
        <v>2496</v>
      </c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3">
        <f t="shared" si="270"/>
        <v>2496</v>
      </c>
      <c r="AS175" s="25"/>
      <c r="AT175" s="8">
        <f>IF(AR175=0,0,+AR175/PassVol!AR327)</f>
        <v>12</v>
      </c>
      <c r="AU175" s="60">
        <v>12</v>
      </c>
      <c r="AV175" s="3"/>
      <c r="AW175" s="81">
        <f t="shared" si="269"/>
        <v>0</v>
      </c>
      <c r="AX175" s="82"/>
      <c r="AY175" s="85"/>
    </row>
    <row r="176" spans="1:51" s="24" customFormat="1" x14ac:dyDescent="0.25">
      <c r="A176" s="23"/>
      <c r="B176" s="2"/>
      <c r="C176" t="s">
        <v>42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>
        <v>4788</v>
      </c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3">
        <f t="shared" si="270"/>
        <v>4788</v>
      </c>
      <c r="AS176" s="25"/>
      <c r="AT176" s="8">
        <f>IF(AR176=0,0,+AR176/PassVol!AR328)</f>
        <v>11.4</v>
      </c>
      <c r="AU176" s="60">
        <v>11.4</v>
      </c>
      <c r="AV176" s="3"/>
      <c r="AW176" s="81">
        <f t="shared" si="269"/>
        <v>0</v>
      </c>
      <c r="AX176" s="82"/>
      <c r="AY176" s="85"/>
    </row>
    <row r="177" spans="1:51" s="24" customFormat="1" x14ac:dyDescent="0.25">
      <c r="A177" s="23"/>
      <c r="B177" s="2"/>
      <c r="C177" t="s">
        <v>192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>
        <v>4947.6000000000004</v>
      </c>
      <c r="S177" s="1"/>
      <c r="T177" s="1">
        <v>1276.8</v>
      </c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3">
        <f t="shared" si="270"/>
        <v>6224.4000000000005</v>
      </c>
      <c r="AS177" s="25"/>
      <c r="AT177" s="8">
        <f>IF(AR177=0,0,+AR177/PassVol!AR329)</f>
        <v>11.4</v>
      </c>
      <c r="AU177" s="60">
        <v>11.4</v>
      </c>
      <c r="AV177" s="3"/>
      <c r="AW177" s="81">
        <f t="shared" si="269"/>
        <v>0</v>
      </c>
      <c r="AX177" s="82"/>
      <c r="AY177" s="85"/>
    </row>
    <row r="178" spans="1:51" s="24" customFormat="1" x14ac:dyDescent="0.25">
      <c r="A178" s="23"/>
      <c r="B178" s="2"/>
      <c r="C178" t="s">
        <v>133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3">
        <f t="shared" si="270"/>
        <v>0</v>
      </c>
      <c r="AS178" s="25"/>
      <c r="AT178" s="8">
        <f>IF(AR178=0,0,+AR178/PassVol!AR330)</f>
        <v>0</v>
      </c>
      <c r="AU178" s="60">
        <v>12</v>
      </c>
      <c r="AV178" s="3"/>
      <c r="AW178" s="81">
        <f t="shared" si="269"/>
        <v>0</v>
      </c>
      <c r="AX178" s="82"/>
      <c r="AY178" s="85"/>
    </row>
    <row r="179" spans="1:51" s="24" customFormat="1" x14ac:dyDescent="0.25">
      <c r="A179" s="23"/>
      <c r="B179" s="2"/>
      <c r="C179" t="s">
        <v>41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>
        <v>4584</v>
      </c>
      <c r="S179" s="1"/>
      <c r="T179" s="1">
        <v>6696</v>
      </c>
      <c r="U179" s="1"/>
      <c r="V179" s="1">
        <v>672</v>
      </c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3">
        <f t="shared" si="270"/>
        <v>11952</v>
      </c>
      <c r="AS179" s="25"/>
      <c r="AT179" s="8">
        <f>IF(AR179=0,0,+AR179/PassVol!AR331)</f>
        <v>12</v>
      </c>
      <c r="AU179" s="60">
        <v>12</v>
      </c>
      <c r="AV179" s="3"/>
      <c r="AW179" s="81">
        <f t="shared" si="269"/>
        <v>0</v>
      </c>
      <c r="AX179" s="82"/>
      <c r="AY179" s="85"/>
    </row>
    <row r="180" spans="1:51" s="24" customFormat="1" x14ac:dyDescent="0.25">
      <c r="A180" s="23"/>
      <c r="B180" s="2"/>
      <c r="C180" t="s">
        <v>193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3">
        <f t="shared" si="270"/>
        <v>0</v>
      </c>
      <c r="AS180" s="25"/>
      <c r="AT180" s="8">
        <f>IF(AR180=0,0,+AR180/PassVol!AR332)</f>
        <v>0</v>
      </c>
      <c r="AU180" s="60">
        <v>0</v>
      </c>
      <c r="AV180" s="3"/>
      <c r="AW180" s="81">
        <f t="shared" si="269"/>
        <v>0</v>
      </c>
      <c r="AX180" s="82"/>
      <c r="AY180" s="85"/>
    </row>
    <row r="181" spans="1:51" s="24" customFormat="1" x14ac:dyDescent="0.25">
      <c r="A181" s="23"/>
      <c r="B181" s="2"/>
      <c r="C181" t="s">
        <v>297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3">
        <f t="shared" si="270"/>
        <v>0</v>
      </c>
      <c r="AS181" s="25"/>
      <c r="AT181" s="8">
        <f>IF(AR181=0,0,+AR181/PassVol!AR333)</f>
        <v>0</v>
      </c>
      <c r="AU181" s="60">
        <v>0</v>
      </c>
      <c r="AV181" s="3"/>
      <c r="AW181" s="81">
        <f t="shared" si="269"/>
        <v>0</v>
      </c>
      <c r="AX181" s="82"/>
      <c r="AY181" s="85"/>
    </row>
    <row r="182" spans="1:51" s="24" customFormat="1" x14ac:dyDescent="0.25">
      <c r="A182" s="23"/>
      <c r="B182" s="2"/>
      <c r="C182" t="s">
        <v>296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>
        <v>192</v>
      </c>
      <c r="S182" s="1"/>
      <c r="T182" s="1">
        <v>192</v>
      </c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3">
        <f t="shared" si="270"/>
        <v>384</v>
      </c>
      <c r="AS182" s="25"/>
      <c r="AT182" s="8">
        <f>IF(AR182=0,0,+AR182/PassVol!AR334)</f>
        <v>12</v>
      </c>
      <c r="AU182" s="60">
        <v>12</v>
      </c>
      <c r="AV182" s="3"/>
      <c r="AW182" s="81">
        <f t="shared" si="269"/>
        <v>0</v>
      </c>
      <c r="AX182" s="82"/>
      <c r="AY182" s="85"/>
    </row>
    <row r="183" spans="1:51" s="24" customFormat="1" x14ac:dyDescent="0.25">
      <c r="A183" s="23"/>
      <c r="B183" s="2"/>
      <c r="C183" t="s">
        <v>44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>
        <f>45487.4-37939</f>
        <v>7548.4000000000015</v>
      </c>
      <c r="S183" s="1"/>
      <c r="T183" s="1">
        <f>45868.6-38393</f>
        <v>7475.5999999999985</v>
      </c>
      <c r="U183" s="1"/>
      <c r="V183" s="1">
        <f>10528.8-6257</f>
        <v>4271.7999999999993</v>
      </c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3">
        <f t="shared" si="270"/>
        <v>19295.8</v>
      </c>
      <c r="AS183" s="25"/>
      <c r="AT183" s="8">
        <f>IF(AR183=0,0,+AR183/PassVol!AR335)</f>
        <v>12.228010139416982</v>
      </c>
      <c r="AU183" s="60">
        <v>12</v>
      </c>
      <c r="AV183" s="3"/>
      <c r="AW183" s="81">
        <f t="shared" si="269"/>
        <v>0</v>
      </c>
      <c r="AX183" s="82"/>
      <c r="AY183" s="85"/>
    </row>
    <row r="184" spans="1:51" s="24" customFormat="1" x14ac:dyDescent="0.25">
      <c r="A184" s="23"/>
      <c r="B184" s="2" t="s">
        <v>350</v>
      </c>
      <c r="C184" s="2"/>
      <c r="D184" s="3">
        <f>SUM(D165:D183)</f>
        <v>0</v>
      </c>
      <c r="E184" s="3">
        <f t="shared" ref="E184:J184" si="271">SUM(E165:E183)</f>
        <v>0</v>
      </c>
      <c r="F184" s="3">
        <f t="shared" si="271"/>
        <v>0</v>
      </c>
      <c r="G184" s="3">
        <f t="shared" si="271"/>
        <v>0</v>
      </c>
      <c r="H184" s="3">
        <f t="shared" si="271"/>
        <v>0</v>
      </c>
      <c r="I184" s="3">
        <f t="shared" si="271"/>
        <v>0</v>
      </c>
      <c r="J184" s="3">
        <f t="shared" si="271"/>
        <v>0</v>
      </c>
      <c r="K184" s="3">
        <f t="shared" ref="K184:AR184" si="272">SUM(K165:K183)</f>
        <v>0</v>
      </c>
      <c r="L184" s="3">
        <f t="shared" si="272"/>
        <v>0</v>
      </c>
      <c r="M184" s="3">
        <f t="shared" si="272"/>
        <v>0</v>
      </c>
      <c r="N184" s="3">
        <f t="shared" si="272"/>
        <v>0</v>
      </c>
      <c r="O184" s="3">
        <f t="shared" si="272"/>
        <v>0</v>
      </c>
      <c r="P184" s="3">
        <f t="shared" si="272"/>
        <v>0</v>
      </c>
      <c r="Q184" s="3">
        <f t="shared" si="272"/>
        <v>0</v>
      </c>
      <c r="R184" s="3">
        <f t="shared" si="272"/>
        <v>45487.8</v>
      </c>
      <c r="S184" s="3">
        <f t="shared" si="272"/>
        <v>0</v>
      </c>
      <c r="T184" s="3">
        <f t="shared" si="272"/>
        <v>45868.200000000004</v>
      </c>
      <c r="U184" s="3">
        <f t="shared" si="272"/>
        <v>0</v>
      </c>
      <c r="V184" s="3">
        <f t="shared" si="272"/>
        <v>10528.599999999999</v>
      </c>
      <c r="W184" s="3">
        <f t="shared" si="272"/>
        <v>0</v>
      </c>
      <c r="X184" s="3">
        <f t="shared" si="272"/>
        <v>0</v>
      </c>
      <c r="Y184" s="3">
        <f t="shared" si="272"/>
        <v>0</v>
      </c>
      <c r="Z184" s="3">
        <f t="shared" si="272"/>
        <v>0</v>
      </c>
      <c r="AA184" s="3">
        <f t="shared" si="272"/>
        <v>0</v>
      </c>
      <c r="AB184" s="3">
        <f t="shared" si="272"/>
        <v>0</v>
      </c>
      <c r="AC184" s="3">
        <f t="shared" si="272"/>
        <v>0</v>
      </c>
      <c r="AD184" s="3">
        <f t="shared" si="272"/>
        <v>0</v>
      </c>
      <c r="AE184" s="3">
        <f t="shared" si="272"/>
        <v>0</v>
      </c>
      <c r="AF184" s="3">
        <f t="shared" si="272"/>
        <v>0</v>
      </c>
      <c r="AG184" s="3">
        <f t="shared" si="272"/>
        <v>0</v>
      </c>
      <c r="AH184" s="3">
        <f t="shared" si="272"/>
        <v>0</v>
      </c>
      <c r="AI184" s="3">
        <f t="shared" si="272"/>
        <v>0</v>
      </c>
      <c r="AJ184" s="3">
        <f t="shared" si="272"/>
        <v>0</v>
      </c>
      <c r="AK184" s="3">
        <f t="shared" si="272"/>
        <v>0</v>
      </c>
      <c r="AL184" s="3">
        <f t="shared" si="272"/>
        <v>0</v>
      </c>
      <c r="AM184" s="3">
        <f t="shared" si="272"/>
        <v>0</v>
      </c>
      <c r="AN184" s="3">
        <f t="shared" si="272"/>
        <v>0</v>
      </c>
      <c r="AO184" s="3">
        <f t="shared" si="272"/>
        <v>0</v>
      </c>
      <c r="AP184" s="3">
        <f t="shared" si="272"/>
        <v>0</v>
      </c>
      <c r="AQ184" s="3">
        <f t="shared" si="272"/>
        <v>0</v>
      </c>
      <c r="AR184" s="3">
        <f t="shared" si="272"/>
        <v>101884.59999999999</v>
      </c>
      <c r="AS184" s="25"/>
      <c r="AT184" s="9">
        <f>IF(AR184=0,0,+AR184/PassVol!AR336)</f>
        <v>11.019316461172398</v>
      </c>
      <c r="AU184" s="60"/>
      <c r="AV184" s="3">
        <f>SUM(AV165:AV183)</f>
        <v>0</v>
      </c>
      <c r="AW184" s="81">
        <f t="shared" si="269"/>
        <v>0</v>
      </c>
      <c r="AX184" s="83"/>
      <c r="AY184" s="86"/>
    </row>
    <row r="185" spans="1:51" s="24" customFormat="1" x14ac:dyDescent="0.25">
      <c r="A185" s="23"/>
      <c r="B185" s="23"/>
      <c r="C185" s="27" t="s">
        <v>102</v>
      </c>
      <c r="D185" s="25">
        <f>+D184</f>
        <v>0</v>
      </c>
      <c r="E185" s="25">
        <f>+D185+E184</f>
        <v>0</v>
      </c>
      <c r="F185" s="25">
        <f t="shared" ref="F185" si="273">+E185+F184</f>
        <v>0</v>
      </c>
      <c r="G185" s="25">
        <f t="shared" ref="G185" si="274">+F185+G184</f>
        <v>0</v>
      </c>
      <c r="H185" s="25">
        <f t="shared" ref="H185" si="275">+G185+H184</f>
        <v>0</v>
      </c>
      <c r="I185" s="25">
        <f t="shared" ref="I185" si="276">+H185+I184</f>
        <v>0</v>
      </c>
      <c r="J185" s="25">
        <f t="shared" ref="J185" si="277">+I185+J184</f>
        <v>0</v>
      </c>
      <c r="K185" s="25">
        <f t="shared" ref="K185" si="278">+J185+K184</f>
        <v>0</v>
      </c>
      <c r="L185" s="25">
        <f t="shared" ref="L185" si="279">+K185+L184</f>
        <v>0</v>
      </c>
      <c r="M185" s="25">
        <f t="shared" ref="M185" si="280">+L185+M184</f>
        <v>0</v>
      </c>
      <c r="N185" s="25">
        <f t="shared" ref="N185" si="281">+M185+N184</f>
        <v>0</v>
      </c>
      <c r="O185" s="25">
        <f t="shared" ref="O185" si="282">+N185+O184</f>
        <v>0</v>
      </c>
      <c r="P185" s="25">
        <f t="shared" ref="P185" si="283">+O185+P184</f>
        <v>0</v>
      </c>
      <c r="Q185" s="25">
        <f t="shared" ref="Q185" si="284">+P185+Q184</f>
        <v>0</v>
      </c>
      <c r="R185" s="25">
        <f t="shared" ref="R185" si="285">+Q185+R184</f>
        <v>45487.8</v>
      </c>
      <c r="S185" s="25">
        <f t="shared" ref="S185" si="286">+R185+S184</f>
        <v>45487.8</v>
      </c>
      <c r="T185" s="25">
        <f t="shared" ref="T185" si="287">+S185+T184</f>
        <v>91356</v>
      </c>
      <c r="U185" s="25">
        <f t="shared" ref="U185" si="288">+T185+U184</f>
        <v>91356</v>
      </c>
      <c r="V185" s="25">
        <f t="shared" ref="V185" si="289">+U185+V184</f>
        <v>101884.6</v>
      </c>
      <c r="W185" s="25">
        <f t="shared" ref="W185" si="290">+V185+W184</f>
        <v>101884.6</v>
      </c>
      <c r="X185" s="25">
        <f t="shared" ref="X185" si="291">+W185+X184</f>
        <v>101884.6</v>
      </c>
      <c r="Y185" s="25">
        <f t="shared" ref="Y185" si="292">+X185+Y184</f>
        <v>101884.6</v>
      </c>
      <c r="Z185" s="25">
        <f t="shared" ref="Z185" si="293">+Y185+Z184</f>
        <v>101884.6</v>
      </c>
      <c r="AA185" s="25">
        <f t="shared" ref="AA185" si="294">+Z185+AA184</f>
        <v>101884.6</v>
      </c>
      <c r="AB185" s="25">
        <f t="shared" ref="AB185" si="295">+AA185+AB184</f>
        <v>101884.6</v>
      </c>
      <c r="AC185" s="25">
        <f t="shared" ref="AC185" si="296">+AB185+AC184</f>
        <v>101884.6</v>
      </c>
      <c r="AD185" s="25">
        <f t="shared" ref="AD185" si="297">+AC185+AD184</f>
        <v>101884.6</v>
      </c>
      <c r="AE185" s="25">
        <f t="shared" ref="AE185" si="298">+AD185+AE184</f>
        <v>101884.6</v>
      </c>
      <c r="AF185" s="25">
        <f t="shared" ref="AF185" si="299">+AE185+AF184</f>
        <v>101884.6</v>
      </c>
      <c r="AG185" s="25">
        <f t="shared" ref="AG185" si="300">+AF185+AG184</f>
        <v>101884.6</v>
      </c>
      <c r="AH185" s="25">
        <f t="shared" ref="AH185" si="301">+AG185+AH184</f>
        <v>101884.6</v>
      </c>
      <c r="AI185" s="25">
        <f t="shared" ref="AI185" si="302">+AH185+AI184</f>
        <v>101884.6</v>
      </c>
      <c r="AJ185" s="25">
        <f t="shared" ref="AJ185" si="303">+AI185+AJ184</f>
        <v>101884.6</v>
      </c>
      <c r="AK185" s="25">
        <f t="shared" ref="AK185" si="304">+AJ185+AK184</f>
        <v>101884.6</v>
      </c>
      <c r="AL185" s="25">
        <f t="shared" ref="AL185" si="305">+AK185+AL184</f>
        <v>101884.6</v>
      </c>
      <c r="AM185" s="25">
        <f t="shared" ref="AM185" si="306">+AL185+AM184</f>
        <v>101884.6</v>
      </c>
      <c r="AN185" s="25">
        <f t="shared" ref="AN185" si="307">+AM185+AN184</f>
        <v>101884.6</v>
      </c>
      <c r="AO185" s="25">
        <f t="shared" ref="AO185" si="308">+AN185+AO184</f>
        <v>101884.6</v>
      </c>
      <c r="AP185" s="25">
        <f t="shared" ref="AP185" si="309">+AO185+AP184</f>
        <v>101884.6</v>
      </c>
      <c r="AQ185" s="25">
        <f t="shared" ref="AQ185" si="310">+AP185+AQ184</f>
        <v>101884.6</v>
      </c>
      <c r="AR185" s="49"/>
      <c r="AS185" s="25"/>
      <c r="AT185" s="26"/>
      <c r="AU185" s="60"/>
    </row>
    <row r="186" spans="1:51" s="24" customFormat="1" x14ac:dyDescent="0.25">
      <c r="A186" s="23"/>
      <c r="B186" s="23"/>
      <c r="C186" s="27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49"/>
      <c r="AS186" s="25"/>
      <c r="AT186" s="26"/>
      <c r="AU186" s="60"/>
    </row>
    <row r="187" spans="1:51" s="24" customFormat="1" x14ac:dyDescent="0.25">
      <c r="A187" s="23"/>
      <c r="B187" s="2" t="s">
        <v>394</v>
      </c>
      <c r="C187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49"/>
      <c r="AS187" s="25"/>
      <c r="AT187" s="26"/>
      <c r="AU187" s="60"/>
    </row>
    <row r="188" spans="1:51" s="24" customFormat="1" x14ac:dyDescent="0.25">
      <c r="A188" s="23"/>
      <c r="B188" s="2"/>
      <c r="C188" t="s">
        <v>190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3">
        <f>SUM(D188:AQ188)</f>
        <v>0</v>
      </c>
      <c r="AS188" s="25"/>
      <c r="AT188" s="8">
        <f>IF(AR188=0,0,+AR188/PassVol!AR341)</f>
        <v>0</v>
      </c>
      <c r="AU188" s="60">
        <v>0</v>
      </c>
      <c r="AV188" s="3"/>
      <c r="AW188" s="81">
        <f>IF(AV188=0,0,+(AR188-AV188)/AV188)</f>
        <v>0</v>
      </c>
      <c r="AX188" s="82"/>
      <c r="AY188" s="84"/>
    </row>
    <row r="189" spans="1:51" s="24" customFormat="1" x14ac:dyDescent="0.25">
      <c r="A189" s="23"/>
      <c r="B189" s="2"/>
      <c r="C189" t="s">
        <v>424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3">
        <f>SUM(D189:AQ189)</f>
        <v>0</v>
      </c>
      <c r="AS189" s="25"/>
      <c r="AT189" s="8">
        <f>IF(AR189=0,0,+AR189/PassVol!AR342)</f>
        <v>0</v>
      </c>
      <c r="AU189" s="60">
        <v>0</v>
      </c>
      <c r="AV189" s="3"/>
      <c r="AW189" s="81"/>
      <c r="AX189" s="82"/>
      <c r="AY189" s="85"/>
    </row>
    <row r="190" spans="1:51" s="24" customFormat="1" x14ac:dyDescent="0.25">
      <c r="A190" s="23"/>
      <c r="B190" s="2"/>
      <c r="C190" t="s">
        <v>347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3">
        <f t="shared" ref="AR190:AR206" si="311">SUM(D190:AQ190)</f>
        <v>0</v>
      </c>
      <c r="AS190" s="25"/>
      <c r="AT190" s="8">
        <f>IF(AR190=0,0,+AR190/PassVol!AR343)</f>
        <v>0</v>
      </c>
      <c r="AU190" s="60">
        <v>0</v>
      </c>
      <c r="AV190" s="3"/>
      <c r="AW190" s="81">
        <f>IF(AV190=0,0,+(AR190-AV190)/AV190)</f>
        <v>0</v>
      </c>
      <c r="AX190" s="82"/>
      <c r="AY190" s="85"/>
    </row>
    <row r="191" spans="1:51" s="24" customFormat="1" x14ac:dyDescent="0.25">
      <c r="A191" s="23"/>
      <c r="B191" s="2"/>
      <c r="C191" t="s">
        <v>0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3">
        <f t="shared" si="311"/>
        <v>0</v>
      </c>
      <c r="AS191" s="25"/>
      <c r="AT191" s="8">
        <f>IF(AR191=0,0,+AR191/PassVol!AR344)</f>
        <v>0</v>
      </c>
      <c r="AU191" s="60">
        <v>0</v>
      </c>
      <c r="AV191" s="3"/>
      <c r="AW191" s="81">
        <f>IF(AV191=0,0,+(AR191-AV191)/AV191)</f>
        <v>0</v>
      </c>
      <c r="AX191" s="82"/>
      <c r="AY191" s="85"/>
    </row>
    <row r="192" spans="1:51" s="24" customFormat="1" x14ac:dyDescent="0.25">
      <c r="A192" s="23"/>
      <c r="B192" s="2"/>
      <c r="C192" t="s">
        <v>354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3">
        <f t="shared" si="311"/>
        <v>0</v>
      </c>
      <c r="AS192" s="25"/>
      <c r="AT192" s="8">
        <f>IF(AR192=0,0,+AR192/PassVol!AR345)</f>
        <v>0</v>
      </c>
      <c r="AU192" s="60">
        <v>0</v>
      </c>
      <c r="AV192" s="3"/>
      <c r="AW192" t="s">
        <v>373</v>
      </c>
      <c r="AX192" s="82"/>
      <c r="AY192" s="85"/>
    </row>
    <row r="193" spans="1:51" s="24" customFormat="1" x14ac:dyDescent="0.25">
      <c r="A193" s="23"/>
      <c r="B193" s="2"/>
      <c r="C193" t="s">
        <v>265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3">
        <f t="shared" si="311"/>
        <v>0</v>
      </c>
      <c r="AS193" s="25"/>
      <c r="AT193" s="8">
        <f>IF(AR193=0,0,+AR193/PassVol!AR346)</f>
        <v>0</v>
      </c>
      <c r="AU193" s="60">
        <v>0</v>
      </c>
      <c r="AV193" s="3"/>
      <c r="AW193" s="81">
        <f t="shared" ref="AW193:AW207" si="312">IF(AV193=0,0,+(AR193-AV193)/AV193)</f>
        <v>0</v>
      </c>
      <c r="AX193" s="82"/>
      <c r="AY193" s="85"/>
    </row>
    <row r="194" spans="1:51" s="24" customFormat="1" x14ac:dyDescent="0.25">
      <c r="A194" s="23"/>
      <c r="B194" s="2"/>
      <c r="C194" t="s">
        <v>191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3">
        <f t="shared" si="311"/>
        <v>0</v>
      </c>
      <c r="AS194" s="25"/>
      <c r="AT194" s="8">
        <f>IF(AR194=0,0,+AR194/PassVol!AR347)</f>
        <v>0</v>
      </c>
      <c r="AU194" s="60">
        <v>0</v>
      </c>
      <c r="AV194" s="3"/>
      <c r="AW194" s="81">
        <f t="shared" si="312"/>
        <v>0</v>
      </c>
      <c r="AX194" s="82"/>
      <c r="AY194" s="85"/>
    </row>
    <row r="195" spans="1:51" s="24" customFormat="1" x14ac:dyDescent="0.25">
      <c r="A195" s="23"/>
      <c r="B195" s="2"/>
      <c r="C195" t="s">
        <v>549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3">
        <f t="shared" si="311"/>
        <v>0</v>
      </c>
      <c r="AS195" s="25"/>
      <c r="AT195" s="8">
        <f>IF(AR195=0,0,+AR195/PassVol!AR348)</f>
        <v>0</v>
      </c>
      <c r="AU195" s="60">
        <v>0</v>
      </c>
      <c r="AV195" s="3"/>
      <c r="AW195" s="81">
        <f t="shared" si="312"/>
        <v>0</v>
      </c>
      <c r="AX195" s="82"/>
      <c r="AY195" s="85"/>
    </row>
    <row r="196" spans="1:51" s="24" customFormat="1" x14ac:dyDescent="0.25">
      <c r="A196" s="23"/>
      <c r="B196" s="2"/>
      <c r="C196" t="s">
        <v>550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3">
        <f t="shared" si="311"/>
        <v>0</v>
      </c>
      <c r="AS196" s="25"/>
      <c r="AT196" s="8">
        <f>IF(AR196=0,0,+AR196/PassVol!AR349)</f>
        <v>0</v>
      </c>
      <c r="AU196" s="60">
        <v>0</v>
      </c>
      <c r="AV196" s="3"/>
      <c r="AW196" s="81">
        <f t="shared" si="312"/>
        <v>0</v>
      </c>
      <c r="AX196" s="82"/>
      <c r="AY196" s="85"/>
    </row>
    <row r="197" spans="1:51" s="24" customFormat="1" x14ac:dyDescent="0.25">
      <c r="A197" s="23"/>
      <c r="B197" s="2"/>
      <c r="C197" t="s">
        <v>6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3">
        <f t="shared" si="311"/>
        <v>0</v>
      </c>
      <c r="AS197" s="25"/>
      <c r="AT197" s="8">
        <f>IF(AR197=0,0,+AR197/PassVol!AR350)</f>
        <v>0</v>
      </c>
      <c r="AU197" s="60">
        <v>0</v>
      </c>
      <c r="AV197" s="3"/>
      <c r="AW197" s="81">
        <f t="shared" si="312"/>
        <v>0</v>
      </c>
      <c r="AX197" s="82"/>
      <c r="AY197" s="85"/>
    </row>
    <row r="198" spans="1:51" s="24" customFormat="1" x14ac:dyDescent="0.25">
      <c r="A198" s="23"/>
      <c r="B198" s="2"/>
      <c r="C198" t="s">
        <v>262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3">
        <f t="shared" si="311"/>
        <v>0</v>
      </c>
      <c r="AS198" s="25"/>
      <c r="AT198" s="8">
        <f>IF(AR198=0,0,+AR198/PassVol!AR351)</f>
        <v>0</v>
      </c>
      <c r="AU198" s="60">
        <v>0</v>
      </c>
      <c r="AV198" s="3"/>
      <c r="AW198" s="81">
        <f t="shared" si="312"/>
        <v>0</v>
      </c>
      <c r="AX198" s="82"/>
      <c r="AY198" s="85"/>
    </row>
    <row r="199" spans="1:51" s="24" customFormat="1" x14ac:dyDescent="0.25">
      <c r="A199" s="23"/>
      <c r="B199" s="2"/>
      <c r="C199" t="s">
        <v>42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3">
        <f t="shared" si="311"/>
        <v>0</v>
      </c>
      <c r="AS199" s="25"/>
      <c r="AT199" s="8">
        <f>IF(AR199=0,0,+AR199/PassVol!AR352)</f>
        <v>0</v>
      </c>
      <c r="AU199" s="60">
        <v>0</v>
      </c>
      <c r="AV199" s="3"/>
      <c r="AW199" s="81">
        <f t="shared" si="312"/>
        <v>0</v>
      </c>
      <c r="AX199" s="82"/>
      <c r="AY199" s="85"/>
    </row>
    <row r="200" spans="1:51" s="24" customFormat="1" x14ac:dyDescent="0.25">
      <c r="A200" s="23"/>
      <c r="B200" s="2"/>
      <c r="C200" t="s">
        <v>192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3">
        <f t="shared" si="311"/>
        <v>0</v>
      </c>
      <c r="AS200" s="25"/>
      <c r="AT200" s="8">
        <f>IF(AR200=0,0,+AR200/PassVol!AR353)</f>
        <v>0</v>
      </c>
      <c r="AU200" s="60">
        <v>0</v>
      </c>
      <c r="AV200" s="3"/>
      <c r="AW200" s="81">
        <f t="shared" si="312"/>
        <v>0</v>
      </c>
      <c r="AX200" s="82"/>
      <c r="AY200" s="85"/>
    </row>
    <row r="201" spans="1:51" s="24" customFormat="1" x14ac:dyDescent="0.25">
      <c r="A201" s="23"/>
      <c r="B201" s="2"/>
      <c r="C201" t="s">
        <v>133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3">
        <f t="shared" si="311"/>
        <v>0</v>
      </c>
      <c r="AS201" s="25"/>
      <c r="AT201" s="8">
        <f>IF(AR201=0,0,+AR201/PassVol!AR354)</f>
        <v>0</v>
      </c>
      <c r="AU201" s="60">
        <v>0</v>
      </c>
      <c r="AV201" s="3"/>
      <c r="AW201" s="81">
        <f t="shared" si="312"/>
        <v>0</v>
      </c>
      <c r="AX201" s="82"/>
      <c r="AY201" s="85"/>
    </row>
    <row r="202" spans="1:51" s="24" customFormat="1" x14ac:dyDescent="0.25">
      <c r="A202" s="23"/>
      <c r="B202" s="2"/>
      <c r="C202" t="s">
        <v>41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3">
        <f t="shared" si="311"/>
        <v>0</v>
      </c>
      <c r="AS202" s="25"/>
      <c r="AT202" s="8">
        <f>IF(AR202=0,0,+AR202/PassVol!AR355)</f>
        <v>0</v>
      </c>
      <c r="AU202" s="60">
        <v>0</v>
      </c>
      <c r="AV202" s="3"/>
      <c r="AW202" s="81">
        <f t="shared" si="312"/>
        <v>0</v>
      </c>
      <c r="AX202" s="82"/>
      <c r="AY202" s="85"/>
    </row>
    <row r="203" spans="1:51" s="24" customFormat="1" x14ac:dyDescent="0.25">
      <c r="A203" s="23"/>
      <c r="B203" s="2"/>
      <c r="C203" t="s">
        <v>193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3">
        <f t="shared" si="311"/>
        <v>0</v>
      </c>
      <c r="AS203" s="25"/>
      <c r="AT203" s="8">
        <f>IF(AR203=0,0,+AR203/PassVol!AR356)</f>
        <v>0</v>
      </c>
      <c r="AU203" s="60">
        <v>0</v>
      </c>
      <c r="AV203" s="3"/>
      <c r="AW203" s="81">
        <f t="shared" si="312"/>
        <v>0</v>
      </c>
      <c r="AX203" s="82"/>
      <c r="AY203" s="85"/>
    </row>
    <row r="204" spans="1:51" s="24" customFormat="1" x14ac:dyDescent="0.25">
      <c r="A204" s="23"/>
      <c r="B204" s="2"/>
      <c r="C204" t="s">
        <v>297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3">
        <f t="shared" si="311"/>
        <v>0</v>
      </c>
      <c r="AS204" s="25"/>
      <c r="AT204" s="8">
        <f>IF(AR204=0,0,+AR204/PassVol!AR357)</f>
        <v>0</v>
      </c>
      <c r="AU204" s="60">
        <v>0</v>
      </c>
      <c r="AV204" s="3"/>
      <c r="AW204" s="81">
        <f t="shared" si="312"/>
        <v>0</v>
      </c>
      <c r="AX204" s="82"/>
      <c r="AY204" s="85"/>
    </row>
    <row r="205" spans="1:51" s="24" customFormat="1" x14ac:dyDescent="0.25">
      <c r="A205" s="23"/>
      <c r="B205" s="2"/>
      <c r="C205" t="s">
        <v>296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3">
        <f t="shared" si="311"/>
        <v>0</v>
      </c>
      <c r="AS205" s="25"/>
      <c r="AT205" s="8">
        <f>IF(AR205=0,0,+AR205/PassVol!AR358)</f>
        <v>0</v>
      </c>
      <c r="AU205" s="60">
        <v>0</v>
      </c>
      <c r="AV205" s="3"/>
      <c r="AW205" s="81">
        <f t="shared" si="312"/>
        <v>0</v>
      </c>
      <c r="AX205" s="82"/>
      <c r="AY205" s="85"/>
    </row>
    <row r="206" spans="1:51" s="24" customFormat="1" x14ac:dyDescent="0.25">
      <c r="A206" s="23"/>
      <c r="B206" s="2"/>
      <c r="C206" t="s">
        <v>44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3">
        <f t="shared" si="311"/>
        <v>0</v>
      </c>
      <c r="AS206" s="25"/>
      <c r="AT206" s="8">
        <f>IF(AR206=0,0,+AR206/PassVol!AR359)</f>
        <v>0</v>
      </c>
      <c r="AU206" s="60">
        <v>0</v>
      </c>
      <c r="AV206" s="3"/>
      <c r="AW206" s="81">
        <f t="shared" si="312"/>
        <v>0</v>
      </c>
      <c r="AX206" s="82"/>
      <c r="AY206" s="85"/>
    </row>
    <row r="207" spans="1:51" s="24" customFormat="1" x14ac:dyDescent="0.25">
      <c r="A207" s="23"/>
      <c r="B207" s="2" t="s">
        <v>428</v>
      </c>
      <c r="C207" s="2"/>
      <c r="D207" s="3">
        <f>SUM(D188:D206)</f>
        <v>0</v>
      </c>
      <c r="E207" s="3">
        <f t="shared" ref="E207:J207" si="313">SUM(E188:E206)</f>
        <v>0</v>
      </c>
      <c r="F207" s="3">
        <f t="shared" si="313"/>
        <v>0</v>
      </c>
      <c r="G207" s="3">
        <f t="shared" si="313"/>
        <v>0</v>
      </c>
      <c r="H207" s="3">
        <f t="shared" si="313"/>
        <v>0</v>
      </c>
      <c r="I207" s="3">
        <f t="shared" si="313"/>
        <v>0</v>
      </c>
      <c r="J207" s="3">
        <f t="shared" si="313"/>
        <v>0</v>
      </c>
      <c r="K207" s="3">
        <f t="shared" ref="K207:AR207" si="314">SUM(K188:K206)</f>
        <v>0</v>
      </c>
      <c r="L207" s="3">
        <f t="shared" si="314"/>
        <v>0</v>
      </c>
      <c r="M207" s="3">
        <f t="shared" si="314"/>
        <v>0</v>
      </c>
      <c r="N207" s="3">
        <f t="shared" si="314"/>
        <v>0</v>
      </c>
      <c r="O207" s="3">
        <f t="shared" si="314"/>
        <v>0</v>
      </c>
      <c r="P207" s="3">
        <f t="shared" si="314"/>
        <v>0</v>
      </c>
      <c r="Q207" s="3">
        <f t="shared" si="314"/>
        <v>0</v>
      </c>
      <c r="R207" s="3">
        <f t="shared" si="314"/>
        <v>0</v>
      </c>
      <c r="S207" s="3">
        <f t="shared" si="314"/>
        <v>0</v>
      </c>
      <c r="T207" s="3">
        <f t="shared" si="314"/>
        <v>0</v>
      </c>
      <c r="U207" s="3">
        <f t="shared" si="314"/>
        <v>0</v>
      </c>
      <c r="V207" s="3">
        <f t="shared" si="314"/>
        <v>0</v>
      </c>
      <c r="W207" s="3">
        <f t="shared" si="314"/>
        <v>0</v>
      </c>
      <c r="X207" s="3">
        <f t="shared" si="314"/>
        <v>0</v>
      </c>
      <c r="Y207" s="3">
        <f t="shared" si="314"/>
        <v>0</v>
      </c>
      <c r="Z207" s="3">
        <f t="shared" si="314"/>
        <v>0</v>
      </c>
      <c r="AA207" s="3">
        <f t="shared" si="314"/>
        <v>0</v>
      </c>
      <c r="AB207" s="3">
        <f t="shared" si="314"/>
        <v>0</v>
      </c>
      <c r="AC207" s="3">
        <f t="shared" si="314"/>
        <v>0</v>
      </c>
      <c r="AD207" s="3">
        <f t="shared" si="314"/>
        <v>0</v>
      </c>
      <c r="AE207" s="3">
        <f t="shared" si="314"/>
        <v>0</v>
      </c>
      <c r="AF207" s="3">
        <f t="shared" si="314"/>
        <v>0</v>
      </c>
      <c r="AG207" s="3">
        <f t="shared" si="314"/>
        <v>0</v>
      </c>
      <c r="AH207" s="3">
        <f t="shared" si="314"/>
        <v>0</v>
      </c>
      <c r="AI207" s="3">
        <f t="shared" si="314"/>
        <v>0</v>
      </c>
      <c r="AJ207" s="3">
        <f t="shared" si="314"/>
        <v>0</v>
      </c>
      <c r="AK207" s="3">
        <f t="shared" si="314"/>
        <v>0</v>
      </c>
      <c r="AL207" s="3">
        <f t="shared" si="314"/>
        <v>0</v>
      </c>
      <c r="AM207" s="3">
        <f t="shared" si="314"/>
        <v>0</v>
      </c>
      <c r="AN207" s="3">
        <f t="shared" si="314"/>
        <v>0</v>
      </c>
      <c r="AO207" s="3">
        <f t="shared" si="314"/>
        <v>0</v>
      </c>
      <c r="AP207" s="3">
        <f t="shared" si="314"/>
        <v>0</v>
      </c>
      <c r="AQ207" s="3">
        <f t="shared" si="314"/>
        <v>0</v>
      </c>
      <c r="AR207" s="3">
        <f t="shared" si="314"/>
        <v>0</v>
      </c>
      <c r="AS207" s="25"/>
      <c r="AT207" s="9">
        <f>IF(AR207=0,0,+AR207/PassVol!AR360)</f>
        <v>0</v>
      </c>
      <c r="AU207" s="60"/>
      <c r="AV207" s="3">
        <f>SUM(AV188:AV206)</f>
        <v>0</v>
      </c>
      <c r="AW207" s="81">
        <f t="shared" si="312"/>
        <v>0</v>
      </c>
      <c r="AX207" s="83"/>
      <c r="AY207" s="86"/>
    </row>
    <row r="208" spans="1:51" s="24" customFormat="1" x14ac:dyDescent="0.25">
      <c r="A208" s="23"/>
      <c r="B208" s="23"/>
      <c r="C208" s="27" t="s">
        <v>102</v>
      </c>
      <c r="D208" s="25">
        <f>+D207</f>
        <v>0</v>
      </c>
      <c r="E208" s="25">
        <f>+D208+E207</f>
        <v>0</v>
      </c>
      <c r="F208" s="25">
        <f t="shared" ref="F208" si="315">+E208+F207</f>
        <v>0</v>
      </c>
      <c r="G208" s="25">
        <f t="shared" ref="G208" si="316">+F208+G207</f>
        <v>0</v>
      </c>
      <c r="H208" s="25">
        <f t="shared" ref="H208" si="317">+G208+H207</f>
        <v>0</v>
      </c>
      <c r="I208" s="25">
        <f t="shared" ref="I208" si="318">+H208+I207</f>
        <v>0</v>
      </c>
      <c r="J208" s="25">
        <f t="shared" ref="J208" si="319">+I208+J207</f>
        <v>0</v>
      </c>
      <c r="K208" s="25">
        <f t="shared" ref="K208" si="320">+J208+K207</f>
        <v>0</v>
      </c>
      <c r="L208" s="25">
        <f t="shared" ref="L208" si="321">+K208+L207</f>
        <v>0</v>
      </c>
      <c r="M208" s="25">
        <f t="shared" ref="M208" si="322">+L208+M207</f>
        <v>0</v>
      </c>
      <c r="N208" s="25">
        <f t="shared" ref="N208" si="323">+M208+N207</f>
        <v>0</v>
      </c>
      <c r="O208" s="25">
        <f t="shared" ref="O208" si="324">+N208+O207</f>
        <v>0</v>
      </c>
      <c r="P208" s="25">
        <f t="shared" ref="P208" si="325">+O208+P207</f>
        <v>0</v>
      </c>
      <c r="Q208" s="25">
        <f t="shared" ref="Q208" si="326">+P208+Q207</f>
        <v>0</v>
      </c>
      <c r="R208" s="25">
        <f t="shared" ref="R208" si="327">+Q208+R207</f>
        <v>0</v>
      </c>
      <c r="S208" s="25">
        <f t="shared" ref="S208" si="328">+R208+S207</f>
        <v>0</v>
      </c>
      <c r="T208" s="25">
        <f t="shared" ref="T208" si="329">+S208+T207</f>
        <v>0</v>
      </c>
      <c r="U208" s="25">
        <f t="shared" ref="U208" si="330">+T208+U207</f>
        <v>0</v>
      </c>
      <c r="V208" s="25">
        <f t="shared" ref="V208" si="331">+U208+V207</f>
        <v>0</v>
      </c>
      <c r="W208" s="25">
        <f t="shared" ref="W208" si="332">+V208+W207</f>
        <v>0</v>
      </c>
      <c r="X208" s="25">
        <f t="shared" ref="X208" si="333">+W208+X207</f>
        <v>0</v>
      </c>
      <c r="Y208" s="25">
        <f t="shared" ref="Y208" si="334">+X208+Y207</f>
        <v>0</v>
      </c>
      <c r="Z208" s="25">
        <f t="shared" ref="Z208" si="335">+Y208+Z207</f>
        <v>0</v>
      </c>
      <c r="AA208" s="25">
        <f t="shared" ref="AA208" si="336">+Z208+AA207</f>
        <v>0</v>
      </c>
      <c r="AB208" s="25">
        <f t="shared" ref="AB208" si="337">+AA208+AB207</f>
        <v>0</v>
      </c>
      <c r="AC208" s="25">
        <f t="shared" ref="AC208" si="338">+AB208+AC207</f>
        <v>0</v>
      </c>
      <c r="AD208" s="25">
        <f t="shared" ref="AD208" si="339">+AC208+AD207</f>
        <v>0</v>
      </c>
      <c r="AE208" s="25">
        <f t="shared" ref="AE208" si="340">+AD208+AE207</f>
        <v>0</v>
      </c>
      <c r="AF208" s="25">
        <f t="shared" ref="AF208" si="341">+AE208+AF207</f>
        <v>0</v>
      </c>
      <c r="AG208" s="25">
        <f t="shared" ref="AG208" si="342">+AF208+AG207</f>
        <v>0</v>
      </c>
      <c r="AH208" s="25">
        <f t="shared" ref="AH208" si="343">+AG208+AH207</f>
        <v>0</v>
      </c>
      <c r="AI208" s="25">
        <f t="shared" ref="AI208" si="344">+AH208+AI207</f>
        <v>0</v>
      </c>
      <c r="AJ208" s="25">
        <f t="shared" ref="AJ208" si="345">+AI208+AJ207</f>
        <v>0</v>
      </c>
      <c r="AK208" s="25">
        <f t="shared" ref="AK208" si="346">+AJ208+AK207</f>
        <v>0</v>
      </c>
      <c r="AL208" s="25">
        <f t="shared" ref="AL208" si="347">+AK208+AL207</f>
        <v>0</v>
      </c>
      <c r="AM208" s="25">
        <f t="shared" ref="AM208" si="348">+AL208+AM207</f>
        <v>0</v>
      </c>
      <c r="AN208" s="25">
        <f t="shared" ref="AN208" si="349">+AM208+AN207</f>
        <v>0</v>
      </c>
      <c r="AO208" s="25">
        <f t="shared" ref="AO208" si="350">+AN208+AO207</f>
        <v>0</v>
      </c>
      <c r="AP208" s="25">
        <f t="shared" ref="AP208" si="351">+AO208+AP207</f>
        <v>0</v>
      </c>
      <c r="AQ208" s="25">
        <f t="shared" ref="AQ208" si="352">+AP208+AQ207</f>
        <v>0</v>
      </c>
      <c r="AR208" s="49"/>
      <c r="AS208" s="25"/>
      <c r="AT208" s="26"/>
      <c r="AU208" s="60"/>
    </row>
    <row r="209" spans="1:51" s="24" customFormat="1" x14ac:dyDescent="0.25">
      <c r="A209" s="23"/>
      <c r="B209" s="23"/>
      <c r="C209" s="27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49"/>
      <c r="AS209" s="25"/>
      <c r="AT209" s="26"/>
      <c r="AU209" s="60"/>
    </row>
    <row r="210" spans="1:51" s="24" customFormat="1" x14ac:dyDescent="0.25">
      <c r="A210" s="23"/>
      <c r="B210" s="2" t="s">
        <v>395</v>
      </c>
      <c r="C210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49"/>
      <c r="AS210" s="25"/>
      <c r="AT210" s="26"/>
      <c r="AU210" s="60"/>
    </row>
    <row r="211" spans="1:51" s="24" customFormat="1" x14ac:dyDescent="0.25">
      <c r="A211" s="23"/>
      <c r="B211" s="2"/>
      <c r="C211" t="s">
        <v>190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>
        <v>45.6</v>
      </c>
      <c r="V211" s="1">
        <v>250.8</v>
      </c>
      <c r="W211" s="1">
        <v>342</v>
      </c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3">
        <f>SUM(D211:AQ211)</f>
        <v>638.40000000000009</v>
      </c>
      <c r="AS211" s="25"/>
      <c r="AT211" s="8">
        <f>IF(AR211=0,0,+AR211/PassVol!AR365)</f>
        <v>11.400000000000002</v>
      </c>
      <c r="AU211" s="60">
        <v>11.4</v>
      </c>
      <c r="AV211" s="3"/>
      <c r="AW211" s="81">
        <f>IF(AV211=0,0,+(AR211-AV211)/AV211)</f>
        <v>0</v>
      </c>
      <c r="AX211" s="82"/>
      <c r="AY211" s="84"/>
    </row>
    <row r="212" spans="1:51" s="24" customFormat="1" x14ac:dyDescent="0.25">
      <c r="A212" s="23"/>
      <c r="B212" s="2"/>
      <c r="C212" t="s">
        <v>424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>
        <v>1932</v>
      </c>
      <c r="V212" s="1"/>
      <c r="W212" s="1">
        <v>312</v>
      </c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3">
        <f>SUM(D212:AQ212)</f>
        <v>2244</v>
      </c>
      <c r="AS212" s="25"/>
      <c r="AT212" s="8">
        <f>IF(AR212=0,0,+AR212/PassVol!AR366)</f>
        <v>12</v>
      </c>
      <c r="AU212" s="60">
        <v>12</v>
      </c>
      <c r="AV212" s="3"/>
      <c r="AW212" s="81"/>
      <c r="AX212" s="82"/>
      <c r="AY212" s="85"/>
    </row>
    <row r="213" spans="1:51" s="24" customFormat="1" x14ac:dyDescent="0.25">
      <c r="A213" s="23"/>
      <c r="B213" s="2"/>
      <c r="C213" t="s">
        <v>347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>
        <v>2736</v>
      </c>
      <c r="V213" s="1">
        <v>120</v>
      </c>
      <c r="W213" s="1">
        <v>96</v>
      </c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3">
        <f t="shared" ref="AR213:AR229" si="353">SUM(D213:AQ213)</f>
        <v>2952</v>
      </c>
      <c r="AS213" s="25"/>
      <c r="AT213" s="8">
        <f>IF(AR213=0,0,+AR213/PassVol!AR367)</f>
        <v>12</v>
      </c>
      <c r="AU213" s="60">
        <v>12</v>
      </c>
      <c r="AV213" s="3"/>
      <c r="AW213" s="81">
        <f>IF(AV213=0,0,+(AR213-AV213)/AV213)</f>
        <v>0</v>
      </c>
      <c r="AX213" s="82"/>
      <c r="AY213" s="85"/>
    </row>
    <row r="214" spans="1:51" s="24" customFormat="1" x14ac:dyDescent="0.25">
      <c r="A214" s="23"/>
      <c r="B214" s="2"/>
      <c r="C214" t="s">
        <v>0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3">
        <f t="shared" si="353"/>
        <v>0</v>
      </c>
      <c r="AS214" s="25"/>
      <c r="AT214" s="8">
        <f>IF(AR214=0,0,+AR214/PassVol!AR368)</f>
        <v>0</v>
      </c>
      <c r="AU214" s="60">
        <v>0</v>
      </c>
      <c r="AV214" s="3"/>
      <c r="AW214" s="81">
        <f>IF(AV214=0,0,+(AR214-AV214)/AV214)</f>
        <v>0</v>
      </c>
      <c r="AX214" s="82"/>
      <c r="AY214" s="85"/>
    </row>
    <row r="215" spans="1:51" s="24" customFormat="1" x14ac:dyDescent="0.25">
      <c r="A215" s="23"/>
      <c r="B215" s="2"/>
      <c r="C215" t="s">
        <v>354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3">
        <f t="shared" si="353"/>
        <v>0</v>
      </c>
      <c r="AS215" s="25"/>
      <c r="AT215" s="8">
        <f>IF(AR215=0,0,+AR215/PassVol!AR369)</f>
        <v>0</v>
      </c>
      <c r="AU215" s="60">
        <v>12</v>
      </c>
      <c r="AV215" s="3"/>
      <c r="AW215" t="s">
        <v>373</v>
      </c>
      <c r="AX215" s="82"/>
      <c r="AY215" s="85"/>
    </row>
    <row r="216" spans="1:51" s="24" customFormat="1" x14ac:dyDescent="0.25">
      <c r="A216" s="23"/>
      <c r="B216" s="2"/>
      <c r="C216" t="s">
        <v>265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>
        <v>912</v>
      </c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3">
        <f t="shared" si="353"/>
        <v>912</v>
      </c>
      <c r="AS216" s="25"/>
      <c r="AT216" s="8">
        <f>IF(AR216=0,0,+AR216/PassVol!AR370)</f>
        <v>11.4</v>
      </c>
      <c r="AU216" s="60">
        <v>11.4</v>
      </c>
      <c r="AV216" s="3"/>
      <c r="AW216" s="81">
        <f t="shared" ref="AW216:AW229" si="354">IF(AV216=0,0,+(AR216-AV216)/AV216)</f>
        <v>0</v>
      </c>
      <c r="AX216" s="82"/>
      <c r="AY216" s="85"/>
    </row>
    <row r="217" spans="1:51" s="24" customFormat="1" x14ac:dyDescent="0.25">
      <c r="A217" s="23"/>
      <c r="B217" s="2"/>
      <c r="C217" t="s">
        <v>191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>
        <v>4468.8</v>
      </c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3">
        <f t="shared" si="353"/>
        <v>4468.8</v>
      </c>
      <c r="AS217" s="25"/>
      <c r="AT217" s="8">
        <f>IF(AR217=0,0,+AR217/PassVol!AR371)</f>
        <v>11.4</v>
      </c>
      <c r="AU217" s="60">
        <v>11.4</v>
      </c>
      <c r="AV217" s="3"/>
      <c r="AW217" s="81">
        <f t="shared" si="354"/>
        <v>0</v>
      </c>
      <c r="AX217" s="82"/>
      <c r="AY217" s="85"/>
    </row>
    <row r="218" spans="1:51" s="24" customFormat="1" x14ac:dyDescent="0.25">
      <c r="A218" s="23"/>
      <c r="B218" s="2"/>
      <c r="C218" t="s">
        <v>549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3">
        <f t="shared" si="353"/>
        <v>0</v>
      </c>
      <c r="AS218" s="25"/>
      <c r="AT218" s="8">
        <f>IF(AR218=0,0,+AR218/PassVol!AR372)</f>
        <v>0</v>
      </c>
      <c r="AU218" s="60">
        <v>12</v>
      </c>
      <c r="AV218" s="3"/>
      <c r="AW218" s="81">
        <f t="shared" si="354"/>
        <v>0</v>
      </c>
      <c r="AX218" s="82"/>
      <c r="AY218" s="85"/>
    </row>
    <row r="219" spans="1:51" s="24" customFormat="1" x14ac:dyDescent="0.25">
      <c r="A219" s="23"/>
      <c r="B219" s="2"/>
      <c r="C219" t="s">
        <v>550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3">
        <f t="shared" si="353"/>
        <v>0</v>
      </c>
      <c r="AS219" s="25"/>
      <c r="AT219" s="8">
        <f>IF(AR219=0,0,+AR219/PassVol!AR373)</f>
        <v>0</v>
      </c>
      <c r="AU219" s="60">
        <v>12</v>
      </c>
      <c r="AV219" s="3"/>
      <c r="AW219" s="81">
        <f t="shared" si="354"/>
        <v>0</v>
      </c>
      <c r="AX219" s="82"/>
      <c r="AY219" s="85"/>
    </row>
    <row r="220" spans="1:51" s="24" customFormat="1" x14ac:dyDescent="0.25">
      <c r="A220" s="23"/>
      <c r="B220" s="2"/>
      <c r="C220" t="s">
        <v>6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>
        <v>1794</v>
      </c>
      <c r="U220" s="1"/>
      <c r="V220" s="1">
        <v>2070</v>
      </c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3">
        <f t="shared" si="353"/>
        <v>3864</v>
      </c>
      <c r="AS220" s="25"/>
      <c r="AT220" s="8">
        <f>IF(AR220=0,0,+AR220/PassVol!AR374)</f>
        <v>9.1999999999999993</v>
      </c>
      <c r="AU220" s="60">
        <v>9.1999999999999993</v>
      </c>
      <c r="AV220" s="3"/>
      <c r="AW220" s="81">
        <f t="shared" si="354"/>
        <v>0</v>
      </c>
      <c r="AX220" s="82"/>
      <c r="AY220" s="85"/>
    </row>
    <row r="221" spans="1:51" s="24" customFormat="1" x14ac:dyDescent="0.25">
      <c r="A221" s="23"/>
      <c r="B221" s="2"/>
      <c r="C221" t="s">
        <v>262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3">
        <f t="shared" si="353"/>
        <v>0</v>
      </c>
      <c r="AS221" s="25"/>
      <c r="AT221" s="8">
        <f>IF(AR221=0,0,+AR221/PassVol!AR375)</f>
        <v>0</v>
      </c>
      <c r="AU221" s="60">
        <v>12</v>
      </c>
      <c r="AV221" s="3"/>
      <c r="AW221" s="81">
        <f t="shared" si="354"/>
        <v>0</v>
      </c>
      <c r="AX221" s="82"/>
      <c r="AY221" s="85"/>
    </row>
    <row r="222" spans="1:51" s="24" customFormat="1" x14ac:dyDescent="0.25">
      <c r="A222" s="23"/>
      <c r="B222" s="2"/>
      <c r="C222" t="s">
        <v>42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>
        <v>3465.6</v>
      </c>
      <c r="V222" s="1"/>
      <c r="W222" s="1">
        <v>102.6</v>
      </c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3">
        <f t="shared" si="353"/>
        <v>3568.2</v>
      </c>
      <c r="AS222" s="25"/>
      <c r="AT222" s="8">
        <f>IF(AR222=0,0,+AR222/PassVol!AR376)</f>
        <v>11.399999999999999</v>
      </c>
      <c r="AU222" s="60">
        <v>11.4</v>
      </c>
      <c r="AV222" s="3"/>
      <c r="AW222" s="81">
        <f t="shared" si="354"/>
        <v>0</v>
      </c>
      <c r="AX222" s="82"/>
      <c r="AY222" s="85"/>
    </row>
    <row r="223" spans="1:51" s="24" customFormat="1" x14ac:dyDescent="0.25">
      <c r="A223" s="23"/>
      <c r="B223" s="2"/>
      <c r="C223" t="s">
        <v>192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>
        <v>3807.6</v>
      </c>
      <c r="V223" s="1"/>
      <c r="W223" s="1">
        <v>250.8</v>
      </c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3">
        <f t="shared" si="353"/>
        <v>4058.4</v>
      </c>
      <c r="AS223" s="25"/>
      <c r="AT223" s="8">
        <f>IF(AR223=0,0,+AR223/PassVol!AR377)</f>
        <v>11.4</v>
      </c>
      <c r="AU223" s="60">
        <v>11.4</v>
      </c>
      <c r="AV223" s="3"/>
      <c r="AW223" s="81">
        <f t="shared" si="354"/>
        <v>0</v>
      </c>
      <c r="AX223" s="82"/>
      <c r="AY223" s="85"/>
    </row>
    <row r="224" spans="1:51" s="24" customFormat="1" x14ac:dyDescent="0.25">
      <c r="A224" s="23"/>
      <c r="B224" s="2"/>
      <c r="C224" t="s">
        <v>133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>
        <v>84</v>
      </c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3">
        <f t="shared" si="353"/>
        <v>84</v>
      </c>
      <c r="AS224" s="25"/>
      <c r="AT224" s="8">
        <f>IF(AR224=0,0,+AR224/PassVol!AR378)</f>
        <v>12</v>
      </c>
      <c r="AU224" s="60">
        <v>12</v>
      </c>
      <c r="AV224" s="3"/>
      <c r="AW224" s="81">
        <f t="shared" si="354"/>
        <v>0</v>
      </c>
      <c r="AX224" s="82"/>
      <c r="AY224" s="85"/>
    </row>
    <row r="225" spans="1:51" s="24" customFormat="1" x14ac:dyDescent="0.25">
      <c r="A225" s="23"/>
      <c r="B225" s="2"/>
      <c r="C225" t="s">
        <v>41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>
        <v>8196</v>
      </c>
      <c r="V225" s="1"/>
      <c r="W225" s="1">
        <v>2556</v>
      </c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3">
        <f t="shared" si="353"/>
        <v>10752</v>
      </c>
      <c r="AS225" s="25"/>
      <c r="AT225" s="8">
        <f>IF(AR225=0,0,+AR225/PassVol!AR379)</f>
        <v>12</v>
      </c>
      <c r="AU225" s="60">
        <v>12</v>
      </c>
      <c r="AV225" s="3"/>
      <c r="AW225" s="81">
        <f t="shared" si="354"/>
        <v>0</v>
      </c>
      <c r="AX225" s="82"/>
      <c r="AY225" s="85"/>
    </row>
    <row r="226" spans="1:51" s="24" customFormat="1" x14ac:dyDescent="0.25">
      <c r="A226" s="23"/>
      <c r="B226" s="2"/>
      <c r="C226" t="s">
        <v>193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3">
        <f t="shared" si="353"/>
        <v>0</v>
      </c>
      <c r="AS226" s="25"/>
      <c r="AT226" s="8">
        <f>IF(AR226=0,0,+AR226/PassVol!AR380)</f>
        <v>0</v>
      </c>
      <c r="AU226" s="60">
        <v>0</v>
      </c>
      <c r="AV226" s="3"/>
      <c r="AW226" s="81">
        <f t="shared" si="354"/>
        <v>0</v>
      </c>
      <c r="AX226" s="82"/>
      <c r="AY226" s="85"/>
    </row>
    <row r="227" spans="1:51" s="24" customFormat="1" x14ac:dyDescent="0.25">
      <c r="A227" s="23"/>
      <c r="B227" s="2"/>
      <c r="C227" t="s">
        <v>297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3">
        <f t="shared" si="353"/>
        <v>0</v>
      </c>
      <c r="AS227" s="25"/>
      <c r="AT227" s="8">
        <f>IF(AR227=0,0,+AR227/PassVol!AR381)</f>
        <v>0</v>
      </c>
      <c r="AU227" s="60">
        <v>0</v>
      </c>
      <c r="AV227" s="3"/>
      <c r="AW227" s="81">
        <f t="shared" si="354"/>
        <v>0</v>
      </c>
      <c r="AX227" s="82"/>
      <c r="AY227" s="85"/>
    </row>
    <row r="228" spans="1:51" s="24" customFormat="1" x14ac:dyDescent="0.25">
      <c r="A228" s="23"/>
      <c r="B228" s="2"/>
      <c r="C228" t="s">
        <v>296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>
        <v>744</v>
      </c>
      <c r="V228" s="1">
        <v>24</v>
      </c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3">
        <f t="shared" si="353"/>
        <v>768</v>
      </c>
      <c r="AS228" s="25"/>
      <c r="AT228" s="8">
        <f>IF(AR228=0,0,+AR228/PassVol!AR382)</f>
        <v>12</v>
      </c>
      <c r="AU228" s="60">
        <v>12</v>
      </c>
      <c r="AV228" s="3"/>
      <c r="AW228" s="81">
        <f t="shared" si="354"/>
        <v>0</v>
      </c>
      <c r="AX228" s="82"/>
      <c r="AY228" s="85"/>
    </row>
    <row r="229" spans="1:51" s="24" customFormat="1" x14ac:dyDescent="0.25">
      <c r="A229" s="23"/>
      <c r="B229" s="2"/>
      <c r="C229" t="s">
        <v>44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>
        <f>39387.6-26308</f>
        <v>13079.599999999999</v>
      </c>
      <c r="V229" s="1">
        <f>3436.8-2465</f>
        <v>971.80000000000018</v>
      </c>
      <c r="W229" s="1">
        <f>6371.4-3743</f>
        <v>2628.3999999999996</v>
      </c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3">
        <f t="shared" si="353"/>
        <v>16679.799999999996</v>
      </c>
      <c r="AS229" s="25"/>
      <c r="AT229" s="8">
        <f>IF(AR229=0,0,+AR229/PassVol!AR383)</f>
        <v>11.99985611510791</v>
      </c>
      <c r="AU229" s="60">
        <v>12</v>
      </c>
      <c r="AV229" s="3"/>
      <c r="AW229" s="81">
        <f t="shared" si="354"/>
        <v>0</v>
      </c>
      <c r="AX229" s="82"/>
      <c r="AY229" s="85"/>
    </row>
    <row r="230" spans="1:51" s="24" customFormat="1" x14ac:dyDescent="0.25">
      <c r="A230" s="23"/>
      <c r="B230" s="2" t="s">
        <v>396</v>
      </c>
      <c r="C230" s="2"/>
      <c r="D230" s="3">
        <f>SUM(D211:D229)</f>
        <v>0</v>
      </c>
      <c r="E230" s="3">
        <f t="shared" ref="E230:J230" si="355">SUM(E211:E229)</f>
        <v>0</v>
      </c>
      <c r="F230" s="3">
        <f t="shared" si="355"/>
        <v>0</v>
      </c>
      <c r="G230" s="3">
        <f t="shared" si="355"/>
        <v>0</v>
      </c>
      <c r="H230" s="3">
        <f t="shared" si="355"/>
        <v>0</v>
      </c>
      <c r="I230" s="3">
        <f t="shared" si="355"/>
        <v>0</v>
      </c>
      <c r="J230" s="3">
        <f t="shared" si="355"/>
        <v>0</v>
      </c>
      <c r="K230" s="3">
        <f t="shared" ref="K230:AR230" si="356">SUM(K211:K229)</f>
        <v>0</v>
      </c>
      <c r="L230" s="3">
        <f t="shared" si="356"/>
        <v>0</v>
      </c>
      <c r="M230" s="3">
        <f t="shared" si="356"/>
        <v>0</v>
      </c>
      <c r="N230" s="3">
        <f t="shared" si="356"/>
        <v>0</v>
      </c>
      <c r="O230" s="3">
        <f t="shared" si="356"/>
        <v>0</v>
      </c>
      <c r="P230" s="3">
        <f t="shared" si="356"/>
        <v>0</v>
      </c>
      <c r="Q230" s="3">
        <f t="shared" si="356"/>
        <v>0</v>
      </c>
      <c r="R230" s="3">
        <f t="shared" si="356"/>
        <v>0</v>
      </c>
      <c r="S230" s="3">
        <f t="shared" si="356"/>
        <v>0</v>
      </c>
      <c r="T230" s="3">
        <f t="shared" si="356"/>
        <v>1794</v>
      </c>
      <c r="U230" s="3">
        <f t="shared" si="356"/>
        <v>39387.199999999997</v>
      </c>
      <c r="V230" s="3">
        <f t="shared" si="356"/>
        <v>3436.6000000000004</v>
      </c>
      <c r="W230" s="3">
        <f t="shared" si="356"/>
        <v>6371.7999999999993</v>
      </c>
      <c r="X230" s="3">
        <f t="shared" si="356"/>
        <v>0</v>
      </c>
      <c r="Y230" s="3">
        <f t="shared" si="356"/>
        <v>0</v>
      </c>
      <c r="Z230" s="3">
        <f t="shared" si="356"/>
        <v>0</v>
      </c>
      <c r="AA230" s="3">
        <f t="shared" si="356"/>
        <v>0</v>
      </c>
      <c r="AB230" s="3">
        <f t="shared" si="356"/>
        <v>0</v>
      </c>
      <c r="AC230" s="3">
        <f t="shared" si="356"/>
        <v>0</v>
      </c>
      <c r="AD230" s="3">
        <f t="shared" si="356"/>
        <v>0</v>
      </c>
      <c r="AE230" s="3">
        <f t="shared" si="356"/>
        <v>0</v>
      </c>
      <c r="AF230" s="3">
        <f t="shared" si="356"/>
        <v>0</v>
      </c>
      <c r="AG230" s="3">
        <f t="shared" si="356"/>
        <v>0</v>
      </c>
      <c r="AH230" s="3">
        <f t="shared" si="356"/>
        <v>0</v>
      </c>
      <c r="AI230" s="3">
        <f t="shared" si="356"/>
        <v>0</v>
      </c>
      <c r="AJ230" s="3">
        <f t="shared" si="356"/>
        <v>0</v>
      </c>
      <c r="AK230" s="3">
        <f t="shared" si="356"/>
        <v>0</v>
      </c>
      <c r="AL230" s="3">
        <f t="shared" si="356"/>
        <v>0</v>
      </c>
      <c r="AM230" s="3">
        <f t="shared" si="356"/>
        <v>0</v>
      </c>
      <c r="AN230" s="3">
        <f t="shared" si="356"/>
        <v>0</v>
      </c>
      <c r="AO230" s="3">
        <f t="shared" si="356"/>
        <v>0</v>
      </c>
      <c r="AP230" s="3">
        <f t="shared" si="356"/>
        <v>0</v>
      </c>
      <c r="AQ230" s="3">
        <f t="shared" si="356"/>
        <v>0</v>
      </c>
      <c r="AR230" s="3">
        <f t="shared" si="356"/>
        <v>50989.599999999999</v>
      </c>
      <c r="AS230" s="25"/>
      <c r="AT230" s="9">
        <f>IF(AR230=0,0,+AR230/PassVol!AR382)</f>
        <v>796.71249999999998</v>
      </c>
      <c r="AU230" s="60"/>
      <c r="AV230" s="3">
        <f>SUM(AV211:AV229)</f>
        <v>0</v>
      </c>
      <c r="AW230" s="81">
        <f>IF(AV230=0,0,+(AR230-AV230)/AV230)</f>
        <v>0</v>
      </c>
      <c r="AX230" s="83"/>
      <c r="AY230" s="86"/>
    </row>
    <row r="231" spans="1:51" s="24" customFormat="1" x14ac:dyDescent="0.25">
      <c r="A231" s="23"/>
      <c r="B231" s="23"/>
      <c r="C231" s="27" t="s">
        <v>102</v>
      </c>
      <c r="D231" s="25">
        <f>+D230</f>
        <v>0</v>
      </c>
      <c r="E231" s="25">
        <f>+D231+E230</f>
        <v>0</v>
      </c>
      <c r="F231" s="25">
        <f t="shared" ref="F231" si="357">+E231+F230</f>
        <v>0</v>
      </c>
      <c r="G231" s="25">
        <f t="shared" ref="G231" si="358">+F231+G230</f>
        <v>0</v>
      </c>
      <c r="H231" s="25">
        <f t="shared" ref="H231" si="359">+G231+H230</f>
        <v>0</v>
      </c>
      <c r="I231" s="25">
        <f t="shared" ref="I231" si="360">+H231+I230</f>
        <v>0</v>
      </c>
      <c r="J231" s="25">
        <f t="shared" ref="J231" si="361">+I231+J230</f>
        <v>0</v>
      </c>
      <c r="K231" s="25">
        <f t="shared" ref="K231" si="362">+J231+K230</f>
        <v>0</v>
      </c>
      <c r="L231" s="25">
        <f t="shared" ref="L231" si="363">+K231+L230</f>
        <v>0</v>
      </c>
      <c r="M231" s="25">
        <f t="shared" ref="M231" si="364">+L231+M230</f>
        <v>0</v>
      </c>
      <c r="N231" s="25">
        <f t="shared" ref="N231" si="365">+M231+N230</f>
        <v>0</v>
      </c>
      <c r="O231" s="25">
        <f t="shared" ref="O231" si="366">+N231+O230</f>
        <v>0</v>
      </c>
      <c r="P231" s="25">
        <f t="shared" ref="P231" si="367">+O231+P230</f>
        <v>0</v>
      </c>
      <c r="Q231" s="25">
        <f t="shared" ref="Q231" si="368">+P231+Q230</f>
        <v>0</v>
      </c>
      <c r="R231" s="25">
        <f t="shared" ref="R231" si="369">+Q231+R230</f>
        <v>0</v>
      </c>
      <c r="S231" s="25">
        <f t="shared" ref="S231" si="370">+R231+S230</f>
        <v>0</v>
      </c>
      <c r="T231" s="25">
        <f t="shared" ref="T231" si="371">+S231+T230</f>
        <v>1794</v>
      </c>
      <c r="U231" s="25">
        <f t="shared" ref="U231" si="372">+T231+U230</f>
        <v>41181.199999999997</v>
      </c>
      <c r="V231" s="25">
        <f t="shared" ref="V231" si="373">+U231+V230</f>
        <v>44617.799999999996</v>
      </c>
      <c r="W231" s="25">
        <f t="shared" ref="W231" si="374">+V231+W230</f>
        <v>50989.599999999991</v>
      </c>
      <c r="X231" s="25">
        <f t="shared" ref="X231" si="375">+W231+X230</f>
        <v>50989.599999999991</v>
      </c>
      <c r="Y231" s="25">
        <f t="shared" ref="Y231" si="376">+X231+Y230</f>
        <v>50989.599999999991</v>
      </c>
      <c r="Z231" s="25">
        <f t="shared" ref="Z231" si="377">+Y231+Z230</f>
        <v>50989.599999999991</v>
      </c>
      <c r="AA231" s="25">
        <f t="shared" ref="AA231" si="378">+Z231+AA230</f>
        <v>50989.599999999991</v>
      </c>
      <c r="AB231" s="25">
        <f t="shared" ref="AB231" si="379">+AA231+AB230</f>
        <v>50989.599999999991</v>
      </c>
      <c r="AC231" s="25">
        <f t="shared" ref="AC231" si="380">+AB231+AC230</f>
        <v>50989.599999999991</v>
      </c>
      <c r="AD231" s="25">
        <f t="shared" ref="AD231" si="381">+AC231+AD230</f>
        <v>50989.599999999991</v>
      </c>
      <c r="AE231" s="25">
        <f t="shared" ref="AE231" si="382">+AD231+AE230</f>
        <v>50989.599999999991</v>
      </c>
      <c r="AF231" s="25">
        <f t="shared" ref="AF231" si="383">+AE231+AF230</f>
        <v>50989.599999999991</v>
      </c>
      <c r="AG231" s="25">
        <f t="shared" ref="AG231" si="384">+AF231+AG230</f>
        <v>50989.599999999991</v>
      </c>
      <c r="AH231" s="25">
        <f t="shared" ref="AH231" si="385">+AG231+AH230</f>
        <v>50989.599999999991</v>
      </c>
      <c r="AI231" s="25">
        <f t="shared" ref="AI231" si="386">+AH231+AI230</f>
        <v>50989.599999999991</v>
      </c>
      <c r="AJ231" s="25">
        <f t="shared" ref="AJ231" si="387">+AI231+AJ230</f>
        <v>50989.599999999991</v>
      </c>
      <c r="AK231" s="25">
        <f t="shared" ref="AK231" si="388">+AJ231+AK230</f>
        <v>50989.599999999991</v>
      </c>
      <c r="AL231" s="25">
        <f t="shared" ref="AL231" si="389">+AK231+AL230</f>
        <v>50989.599999999991</v>
      </c>
      <c r="AM231" s="25">
        <f t="shared" ref="AM231" si="390">+AL231+AM230</f>
        <v>50989.599999999991</v>
      </c>
      <c r="AN231" s="25">
        <f t="shared" ref="AN231" si="391">+AM231+AN230</f>
        <v>50989.599999999991</v>
      </c>
      <c r="AO231" s="25">
        <f t="shared" ref="AO231" si="392">+AN231+AO230</f>
        <v>50989.599999999991</v>
      </c>
      <c r="AP231" s="25">
        <f t="shared" ref="AP231" si="393">+AO231+AP230</f>
        <v>50989.599999999991</v>
      </c>
      <c r="AQ231" s="25">
        <f t="shared" ref="AQ231" si="394">+AP231+AQ230</f>
        <v>50989.599999999991</v>
      </c>
      <c r="AR231" s="49"/>
      <c r="AS231" s="25"/>
      <c r="AT231" s="26"/>
      <c r="AU231" s="60"/>
    </row>
    <row r="232" spans="1:51" s="24" customFormat="1" x14ac:dyDescent="0.25">
      <c r="A232" s="23"/>
      <c r="B232" s="23"/>
      <c r="C232" s="27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49"/>
      <c r="AS232" s="25"/>
      <c r="AT232" s="26"/>
      <c r="AU232" s="60"/>
    </row>
    <row r="233" spans="1:51" s="24" customFormat="1" x14ac:dyDescent="0.25">
      <c r="A233" s="23"/>
      <c r="B233" s="2" t="s">
        <v>454</v>
      </c>
      <c r="C233" s="27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49"/>
      <c r="AS233" s="25"/>
      <c r="AT233" s="26"/>
      <c r="AU233" s="60"/>
    </row>
    <row r="234" spans="1:51" s="24" customFormat="1" x14ac:dyDescent="0.25">
      <c r="A234" s="23"/>
      <c r="B234" s="23"/>
      <c r="C234" t="s">
        <v>190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3">
        <f t="shared" ref="AR234:AR252" si="395">SUM(D234:AQ234)</f>
        <v>0</v>
      </c>
      <c r="AS234" s="25"/>
      <c r="AT234" s="8">
        <f>IF(AR234=0,0,+AR234/PassVol!AR389)</f>
        <v>0</v>
      </c>
      <c r="AU234" s="60">
        <f>1.58*8</f>
        <v>12.64</v>
      </c>
    </row>
    <row r="235" spans="1:51" s="24" customFormat="1" x14ac:dyDescent="0.25">
      <c r="A235" s="23"/>
      <c r="B235" s="23"/>
      <c r="C235" t="s">
        <v>424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>
        <v>3824.64</v>
      </c>
      <c r="X235" s="1"/>
      <c r="Y235" s="1">
        <v>2523.1999999999998</v>
      </c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3">
        <f t="shared" si="395"/>
        <v>6347.84</v>
      </c>
      <c r="AS235" s="25"/>
      <c r="AT235" s="8">
        <f>IF(AR235=0,0,+AR235/PassVol!AR390)</f>
        <v>13.280000000000001</v>
      </c>
      <c r="AU235" s="60">
        <f>1.66*8</f>
        <v>13.28</v>
      </c>
    </row>
    <row r="236" spans="1:51" s="24" customFormat="1" x14ac:dyDescent="0.25">
      <c r="A236" s="23"/>
      <c r="B236" s="23"/>
      <c r="C236" t="s">
        <v>347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>
        <v>2443.52</v>
      </c>
      <c r="X236" s="1"/>
      <c r="Y236" s="1">
        <v>1328</v>
      </c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3">
        <f t="shared" si="395"/>
        <v>3771.52</v>
      </c>
      <c r="AS236" s="25"/>
      <c r="AT236" s="8">
        <f>IF(AR236=0,0,+AR236/PassVol!AR391)</f>
        <v>13.28</v>
      </c>
      <c r="AU236" s="60">
        <f>1.66*8</f>
        <v>13.28</v>
      </c>
    </row>
    <row r="237" spans="1:51" s="24" customFormat="1" x14ac:dyDescent="0.25">
      <c r="A237" s="23"/>
      <c r="B237" s="23"/>
      <c r="C237" t="s">
        <v>0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3">
        <f t="shared" si="395"/>
        <v>0</v>
      </c>
      <c r="AS237" s="25"/>
      <c r="AT237" s="8">
        <f>IF(AR237=0,0,+AR237/PassVol!AR392)</f>
        <v>0</v>
      </c>
      <c r="AU237" s="60">
        <v>0</v>
      </c>
    </row>
    <row r="238" spans="1:51" s="24" customFormat="1" x14ac:dyDescent="0.25">
      <c r="A238" s="23"/>
      <c r="B238" s="23"/>
      <c r="C238" t="s">
        <v>354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>
        <v>1593.6</v>
      </c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3">
        <f t="shared" si="395"/>
        <v>1593.6</v>
      </c>
      <c r="AS238" s="25"/>
      <c r="AT238" s="8">
        <f>IF(AR238=0,0,+AR238/PassVol!AR393)</f>
        <v>13.28</v>
      </c>
      <c r="AU238" s="60">
        <f>1.66*8</f>
        <v>13.28</v>
      </c>
    </row>
    <row r="239" spans="1:51" s="24" customFormat="1" x14ac:dyDescent="0.25">
      <c r="A239" s="23"/>
      <c r="B239" s="23"/>
      <c r="C239" t="s">
        <v>265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>
        <v>1832.8</v>
      </c>
      <c r="X239" s="1"/>
      <c r="Y239" s="1">
        <v>391.84</v>
      </c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3">
        <f t="shared" si="395"/>
        <v>2224.64</v>
      </c>
      <c r="AS239" s="25"/>
      <c r="AT239" s="8">
        <f>IF(AR239=0,0,+AR239/PassVol!AR394)</f>
        <v>12.639999999999999</v>
      </c>
      <c r="AU239" s="60">
        <f>1.58*8</f>
        <v>12.64</v>
      </c>
    </row>
    <row r="240" spans="1:51" s="24" customFormat="1" x14ac:dyDescent="0.25">
      <c r="A240" s="23"/>
      <c r="B240" s="23"/>
      <c r="C240" t="s">
        <v>191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>
        <v>6905.6</v>
      </c>
      <c r="X240" s="1"/>
      <c r="Y240" s="1">
        <v>1301.44</v>
      </c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3">
        <f t="shared" si="395"/>
        <v>8207.0400000000009</v>
      </c>
      <c r="AS240" s="25"/>
      <c r="AT240" s="8">
        <f>IF(AR240=0,0,+AR240/PassVol!AR395)</f>
        <v>13.280000000000001</v>
      </c>
      <c r="AU240" s="60">
        <f>1.66*8</f>
        <v>13.28</v>
      </c>
    </row>
    <row r="241" spans="1:47" s="24" customFormat="1" x14ac:dyDescent="0.25">
      <c r="A241" s="23"/>
      <c r="B241" s="23"/>
      <c r="C241" t="s">
        <v>549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3">
        <f t="shared" si="395"/>
        <v>0</v>
      </c>
      <c r="AS241" s="25"/>
      <c r="AT241" s="8">
        <f>IF(AR241=0,0,+AR241/PassVol!AR396)</f>
        <v>0</v>
      </c>
      <c r="AU241" s="60">
        <f>1.66*8</f>
        <v>13.28</v>
      </c>
    </row>
    <row r="242" spans="1:47" s="24" customFormat="1" x14ac:dyDescent="0.25">
      <c r="A242" s="23"/>
      <c r="B242" s="23"/>
      <c r="C242" t="s">
        <v>550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3">
        <f t="shared" si="395"/>
        <v>0</v>
      </c>
      <c r="AS242" s="25"/>
      <c r="AT242" s="8">
        <f>IF(AR242=0,0,+AR242/PassVol!AR397)</f>
        <v>0</v>
      </c>
      <c r="AU242" s="60">
        <f>1.66*8</f>
        <v>13.28</v>
      </c>
    </row>
    <row r="243" spans="1:47" s="24" customFormat="1" x14ac:dyDescent="0.25">
      <c r="A243" s="23"/>
      <c r="B243" s="23"/>
      <c r="C243" t="s">
        <v>6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3">
        <f t="shared" si="395"/>
        <v>0</v>
      </c>
      <c r="AS243" s="25"/>
      <c r="AT243" s="8">
        <f>IF(AR243=0,0,+AR243/PassVol!AR398)</f>
        <v>0</v>
      </c>
      <c r="AU243" s="60">
        <v>0</v>
      </c>
    </row>
    <row r="244" spans="1:47" s="24" customFormat="1" x14ac:dyDescent="0.25">
      <c r="A244" s="23"/>
      <c r="B244" s="23"/>
      <c r="C244" t="s">
        <v>262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3">
        <f t="shared" si="395"/>
        <v>0</v>
      </c>
      <c r="AS244" s="25"/>
      <c r="AT244" s="8">
        <f>IF(AR244=0,0,+AR244/PassVol!AR399)</f>
        <v>0</v>
      </c>
      <c r="AU244" s="60">
        <f>1.66*8</f>
        <v>13.28</v>
      </c>
    </row>
    <row r="245" spans="1:47" s="24" customFormat="1" x14ac:dyDescent="0.25">
      <c r="A245" s="23"/>
      <c r="B245" s="23"/>
      <c r="C245" t="s">
        <v>42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>
        <v>6719.68</v>
      </c>
      <c r="X245" s="1"/>
      <c r="Y245" s="1">
        <v>7569.6</v>
      </c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3">
        <f t="shared" si="395"/>
        <v>14289.28</v>
      </c>
      <c r="AS245" s="25"/>
      <c r="AT245" s="8">
        <f>IF(AR245=0,0,+AR245/PassVol!AR400)</f>
        <v>13.280000000000001</v>
      </c>
      <c r="AU245" s="60">
        <f>1.58*8</f>
        <v>12.64</v>
      </c>
    </row>
    <row r="246" spans="1:47" s="24" customFormat="1" x14ac:dyDescent="0.25">
      <c r="A246" s="23"/>
      <c r="B246" s="23"/>
      <c r="C246" t="s">
        <v>192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>
        <v>6699.2</v>
      </c>
      <c r="X246" s="1"/>
      <c r="Y246" s="1">
        <v>5308.8</v>
      </c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3">
        <f t="shared" si="395"/>
        <v>12008</v>
      </c>
      <c r="AS246" s="25"/>
      <c r="AT246" s="8">
        <f>IF(AR246=0,0,+AR246/PassVol!AR401)</f>
        <v>12.64</v>
      </c>
      <c r="AU246" s="60">
        <f>1.58*8</f>
        <v>12.64</v>
      </c>
    </row>
    <row r="247" spans="1:47" s="24" customFormat="1" x14ac:dyDescent="0.25">
      <c r="A247" s="23"/>
      <c r="B247" s="23"/>
      <c r="C247" t="s">
        <v>133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>
        <v>1062.4000000000001</v>
      </c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3">
        <f t="shared" si="395"/>
        <v>1062.4000000000001</v>
      </c>
      <c r="AS247" s="25"/>
      <c r="AT247" s="8">
        <f>IF(AR247=0,0,+AR247/PassVol!AR402)</f>
        <v>13.280000000000001</v>
      </c>
      <c r="AU247" s="60">
        <f t="shared" ref="AU247:AU248" si="396">1.66*8</f>
        <v>13.28</v>
      </c>
    </row>
    <row r="248" spans="1:47" s="24" customFormat="1" x14ac:dyDescent="0.25">
      <c r="A248" s="23"/>
      <c r="B248" s="23"/>
      <c r="C248" t="s">
        <v>41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>
        <v>7543.04</v>
      </c>
      <c r="X248" s="1"/>
      <c r="Y248" s="1">
        <v>1633.44</v>
      </c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3">
        <f t="shared" si="395"/>
        <v>9176.48</v>
      </c>
      <c r="AS248" s="25"/>
      <c r="AT248" s="8">
        <f>IF(AR248=0,0,+AR248/PassVol!AR403)</f>
        <v>13.28</v>
      </c>
      <c r="AU248" s="60">
        <f t="shared" si="396"/>
        <v>13.28</v>
      </c>
    </row>
    <row r="249" spans="1:47" s="24" customFormat="1" x14ac:dyDescent="0.25">
      <c r="A249" s="23"/>
      <c r="B249" s="23"/>
      <c r="C249" t="s">
        <v>193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3">
        <f t="shared" si="395"/>
        <v>0</v>
      </c>
      <c r="AS249" s="25"/>
      <c r="AT249" s="8">
        <f>IF(AR249=0,0,+AR249/PassVol!AR404)</f>
        <v>0</v>
      </c>
      <c r="AU249" s="60">
        <v>0</v>
      </c>
    </row>
    <row r="250" spans="1:47" s="24" customFormat="1" x14ac:dyDescent="0.25">
      <c r="A250" s="23"/>
      <c r="B250" s="23"/>
      <c r="C250" t="s">
        <v>297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3">
        <f t="shared" si="395"/>
        <v>0</v>
      </c>
      <c r="AS250" s="25"/>
      <c r="AT250" s="8">
        <f>IF(AR250=0,0,+AR250/PassVol!AR405)</f>
        <v>0</v>
      </c>
      <c r="AU250" s="60">
        <v>0</v>
      </c>
    </row>
    <row r="251" spans="1:47" s="24" customFormat="1" x14ac:dyDescent="0.25">
      <c r="A251" s="23"/>
      <c r="B251" s="23"/>
      <c r="C251" t="s">
        <v>296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>
        <v>398.4</v>
      </c>
      <c r="X251" s="1"/>
      <c r="Y251" s="1">
        <v>265.60000000000002</v>
      </c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3">
        <f t="shared" si="395"/>
        <v>664</v>
      </c>
      <c r="AS251" s="25"/>
      <c r="AT251" s="8">
        <f>IF(AR251=0,0,+AR251/PassVol!AR406)</f>
        <v>13.28</v>
      </c>
      <c r="AU251" s="60">
        <f t="shared" ref="AU251:AU252" si="397">1.66*8</f>
        <v>13.28</v>
      </c>
    </row>
    <row r="252" spans="1:47" s="24" customFormat="1" x14ac:dyDescent="0.25">
      <c r="A252" s="23"/>
      <c r="B252" s="23"/>
      <c r="C252" t="s">
        <v>44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>
        <f>49726.56-37429</f>
        <v>12297.559999999998</v>
      </c>
      <c r="X252" s="1"/>
      <c r="Y252" s="1">
        <f>28422.72-21916</f>
        <v>6506.7200000000012</v>
      </c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3">
        <f t="shared" si="395"/>
        <v>18804.28</v>
      </c>
      <c r="AS252" s="25"/>
      <c r="AT252" s="8">
        <f>IF(AR252=0,0,+AR252/PassVol!AR407)</f>
        <v>13.279858757062145</v>
      </c>
      <c r="AU252" s="60">
        <f t="shared" si="397"/>
        <v>13.28</v>
      </c>
    </row>
    <row r="253" spans="1:47" s="24" customFormat="1" x14ac:dyDescent="0.25">
      <c r="A253" s="23"/>
      <c r="B253" s="2" t="s">
        <v>455</v>
      </c>
      <c r="C253" s="2"/>
      <c r="D253" s="3">
        <f>SUM(D234:D252)</f>
        <v>0</v>
      </c>
      <c r="E253" s="3">
        <f t="shared" ref="E253:J253" si="398">SUM(E234:E252)</f>
        <v>0</v>
      </c>
      <c r="F253" s="3">
        <f t="shared" si="398"/>
        <v>0</v>
      </c>
      <c r="G253" s="3">
        <f t="shared" si="398"/>
        <v>0</v>
      </c>
      <c r="H253" s="3">
        <f t="shared" si="398"/>
        <v>0</v>
      </c>
      <c r="I253" s="3">
        <f t="shared" si="398"/>
        <v>0</v>
      </c>
      <c r="J253" s="3">
        <f t="shared" si="398"/>
        <v>0</v>
      </c>
      <c r="K253" s="3">
        <f t="shared" ref="K253:AR253" si="399">SUM(K234:K252)</f>
        <v>0</v>
      </c>
      <c r="L253" s="3">
        <f t="shared" si="399"/>
        <v>0</v>
      </c>
      <c r="M253" s="3">
        <f t="shared" si="399"/>
        <v>0</v>
      </c>
      <c r="N253" s="3">
        <f t="shared" si="399"/>
        <v>0</v>
      </c>
      <c r="O253" s="3">
        <f t="shared" si="399"/>
        <v>0</v>
      </c>
      <c r="P253" s="3">
        <f t="shared" si="399"/>
        <v>0</v>
      </c>
      <c r="Q253" s="3">
        <f t="shared" si="399"/>
        <v>0</v>
      </c>
      <c r="R253" s="3">
        <f t="shared" si="399"/>
        <v>0</v>
      </c>
      <c r="S253" s="3">
        <f t="shared" si="399"/>
        <v>0</v>
      </c>
      <c r="T253" s="3">
        <f t="shared" si="399"/>
        <v>0</v>
      </c>
      <c r="U253" s="3">
        <f t="shared" si="399"/>
        <v>0</v>
      </c>
      <c r="V253" s="3">
        <f t="shared" si="399"/>
        <v>0</v>
      </c>
      <c r="W253" s="3">
        <f t="shared" si="399"/>
        <v>49726.840000000004</v>
      </c>
      <c r="X253" s="3">
        <f t="shared" si="399"/>
        <v>0</v>
      </c>
      <c r="Y253" s="3">
        <f t="shared" si="399"/>
        <v>28422.239999999998</v>
      </c>
      <c r="Z253" s="3">
        <f t="shared" si="399"/>
        <v>0</v>
      </c>
      <c r="AA253" s="3">
        <f t="shared" si="399"/>
        <v>0</v>
      </c>
      <c r="AB253" s="3">
        <f t="shared" si="399"/>
        <v>0</v>
      </c>
      <c r="AC253" s="3">
        <f t="shared" si="399"/>
        <v>0</v>
      </c>
      <c r="AD253" s="3">
        <f t="shared" si="399"/>
        <v>0</v>
      </c>
      <c r="AE253" s="3">
        <f t="shared" si="399"/>
        <v>0</v>
      </c>
      <c r="AF253" s="3">
        <f t="shared" si="399"/>
        <v>0</v>
      </c>
      <c r="AG253" s="3">
        <f t="shared" si="399"/>
        <v>0</v>
      </c>
      <c r="AH253" s="3">
        <f t="shared" si="399"/>
        <v>0</v>
      </c>
      <c r="AI253" s="3">
        <f t="shared" si="399"/>
        <v>0</v>
      </c>
      <c r="AJ253" s="3">
        <f t="shared" si="399"/>
        <v>0</v>
      </c>
      <c r="AK253" s="3">
        <f t="shared" si="399"/>
        <v>0</v>
      </c>
      <c r="AL253" s="3">
        <f t="shared" si="399"/>
        <v>0</v>
      </c>
      <c r="AM253" s="3">
        <f t="shared" si="399"/>
        <v>0</v>
      </c>
      <c r="AN253" s="3">
        <f t="shared" si="399"/>
        <v>0</v>
      </c>
      <c r="AO253" s="3">
        <f t="shared" si="399"/>
        <v>0</v>
      </c>
      <c r="AP253" s="3">
        <f t="shared" si="399"/>
        <v>0</v>
      </c>
      <c r="AQ253" s="3">
        <f t="shared" si="399"/>
        <v>0</v>
      </c>
      <c r="AR253" s="3">
        <f t="shared" si="399"/>
        <v>78149.08</v>
      </c>
      <c r="AS253" s="25"/>
      <c r="AT253" s="9">
        <f>IF(AR253=0,0,+AR253/PassVol!AR408)</f>
        <v>13.158626031318404</v>
      </c>
      <c r="AU253" s="60"/>
    </row>
    <row r="254" spans="1:47" s="24" customFormat="1" x14ac:dyDescent="0.25">
      <c r="A254" s="23"/>
      <c r="B254" s="23"/>
      <c r="C254" s="27" t="s">
        <v>102</v>
      </c>
      <c r="D254" s="25">
        <f>+D253</f>
        <v>0</v>
      </c>
      <c r="E254" s="25">
        <f>+D254+E253</f>
        <v>0</v>
      </c>
      <c r="F254" s="25">
        <f t="shared" ref="F254" si="400">+E254+F253</f>
        <v>0</v>
      </c>
      <c r="G254" s="25">
        <f t="shared" ref="G254" si="401">+F254+G253</f>
        <v>0</v>
      </c>
      <c r="H254" s="25">
        <f t="shared" ref="H254" si="402">+G254+H253</f>
        <v>0</v>
      </c>
      <c r="I254" s="25">
        <f t="shared" ref="I254" si="403">+H254+I253</f>
        <v>0</v>
      </c>
      <c r="J254" s="25">
        <f t="shared" ref="J254" si="404">+I254+J253</f>
        <v>0</v>
      </c>
      <c r="K254" s="25">
        <f t="shared" ref="K254" si="405">+J254+K253</f>
        <v>0</v>
      </c>
      <c r="L254" s="25">
        <f t="shared" ref="L254" si="406">+K254+L253</f>
        <v>0</v>
      </c>
      <c r="M254" s="25">
        <f t="shared" ref="M254" si="407">+L254+M253</f>
        <v>0</v>
      </c>
      <c r="N254" s="25">
        <f t="shared" ref="N254" si="408">+M254+N253</f>
        <v>0</v>
      </c>
      <c r="O254" s="25">
        <f t="shared" ref="O254" si="409">+N254+O253</f>
        <v>0</v>
      </c>
      <c r="P254" s="25">
        <f t="shared" ref="P254" si="410">+O254+P253</f>
        <v>0</v>
      </c>
      <c r="Q254" s="25">
        <f t="shared" ref="Q254" si="411">+P254+Q253</f>
        <v>0</v>
      </c>
      <c r="R254" s="25">
        <f t="shared" ref="R254" si="412">+Q254+R253</f>
        <v>0</v>
      </c>
      <c r="S254" s="25">
        <f t="shared" ref="S254" si="413">+R254+S253</f>
        <v>0</v>
      </c>
      <c r="T254" s="25">
        <f t="shared" ref="T254" si="414">+S254+T253</f>
        <v>0</v>
      </c>
      <c r="U254" s="25">
        <f t="shared" ref="U254" si="415">+T254+U253</f>
        <v>0</v>
      </c>
      <c r="V254" s="25">
        <f t="shared" ref="V254" si="416">+U254+V253</f>
        <v>0</v>
      </c>
      <c r="W254" s="25">
        <f t="shared" ref="W254" si="417">+V254+W253</f>
        <v>49726.840000000004</v>
      </c>
      <c r="X254" s="25">
        <f t="shared" ref="X254" si="418">+W254+X253</f>
        <v>49726.840000000004</v>
      </c>
      <c r="Y254" s="25">
        <f t="shared" ref="Y254" si="419">+X254+Y253</f>
        <v>78149.08</v>
      </c>
      <c r="Z254" s="25">
        <f t="shared" ref="Z254" si="420">+Y254+Z253</f>
        <v>78149.08</v>
      </c>
      <c r="AA254" s="25">
        <f t="shared" ref="AA254" si="421">+Z254+AA253</f>
        <v>78149.08</v>
      </c>
      <c r="AB254" s="25">
        <f t="shared" ref="AB254" si="422">+AA254+AB253</f>
        <v>78149.08</v>
      </c>
      <c r="AC254" s="25">
        <f t="shared" ref="AC254" si="423">+AB254+AC253</f>
        <v>78149.08</v>
      </c>
      <c r="AD254" s="25">
        <f t="shared" ref="AD254" si="424">+AC254+AD253</f>
        <v>78149.08</v>
      </c>
      <c r="AE254" s="25">
        <f t="shared" ref="AE254" si="425">+AD254+AE253</f>
        <v>78149.08</v>
      </c>
      <c r="AF254" s="25">
        <f t="shared" ref="AF254" si="426">+AE254+AF253</f>
        <v>78149.08</v>
      </c>
      <c r="AG254" s="25">
        <f t="shared" ref="AG254" si="427">+AF254+AG253</f>
        <v>78149.08</v>
      </c>
      <c r="AH254" s="25">
        <f t="shared" ref="AH254" si="428">+AG254+AH253</f>
        <v>78149.08</v>
      </c>
      <c r="AI254" s="25">
        <f t="shared" ref="AI254" si="429">+AH254+AI253</f>
        <v>78149.08</v>
      </c>
      <c r="AJ254" s="25">
        <f t="shared" ref="AJ254" si="430">+AI254+AJ253</f>
        <v>78149.08</v>
      </c>
      <c r="AK254" s="25">
        <f t="shared" ref="AK254" si="431">+AJ254+AK253</f>
        <v>78149.08</v>
      </c>
      <c r="AL254" s="25">
        <f t="shared" ref="AL254" si="432">+AK254+AL253</f>
        <v>78149.08</v>
      </c>
      <c r="AM254" s="25">
        <f t="shared" ref="AM254" si="433">+AL254+AM253</f>
        <v>78149.08</v>
      </c>
      <c r="AN254" s="25">
        <f t="shared" ref="AN254" si="434">+AM254+AN253</f>
        <v>78149.08</v>
      </c>
      <c r="AO254" s="25">
        <f t="shared" ref="AO254" si="435">+AN254+AO253</f>
        <v>78149.08</v>
      </c>
      <c r="AP254" s="25">
        <f t="shared" ref="AP254" si="436">+AO254+AP253</f>
        <v>78149.08</v>
      </c>
      <c r="AQ254" s="25">
        <f t="shared" ref="AQ254" si="437">+AP254+AQ253</f>
        <v>78149.08</v>
      </c>
      <c r="AR254" s="49"/>
      <c r="AS254" s="25"/>
      <c r="AT254" s="26"/>
      <c r="AU254" s="60"/>
    </row>
    <row r="255" spans="1:47" s="24" customFormat="1" x14ac:dyDescent="0.25">
      <c r="A255" s="23"/>
      <c r="B255" s="23"/>
      <c r="C255" s="27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49"/>
      <c r="AS255" s="25"/>
      <c r="AT255" s="26"/>
      <c r="AU255" s="60"/>
    </row>
    <row r="256" spans="1:47" s="24" customFormat="1" x14ac:dyDescent="0.25">
      <c r="A256" s="23"/>
      <c r="B256" s="2" t="s">
        <v>194</v>
      </c>
      <c r="C256" s="27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49"/>
      <c r="AS256" s="25"/>
      <c r="AT256" s="26"/>
      <c r="AU256" s="60"/>
    </row>
    <row r="257" spans="1:47" s="24" customFormat="1" x14ac:dyDescent="0.25">
      <c r="A257" s="23"/>
      <c r="B257" s="23"/>
      <c r="C257" t="s">
        <v>190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3">
        <f t="shared" ref="AR257:AR275" si="438">SUM(D257:AQ257)</f>
        <v>0</v>
      </c>
      <c r="AS257" s="25"/>
      <c r="AT257" s="26"/>
      <c r="AU257" s="60"/>
    </row>
    <row r="258" spans="1:47" s="24" customFormat="1" x14ac:dyDescent="0.25">
      <c r="A258" s="23"/>
      <c r="B258" s="23"/>
      <c r="C258" t="s">
        <v>424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3">
        <f t="shared" si="438"/>
        <v>0</v>
      </c>
      <c r="AS258" s="25"/>
      <c r="AT258" s="26"/>
      <c r="AU258" s="60"/>
    </row>
    <row r="259" spans="1:47" s="24" customFormat="1" x14ac:dyDescent="0.25">
      <c r="A259" s="23"/>
      <c r="B259" s="23"/>
      <c r="C259" t="s">
        <v>347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3">
        <f t="shared" si="438"/>
        <v>0</v>
      </c>
      <c r="AS259" s="25"/>
      <c r="AT259" s="26"/>
      <c r="AU259" s="60"/>
    </row>
    <row r="260" spans="1:47" s="24" customFormat="1" x14ac:dyDescent="0.25">
      <c r="A260" s="23"/>
      <c r="B260" s="23"/>
      <c r="C260" t="s">
        <v>0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3">
        <f t="shared" si="438"/>
        <v>0</v>
      </c>
      <c r="AS260" s="25"/>
      <c r="AT260" s="8">
        <f>IF(AR260=0,0,+AR260/PassVol!AR416)</f>
        <v>0</v>
      </c>
      <c r="AU260" s="60"/>
    </row>
    <row r="261" spans="1:47" s="24" customFormat="1" x14ac:dyDescent="0.25">
      <c r="A261" s="23"/>
      <c r="B261" s="23"/>
      <c r="C261" t="s">
        <v>354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3">
        <f t="shared" si="438"/>
        <v>0</v>
      </c>
      <c r="AS261" s="25"/>
      <c r="AT261" s="26"/>
      <c r="AU261" s="60"/>
    </row>
    <row r="262" spans="1:47" s="24" customFormat="1" x14ac:dyDescent="0.25">
      <c r="A262" s="23"/>
      <c r="B262" s="23"/>
      <c r="C262" t="s">
        <v>265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3">
        <f t="shared" si="438"/>
        <v>0</v>
      </c>
      <c r="AS262" s="25"/>
      <c r="AT262" s="26"/>
      <c r="AU262" s="60"/>
    </row>
    <row r="263" spans="1:47" s="24" customFormat="1" x14ac:dyDescent="0.25">
      <c r="A263" s="23"/>
      <c r="B263" s="23"/>
      <c r="C263" t="s">
        <v>191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3">
        <f t="shared" si="438"/>
        <v>0</v>
      </c>
      <c r="AS263" s="25"/>
      <c r="AT263" s="26"/>
      <c r="AU263" s="60"/>
    </row>
    <row r="264" spans="1:47" s="24" customFormat="1" x14ac:dyDescent="0.25">
      <c r="A264" s="23"/>
      <c r="B264" s="23"/>
      <c r="C264" t="s">
        <v>549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3">
        <f t="shared" si="438"/>
        <v>0</v>
      </c>
      <c r="AS264" s="25"/>
      <c r="AT264" s="26"/>
      <c r="AU264" s="60"/>
    </row>
    <row r="265" spans="1:47" s="24" customFormat="1" x14ac:dyDescent="0.25">
      <c r="A265" s="23"/>
      <c r="B265" s="23"/>
      <c r="C265" t="s">
        <v>550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3">
        <f t="shared" si="438"/>
        <v>0</v>
      </c>
      <c r="AS265" s="25"/>
      <c r="AT265" s="26"/>
      <c r="AU265" s="60"/>
    </row>
    <row r="266" spans="1:47" s="24" customFormat="1" x14ac:dyDescent="0.25">
      <c r="A266" s="23"/>
      <c r="B266" s="23"/>
      <c r="C266" t="s">
        <v>6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3">
        <f t="shared" si="438"/>
        <v>0</v>
      </c>
      <c r="AS266" s="25"/>
      <c r="AT266" s="26"/>
      <c r="AU266" s="60"/>
    </row>
    <row r="267" spans="1:47" s="24" customFormat="1" x14ac:dyDescent="0.25">
      <c r="A267" s="23"/>
      <c r="B267" s="23"/>
      <c r="C267" t="s">
        <v>262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3">
        <f t="shared" si="438"/>
        <v>0</v>
      </c>
      <c r="AS267" s="25"/>
      <c r="AT267" s="26"/>
      <c r="AU267" s="60"/>
    </row>
    <row r="268" spans="1:47" s="24" customFormat="1" x14ac:dyDescent="0.25">
      <c r="A268" s="23"/>
      <c r="B268" s="23"/>
      <c r="C268" t="s">
        <v>42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3">
        <f t="shared" si="438"/>
        <v>0</v>
      </c>
      <c r="AS268" s="25"/>
      <c r="AT268" s="26"/>
      <c r="AU268" s="60"/>
    </row>
    <row r="269" spans="1:47" s="24" customFormat="1" x14ac:dyDescent="0.25">
      <c r="A269" s="23"/>
      <c r="B269" s="23"/>
      <c r="C269" t="s">
        <v>192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3">
        <f t="shared" si="438"/>
        <v>0</v>
      </c>
      <c r="AS269" s="25"/>
      <c r="AT269" s="26"/>
      <c r="AU269" s="60"/>
    </row>
    <row r="270" spans="1:47" s="24" customFormat="1" x14ac:dyDescent="0.25">
      <c r="A270" s="23"/>
      <c r="B270" s="23"/>
      <c r="C270" t="s">
        <v>133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3">
        <f t="shared" si="438"/>
        <v>0</v>
      </c>
      <c r="AS270" s="25"/>
      <c r="AT270" s="26"/>
      <c r="AU270" s="60"/>
    </row>
    <row r="271" spans="1:47" s="24" customFormat="1" x14ac:dyDescent="0.25">
      <c r="A271" s="23"/>
      <c r="B271" s="23"/>
      <c r="C271" t="s">
        <v>41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3">
        <f t="shared" si="438"/>
        <v>0</v>
      </c>
      <c r="AS271" s="25"/>
      <c r="AT271" s="26"/>
      <c r="AU271" s="60"/>
    </row>
    <row r="272" spans="1:47" s="24" customFormat="1" x14ac:dyDescent="0.25">
      <c r="A272" s="23"/>
      <c r="B272" s="23"/>
      <c r="C272" t="s">
        <v>193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3">
        <f t="shared" si="438"/>
        <v>0</v>
      </c>
      <c r="AS272" s="25"/>
      <c r="AT272" s="26"/>
      <c r="AU272" s="60"/>
    </row>
    <row r="273" spans="1:47" s="24" customFormat="1" x14ac:dyDescent="0.25">
      <c r="A273" s="23"/>
      <c r="B273" s="23"/>
      <c r="C273" t="s">
        <v>297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3">
        <f t="shared" si="438"/>
        <v>0</v>
      </c>
      <c r="AS273" s="25"/>
      <c r="AT273" s="26"/>
      <c r="AU273" s="60"/>
    </row>
    <row r="274" spans="1:47" s="24" customFormat="1" x14ac:dyDescent="0.25">
      <c r="A274" s="23"/>
      <c r="B274" s="23"/>
      <c r="C274" t="s">
        <v>296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3">
        <f t="shared" si="438"/>
        <v>0</v>
      </c>
      <c r="AS274" s="25"/>
      <c r="AT274" s="26"/>
      <c r="AU274" s="60"/>
    </row>
    <row r="275" spans="1:47" s="24" customFormat="1" x14ac:dyDescent="0.25">
      <c r="A275" s="23"/>
      <c r="B275" s="23"/>
      <c r="C275" t="s">
        <v>44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3">
        <f t="shared" si="438"/>
        <v>0</v>
      </c>
      <c r="AS275" s="25"/>
      <c r="AT275" s="26"/>
      <c r="AU275" s="60"/>
    </row>
    <row r="276" spans="1:47" s="24" customFormat="1" x14ac:dyDescent="0.25">
      <c r="A276" s="23"/>
      <c r="B276" s="2" t="s">
        <v>456</v>
      </c>
      <c r="C276" s="2"/>
      <c r="D276" s="3">
        <f>SUM(D257:D275)</f>
        <v>0</v>
      </c>
      <c r="E276" s="3">
        <f t="shared" ref="E276:J276" si="439">SUM(E257:E275)</f>
        <v>0</v>
      </c>
      <c r="F276" s="3">
        <f t="shared" si="439"/>
        <v>0</v>
      </c>
      <c r="G276" s="3">
        <f t="shared" si="439"/>
        <v>0</v>
      </c>
      <c r="H276" s="3">
        <f t="shared" si="439"/>
        <v>0</v>
      </c>
      <c r="I276" s="3">
        <f t="shared" si="439"/>
        <v>0</v>
      </c>
      <c r="J276" s="3">
        <f t="shared" si="439"/>
        <v>0</v>
      </c>
      <c r="K276" s="3">
        <f t="shared" ref="K276:AR276" si="440">SUM(K257:K275)</f>
        <v>0</v>
      </c>
      <c r="L276" s="3">
        <f t="shared" si="440"/>
        <v>0</v>
      </c>
      <c r="M276" s="3">
        <f t="shared" si="440"/>
        <v>0</v>
      </c>
      <c r="N276" s="3">
        <f t="shared" si="440"/>
        <v>0</v>
      </c>
      <c r="O276" s="3">
        <f t="shared" si="440"/>
        <v>0</v>
      </c>
      <c r="P276" s="3">
        <f t="shared" si="440"/>
        <v>0</v>
      </c>
      <c r="Q276" s="3">
        <f t="shared" si="440"/>
        <v>0</v>
      </c>
      <c r="R276" s="3">
        <f t="shared" si="440"/>
        <v>0</v>
      </c>
      <c r="S276" s="3">
        <f t="shared" si="440"/>
        <v>0</v>
      </c>
      <c r="T276" s="3">
        <f t="shared" si="440"/>
        <v>0</v>
      </c>
      <c r="U276" s="3">
        <f t="shared" si="440"/>
        <v>0</v>
      </c>
      <c r="V276" s="3">
        <f t="shared" si="440"/>
        <v>0</v>
      </c>
      <c r="W276" s="3">
        <f t="shared" si="440"/>
        <v>0</v>
      </c>
      <c r="X276" s="3">
        <f t="shared" si="440"/>
        <v>0</v>
      </c>
      <c r="Y276" s="3">
        <f t="shared" si="440"/>
        <v>0</v>
      </c>
      <c r="Z276" s="3">
        <f t="shared" si="440"/>
        <v>0</v>
      </c>
      <c r="AA276" s="3">
        <f t="shared" si="440"/>
        <v>0</v>
      </c>
      <c r="AB276" s="3">
        <f t="shared" si="440"/>
        <v>0</v>
      </c>
      <c r="AC276" s="3">
        <f t="shared" si="440"/>
        <v>0</v>
      </c>
      <c r="AD276" s="3">
        <f t="shared" si="440"/>
        <v>0</v>
      </c>
      <c r="AE276" s="3">
        <f t="shared" si="440"/>
        <v>0</v>
      </c>
      <c r="AF276" s="3">
        <f t="shared" si="440"/>
        <v>0</v>
      </c>
      <c r="AG276" s="3">
        <f t="shared" si="440"/>
        <v>0</v>
      </c>
      <c r="AH276" s="3">
        <f t="shared" si="440"/>
        <v>0</v>
      </c>
      <c r="AI276" s="3">
        <f t="shared" si="440"/>
        <v>0</v>
      </c>
      <c r="AJ276" s="3">
        <f t="shared" si="440"/>
        <v>0</v>
      </c>
      <c r="AK276" s="3">
        <f t="shared" si="440"/>
        <v>0</v>
      </c>
      <c r="AL276" s="3">
        <f t="shared" si="440"/>
        <v>0</v>
      </c>
      <c r="AM276" s="3">
        <f t="shared" si="440"/>
        <v>0</v>
      </c>
      <c r="AN276" s="3">
        <f t="shared" si="440"/>
        <v>0</v>
      </c>
      <c r="AO276" s="3">
        <f t="shared" si="440"/>
        <v>0</v>
      </c>
      <c r="AP276" s="3">
        <f t="shared" si="440"/>
        <v>0</v>
      </c>
      <c r="AQ276" s="3">
        <f t="shared" si="440"/>
        <v>0</v>
      </c>
      <c r="AR276" s="3">
        <f t="shared" si="440"/>
        <v>0</v>
      </c>
      <c r="AS276" s="25"/>
      <c r="AT276" s="9">
        <f>IF(AR276=0,0,+AR276/PassVol!AR428)</f>
        <v>0</v>
      </c>
      <c r="AU276" s="60"/>
    </row>
    <row r="277" spans="1:47" s="24" customFormat="1" x14ac:dyDescent="0.25">
      <c r="A277" s="23"/>
      <c r="B277" s="23"/>
      <c r="C277" s="27" t="s">
        <v>102</v>
      </c>
      <c r="D277" s="25">
        <f>+D276</f>
        <v>0</v>
      </c>
      <c r="E277" s="25">
        <f>+D277+E276</f>
        <v>0</v>
      </c>
      <c r="F277" s="25">
        <f t="shared" ref="F277" si="441">+E277+F276</f>
        <v>0</v>
      </c>
      <c r="G277" s="25">
        <f t="shared" ref="G277" si="442">+F277+G276</f>
        <v>0</v>
      </c>
      <c r="H277" s="25">
        <f t="shared" ref="H277" si="443">+G277+H276</f>
        <v>0</v>
      </c>
      <c r="I277" s="25">
        <f t="shared" ref="I277" si="444">+H277+I276</f>
        <v>0</v>
      </c>
      <c r="J277" s="25">
        <f t="shared" ref="J277" si="445">+I277+J276</f>
        <v>0</v>
      </c>
      <c r="K277" s="25">
        <f t="shared" ref="K277" si="446">+J277+K276</f>
        <v>0</v>
      </c>
      <c r="L277" s="25">
        <f t="shared" ref="L277" si="447">+K277+L276</f>
        <v>0</v>
      </c>
      <c r="M277" s="25">
        <f t="shared" ref="M277" si="448">+L277+M276</f>
        <v>0</v>
      </c>
      <c r="N277" s="25">
        <f t="shared" ref="N277" si="449">+M277+N276</f>
        <v>0</v>
      </c>
      <c r="O277" s="25">
        <f t="shared" ref="O277" si="450">+N277+O276</f>
        <v>0</v>
      </c>
      <c r="P277" s="25">
        <f t="shared" ref="P277" si="451">+O277+P276</f>
        <v>0</v>
      </c>
      <c r="Q277" s="25">
        <f t="shared" ref="Q277" si="452">+P277+Q276</f>
        <v>0</v>
      </c>
      <c r="R277" s="25">
        <f t="shared" ref="R277" si="453">+Q277+R276</f>
        <v>0</v>
      </c>
      <c r="S277" s="25">
        <f t="shared" ref="S277" si="454">+R277+S276</f>
        <v>0</v>
      </c>
      <c r="T277" s="25">
        <f t="shared" ref="T277" si="455">+S277+T276</f>
        <v>0</v>
      </c>
      <c r="U277" s="25">
        <f t="shared" ref="U277" si="456">+T277+U276</f>
        <v>0</v>
      </c>
      <c r="V277" s="25">
        <f t="shared" ref="V277" si="457">+U277+V276</f>
        <v>0</v>
      </c>
      <c r="W277" s="25">
        <f t="shared" ref="W277" si="458">+V277+W276</f>
        <v>0</v>
      </c>
      <c r="X277" s="25">
        <f t="shared" ref="X277" si="459">+W277+X276</f>
        <v>0</v>
      </c>
      <c r="Y277" s="25">
        <f t="shared" ref="Y277" si="460">+X277+Y276</f>
        <v>0</v>
      </c>
      <c r="Z277" s="25">
        <f t="shared" ref="Z277" si="461">+Y277+Z276</f>
        <v>0</v>
      </c>
      <c r="AA277" s="25">
        <f t="shared" ref="AA277" si="462">+Z277+AA276</f>
        <v>0</v>
      </c>
      <c r="AB277" s="25">
        <f t="shared" ref="AB277" si="463">+AA277+AB276</f>
        <v>0</v>
      </c>
      <c r="AC277" s="25">
        <f t="shared" ref="AC277" si="464">+AB277+AC276</f>
        <v>0</v>
      </c>
      <c r="AD277" s="25">
        <f t="shared" ref="AD277" si="465">+AC277+AD276</f>
        <v>0</v>
      </c>
      <c r="AE277" s="25">
        <f t="shared" ref="AE277" si="466">+AD277+AE276</f>
        <v>0</v>
      </c>
      <c r="AF277" s="25">
        <f t="shared" ref="AF277" si="467">+AE277+AF276</f>
        <v>0</v>
      </c>
      <c r="AG277" s="25">
        <f t="shared" ref="AG277" si="468">+AF277+AG276</f>
        <v>0</v>
      </c>
      <c r="AH277" s="25">
        <f t="shared" ref="AH277" si="469">+AG277+AH276</f>
        <v>0</v>
      </c>
      <c r="AI277" s="25">
        <f t="shared" ref="AI277" si="470">+AH277+AI276</f>
        <v>0</v>
      </c>
      <c r="AJ277" s="25">
        <f t="shared" ref="AJ277" si="471">+AI277+AJ276</f>
        <v>0</v>
      </c>
      <c r="AK277" s="25">
        <f t="shared" ref="AK277" si="472">+AJ277+AK276</f>
        <v>0</v>
      </c>
      <c r="AL277" s="25">
        <f t="shared" ref="AL277" si="473">+AK277+AL276</f>
        <v>0</v>
      </c>
      <c r="AM277" s="25">
        <f t="shared" ref="AM277" si="474">+AL277+AM276</f>
        <v>0</v>
      </c>
      <c r="AN277" s="25">
        <f t="shared" ref="AN277" si="475">+AM277+AN276</f>
        <v>0</v>
      </c>
      <c r="AO277" s="25">
        <f t="shared" ref="AO277" si="476">+AN277+AO276</f>
        <v>0</v>
      </c>
      <c r="AP277" s="25">
        <f t="shared" ref="AP277" si="477">+AO277+AP276</f>
        <v>0</v>
      </c>
      <c r="AQ277" s="25">
        <f t="shared" ref="AQ277" si="478">+AP277+AQ276</f>
        <v>0</v>
      </c>
      <c r="AR277" s="49"/>
      <c r="AS277" s="25"/>
      <c r="AT277" s="26"/>
      <c r="AU277" s="60"/>
    </row>
    <row r="278" spans="1:47" s="24" customFormat="1" x14ac:dyDescent="0.25">
      <c r="A278" s="23"/>
      <c r="B278" s="23"/>
      <c r="C278" s="27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49"/>
      <c r="AS278" s="25"/>
      <c r="AT278" s="26"/>
      <c r="AU278" s="60"/>
    </row>
    <row r="279" spans="1:47" s="24" customFormat="1" x14ac:dyDescent="0.25">
      <c r="A279" s="23"/>
      <c r="B279" s="2" t="s">
        <v>542</v>
      </c>
      <c r="C279" s="27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49"/>
      <c r="AS279" s="25"/>
      <c r="AT279" s="26"/>
      <c r="AU279" s="60"/>
    </row>
    <row r="280" spans="1:47" s="24" customFormat="1" x14ac:dyDescent="0.25">
      <c r="A280" s="23"/>
      <c r="B280" s="23"/>
      <c r="C280" t="s">
        <v>190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3">
        <f t="shared" ref="AR280:AR298" si="479">SUM(D280:AQ280)</f>
        <v>0</v>
      </c>
      <c r="AS280" s="25"/>
      <c r="AT280" s="8">
        <f>IF(AR280=0,0,+AR280/PassVol!AR437)</f>
        <v>0</v>
      </c>
      <c r="AU280" s="60">
        <v>0</v>
      </c>
    </row>
    <row r="281" spans="1:47" s="24" customFormat="1" x14ac:dyDescent="0.25">
      <c r="A281" s="23"/>
      <c r="B281" s="23"/>
      <c r="C281" t="s">
        <v>424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3">
        <f t="shared" si="479"/>
        <v>0</v>
      </c>
      <c r="AS281" s="25"/>
      <c r="AT281" s="8">
        <f>IF(AR281=0,0,+AR281/PassVol!AR438)</f>
        <v>0</v>
      </c>
      <c r="AU281" s="60">
        <v>0</v>
      </c>
    </row>
    <row r="282" spans="1:47" s="24" customFormat="1" x14ac:dyDescent="0.25">
      <c r="A282" s="23"/>
      <c r="B282" s="23"/>
      <c r="C282" t="s">
        <v>347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3">
        <f t="shared" si="479"/>
        <v>0</v>
      </c>
      <c r="AS282" s="25"/>
      <c r="AT282" s="8">
        <f>IF(AR282=0,0,+AR282/PassVol!AR439)</f>
        <v>0</v>
      </c>
      <c r="AU282" s="60">
        <v>0</v>
      </c>
    </row>
    <row r="283" spans="1:47" s="24" customFormat="1" x14ac:dyDescent="0.25">
      <c r="A283" s="23"/>
      <c r="B283" s="23"/>
      <c r="C283" t="s">
        <v>0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3">
        <f t="shared" si="479"/>
        <v>0</v>
      </c>
      <c r="AS283" s="25"/>
      <c r="AT283" s="8">
        <f>IF(AR283=0,0,+AR283/PassVol!AR440)</f>
        <v>0</v>
      </c>
      <c r="AU283" s="60">
        <v>0</v>
      </c>
    </row>
    <row r="284" spans="1:47" s="24" customFormat="1" x14ac:dyDescent="0.25">
      <c r="A284" s="23"/>
      <c r="B284" s="23"/>
      <c r="C284" t="s">
        <v>354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3">
        <f t="shared" si="479"/>
        <v>0</v>
      </c>
      <c r="AS284" s="25"/>
      <c r="AT284" s="8">
        <f>IF(AR284=0,0,+AR284/PassVol!AR441)</f>
        <v>0</v>
      </c>
      <c r="AU284" s="60">
        <v>0</v>
      </c>
    </row>
    <row r="285" spans="1:47" s="24" customFormat="1" x14ac:dyDescent="0.25">
      <c r="A285" s="23"/>
      <c r="B285" s="23"/>
      <c r="C285" t="s">
        <v>265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3">
        <f t="shared" si="479"/>
        <v>0</v>
      </c>
      <c r="AS285" s="25"/>
      <c r="AT285" s="8">
        <f>IF(AR285=0,0,+AR285/PassVol!AR442)</f>
        <v>0</v>
      </c>
      <c r="AU285" s="60">
        <v>0</v>
      </c>
    </row>
    <row r="286" spans="1:47" s="24" customFormat="1" x14ac:dyDescent="0.25">
      <c r="A286" s="23"/>
      <c r="B286" s="23"/>
      <c r="C286" t="s">
        <v>191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3">
        <f t="shared" si="479"/>
        <v>0</v>
      </c>
      <c r="AS286" s="25"/>
      <c r="AT286" s="8">
        <f>IF(AR286=0,0,+AR286/PassVol!AR443)</f>
        <v>0</v>
      </c>
      <c r="AU286" s="60">
        <v>0</v>
      </c>
    </row>
    <row r="287" spans="1:47" s="24" customFormat="1" x14ac:dyDescent="0.25">
      <c r="A287" s="23"/>
      <c r="B287" s="23"/>
      <c r="C287" t="s">
        <v>549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3">
        <f t="shared" si="479"/>
        <v>0</v>
      </c>
      <c r="AS287" s="25"/>
      <c r="AT287" s="8">
        <f>IF(AR287=0,0,+AR287/PassVol!AR444)</f>
        <v>0</v>
      </c>
      <c r="AU287" s="60">
        <v>0</v>
      </c>
    </row>
    <row r="288" spans="1:47" s="24" customFormat="1" x14ac:dyDescent="0.25">
      <c r="A288" s="23"/>
      <c r="B288" s="23"/>
      <c r="C288" t="s">
        <v>550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3">
        <f t="shared" si="479"/>
        <v>0</v>
      </c>
      <c r="AS288" s="25"/>
      <c r="AT288" s="8">
        <f>IF(AR288=0,0,+AR288/PassVol!AR445)</f>
        <v>0</v>
      </c>
      <c r="AU288" s="60">
        <v>0</v>
      </c>
    </row>
    <row r="289" spans="1:51" s="24" customFormat="1" x14ac:dyDescent="0.25">
      <c r="A289" s="23"/>
      <c r="B289" s="23"/>
      <c r="C289" t="s">
        <v>6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3">
        <f t="shared" si="479"/>
        <v>0</v>
      </c>
      <c r="AS289" s="25"/>
      <c r="AT289" s="8">
        <f>IF(AR289=0,0,+AR289/PassVol!AR446)</f>
        <v>0</v>
      </c>
      <c r="AU289" s="60">
        <v>0</v>
      </c>
    </row>
    <row r="290" spans="1:51" s="24" customFormat="1" x14ac:dyDescent="0.25">
      <c r="A290" s="23"/>
      <c r="B290" s="23"/>
      <c r="C290" t="s">
        <v>262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3">
        <f t="shared" si="479"/>
        <v>0</v>
      </c>
      <c r="AS290" s="25"/>
      <c r="AT290" s="8">
        <f>IF(AR290=0,0,+AR290/PassVol!AR447)</f>
        <v>0</v>
      </c>
      <c r="AU290" s="60">
        <v>0</v>
      </c>
    </row>
    <row r="291" spans="1:51" s="24" customFormat="1" x14ac:dyDescent="0.25">
      <c r="A291" s="23"/>
      <c r="B291" s="23"/>
      <c r="C291" t="s">
        <v>42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3">
        <f t="shared" si="479"/>
        <v>0</v>
      </c>
      <c r="AS291" s="25"/>
      <c r="AT291" s="8">
        <f>IF(AR291=0,0,+AR291/PassVol!AR448)</f>
        <v>0</v>
      </c>
      <c r="AU291" s="60">
        <v>0</v>
      </c>
    </row>
    <row r="292" spans="1:51" s="24" customFormat="1" x14ac:dyDescent="0.25">
      <c r="A292" s="23"/>
      <c r="B292" s="23"/>
      <c r="C292" t="s">
        <v>192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3">
        <f t="shared" si="479"/>
        <v>0</v>
      </c>
      <c r="AS292" s="25"/>
      <c r="AT292" s="8">
        <f>IF(AR292=0,0,+AR292/PassVol!AR449)</f>
        <v>0</v>
      </c>
      <c r="AU292" s="60">
        <v>0</v>
      </c>
    </row>
    <row r="293" spans="1:51" s="24" customFormat="1" x14ac:dyDescent="0.25">
      <c r="A293" s="23"/>
      <c r="B293" s="23"/>
      <c r="C293" t="s">
        <v>133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3">
        <f t="shared" si="479"/>
        <v>0</v>
      </c>
      <c r="AS293" s="25"/>
      <c r="AT293" s="8">
        <f>IF(AR293=0,0,+AR293/PassVol!AR450)</f>
        <v>0</v>
      </c>
      <c r="AU293" s="60">
        <v>0</v>
      </c>
    </row>
    <row r="294" spans="1:51" s="24" customFormat="1" x14ac:dyDescent="0.25">
      <c r="A294" s="23"/>
      <c r="B294" s="23"/>
      <c r="C294" t="s">
        <v>41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3">
        <f t="shared" si="479"/>
        <v>0</v>
      </c>
      <c r="AS294" s="25"/>
      <c r="AT294" s="8">
        <f>IF(AR294=0,0,+AR294/PassVol!AR451)</f>
        <v>0</v>
      </c>
      <c r="AU294" s="60">
        <v>0</v>
      </c>
    </row>
    <row r="295" spans="1:51" s="24" customFormat="1" x14ac:dyDescent="0.25">
      <c r="A295" s="23"/>
      <c r="B295" s="23"/>
      <c r="C295" t="s">
        <v>193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3">
        <f t="shared" si="479"/>
        <v>0</v>
      </c>
      <c r="AS295" s="25"/>
      <c r="AT295" s="8">
        <f>IF(AR295=0,0,+AR295/PassVol!AR452)</f>
        <v>0</v>
      </c>
      <c r="AU295" s="60">
        <v>0</v>
      </c>
    </row>
    <row r="296" spans="1:51" s="24" customFormat="1" x14ac:dyDescent="0.25">
      <c r="A296" s="23"/>
      <c r="B296" s="23"/>
      <c r="C296" t="s">
        <v>297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3">
        <f t="shared" si="479"/>
        <v>0</v>
      </c>
      <c r="AS296" s="25"/>
      <c r="AT296" s="8">
        <f>IF(AR296=0,0,+AR296/PassVol!AR453)</f>
        <v>0</v>
      </c>
      <c r="AU296" s="60">
        <v>0</v>
      </c>
    </row>
    <row r="297" spans="1:51" s="24" customFormat="1" x14ac:dyDescent="0.25">
      <c r="A297" s="23"/>
      <c r="B297" s="23"/>
      <c r="C297" t="s">
        <v>296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3">
        <f t="shared" si="479"/>
        <v>0</v>
      </c>
      <c r="AS297" s="25"/>
      <c r="AT297" s="8">
        <f>IF(AR297=0,0,+AR297/PassVol!AR454)</f>
        <v>0</v>
      </c>
      <c r="AU297" s="60">
        <v>0</v>
      </c>
    </row>
    <row r="298" spans="1:51" s="24" customFormat="1" x14ac:dyDescent="0.25">
      <c r="A298" s="23"/>
      <c r="B298" s="23"/>
      <c r="C298" t="s">
        <v>44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3">
        <f t="shared" si="479"/>
        <v>0</v>
      </c>
      <c r="AS298" s="25"/>
      <c r="AT298" s="8">
        <f>IF(AR298=0,0,+AR298/PassVol!AR455)</f>
        <v>0</v>
      </c>
      <c r="AU298" s="60">
        <v>0</v>
      </c>
    </row>
    <row r="299" spans="1:51" s="24" customFormat="1" x14ac:dyDescent="0.25">
      <c r="A299" s="23"/>
      <c r="B299" s="2" t="s">
        <v>542</v>
      </c>
      <c r="C299" s="2"/>
      <c r="D299" s="3">
        <f>SUM(D280:D298)</f>
        <v>0</v>
      </c>
      <c r="E299" s="3">
        <f t="shared" ref="E299:J299" si="480">SUM(E280:E298)</f>
        <v>0</v>
      </c>
      <c r="F299" s="3">
        <f t="shared" si="480"/>
        <v>0</v>
      </c>
      <c r="G299" s="3">
        <f t="shared" si="480"/>
        <v>0</v>
      </c>
      <c r="H299" s="3">
        <f t="shared" si="480"/>
        <v>0</v>
      </c>
      <c r="I299" s="3">
        <f t="shared" si="480"/>
        <v>0</v>
      </c>
      <c r="J299" s="3">
        <f t="shared" si="480"/>
        <v>0</v>
      </c>
      <c r="K299" s="3">
        <f t="shared" ref="K299:AR299" si="481">SUM(K280:K298)</f>
        <v>0</v>
      </c>
      <c r="L299" s="3">
        <f t="shared" si="481"/>
        <v>0</v>
      </c>
      <c r="M299" s="3">
        <f t="shared" si="481"/>
        <v>0</v>
      </c>
      <c r="N299" s="3">
        <f t="shared" si="481"/>
        <v>0</v>
      </c>
      <c r="O299" s="3">
        <f t="shared" si="481"/>
        <v>0</v>
      </c>
      <c r="P299" s="3">
        <f t="shared" si="481"/>
        <v>0</v>
      </c>
      <c r="Q299" s="3">
        <f t="shared" si="481"/>
        <v>0</v>
      </c>
      <c r="R299" s="3">
        <f t="shared" si="481"/>
        <v>0</v>
      </c>
      <c r="S299" s="3">
        <f t="shared" si="481"/>
        <v>0</v>
      </c>
      <c r="T299" s="3">
        <f t="shared" si="481"/>
        <v>0</v>
      </c>
      <c r="U299" s="3">
        <f t="shared" si="481"/>
        <v>0</v>
      </c>
      <c r="V299" s="3">
        <f t="shared" si="481"/>
        <v>0</v>
      </c>
      <c r="W299" s="3">
        <f t="shared" si="481"/>
        <v>0</v>
      </c>
      <c r="X299" s="3">
        <f t="shared" si="481"/>
        <v>0</v>
      </c>
      <c r="Y299" s="3">
        <f t="shared" si="481"/>
        <v>0</v>
      </c>
      <c r="Z299" s="3">
        <f t="shared" si="481"/>
        <v>0</v>
      </c>
      <c r="AA299" s="3">
        <f t="shared" si="481"/>
        <v>0</v>
      </c>
      <c r="AB299" s="3">
        <f t="shared" si="481"/>
        <v>0</v>
      </c>
      <c r="AC299" s="3">
        <f t="shared" si="481"/>
        <v>0</v>
      </c>
      <c r="AD299" s="3">
        <f t="shared" si="481"/>
        <v>0</v>
      </c>
      <c r="AE299" s="3">
        <f t="shared" si="481"/>
        <v>0</v>
      </c>
      <c r="AF299" s="3">
        <f t="shared" si="481"/>
        <v>0</v>
      </c>
      <c r="AG299" s="3">
        <f t="shared" si="481"/>
        <v>0</v>
      </c>
      <c r="AH299" s="3">
        <f t="shared" si="481"/>
        <v>0</v>
      </c>
      <c r="AI299" s="3">
        <f t="shared" si="481"/>
        <v>0</v>
      </c>
      <c r="AJ299" s="3">
        <f t="shared" si="481"/>
        <v>0</v>
      </c>
      <c r="AK299" s="3">
        <f t="shared" si="481"/>
        <v>0</v>
      </c>
      <c r="AL299" s="3">
        <f t="shared" si="481"/>
        <v>0</v>
      </c>
      <c r="AM299" s="3">
        <f t="shared" si="481"/>
        <v>0</v>
      </c>
      <c r="AN299" s="3">
        <f t="shared" si="481"/>
        <v>0</v>
      </c>
      <c r="AO299" s="3">
        <f t="shared" si="481"/>
        <v>0</v>
      </c>
      <c r="AP299" s="3">
        <f t="shared" si="481"/>
        <v>0</v>
      </c>
      <c r="AQ299" s="3">
        <f t="shared" si="481"/>
        <v>0</v>
      </c>
      <c r="AR299" s="3">
        <f t="shared" si="481"/>
        <v>0</v>
      </c>
      <c r="AS299" s="25"/>
      <c r="AT299" s="9">
        <f>IF(AR299=0,0,+AR299/PassVol!AR456)</f>
        <v>0</v>
      </c>
      <c r="AU299" s="60"/>
    </row>
    <row r="300" spans="1:51" s="24" customFormat="1" x14ac:dyDescent="0.25">
      <c r="A300" s="23"/>
      <c r="B300" s="23"/>
      <c r="C300" s="27" t="s">
        <v>102</v>
      </c>
      <c r="D300" s="25">
        <f>+D299</f>
        <v>0</v>
      </c>
      <c r="E300" s="25">
        <f>+D300+E299</f>
        <v>0</v>
      </c>
      <c r="F300" s="25">
        <f t="shared" ref="F300" si="482">+E300+F299</f>
        <v>0</v>
      </c>
      <c r="G300" s="25">
        <f t="shared" ref="G300" si="483">+F300+G299</f>
        <v>0</v>
      </c>
      <c r="H300" s="25">
        <f t="shared" ref="H300" si="484">+G300+H299</f>
        <v>0</v>
      </c>
      <c r="I300" s="25">
        <f t="shared" ref="I300" si="485">+H300+I299</f>
        <v>0</v>
      </c>
      <c r="J300" s="25">
        <f t="shared" ref="J300" si="486">+I300+J299</f>
        <v>0</v>
      </c>
      <c r="K300" s="25">
        <f t="shared" ref="K300" si="487">+J300+K299</f>
        <v>0</v>
      </c>
      <c r="L300" s="25">
        <f t="shared" ref="L300" si="488">+K300+L299</f>
        <v>0</v>
      </c>
      <c r="M300" s="25">
        <f t="shared" ref="M300" si="489">+L300+M299</f>
        <v>0</v>
      </c>
      <c r="N300" s="25">
        <f t="shared" ref="N300" si="490">+M300+N299</f>
        <v>0</v>
      </c>
      <c r="O300" s="25">
        <f t="shared" ref="O300" si="491">+N300+O299</f>
        <v>0</v>
      </c>
      <c r="P300" s="25">
        <f t="shared" ref="P300" si="492">+O300+P299</f>
        <v>0</v>
      </c>
      <c r="Q300" s="25">
        <f t="shared" ref="Q300" si="493">+P300+Q299</f>
        <v>0</v>
      </c>
      <c r="R300" s="25">
        <f t="shared" ref="R300" si="494">+Q300+R299</f>
        <v>0</v>
      </c>
      <c r="S300" s="25">
        <f t="shared" ref="S300" si="495">+R300+S299</f>
        <v>0</v>
      </c>
      <c r="T300" s="25">
        <f t="shared" ref="T300" si="496">+S300+T299</f>
        <v>0</v>
      </c>
      <c r="U300" s="25">
        <f t="shared" ref="U300" si="497">+T300+U299</f>
        <v>0</v>
      </c>
      <c r="V300" s="25">
        <f t="shared" ref="V300" si="498">+U300+V299</f>
        <v>0</v>
      </c>
      <c r="W300" s="25">
        <f t="shared" ref="W300" si="499">+V300+W299</f>
        <v>0</v>
      </c>
      <c r="X300" s="25">
        <f t="shared" ref="X300" si="500">+W300+X299</f>
        <v>0</v>
      </c>
      <c r="Y300" s="25">
        <f t="shared" ref="Y300" si="501">+X300+Y299</f>
        <v>0</v>
      </c>
      <c r="Z300" s="25">
        <f t="shared" ref="Z300" si="502">+Y300+Z299</f>
        <v>0</v>
      </c>
      <c r="AA300" s="25">
        <f t="shared" ref="AA300" si="503">+Z300+AA299</f>
        <v>0</v>
      </c>
      <c r="AB300" s="25">
        <f t="shared" ref="AB300" si="504">+AA300+AB299</f>
        <v>0</v>
      </c>
      <c r="AC300" s="25">
        <f t="shared" ref="AC300" si="505">+AB300+AC299</f>
        <v>0</v>
      </c>
      <c r="AD300" s="25">
        <f t="shared" ref="AD300" si="506">+AC300+AD299</f>
        <v>0</v>
      </c>
      <c r="AE300" s="25">
        <f t="shared" ref="AE300" si="507">+AD300+AE299</f>
        <v>0</v>
      </c>
      <c r="AF300" s="25">
        <f t="shared" ref="AF300" si="508">+AE300+AF299</f>
        <v>0</v>
      </c>
      <c r="AG300" s="25">
        <f t="shared" ref="AG300" si="509">+AF300+AG299</f>
        <v>0</v>
      </c>
      <c r="AH300" s="25">
        <f t="shared" ref="AH300" si="510">+AG300+AH299</f>
        <v>0</v>
      </c>
      <c r="AI300" s="25">
        <f t="shared" ref="AI300" si="511">+AH300+AI299</f>
        <v>0</v>
      </c>
      <c r="AJ300" s="25">
        <f t="shared" ref="AJ300" si="512">+AI300+AJ299</f>
        <v>0</v>
      </c>
      <c r="AK300" s="25">
        <f t="shared" ref="AK300" si="513">+AJ300+AK299</f>
        <v>0</v>
      </c>
      <c r="AL300" s="25">
        <f t="shared" ref="AL300" si="514">+AK300+AL299</f>
        <v>0</v>
      </c>
      <c r="AM300" s="25">
        <f t="shared" ref="AM300" si="515">+AL300+AM299</f>
        <v>0</v>
      </c>
      <c r="AN300" s="25">
        <f t="shared" ref="AN300" si="516">+AM300+AN299</f>
        <v>0</v>
      </c>
      <c r="AO300" s="25">
        <f t="shared" ref="AO300" si="517">+AN300+AO299</f>
        <v>0</v>
      </c>
      <c r="AP300" s="25">
        <f t="shared" ref="AP300" si="518">+AO300+AP299</f>
        <v>0</v>
      </c>
      <c r="AQ300" s="25">
        <f t="shared" ref="AQ300" si="519">+AP300+AQ299</f>
        <v>0</v>
      </c>
      <c r="AR300" s="49"/>
      <c r="AS300" s="25"/>
      <c r="AT300" s="26"/>
      <c r="AU300" s="60"/>
    </row>
    <row r="301" spans="1:51" s="24" customFormat="1" x14ac:dyDescent="0.25">
      <c r="A301" s="23"/>
      <c r="B301" s="23"/>
      <c r="C301" s="27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49"/>
      <c r="AS301" s="25"/>
      <c r="AT301" s="26"/>
      <c r="AU301" s="60"/>
    </row>
    <row r="302" spans="1:51" s="24" customFormat="1" x14ac:dyDescent="0.25">
      <c r="A302" s="23"/>
      <c r="B302" s="2" t="s">
        <v>699</v>
      </c>
      <c r="C302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49"/>
      <c r="AS302" s="25"/>
      <c r="AT302" s="26"/>
      <c r="AU302" s="60"/>
    </row>
    <row r="303" spans="1:51" s="24" customFormat="1" x14ac:dyDescent="0.25">
      <c r="A303" s="23"/>
      <c r="B303" s="2"/>
      <c r="C303" t="s">
        <v>190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3">
        <f>SUM(D303:AQ303)</f>
        <v>0</v>
      </c>
      <c r="AS303" s="25"/>
      <c r="AT303" s="8">
        <f>IF(AR303=0,0,+AR303/PassVol!AR461)</f>
        <v>0</v>
      </c>
      <c r="AU303" s="60">
        <v>0</v>
      </c>
      <c r="AV303" s="3"/>
      <c r="AW303" s="81">
        <f t="shared" ref="AW303:AW322" si="520">IF(AV303=0,0,+(AR303-AV303)/AV303)</f>
        <v>0</v>
      </c>
      <c r="AX303" s="82"/>
      <c r="AY303" s="84"/>
    </row>
    <row r="304" spans="1:51" s="24" customFormat="1" x14ac:dyDescent="0.25">
      <c r="A304" s="23"/>
      <c r="B304" s="2"/>
      <c r="C304" t="s">
        <v>424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3">
        <f>SUM(D304:AQ304)</f>
        <v>0</v>
      </c>
      <c r="AS304" s="25"/>
      <c r="AT304" s="8">
        <f>IF(AR304=0,0,+AR304/PassVol!AR462)</f>
        <v>0</v>
      </c>
      <c r="AU304" s="60"/>
      <c r="AV304" s="3"/>
      <c r="AW304" s="81"/>
      <c r="AX304" s="82"/>
      <c r="AY304" s="85"/>
    </row>
    <row r="305" spans="1:51" s="24" customFormat="1" x14ac:dyDescent="0.25">
      <c r="A305" s="23"/>
      <c r="B305" s="2"/>
      <c r="C305" t="s">
        <v>347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3">
        <f t="shared" ref="AR305:AR321" si="521">SUM(D305:AQ305)</f>
        <v>0</v>
      </c>
      <c r="AS305" s="25"/>
      <c r="AT305" s="8">
        <f>IF(AR305=0,0,+AR305/PassVol!AR463)</f>
        <v>0</v>
      </c>
      <c r="AU305" s="60"/>
      <c r="AV305" s="3"/>
      <c r="AW305" s="81">
        <f t="shared" si="520"/>
        <v>0</v>
      </c>
      <c r="AX305" s="82"/>
      <c r="AY305" s="85"/>
    </row>
    <row r="306" spans="1:51" s="24" customFormat="1" x14ac:dyDescent="0.25">
      <c r="A306" s="23"/>
      <c r="B306" s="2"/>
      <c r="C306" t="s">
        <v>0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3">
        <f t="shared" si="521"/>
        <v>0</v>
      </c>
      <c r="AS306" s="25"/>
      <c r="AT306" s="8">
        <f>IF(AR306=0,0,+AR306/PassVol!AR464)</f>
        <v>0</v>
      </c>
      <c r="AU306" s="60"/>
      <c r="AV306" s="3"/>
      <c r="AW306" s="81">
        <f t="shared" si="520"/>
        <v>0</v>
      </c>
      <c r="AX306" s="82"/>
      <c r="AY306" s="85"/>
    </row>
    <row r="307" spans="1:51" s="24" customFormat="1" x14ac:dyDescent="0.25">
      <c r="A307" s="23"/>
      <c r="B307" s="2"/>
      <c r="C307" t="s">
        <v>354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3">
        <f t="shared" si="521"/>
        <v>0</v>
      </c>
      <c r="AS307" s="25"/>
      <c r="AT307" s="8">
        <f>IF(AR307=0,0,+AR307/PassVol!AR465)</f>
        <v>0</v>
      </c>
      <c r="AU307" s="60"/>
      <c r="AV307" s="3"/>
      <c r="AW307" t="s">
        <v>373</v>
      </c>
      <c r="AX307" s="82"/>
      <c r="AY307" s="85"/>
    </row>
    <row r="308" spans="1:51" s="24" customFormat="1" x14ac:dyDescent="0.25">
      <c r="A308" s="23"/>
      <c r="B308" s="2"/>
      <c r="C308" t="s">
        <v>265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3">
        <f t="shared" si="521"/>
        <v>0</v>
      </c>
      <c r="AS308" s="25"/>
      <c r="AT308" s="8">
        <f>IF(AR308=0,0,+AR308/PassVol!AR466)</f>
        <v>0</v>
      </c>
      <c r="AU308" s="60" t="s">
        <v>362</v>
      </c>
      <c r="AV308" s="3"/>
      <c r="AW308" s="81">
        <f t="shared" si="520"/>
        <v>0</v>
      </c>
      <c r="AX308" s="82"/>
      <c r="AY308" s="85"/>
    </row>
    <row r="309" spans="1:51" s="24" customFormat="1" x14ac:dyDescent="0.25">
      <c r="A309" s="23"/>
      <c r="B309" s="2"/>
      <c r="C309" t="s">
        <v>191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3">
        <f t="shared" si="521"/>
        <v>0</v>
      </c>
      <c r="AS309" s="25"/>
      <c r="AT309" s="8">
        <f>IF(AR309=0,0,+AR309/PassVol!AR467)</f>
        <v>0</v>
      </c>
      <c r="AU309" s="60" t="s">
        <v>362</v>
      </c>
      <c r="AV309" s="3"/>
      <c r="AW309" s="81">
        <f t="shared" si="520"/>
        <v>0</v>
      </c>
      <c r="AX309" s="82"/>
      <c r="AY309" s="85"/>
    </row>
    <row r="310" spans="1:51" s="24" customFormat="1" x14ac:dyDescent="0.25">
      <c r="A310" s="23"/>
      <c r="B310" s="2"/>
      <c r="C310" t="s">
        <v>549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3">
        <f t="shared" si="521"/>
        <v>0</v>
      </c>
      <c r="AS310" s="25"/>
      <c r="AT310" s="8">
        <f>IF(AR310=0,0,+AR310/PassVol!AR468)</f>
        <v>0</v>
      </c>
      <c r="AU310" s="60"/>
      <c r="AV310" s="3"/>
      <c r="AW310" s="81">
        <f t="shared" si="520"/>
        <v>0</v>
      </c>
      <c r="AX310" s="82"/>
      <c r="AY310" s="85"/>
    </row>
    <row r="311" spans="1:51" s="24" customFormat="1" x14ac:dyDescent="0.25">
      <c r="A311" s="23"/>
      <c r="B311" s="2"/>
      <c r="C311" t="s">
        <v>550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3">
        <f t="shared" si="521"/>
        <v>0</v>
      </c>
      <c r="AS311" s="25"/>
      <c r="AT311" s="8">
        <f>IF(AR311=0,0,+AR311/PassVol!AR469)</f>
        <v>0</v>
      </c>
      <c r="AU311" s="60"/>
      <c r="AV311" s="3"/>
      <c r="AW311" s="81">
        <f t="shared" si="520"/>
        <v>0</v>
      </c>
      <c r="AX311" s="82"/>
      <c r="AY311" s="85"/>
    </row>
    <row r="312" spans="1:51" s="24" customFormat="1" x14ac:dyDescent="0.25">
      <c r="A312" s="23"/>
      <c r="B312" s="2"/>
      <c r="C312" t="s">
        <v>6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3">
        <f t="shared" si="521"/>
        <v>0</v>
      </c>
      <c r="AS312" s="25"/>
      <c r="AT312" s="8">
        <f>IF(AR312=0,0,+AR312/PassVol!AR470)</f>
        <v>0</v>
      </c>
      <c r="AU312" s="60"/>
      <c r="AV312" s="3"/>
      <c r="AW312" s="81">
        <f t="shared" si="520"/>
        <v>0</v>
      </c>
      <c r="AX312" s="82"/>
      <c r="AY312" s="85"/>
    </row>
    <row r="313" spans="1:51" s="24" customFormat="1" x14ac:dyDescent="0.25">
      <c r="A313" s="23"/>
      <c r="B313" s="2"/>
      <c r="C313" t="s">
        <v>262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3">
        <f t="shared" si="521"/>
        <v>0</v>
      </c>
      <c r="AS313" s="25"/>
      <c r="AT313" s="8">
        <f>IF(AR313=0,0,+AR313/PassVol!AR471)</f>
        <v>0</v>
      </c>
      <c r="AU313" s="60">
        <v>0</v>
      </c>
      <c r="AV313" s="3"/>
      <c r="AW313" s="81">
        <f t="shared" si="520"/>
        <v>0</v>
      </c>
      <c r="AX313" s="82"/>
      <c r="AY313" s="85"/>
    </row>
    <row r="314" spans="1:51" s="24" customFormat="1" x14ac:dyDescent="0.25">
      <c r="A314" s="23"/>
      <c r="B314" s="2"/>
      <c r="C314" t="s">
        <v>42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3">
        <f t="shared" si="521"/>
        <v>0</v>
      </c>
      <c r="AS314" s="25"/>
      <c r="AT314" s="8">
        <f>IF(AR314=0,0,+AR314/PassVol!AR472)</f>
        <v>0</v>
      </c>
      <c r="AU314" s="60"/>
      <c r="AV314" s="3"/>
      <c r="AW314" s="81">
        <f t="shared" si="520"/>
        <v>0</v>
      </c>
      <c r="AX314" s="82"/>
      <c r="AY314" s="85"/>
    </row>
    <row r="315" spans="1:51" s="24" customFormat="1" x14ac:dyDescent="0.25">
      <c r="A315" s="23"/>
      <c r="B315" s="2"/>
      <c r="C315" t="s">
        <v>192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3">
        <f t="shared" si="521"/>
        <v>0</v>
      </c>
      <c r="AS315" s="25"/>
      <c r="AT315" s="8">
        <f>IF(AR315=0,0,+AR315/PassVol!AR473)</f>
        <v>0</v>
      </c>
      <c r="AU315" s="60"/>
      <c r="AV315" s="3"/>
      <c r="AW315" s="81">
        <f t="shared" si="520"/>
        <v>0</v>
      </c>
      <c r="AX315" s="82"/>
      <c r="AY315" s="85"/>
    </row>
    <row r="316" spans="1:51" s="24" customFormat="1" x14ac:dyDescent="0.25">
      <c r="A316" s="23"/>
      <c r="B316" s="2"/>
      <c r="C316" t="s">
        <v>133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3">
        <f t="shared" si="521"/>
        <v>0</v>
      </c>
      <c r="AS316" s="25"/>
      <c r="AT316" s="8">
        <f>IF(AR316=0,0,+AR316/PassVol!AR474)</f>
        <v>0</v>
      </c>
      <c r="AU316" s="60"/>
      <c r="AV316" s="3"/>
      <c r="AW316" s="81">
        <f t="shared" si="520"/>
        <v>0</v>
      </c>
      <c r="AX316" s="82"/>
      <c r="AY316" s="85"/>
    </row>
    <row r="317" spans="1:51" s="24" customFormat="1" x14ac:dyDescent="0.25">
      <c r="A317" s="23"/>
      <c r="B317" s="2"/>
      <c r="C317" t="s">
        <v>41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3">
        <f t="shared" si="521"/>
        <v>0</v>
      </c>
      <c r="AS317" s="25"/>
      <c r="AT317" s="8">
        <f>IF(AR317=0,0,+AR317/PassVol!AR475)</f>
        <v>0</v>
      </c>
      <c r="AU317" s="60"/>
      <c r="AV317" s="3"/>
      <c r="AW317" s="81">
        <f t="shared" si="520"/>
        <v>0</v>
      </c>
      <c r="AX317" s="82"/>
      <c r="AY317" s="85"/>
    </row>
    <row r="318" spans="1:51" s="24" customFormat="1" x14ac:dyDescent="0.25">
      <c r="A318" s="23"/>
      <c r="B318" s="2"/>
      <c r="C318" t="s">
        <v>193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3">
        <f t="shared" si="521"/>
        <v>0</v>
      </c>
      <c r="AS318" s="25"/>
      <c r="AT318" s="8">
        <f>IF(AR318=0,0,+AR318/PassVol!AR476)</f>
        <v>0</v>
      </c>
      <c r="AU318" s="60"/>
      <c r="AV318" s="3"/>
      <c r="AW318" s="81">
        <f t="shared" si="520"/>
        <v>0</v>
      </c>
      <c r="AX318" s="82"/>
      <c r="AY318" s="85"/>
    </row>
    <row r="319" spans="1:51" s="24" customFormat="1" x14ac:dyDescent="0.25">
      <c r="A319" s="23"/>
      <c r="B319" s="2"/>
      <c r="C319" t="s">
        <v>297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3">
        <f t="shared" si="521"/>
        <v>0</v>
      </c>
      <c r="AS319" s="25"/>
      <c r="AT319" s="8">
        <f>IF(AR319=0,0,+AR319/PassVol!AR477)</f>
        <v>0</v>
      </c>
      <c r="AU319" s="60"/>
      <c r="AV319" s="3"/>
      <c r="AW319" s="81">
        <f t="shared" si="520"/>
        <v>0</v>
      </c>
      <c r="AX319" s="82"/>
      <c r="AY319" s="85"/>
    </row>
    <row r="320" spans="1:51" s="24" customFormat="1" x14ac:dyDescent="0.25">
      <c r="A320" s="23"/>
      <c r="B320" s="2"/>
      <c r="C320" t="s">
        <v>296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3">
        <f t="shared" si="521"/>
        <v>0</v>
      </c>
      <c r="AS320" s="25"/>
      <c r="AT320" s="8">
        <f>IF(AR320=0,0,+AR320/PassVol!AR478)</f>
        <v>0</v>
      </c>
      <c r="AU320" s="60"/>
      <c r="AV320" s="3"/>
      <c r="AW320" s="81">
        <f t="shared" si="520"/>
        <v>0</v>
      </c>
      <c r="AX320" s="82"/>
      <c r="AY320" s="85"/>
    </row>
    <row r="321" spans="1:51" s="24" customFormat="1" x14ac:dyDescent="0.25">
      <c r="A321" s="23"/>
      <c r="B321" s="2"/>
      <c r="C321" t="s">
        <v>44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3">
        <f t="shared" si="521"/>
        <v>0</v>
      </c>
      <c r="AS321" s="25"/>
      <c r="AT321" s="8">
        <f>IF(AR321=0,0,+AR321/PassVol!AR479)</f>
        <v>0</v>
      </c>
      <c r="AU321" s="60"/>
      <c r="AV321" s="3"/>
      <c r="AW321" s="81">
        <f t="shared" si="520"/>
        <v>0</v>
      </c>
      <c r="AX321" s="82"/>
      <c r="AY321" s="85"/>
    </row>
    <row r="322" spans="1:51" s="24" customFormat="1" x14ac:dyDescent="0.25">
      <c r="A322" s="23"/>
      <c r="B322" s="2" t="s">
        <v>342</v>
      </c>
      <c r="C322" s="2"/>
      <c r="D322" s="3">
        <f>SUM(D303:D321)</f>
        <v>0</v>
      </c>
      <c r="E322" s="3">
        <f t="shared" ref="E322:J322" si="522">SUM(E303:E321)</f>
        <v>0</v>
      </c>
      <c r="F322" s="3">
        <f t="shared" si="522"/>
        <v>0</v>
      </c>
      <c r="G322" s="3">
        <f t="shared" si="522"/>
        <v>0</v>
      </c>
      <c r="H322" s="3">
        <f t="shared" si="522"/>
        <v>0</v>
      </c>
      <c r="I322" s="3">
        <f t="shared" si="522"/>
        <v>0</v>
      </c>
      <c r="J322" s="3">
        <f t="shared" si="522"/>
        <v>0</v>
      </c>
      <c r="K322" s="3">
        <f t="shared" ref="K322:AR322" si="523">SUM(K303:K321)</f>
        <v>0</v>
      </c>
      <c r="L322" s="3">
        <f t="shared" si="523"/>
        <v>0</v>
      </c>
      <c r="M322" s="3">
        <f t="shared" si="523"/>
        <v>0</v>
      </c>
      <c r="N322" s="3">
        <f t="shared" si="523"/>
        <v>0</v>
      </c>
      <c r="O322" s="3">
        <f t="shared" si="523"/>
        <v>0</v>
      </c>
      <c r="P322" s="3">
        <f t="shared" si="523"/>
        <v>0</v>
      </c>
      <c r="Q322" s="3">
        <f t="shared" si="523"/>
        <v>0</v>
      </c>
      <c r="R322" s="3">
        <f t="shared" si="523"/>
        <v>0</v>
      </c>
      <c r="S322" s="3">
        <f t="shared" si="523"/>
        <v>0</v>
      </c>
      <c r="T322" s="3">
        <f t="shared" si="523"/>
        <v>0</v>
      </c>
      <c r="U322" s="3">
        <f t="shared" si="523"/>
        <v>0</v>
      </c>
      <c r="V322" s="3">
        <f t="shared" si="523"/>
        <v>0</v>
      </c>
      <c r="W322" s="3">
        <f t="shared" si="523"/>
        <v>0</v>
      </c>
      <c r="X322" s="3">
        <f t="shared" si="523"/>
        <v>0</v>
      </c>
      <c r="Y322" s="3">
        <f t="shared" si="523"/>
        <v>0</v>
      </c>
      <c r="Z322" s="3">
        <f t="shared" si="523"/>
        <v>0</v>
      </c>
      <c r="AA322" s="3">
        <f t="shared" si="523"/>
        <v>0</v>
      </c>
      <c r="AB322" s="3">
        <f t="shared" si="523"/>
        <v>0</v>
      </c>
      <c r="AC322" s="3">
        <f t="shared" si="523"/>
        <v>0</v>
      </c>
      <c r="AD322" s="3">
        <f t="shared" si="523"/>
        <v>0</v>
      </c>
      <c r="AE322" s="3">
        <f t="shared" si="523"/>
        <v>0</v>
      </c>
      <c r="AF322" s="3">
        <f t="shared" si="523"/>
        <v>0</v>
      </c>
      <c r="AG322" s="3">
        <f t="shared" si="523"/>
        <v>0</v>
      </c>
      <c r="AH322" s="3">
        <f t="shared" si="523"/>
        <v>0</v>
      </c>
      <c r="AI322" s="3">
        <f t="shared" si="523"/>
        <v>0</v>
      </c>
      <c r="AJ322" s="3">
        <f t="shared" si="523"/>
        <v>0</v>
      </c>
      <c r="AK322" s="3">
        <f t="shared" si="523"/>
        <v>0</v>
      </c>
      <c r="AL322" s="3">
        <f t="shared" si="523"/>
        <v>0</v>
      </c>
      <c r="AM322" s="3">
        <f t="shared" si="523"/>
        <v>0</v>
      </c>
      <c r="AN322" s="3">
        <f t="shared" si="523"/>
        <v>0</v>
      </c>
      <c r="AO322" s="3">
        <f t="shared" si="523"/>
        <v>0</v>
      </c>
      <c r="AP322" s="3">
        <f t="shared" si="523"/>
        <v>0</v>
      </c>
      <c r="AQ322" s="3">
        <f t="shared" si="523"/>
        <v>0</v>
      </c>
      <c r="AR322" s="3">
        <f t="shared" si="523"/>
        <v>0</v>
      </c>
      <c r="AS322" s="25"/>
      <c r="AT322" s="9">
        <f>IF(AR322=0,0,+AR322/PassVol!AR480)</f>
        <v>0</v>
      </c>
      <c r="AU322" s="60"/>
      <c r="AV322" s="3">
        <f>SUM(AV303:AV321)</f>
        <v>0</v>
      </c>
      <c r="AW322" s="81">
        <f t="shared" si="520"/>
        <v>0</v>
      </c>
      <c r="AX322" s="83"/>
      <c r="AY322" s="86"/>
    </row>
    <row r="323" spans="1:51" s="24" customFormat="1" x14ac:dyDescent="0.25">
      <c r="A323" s="23"/>
      <c r="B323" s="23"/>
      <c r="C323" s="27" t="s">
        <v>102</v>
      </c>
      <c r="D323" s="25">
        <f>+D322</f>
        <v>0</v>
      </c>
      <c r="E323" s="25">
        <f>+D323+E322</f>
        <v>0</v>
      </c>
      <c r="F323" s="25">
        <f t="shared" ref="F323" si="524">+E323+F322</f>
        <v>0</v>
      </c>
      <c r="G323" s="25">
        <f t="shared" ref="G323" si="525">+F323+G322</f>
        <v>0</v>
      </c>
      <c r="H323" s="25">
        <f t="shared" ref="H323" si="526">+G323+H322</f>
        <v>0</v>
      </c>
      <c r="I323" s="25">
        <f t="shared" ref="I323" si="527">+H323+I322</f>
        <v>0</v>
      </c>
      <c r="J323" s="25">
        <f t="shared" ref="J323" si="528">+I323+J322</f>
        <v>0</v>
      </c>
      <c r="K323" s="25">
        <f t="shared" ref="K323" si="529">+J323+K322</f>
        <v>0</v>
      </c>
      <c r="L323" s="25">
        <f t="shared" ref="L323" si="530">+K323+L322</f>
        <v>0</v>
      </c>
      <c r="M323" s="25">
        <f t="shared" ref="M323" si="531">+L323+M322</f>
        <v>0</v>
      </c>
      <c r="N323" s="25">
        <f t="shared" ref="N323" si="532">+M323+N322</f>
        <v>0</v>
      </c>
      <c r="O323" s="25">
        <f t="shared" ref="O323" si="533">+N323+O322</f>
        <v>0</v>
      </c>
      <c r="P323" s="25">
        <f t="shared" ref="P323" si="534">+O323+P322</f>
        <v>0</v>
      </c>
      <c r="Q323" s="25">
        <f t="shared" ref="Q323" si="535">+P323+Q322</f>
        <v>0</v>
      </c>
      <c r="R323" s="25">
        <f t="shared" ref="R323" si="536">+Q323+R322</f>
        <v>0</v>
      </c>
      <c r="S323" s="25">
        <f t="shared" ref="S323" si="537">+R323+S322</f>
        <v>0</v>
      </c>
      <c r="T323" s="25">
        <f t="shared" ref="T323" si="538">+S323+T322</f>
        <v>0</v>
      </c>
      <c r="U323" s="25">
        <f t="shared" ref="U323" si="539">+T323+U322</f>
        <v>0</v>
      </c>
      <c r="V323" s="25">
        <f t="shared" ref="V323" si="540">+U323+V322</f>
        <v>0</v>
      </c>
      <c r="W323" s="25">
        <f t="shared" ref="W323" si="541">+V323+W322</f>
        <v>0</v>
      </c>
      <c r="X323" s="25">
        <f t="shared" ref="X323" si="542">+W323+X322</f>
        <v>0</v>
      </c>
      <c r="Y323" s="25">
        <f t="shared" ref="Y323" si="543">+X323+Y322</f>
        <v>0</v>
      </c>
      <c r="Z323" s="25">
        <f t="shared" ref="Z323" si="544">+Y323+Z322</f>
        <v>0</v>
      </c>
      <c r="AA323" s="25">
        <f t="shared" ref="AA323" si="545">+Z323+AA322</f>
        <v>0</v>
      </c>
      <c r="AB323" s="25">
        <f t="shared" ref="AB323" si="546">+AA323+AB322</f>
        <v>0</v>
      </c>
      <c r="AC323" s="25">
        <f t="shared" ref="AC323" si="547">+AB323+AC322</f>
        <v>0</v>
      </c>
      <c r="AD323" s="25">
        <f t="shared" ref="AD323" si="548">+AC323+AD322</f>
        <v>0</v>
      </c>
      <c r="AE323" s="25">
        <f t="shared" ref="AE323" si="549">+AD323+AE322</f>
        <v>0</v>
      </c>
      <c r="AF323" s="25">
        <f t="shared" ref="AF323" si="550">+AE323+AF322</f>
        <v>0</v>
      </c>
      <c r="AG323" s="25">
        <f t="shared" ref="AG323" si="551">+AF323+AG322</f>
        <v>0</v>
      </c>
      <c r="AH323" s="25">
        <f t="shared" ref="AH323" si="552">+AG323+AH322</f>
        <v>0</v>
      </c>
      <c r="AI323" s="25">
        <f t="shared" ref="AI323" si="553">+AH323+AI322</f>
        <v>0</v>
      </c>
      <c r="AJ323" s="25">
        <f t="shared" ref="AJ323" si="554">+AI323+AJ322</f>
        <v>0</v>
      </c>
      <c r="AK323" s="25">
        <f t="shared" ref="AK323" si="555">+AJ323+AK322</f>
        <v>0</v>
      </c>
      <c r="AL323" s="25">
        <f t="shared" ref="AL323" si="556">+AK323+AL322</f>
        <v>0</v>
      </c>
      <c r="AM323" s="25">
        <f t="shared" ref="AM323" si="557">+AL323+AM322</f>
        <v>0</v>
      </c>
      <c r="AN323" s="25">
        <f t="shared" ref="AN323" si="558">+AM323+AN322</f>
        <v>0</v>
      </c>
      <c r="AO323" s="25">
        <f t="shared" ref="AO323" si="559">+AN323+AO322</f>
        <v>0</v>
      </c>
      <c r="AP323" s="25">
        <f t="shared" ref="AP323" si="560">+AO323+AP322</f>
        <v>0</v>
      </c>
      <c r="AQ323" s="25">
        <f t="shared" ref="AQ323" si="561">+AP323+AQ322</f>
        <v>0</v>
      </c>
      <c r="AR323" s="49"/>
      <c r="AS323" s="25"/>
      <c r="AT323" s="26"/>
      <c r="AU323" s="60"/>
    </row>
    <row r="324" spans="1:51" s="24" customFormat="1" x14ac:dyDescent="0.25">
      <c r="A324" s="23"/>
      <c r="B324" s="23"/>
      <c r="C324" s="27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49"/>
      <c r="AS324" s="25"/>
      <c r="AT324" s="26"/>
      <c r="AU324" s="60"/>
    </row>
    <row r="325" spans="1:51" s="24" customFormat="1" x14ac:dyDescent="0.25">
      <c r="A325" s="23"/>
      <c r="B325" s="2" t="s">
        <v>429</v>
      </c>
      <c r="C3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49"/>
      <c r="AS325" s="25"/>
      <c r="AT325" s="26"/>
      <c r="AU325" s="60"/>
    </row>
    <row r="326" spans="1:51" s="24" customFormat="1" x14ac:dyDescent="0.25">
      <c r="A326" s="23"/>
      <c r="B326" s="2"/>
      <c r="C326" t="s">
        <v>190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3">
        <f>SUM(D326:AQ326)</f>
        <v>0</v>
      </c>
      <c r="AS326" s="25"/>
      <c r="AT326" s="8">
        <f>IF(AR326=0,0,+AR326/PassVol!AR485)</f>
        <v>0</v>
      </c>
      <c r="AU326" s="60">
        <v>0</v>
      </c>
      <c r="AV326" s="3"/>
      <c r="AW326" s="81">
        <f t="shared" ref="AW326:AW345" si="562">IF(AV326=0,0,+(AR326-AV326)/AV326)</f>
        <v>0</v>
      </c>
      <c r="AX326" s="82"/>
      <c r="AY326" s="84"/>
    </row>
    <row r="327" spans="1:51" s="24" customFormat="1" x14ac:dyDescent="0.25">
      <c r="A327" s="23"/>
      <c r="B327" s="2"/>
      <c r="C327" t="s">
        <v>424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3">
        <f>SUM(D327:AQ327)</f>
        <v>0</v>
      </c>
      <c r="AS327" s="25"/>
      <c r="AT327" s="8">
        <f>IF(AR327=0,0,+AR327/PassVol!AR486)</f>
        <v>0</v>
      </c>
      <c r="AU327" s="60"/>
      <c r="AV327" s="3"/>
      <c r="AW327" s="81"/>
      <c r="AX327" s="82"/>
      <c r="AY327" s="85"/>
    </row>
    <row r="328" spans="1:51" s="24" customFormat="1" x14ac:dyDescent="0.25">
      <c r="A328" s="23"/>
      <c r="B328" s="2"/>
      <c r="C328" t="s">
        <v>347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3">
        <f t="shared" ref="AR328:AR344" si="563">SUM(D328:AQ328)</f>
        <v>0</v>
      </c>
      <c r="AS328" s="25"/>
      <c r="AT328" s="8">
        <f>IF(AR328=0,0,+AR328/PassVol!AR487)</f>
        <v>0</v>
      </c>
      <c r="AU328" s="60"/>
      <c r="AV328" s="3"/>
      <c r="AW328" s="81">
        <f t="shared" si="562"/>
        <v>0</v>
      </c>
      <c r="AX328" s="82"/>
      <c r="AY328" s="85"/>
    </row>
    <row r="329" spans="1:51" s="24" customFormat="1" x14ac:dyDescent="0.25">
      <c r="A329" s="23"/>
      <c r="B329" s="2"/>
      <c r="C329" t="s">
        <v>0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3">
        <f t="shared" si="563"/>
        <v>0</v>
      </c>
      <c r="AS329" s="25"/>
      <c r="AT329" s="8">
        <f>IF(AR329=0,0,+AR329/PassVol!AR488)</f>
        <v>0</v>
      </c>
      <c r="AU329" s="60"/>
      <c r="AV329" s="3"/>
      <c r="AW329" s="81">
        <f t="shared" si="562"/>
        <v>0</v>
      </c>
      <c r="AX329" s="82"/>
      <c r="AY329" s="85"/>
    </row>
    <row r="330" spans="1:51" s="24" customFormat="1" x14ac:dyDescent="0.25">
      <c r="A330" s="23"/>
      <c r="B330" s="2"/>
      <c r="C330" t="s">
        <v>354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3">
        <f t="shared" si="563"/>
        <v>0</v>
      </c>
      <c r="AS330" s="25"/>
      <c r="AT330" s="8">
        <f>IF(AR330=0,0,+AR330/PassVol!AR489)</f>
        <v>0</v>
      </c>
      <c r="AU330" s="60"/>
      <c r="AV330" s="3"/>
      <c r="AW330" t="s">
        <v>373</v>
      </c>
      <c r="AX330" s="82"/>
      <c r="AY330" s="85"/>
    </row>
    <row r="331" spans="1:51" s="24" customFormat="1" x14ac:dyDescent="0.25">
      <c r="A331" s="23"/>
      <c r="B331" s="2"/>
      <c r="C331" t="s">
        <v>265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3">
        <f t="shared" si="563"/>
        <v>0</v>
      </c>
      <c r="AS331" s="25"/>
      <c r="AT331" s="8">
        <f>IF(AR331=0,0,+AR331/PassVol!AR490)</f>
        <v>0</v>
      </c>
      <c r="AU331" s="60">
        <v>0</v>
      </c>
      <c r="AV331" s="3"/>
      <c r="AW331" s="81">
        <f t="shared" si="562"/>
        <v>0</v>
      </c>
      <c r="AX331" s="82"/>
      <c r="AY331" s="85"/>
    </row>
    <row r="332" spans="1:51" s="24" customFormat="1" x14ac:dyDescent="0.25">
      <c r="A332" s="23"/>
      <c r="B332" s="2"/>
      <c r="C332" t="s">
        <v>191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3">
        <f t="shared" si="563"/>
        <v>0</v>
      </c>
      <c r="AS332" s="25"/>
      <c r="AT332" s="8">
        <f>IF(AR332=0,0,+AR332/PassVol!AR491)</f>
        <v>0</v>
      </c>
      <c r="AU332" s="60" t="s">
        <v>362</v>
      </c>
      <c r="AV332" s="3"/>
      <c r="AW332" s="81">
        <f t="shared" si="562"/>
        <v>0</v>
      </c>
      <c r="AX332" s="82"/>
      <c r="AY332" s="85"/>
    </row>
    <row r="333" spans="1:51" s="24" customFormat="1" x14ac:dyDescent="0.25">
      <c r="A333" s="23"/>
      <c r="B333" s="2"/>
      <c r="C333" t="s">
        <v>549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3">
        <f t="shared" si="563"/>
        <v>0</v>
      </c>
      <c r="AS333" s="25"/>
      <c r="AT333" s="8">
        <f>IF(AR333=0,0,+AR333/PassVol!AR492)</f>
        <v>0</v>
      </c>
      <c r="AU333" s="60"/>
      <c r="AV333" s="3"/>
      <c r="AW333" s="81">
        <f t="shared" si="562"/>
        <v>0</v>
      </c>
      <c r="AX333" s="82"/>
      <c r="AY333" s="85"/>
    </row>
    <row r="334" spans="1:51" s="24" customFormat="1" x14ac:dyDescent="0.25">
      <c r="A334" s="23"/>
      <c r="B334" s="2"/>
      <c r="C334" t="s">
        <v>550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3">
        <f t="shared" si="563"/>
        <v>0</v>
      </c>
      <c r="AS334" s="25"/>
      <c r="AT334" s="8">
        <f>IF(AR334=0,0,+AR334/PassVol!AR493)</f>
        <v>0</v>
      </c>
      <c r="AU334" s="60"/>
      <c r="AV334" s="3"/>
      <c r="AW334" s="81">
        <f t="shared" si="562"/>
        <v>0</v>
      </c>
      <c r="AX334" s="82"/>
      <c r="AY334" s="85"/>
    </row>
    <row r="335" spans="1:51" s="24" customFormat="1" x14ac:dyDescent="0.25">
      <c r="A335" s="23"/>
      <c r="B335" s="2"/>
      <c r="C335" t="s">
        <v>6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3">
        <f t="shared" si="563"/>
        <v>0</v>
      </c>
      <c r="AS335" s="25"/>
      <c r="AT335" s="8">
        <v>1.1200000000000001</v>
      </c>
      <c r="AU335" s="60"/>
      <c r="AV335" s="3"/>
      <c r="AW335" s="81">
        <f t="shared" si="562"/>
        <v>0</v>
      </c>
      <c r="AX335" s="82"/>
      <c r="AY335" s="85"/>
    </row>
    <row r="336" spans="1:51" s="24" customFormat="1" x14ac:dyDescent="0.25">
      <c r="A336" s="23"/>
      <c r="B336" s="2"/>
      <c r="C336" t="s">
        <v>262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3">
        <f t="shared" si="563"/>
        <v>0</v>
      </c>
      <c r="AS336" s="25"/>
      <c r="AT336" s="8">
        <f>IF(AR336=0,0,+AR336/PassVol!AR495)</f>
        <v>0</v>
      </c>
      <c r="AU336" s="60">
        <v>0</v>
      </c>
      <c r="AV336" s="3"/>
      <c r="AW336" s="81">
        <f t="shared" si="562"/>
        <v>0</v>
      </c>
      <c r="AX336" s="82"/>
      <c r="AY336" s="85"/>
    </row>
    <row r="337" spans="1:51" s="24" customFormat="1" x14ac:dyDescent="0.25">
      <c r="A337" s="23"/>
      <c r="B337" s="2"/>
      <c r="C337" t="s">
        <v>42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3">
        <f t="shared" si="563"/>
        <v>0</v>
      </c>
      <c r="AS337" s="25"/>
      <c r="AT337" s="8">
        <f>IF(AR337=0,0,+AR337/PassVol!AR496)</f>
        <v>0</v>
      </c>
      <c r="AU337" s="60"/>
      <c r="AV337" s="3"/>
      <c r="AW337" s="81">
        <f t="shared" si="562"/>
        <v>0</v>
      </c>
      <c r="AX337" s="82"/>
      <c r="AY337" s="85"/>
    </row>
    <row r="338" spans="1:51" s="24" customFormat="1" x14ac:dyDescent="0.25">
      <c r="A338" s="23"/>
      <c r="B338" s="2"/>
      <c r="C338" t="s">
        <v>192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3">
        <f t="shared" si="563"/>
        <v>0</v>
      </c>
      <c r="AS338" s="25"/>
      <c r="AT338" s="8">
        <f>IF(AR338=0,0,+AR338/PassVol!AR497)</f>
        <v>0</v>
      </c>
      <c r="AU338" s="60"/>
      <c r="AV338" s="3"/>
      <c r="AW338" s="81">
        <f t="shared" si="562"/>
        <v>0</v>
      </c>
      <c r="AX338" s="82"/>
      <c r="AY338" s="85"/>
    </row>
    <row r="339" spans="1:51" s="24" customFormat="1" x14ac:dyDescent="0.25">
      <c r="A339" s="23"/>
      <c r="B339" s="2"/>
      <c r="C339" t="s">
        <v>133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3">
        <f t="shared" si="563"/>
        <v>0</v>
      </c>
      <c r="AS339" s="25"/>
      <c r="AT339" s="8">
        <f>IF(AR339=0,0,+AR339/PassVol!AR498)</f>
        <v>0</v>
      </c>
      <c r="AU339" s="60"/>
      <c r="AV339" s="3"/>
      <c r="AW339" s="81">
        <f t="shared" si="562"/>
        <v>0</v>
      </c>
      <c r="AX339" s="82"/>
      <c r="AY339" s="85"/>
    </row>
    <row r="340" spans="1:51" s="24" customFormat="1" x14ac:dyDescent="0.25">
      <c r="A340" s="23"/>
      <c r="B340" s="2"/>
      <c r="C340" t="s">
        <v>41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3">
        <f t="shared" si="563"/>
        <v>0</v>
      </c>
      <c r="AS340" s="25"/>
      <c r="AT340" s="8">
        <f>IF(AR340=0,0,+AR340/PassVol!AR499)</f>
        <v>0</v>
      </c>
      <c r="AU340" s="60"/>
      <c r="AV340" s="3"/>
      <c r="AW340" s="81">
        <f t="shared" si="562"/>
        <v>0</v>
      </c>
      <c r="AX340" s="82"/>
      <c r="AY340" s="85"/>
    </row>
    <row r="341" spans="1:51" s="24" customFormat="1" x14ac:dyDescent="0.25">
      <c r="A341" s="23"/>
      <c r="B341" s="2"/>
      <c r="C341" t="s">
        <v>193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3">
        <f t="shared" si="563"/>
        <v>0</v>
      </c>
      <c r="AS341" s="25"/>
      <c r="AT341" s="8">
        <f>IF(AR341=0,0,+AR341/PassVol!AR500)</f>
        <v>0</v>
      </c>
      <c r="AU341" s="60"/>
      <c r="AV341" s="3"/>
      <c r="AW341" s="81">
        <f t="shared" si="562"/>
        <v>0</v>
      </c>
      <c r="AX341" s="82"/>
      <c r="AY341" s="85"/>
    </row>
    <row r="342" spans="1:51" s="24" customFormat="1" x14ac:dyDescent="0.25">
      <c r="A342" s="23"/>
      <c r="B342" s="2"/>
      <c r="C342" t="s">
        <v>297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3">
        <f t="shared" si="563"/>
        <v>0</v>
      </c>
      <c r="AS342" s="25"/>
      <c r="AT342" s="8">
        <f>IF(AR342=0,0,+AR342/PassVol!AR501)</f>
        <v>0</v>
      </c>
      <c r="AU342" s="60"/>
      <c r="AV342" s="3"/>
      <c r="AW342" s="81">
        <f t="shared" si="562"/>
        <v>0</v>
      </c>
      <c r="AX342" s="82"/>
      <c r="AY342" s="85"/>
    </row>
    <row r="343" spans="1:51" s="24" customFormat="1" x14ac:dyDescent="0.25">
      <c r="A343" s="23"/>
      <c r="B343" s="2"/>
      <c r="C343" t="s">
        <v>296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3">
        <f t="shared" si="563"/>
        <v>0</v>
      </c>
      <c r="AS343" s="25"/>
      <c r="AT343" s="8">
        <f>IF(AR343=0,0,+AR343/PassVol!AR502)</f>
        <v>0</v>
      </c>
      <c r="AU343" s="60"/>
      <c r="AV343" s="3"/>
      <c r="AW343" s="81">
        <f t="shared" si="562"/>
        <v>0</v>
      </c>
      <c r="AX343" s="82"/>
      <c r="AY343" s="85"/>
    </row>
    <row r="344" spans="1:51" s="24" customFormat="1" x14ac:dyDescent="0.25">
      <c r="A344" s="23"/>
      <c r="B344" s="2"/>
      <c r="C344" t="s">
        <v>44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3">
        <f t="shared" si="563"/>
        <v>0</v>
      </c>
      <c r="AS344" s="25"/>
      <c r="AT344" s="8">
        <f>IF(AR344=0,0,+AR344/PassVol!AR503)</f>
        <v>0</v>
      </c>
      <c r="AU344" s="60"/>
      <c r="AV344" s="3"/>
      <c r="AW344" s="81">
        <f t="shared" si="562"/>
        <v>0</v>
      </c>
      <c r="AX344" s="82"/>
      <c r="AY344" s="85"/>
    </row>
    <row r="345" spans="1:51" s="24" customFormat="1" x14ac:dyDescent="0.25">
      <c r="A345" s="23"/>
      <c r="B345" s="2" t="s">
        <v>341</v>
      </c>
      <c r="C345" s="2"/>
      <c r="D345" s="3">
        <f>SUM(D326:D344)</f>
        <v>0</v>
      </c>
      <c r="E345" s="3">
        <f t="shared" ref="E345:J345" si="564">SUM(E326:E344)</f>
        <v>0</v>
      </c>
      <c r="F345" s="3">
        <f t="shared" si="564"/>
        <v>0</v>
      </c>
      <c r="G345" s="3">
        <f t="shared" si="564"/>
        <v>0</v>
      </c>
      <c r="H345" s="3">
        <f t="shared" si="564"/>
        <v>0</v>
      </c>
      <c r="I345" s="3">
        <f t="shared" si="564"/>
        <v>0</v>
      </c>
      <c r="J345" s="3">
        <f t="shared" si="564"/>
        <v>0</v>
      </c>
      <c r="K345" s="3">
        <f t="shared" ref="K345:AR345" si="565">SUM(K326:K344)</f>
        <v>0</v>
      </c>
      <c r="L345" s="3">
        <f t="shared" si="565"/>
        <v>0</v>
      </c>
      <c r="M345" s="3">
        <f t="shared" si="565"/>
        <v>0</v>
      </c>
      <c r="N345" s="3">
        <f t="shared" si="565"/>
        <v>0</v>
      </c>
      <c r="O345" s="3">
        <f t="shared" si="565"/>
        <v>0</v>
      </c>
      <c r="P345" s="3">
        <f t="shared" si="565"/>
        <v>0</v>
      </c>
      <c r="Q345" s="3">
        <f t="shared" si="565"/>
        <v>0</v>
      </c>
      <c r="R345" s="3">
        <f t="shared" si="565"/>
        <v>0</v>
      </c>
      <c r="S345" s="3">
        <f t="shared" si="565"/>
        <v>0</v>
      </c>
      <c r="T345" s="3">
        <f t="shared" si="565"/>
        <v>0</v>
      </c>
      <c r="U345" s="3">
        <f t="shared" si="565"/>
        <v>0</v>
      </c>
      <c r="V345" s="3">
        <f t="shared" si="565"/>
        <v>0</v>
      </c>
      <c r="W345" s="3">
        <f t="shared" si="565"/>
        <v>0</v>
      </c>
      <c r="X345" s="3">
        <f t="shared" si="565"/>
        <v>0</v>
      </c>
      <c r="Y345" s="3">
        <f t="shared" si="565"/>
        <v>0</v>
      </c>
      <c r="Z345" s="3">
        <f t="shared" si="565"/>
        <v>0</v>
      </c>
      <c r="AA345" s="3">
        <f t="shared" si="565"/>
        <v>0</v>
      </c>
      <c r="AB345" s="3">
        <f t="shared" si="565"/>
        <v>0</v>
      </c>
      <c r="AC345" s="3">
        <f t="shared" si="565"/>
        <v>0</v>
      </c>
      <c r="AD345" s="3">
        <f t="shared" si="565"/>
        <v>0</v>
      </c>
      <c r="AE345" s="3">
        <f t="shared" si="565"/>
        <v>0</v>
      </c>
      <c r="AF345" s="3">
        <f t="shared" si="565"/>
        <v>0</v>
      </c>
      <c r="AG345" s="3">
        <f t="shared" si="565"/>
        <v>0</v>
      </c>
      <c r="AH345" s="3">
        <f t="shared" si="565"/>
        <v>0</v>
      </c>
      <c r="AI345" s="3">
        <f t="shared" si="565"/>
        <v>0</v>
      </c>
      <c r="AJ345" s="3">
        <f t="shared" si="565"/>
        <v>0</v>
      </c>
      <c r="AK345" s="3">
        <f t="shared" si="565"/>
        <v>0</v>
      </c>
      <c r="AL345" s="3">
        <f t="shared" si="565"/>
        <v>0</v>
      </c>
      <c r="AM345" s="3">
        <f t="shared" si="565"/>
        <v>0</v>
      </c>
      <c r="AN345" s="3">
        <f t="shared" si="565"/>
        <v>0</v>
      </c>
      <c r="AO345" s="3">
        <f t="shared" si="565"/>
        <v>0</v>
      </c>
      <c r="AP345" s="3">
        <f t="shared" si="565"/>
        <v>0</v>
      </c>
      <c r="AQ345" s="3">
        <f t="shared" si="565"/>
        <v>0</v>
      </c>
      <c r="AR345" s="3">
        <f t="shared" si="565"/>
        <v>0</v>
      </c>
      <c r="AS345" s="25"/>
      <c r="AT345" s="9">
        <f>IF(AR345=0,0,+AR345/PassVol!AR504)</f>
        <v>0</v>
      </c>
      <c r="AU345" s="60"/>
      <c r="AV345" s="3">
        <f t="shared" ref="AV345" si="566">SUM(AV326:AV344)</f>
        <v>0</v>
      </c>
      <c r="AW345" s="81">
        <f t="shared" si="562"/>
        <v>0</v>
      </c>
      <c r="AX345" s="83"/>
      <c r="AY345" s="86"/>
    </row>
    <row r="346" spans="1:51" s="24" customFormat="1" x14ac:dyDescent="0.25">
      <c r="A346" s="23"/>
      <c r="B346" s="23"/>
      <c r="C346" s="27" t="s">
        <v>102</v>
      </c>
      <c r="D346" s="25">
        <f>+D345</f>
        <v>0</v>
      </c>
      <c r="E346" s="25">
        <f>+D346+E345</f>
        <v>0</v>
      </c>
      <c r="F346" s="25">
        <f t="shared" ref="F346" si="567">+E346+F345</f>
        <v>0</v>
      </c>
      <c r="G346" s="25">
        <f t="shared" ref="G346" si="568">+F346+G345</f>
        <v>0</v>
      </c>
      <c r="H346" s="25">
        <f t="shared" ref="H346" si="569">+G346+H345</f>
        <v>0</v>
      </c>
      <c r="I346" s="25">
        <f t="shared" ref="I346" si="570">+H346+I345</f>
        <v>0</v>
      </c>
      <c r="J346" s="25">
        <f t="shared" ref="J346" si="571">+I346+J345</f>
        <v>0</v>
      </c>
      <c r="K346" s="25">
        <f t="shared" ref="K346" si="572">+J346+K345</f>
        <v>0</v>
      </c>
      <c r="L346" s="25">
        <f t="shared" ref="L346" si="573">+K346+L345</f>
        <v>0</v>
      </c>
      <c r="M346" s="25">
        <f t="shared" ref="M346" si="574">+L346+M345</f>
        <v>0</v>
      </c>
      <c r="N346" s="25">
        <f t="shared" ref="N346" si="575">+M346+N345</f>
        <v>0</v>
      </c>
      <c r="O346" s="25">
        <f t="shared" ref="O346" si="576">+N346+O345</f>
        <v>0</v>
      </c>
      <c r="P346" s="25">
        <f t="shared" ref="P346" si="577">+O346+P345</f>
        <v>0</v>
      </c>
      <c r="Q346" s="25">
        <f t="shared" ref="Q346" si="578">+P346+Q345</f>
        <v>0</v>
      </c>
      <c r="R346" s="25">
        <f t="shared" ref="R346" si="579">+Q346+R345</f>
        <v>0</v>
      </c>
      <c r="S346" s="25">
        <f t="shared" ref="S346" si="580">+R346+S345</f>
        <v>0</v>
      </c>
      <c r="T346" s="25">
        <f t="shared" ref="T346" si="581">+S346+T345</f>
        <v>0</v>
      </c>
      <c r="U346" s="25">
        <f t="shared" ref="U346" si="582">+T346+U345</f>
        <v>0</v>
      </c>
      <c r="V346" s="25">
        <f t="shared" ref="V346" si="583">+U346+V345</f>
        <v>0</v>
      </c>
      <c r="W346" s="25">
        <f t="shared" ref="W346" si="584">+V346+W345</f>
        <v>0</v>
      </c>
      <c r="X346" s="25">
        <f t="shared" ref="X346" si="585">+W346+X345</f>
        <v>0</v>
      </c>
      <c r="Y346" s="25">
        <f t="shared" ref="Y346" si="586">+X346+Y345</f>
        <v>0</v>
      </c>
      <c r="Z346" s="25">
        <f t="shared" ref="Z346" si="587">+Y346+Z345</f>
        <v>0</v>
      </c>
      <c r="AA346" s="25">
        <f t="shared" ref="AA346" si="588">+Z346+AA345</f>
        <v>0</v>
      </c>
      <c r="AB346" s="25">
        <f t="shared" ref="AB346" si="589">+AA346+AB345</f>
        <v>0</v>
      </c>
      <c r="AC346" s="25">
        <f t="shared" ref="AC346" si="590">+AB346+AC345</f>
        <v>0</v>
      </c>
      <c r="AD346" s="25">
        <f t="shared" ref="AD346" si="591">+AC346+AD345</f>
        <v>0</v>
      </c>
      <c r="AE346" s="25">
        <f t="shared" ref="AE346" si="592">+AD346+AE345</f>
        <v>0</v>
      </c>
      <c r="AF346" s="25">
        <f t="shared" ref="AF346" si="593">+AE346+AF345</f>
        <v>0</v>
      </c>
      <c r="AG346" s="25">
        <f t="shared" ref="AG346" si="594">+AF346+AG345</f>
        <v>0</v>
      </c>
      <c r="AH346" s="25">
        <f t="shared" ref="AH346" si="595">+AG346+AH345</f>
        <v>0</v>
      </c>
      <c r="AI346" s="25">
        <f t="shared" ref="AI346" si="596">+AH346+AI345</f>
        <v>0</v>
      </c>
      <c r="AJ346" s="25">
        <f t="shared" ref="AJ346" si="597">+AI346+AJ345</f>
        <v>0</v>
      </c>
      <c r="AK346" s="25">
        <f t="shared" ref="AK346" si="598">+AJ346+AK345</f>
        <v>0</v>
      </c>
      <c r="AL346" s="25">
        <f t="shared" ref="AL346" si="599">+AK346+AL345</f>
        <v>0</v>
      </c>
      <c r="AM346" s="25">
        <f t="shared" ref="AM346" si="600">+AL346+AM345</f>
        <v>0</v>
      </c>
      <c r="AN346" s="25">
        <f t="shared" ref="AN346" si="601">+AM346+AN345</f>
        <v>0</v>
      </c>
      <c r="AO346" s="25">
        <f t="shared" ref="AO346" si="602">+AN346+AO345</f>
        <v>0</v>
      </c>
      <c r="AP346" s="25">
        <f t="shared" ref="AP346" si="603">+AO346+AP345</f>
        <v>0</v>
      </c>
      <c r="AQ346" s="25">
        <f t="shared" ref="AQ346" si="604">+AP346+AQ345</f>
        <v>0</v>
      </c>
      <c r="AR346" s="49"/>
      <c r="AS346" s="25"/>
      <c r="AT346" s="26"/>
      <c r="AU346" s="60"/>
    </row>
    <row r="347" spans="1:51" s="24" customFormat="1" x14ac:dyDescent="0.25">
      <c r="A347" s="23"/>
      <c r="B347" s="23"/>
      <c r="C347" s="27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11"/>
      <c r="X347" s="11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49"/>
      <c r="AS347" s="25"/>
      <c r="AT347" s="26"/>
      <c r="AU347" s="60"/>
    </row>
    <row r="348" spans="1:51" s="24" customFormat="1" x14ac:dyDescent="0.25">
      <c r="A348" s="23"/>
      <c r="B348" s="2" t="s">
        <v>735</v>
      </c>
      <c r="C348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11"/>
      <c r="X348" s="11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49"/>
      <c r="AS348" s="25"/>
      <c r="AT348" s="26"/>
      <c r="AU348" s="60"/>
    </row>
    <row r="349" spans="1:51" s="24" customFormat="1" x14ac:dyDescent="0.25">
      <c r="A349" s="23"/>
      <c r="B349" s="2"/>
      <c r="C349" t="s">
        <v>190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3">
        <f>SUM(D349:AQ349)</f>
        <v>0</v>
      </c>
      <c r="AS349" s="25"/>
      <c r="AT349" s="8">
        <f>IF(AR349=0,0,+AR349/PassVol!AR509)</f>
        <v>0</v>
      </c>
      <c r="AU349" s="60"/>
    </row>
    <row r="350" spans="1:51" s="24" customFormat="1" x14ac:dyDescent="0.25">
      <c r="A350" s="23"/>
      <c r="B350" s="2"/>
      <c r="C350" t="s">
        <v>424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>
        <v>662.4</v>
      </c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3">
        <f>SUM(D350:AQ350)</f>
        <v>662.4</v>
      </c>
      <c r="AS350" s="25"/>
      <c r="AT350" s="8">
        <f>IF(AR350=0,0,+AR350/PassVol!AR510)</f>
        <v>20.7</v>
      </c>
      <c r="AU350" s="60"/>
    </row>
    <row r="351" spans="1:51" s="24" customFormat="1" x14ac:dyDescent="0.25">
      <c r="A351" s="23"/>
      <c r="B351" s="2"/>
      <c r="C351" t="s">
        <v>347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>
        <v>1324.8</v>
      </c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3">
        <f t="shared" ref="AR351:AR367" si="605">SUM(D351:AQ351)</f>
        <v>1324.8</v>
      </c>
      <c r="AS351" s="25"/>
      <c r="AT351" s="8">
        <f>IF(AR351=0,0,+AR351/PassVol!AR511)</f>
        <v>20.7</v>
      </c>
      <c r="AU351" s="60"/>
    </row>
    <row r="352" spans="1:51" s="24" customFormat="1" x14ac:dyDescent="0.25">
      <c r="A352" s="23"/>
      <c r="B352" s="2"/>
      <c r="C352" t="s">
        <v>0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3">
        <f t="shared" si="605"/>
        <v>0</v>
      </c>
      <c r="AS352" s="25"/>
      <c r="AT352" s="8">
        <f>IF(AR352=0,0,+AR352/PassVol!AR512)</f>
        <v>0</v>
      </c>
      <c r="AU352" s="60"/>
    </row>
    <row r="353" spans="1:47" s="24" customFormat="1" x14ac:dyDescent="0.25">
      <c r="A353" s="23"/>
      <c r="B353" s="2"/>
      <c r="C353" t="s">
        <v>354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3">
        <f t="shared" si="605"/>
        <v>0</v>
      </c>
      <c r="AS353" s="25"/>
      <c r="AT353" s="8">
        <f>IF(AR353=0,0,+AR353/PassVol!AR513)</f>
        <v>0</v>
      </c>
      <c r="AU353" s="60"/>
    </row>
    <row r="354" spans="1:47" s="24" customFormat="1" x14ac:dyDescent="0.25">
      <c r="A354" s="23"/>
      <c r="B354" s="2"/>
      <c r="C354" t="s">
        <v>265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>
        <v>1656</v>
      </c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3">
        <f t="shared" si="605"/>
        <v>1656</v>
      </c>
      <c r="AS354" s="25"/>
      <c r="AT354" s="8">
        <f>IF(AR354=0,0,+AR354/PassVol!AR514)</f>
        <v>20.7</v>
      </c>
      <c r="AU354" s="60"/>
    </row>
    <row r="355" spans="1:47" s="24" customFormat="1" x14ac:dyDescent="0.25">
      <c r="A355" s="23"/>
      <c r="B355" s="2"/>
      <c r="C355" t="s">
        <v>191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3">
        <f t="shared" si="605"/>
        <v>0</v>
      </c>
      <c r="AS355" s="25"/>
      <c r="AT355" s="8">
        <f>IF(AR355=0,0,+AR355/PassVol!AR515)</f>
        <v>0</v>
      </c>
      <c r="AU355" s="60"/>
    </row>
    <row r="356" spans="1:47" s="24" customFormat="1" x14ac:dyDescent="0.25">
      <c r="A356" s="23"/>
      <c r="B356" s="2"/>
      <c r="C356" t="s">
        <v>549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3">
        <f t="shared" si="605"/>
        <v>0</v>
      </c>
      <c r="AS356" s="25"/>
      <c r="AT356" s="8">
        <f>IF(AR356=0,0,+AR356/PassVol!AR516)</f>
        <v>0</v>
      </c>
      <c r="AU356" s="60"/>
    </row>
    <row r="357" spans="1:47" s="24" customFormat="1" x14ac:dyDescent="0.25">
      <c r="A357" s="23"/>
      <c r="B357" s="2"/>
      <c r="C357" t="s">
        <v>550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3">
        <f t="shared" si="605"/>
        <v>0</v>
      </c>
      <c r="AS357" s="25"/>
      <c r="AT357" s="8">
        <f>IF(AR357=0,0,+AR357/PassVol!AR517)</f>
        <v>0</v>
      </c>
      <c r="AU357" s="60"/>
    </row>
    <row r="358" spans="1:47" s="24" customFormat="1" x14ac:dyDescent="0.25">
      <c r="A358" s="23"/>
      <c r="B358" s="2"/>
      <c r="C358" t="s">
        <v>6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3">
        <f t="shared" si="605"/>
        <v>0</v>
      </c>
      <c r="AS358" s="25"/>
      <c r="AT358" s="8">
        <f>IF(AR358=0,0,+AR358/PassVol!AR518)</f>
        <v>0</v>
      </c>
      <c r="AU358" s="60">
        <v>0</v>
      </c>
    </row>
    <row r="359" spans="1:47" s="24" customFormat="1" x14ac:dyDescent="0.25">
      <c r="A359" s="23"/>
      <c r="B359" s="2"/>
      <c r="C359" t="s">
        <v>262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3">
        <f t="shared" si="605"/>
        <v>0</v>
      </c>
      <c r="AS359" s="25"/>
      <c r="AT359" s="8">
        <f>IF(AR359=0,0,+AR359/PassVol!AR519)</f>
        <v>0</v>
      </c>
      <c r="AU359" s="60"/>
    </row>
    <row r="360" spans="1:47" s="24" customFormat="1" x14ac:dyDescent="0.25">
      <c r="A360" s="23"/>
      <c r="B360" s="2"/>
      <c r="C360" t="s">
        <v>42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>
        <v>1987.2</v>
      </c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3">
        <f t="shared" si="605"/>
        <v>1987.2</v>
      </c>
      <c r="AS360" s="25"/>
      <c r="AT360" s="8">
        <f>IF(AR360=0,0,+AR360/PassVol!AR520)</f>
        <v>20.7</v>
      </c>
      <c r="AU360" s="60"/>
    </row>
    <row r="361" spans="1:47" s="24" customFormat="1" x14ac:dyDescent="0.25">
      <c r="A361" s="23"/>
      <c r="B361" s="2"/>
      <c r="C361" t="s">
        <v>192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3">
        <f t="shared" si="605"/>
        <v>0</v>
      </c>
      <c r="AS361" s="25"/>
      <c r="AT361" s="8">
        <f>IF(AR361=0,0,+AR361/PassVol!AR521)</f>
        <v>0</v>
      </c>
      <c r="AU361" s="60"/>
    </row>
    <row r="362" spans="1:47" s="24" customFormat="1" x14ac:dyDescent="0.25">
      <c r="A362" s="23"/>
      <c r="B362" s="2"/>
      <c r="C362" t="s">
        <v>133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>
        <v>1324.8</v>
      </c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3">
        <f t="shared" si="605"/>
        <v>1324.8</v>
      </c>
      <c r="AS362" s="25"/>
      <c r="AT362" s="8">
        <f>IF(AR362=0,0,+AR362/PassVol!AR522)</f>
        <v>20.7</v>
      </c>
      <c r="AU362" s="60"/>
    </row>
    <row r="363" spans="1:47" s="24" customFormat="1" x14ac:dyDescent="0.25">
      <c r="A363" s="23"/>
      <c r="B363" s="2"/>
      <c r="C363" t="s">
        <v>41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3">
        <f t="shared" si="605"/>
        <v>0</v>
      </c>
      <c r="AS363" s="25"/>
      <c r="AT363" s="8">
        <f>IF(AR363=0,0,+AR363/PassVol!AR523)</f>
        <v>0</v>
      </c>
      <c r="AU363" s="60"/>
    </row>
    <row r="364" spans="1:47" s="24" customFormat="1" x14ac:dyDescent="0.25">
      <c r="A364" s="23"/>
      <c r="B364" s="2"/>
      <c r="C364" t="s">
        <v>193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3">
        <f t="shared" si="605"/>
        <v>0</v>
      </c>
      <c r="AS364" s="25"/>
      <c r="AT364" s="8">
        <f>IF(AR364=0,0,+AR364/PassVol!AR524)</f>
        <v>0</v>
      </c>
      <c r="AU364" s="60"/>
    </row>
    <row r="365" spans="1:47" s="24" customFormat="1" x14ac:dyDescent="0.25">
      <c r="A365" s="23"/>
      <c r="B365" s="2"/>
      <c r="C365" t="s">
        <v>297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3">
        <f t="shared" si="605"/>
        <v>0</v>
      </c>
      <c r="AS365" s="25"/>
      <c r="AT365" s="8">
        <f>IF(AR365=0,0,+AR365/PassVol!AR525)</f>
        <v>0</v>
      </c>
      <c r="AU365" s="60"/>
    </row>
    <row r="366" spans="1:47" s="24" customFormat="1" x14ac:dyDescent="0.25">
      <c r="A366" s="23"/>
      <c r="B366" s="2"/>
      <c r="C366" t="s">
        <v>296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3">
        <f t="shared" si="605"/>
        <v>0</v>
      </c>
      <c r="AS366" s="25"/>
      <c r="AT366" s="8">
        <f>IF(AR366=0,0,+AR366/PassVol!AR526)</f>
        <v>0</v>
      </c>
      <c r="AU366" s="60"/>
    </row>
    <row r="367" spans="1:47" s="24" customFormat="1" x14ac:dyDescent="0.25">
      <c r="A367" s="23"/>
      <c r="B367" s="2"/>
      <c r="C367" t="s">
        <v>44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>
        <f>7617.6-6955</f>
        <v>662.60000000000036</v>
      </c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3">
        <f t="shared" si="605"/>
        <v>662.60000000000036</v>
      </c>
      <c r="AS367" s="25"/>
      <c r="AT367" s="8">
        <f>IF(AR367=0,0,+AR367/PassVol!AR527)</f>
        <v>20.706250000000011</v>
      </c>
      <c r="AU367" s="60"/>
    </row>
    <row r="368" spans="1:47" s="24" customFormat="1" x14ac:dyDescent="0.25">
      <c r="A368" s="23"/>
      <c r="B368" s="2" t="s">
        <v>765</v>
      </c>
      <c r="C368" s="2"/>
      <c r="D368" s="3">
        <f t="shared" ref="D368:AR368" si="606">SUM(D349:D367)</f>
        <v>0</v>
      </c>
      <c r="E368" s="3">
        <f t="shared" ref="E368:J368" si="607">SUM(E349:E367)</f>
        <v>0</v>
      </c>
      <c r="F368" s="3">
        <f t="shared" si="607"/>
        <v>0</v>
      </c>
      <c r="G368" s="3">
        <f t="shared" si="607"/>
        <v>0</v>
      </c>
      <c r="H368" s="3">
        <f t="shared" si="607"/>
        <v>0</v>
      </c>
      <c r="I368" s="3">
        <f t="shared" si="607"/>
        <v>0</v>
      </c>
      <c r="J368" s="3">
        <f t="shared" si="607"/>
        <v>0</v>
      </c>
      <c r="K368" s="3">
        <f t="shared" si="606"/>
        <v>0</v>
      </c>
      <c r="L368" s="3">
        <f t="shared" si="606"/>
        <v>0</v>
      </c>
      <c r="M368" s="3">
        <f t="shared" si="606"/>
        <v>0</v>
      </c>
      <c r="N368" s="3">
        <f t="shared" si="606"/>
        <v>0</v>
      </c>
      <c r="O368" s="3">
        <f t="shared" si="606"/>
        <v>0</v>
      </c>
      <c r="P368" s="3">
        <f t="shared" si="606"/>
        <v>7617.8</v>
      </c>
      <c r="Q368" s="3">
        <f t="shared" si="606"/>
        <v>0</v>
      </c>
      <c r="R368" s="3">
        <f t="shared" si="606"/>
        <v>0</v>
      </c>
      <c r="S368" s="3">
        <f t="shared" si="606"/>
        <v>0</v>
      </c>
      <c r="T368" s="3">
        <f t="shared" si="606"/>
        <v>0</v>
      </c>
      <c r="U368" s="3">
        <f t="shared" si="606"/>
        <v>0</v>
      </c>
      <c r="V368" s="3">
        <f t="shared" si="606"/>
        <v>0</v>
      </c>
      <c r="W368" s="3">
        <f t="shared" si="606"/>
        <v>0</v>
      </c>
      <c r="X368" s="3">
        <f t="shared" si="606"/>
        <v>0</v>
      </c>
      <c r="Y368" s="3">
        <f t="shared" si="606"/>
        <v>0</v>
      </c>
      <c r="Z368" s="3">
        <f t="shared" si="606"/>
        <v>0</v>
      </c>
      <c r="AA368" s="3">
        <f t="shared" si="606"/>
        <v>0</v>
      </c>
      <c r="AB368" s="3">
        <f t="shared" si="606"/>
        <v>0</v>
      </c>
      <c r="AC368" s="3">
        <f t="shared" si="606"/>
        <v>0</v>
      </c>
      <c r="AD368" s="3">
        <f t="shared" si="606"/>
        <v>0</v>
      </c>
      <c r="AE368" s="3">
        <f t="shared" si="606"/>
        <v>0</v>
      </c>
      <c r="AF368" s="3">
        <f t="shared" si="606"/>
        <v>0</v>
      </c>
      <c r="AG368" s="3">
        <f t="shared" si="606"/>
        <v>0</v>
      </c>
      <c r="AH368" s="3">
        <f t="shared" si="606"/>
        <v>0</v>
      </c>
      <c r="AI368" s="3">
        <f t="shared" si="606"/>
        <v>0</v>
      </c>
      <c r="AJ368" s="3">
        <f t="shared" si="606"/>
        <v>0</v>
      </c>
      <c r="AK368" s="3">
        <f t="shared" si="606"/>
        <v>0</v>
      </c>
      <c r="AL368" s="3">
        <f t="shared" si="606"/>
        <v>0</v>
      </c>
      <c r="AM368" s="3">
        <f t="shared" si="606"/>
        <v>0</v>
      </c>
      <c r="AN368" s="3">
        <f t="shared" si="606"/>
        <v>0</v>
      </c>
      <c r="AO368" s="3">
        <f t="shared" si="606"/>
        <v>0</v>
      </c>
      <c r="AP368" s="3">
        <f t="shared" si="606"/>
        <v>0</v>
      </c>
      <c r="AQ368" s="3">
        <f t="shared" si="606"/>
        <v>0</v>
      </c>
      <c r="AR368" s="3">
        <f t="shared" si="606"/>
        <v>7617.8</v>
      </c>
      <c r="AS368" s="25"/>
      <c r="AT368" s="9">
        <f>IF(AR368=0,0,+AR368/PassVol!AR528)</f>
        <v>20.700543478260869</v>
      </c>
      <c r="AU368" s="60"/>
    </row>
    <row r="369" spans="1:47" s="24" customFormat="1" x14ac:dyDescent="0.25">
      <c r="A369" s="23"/>
      <c r="B369" s="23"/>
      <c r="C369" s="27" t="s">
        <v>102</v>
      </c>
      <c r="D369" s="25">
        <f>+D368</f>
        <v>0</v>
      </c>
      <c r="E369" s="25">
        <f>+D369+E368</f>
        <v>0</v>
      </c>
      <c r="F369" s="25">
        <f t="shared" ref="F369" si="608">+E369+F368</f>
        <v>0</v>
      </c>
      <c r="G369" s="25">
        <f t="shared" ref="G369" si="609">+F369+G368</f>
        <v>0</v>
      </c>
      <c r="H369" s="25">
        <f t="shared" ref="H369" si="610">+G369+H368</f>
        <v>0</v>
      </c>
      <c r="I369" s="25">
        <f t="shared" ref="I369" si="611">+H369+I368</f>
        <v>0</v>
      </c>
      <c r="J369" s="25">
        <f t="shared" ref="J369" si="612">+I369+J368</f>
        <v>0</v>
      </c>
      <c r="K369" s="25">
        <f t="shared" ref="K369" si="613">+J369+K368</f>
        <v>0</v>
      </c>
      <c r="L369" s="25">
        <f t="shared" ref="L369" si="614">+K369+L368</f>
        <v>0</v>
      </c>
      <c r="M369" s="25">
        <f t="shared" ref="M369" si="615">+L369+M368</f>
        <v>0</v>
      </c>
      <c r="N369" s="25">
        <f t="shared" ref="N369" si="616">+M369+N368</f>
        <v>0</v>
      </c>
      <c r="O369" s="25">
        <f t="shared" ref="O369" si="617">+N369+O368</f>
        <v>0</v>
      </c>
      <c r="P369" s="25">
        <f t="shared" ref="P369" si="618">+O369+P368</f>
        <v>7617.8</v>
      </c>
      <c r="Q369" s="25">
        <f t="shared" ref="Q369" si="619">+P369+Q368</f>
        <v>7617.8</v>
      </c>
      <c r="R369" s="25">
        <f t="shared" ref="R369" si="620">+Q369+R368</f>
        <v>7617.8</v>
      </c>
      <c r="S369" s="25">
        <f t="shared" ref="S369" si="621">+R369+S368</f>
        <v>7617.8</v>
      </c>
      <c r="T369" s="25">
        <f t="shared" ref="T369" si="622">+S369+T368</f>
        <v>7617.8</v>
      </c>
      <c r="U369" s="25">
        <f t="shared" ref="U369" si="623">+T369+U368</f>
        <v>7617.8</v>
      </c>
      <c r="V369" s="25">
        <f t="shared" ref="V369" si="624">+U369+V368</f>
        <v>7617.8</v>
      </c>
      <c r="W369" s="25">
        <f t="shared" ref="W369" si="625">+V369+W368</f>
        <v>7617.8</v>
      </c>
      <c r="X369" s="25">
        <f t="shared" ref="X369" si="626">+W369+X368</f>
        <v>7617.8</v>
      </c>
      <c r="Y369" s="25">
        <f t="shared" ref="Y369" si="627">+X369+Y368</f>
        <v>7617.8</v>
      </c>
      <c r="Z369" s="25">
        <f t="shared" ref="Z369" si="628">+Y369+Z368</f>
        <v>7617.8</v>
      </c>
      <c r="AA369" s="25">
        <f t="shared" ref="AA369" si="629">+Z369+AA368</f>
        <v>7617.8</v>
      </c>
      <c r="AB369" s="25">
        <f t="shared" ref="AB369" si="630">+AA369+AB368</f>
        <v>7617.8</v>
      </c>
      <c r="AC369" s="25">
        <f t="shared" ref="AC369" si="631">+AB369+AC368</f>
        <v>7617.8</v>
      </c>
      <c r="AD369" s="25">
        <f t="shared" ref="AD369" si="632">+AC369+AD368</f>
        <v>7617.8</v>
      </c>
      <c r="AE369" s="25">
        <f t="shared" ref="AE369" si="633">+AD369+AE368</f>
        <v>7617.8</v>
      </c>
      <c r="AF369" s="25">
        <f t="shared" ref="AF369" si="634">+AE369+AF368</f>
        <v>7617.8</v>
      </c>
      <c r="AG369" s="25">
        <f t="shared" ref="AG369" si="635">+AF369+AG368</f>
        <v>7617.8</v>
      </c>
      <c r="AH369" s="25">
        <f t="shared" ref="AH369" si="636">+AG369+AH368</f>
        <v>7617.8</v>
      </c>
      <c r="AI369" s="25">
        <f t="shared" ref="AI369" si="637">+AH369+AI368</f>
        <v>7617.8</v>
      </c>
      <c r="AJ369" s="25">
        <f t="shared" ref="AJ369" si="638">+AI369+AJ368</f>
        <v>7617.8</v>
      </c>
      <c r="AK369" s="25">
        <f t="shared" ref="AK369" si="639">+AJ369+AK368</f>
        <v>7617.8</v>
      </c>
      <c r="AL369" s="25">
        <f t="shared" ref="AL369" si="640">+AK369+AL368</f>
        <v>7617.8</v>
      </c>
      <c r="AM369" s="25">
        <f t="shared" ref="AM369" si="641">+AL369+AM368</f>
        <v>7617.8</v>
      </c>
      <c r="AN369" s="25">
        <f t="shared" ref="AN369" si="642">+AM369+AN368</f>
        <v>7617.8</v>
      </c>
      <c r="AO369" s="25">
        <f t="shared" ref="AO369" si="643">+AN369+AO368</f>
        <v>7617.8</v>
      </c>
      <c r="AP369" s="25">
        <f t="shared" ref="AP369" si="644">+AO369+AP368</f>
        <v>7617.8</v>
      </c>
      <c r="AQ369" s="25">
        <f t="shared" ref="AQ369" si="645">+AP369+AQ368</f>
        <v>7617.8</v>
      </c>
      <c r="AR369" s="49"/>
      <c r="AS369" s="25"/>
      <c r="AT369" s="26"/>
      <c r="AU369" s="60"/>
    </row>
    <row r="370" spans="1:47" s="24" customFormat="1" x14ac:dyDescent="0.25">
      <c r="A370" s="23"/>
      <c r="B370" s="23"/>
      <c r="C370" s="27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11"/>
      <c r="X370" s="11"/>
      <c r="Y370" s="25"/>
      <c r="Z370" s="11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49"/>
      <c r="AS370" s="25"/>
      <c r="AT370" s="26"/>
      <c r="AU370" s="60"/>
    </row>
    <row r="371" spans="1:47" x14ac:dyDescent="0.25">
      <c r="A371"/>
      <c r="B371" s="2" t="s">
        <v>152</v>
      </c>
      <c r="W371" s="11"/>
      <c r="X371" s="11"/>
      <c r="Z371" s="11"/>
    </row>
    <row r="372" spans="1:47" x14ac:dyDescent="0.25">
      <c r="A372"/>
      <c r="C372" t="s">
        <v>190</v>
      </c>
      <c r="D372" s="1">
        <f>+D4+D27+D50+D73+D96+D119+D142+D165+D188+D211+D234+D257+D280+D303+D326+D349</f>
        <v>0</v>
      </c>
      <c r="E372" s="1">
        <f t="shared" ref="E372:J372" si="646">+E4+E27+E50+E73+E96+E119+E142+E165+E188+E211+E234+E257+E280+E303+E326+E349</f>
        <v>0</v>
      </c>
      <c r="F372" s="1">
        <f t="shared" si="646"/>
        <v>0</v>
      </c>
      <c r="G372" s="1">
        <f t="shared" si="646"/>
        <v>0</v>
      </c>
      <c r="H372" s="1">
        <f t="shared" si="646"/>
        <v>0</v>
      </c>
      <c r="I372" s="1">
        <f t="shared" si="646"/>
        <v>0</v>
      </c>
      <c r="J372" s="1">
        <f t="shared" si="646"/>
        <v>0</v>
      </c>
      <c r="K372" s="1">
        <f t="shared" ref="K372:AQ380" si="647">+K4+K27+K50+K73+K96+K119+K142+K165+K188+K211+K234+K257+K280+K303+K326+K349</f>
        <v>0</v>
      </c>
      <c r="L372" s="1">
        <f t="shared" si="647"/>
        <v>222.48</v>
      </c>
      <c r="M372" s="1">
        <f t="shared" si="647"/>
        <v>0</v>
      </c>
      <c r="N372" s="1">
        <f t="shared" si="647"/>
        <v>536.76</v>
      </c>
      <c r="O372" s="1">
        <f t="shared" si="647"/>
        <v>1547.46</v>
      </c>
      <c r="P372" s="1">
        <f t="shared" si="647"/>
        <v>3178.08</v>
      </c>
      <c r="Q372" s="1">
        <f t="shared" si="647"/>
        <v>49587.3</v>
      </c>
      <c r="R372" s="1">
        <f t="shared" si="647"/>
        <v>7324.02</v>
      </c>
      <c r="S372" s="1">
        <f t="shared" si="647"/>
        <v>28596.239999999998</v>
      </c>
      <c r="T372" s="1">
        <f t="shared" si="647"/>
        <v>10992.74</v>
      </c>
      <c r="U372" s="1">
        <f t="shared" si="647"/>
        <v>14805.24</v>
      </c>
      <c r="V372" s="1">
        <f t="shared" si="647"/>
        <v>5610.4600000000009</v>
      </c>
      <c r="W372" s="1">
        <f t="shared" si="647"/>
        <v>3630.42</v>
      </c>
      <c r="X372" s="1">
        <f t="shared" si="647"/>
        <v>5340.7800000000007</v>
      </c>
      <c r="Y372" s="1">
        <f t="shared" si="647"/>
        <v>1842.8400000000001</v>
      </c>
      <c r="Z372" s="1">
        <f t="shared" si="647"/>
        <v>17.100000000000001</v>
      </c>
      <c r="AA372" s="1">
        <f t="shared" si="647"/>
        <v>265.5</v>
      </c>
      <c r="AB372" s="1">
        <f t="shared" si="647"/>
        <v>55.980000000000004</v>
      </c>
      <c r="AC372" s="1">
        <f t="shared" si="647"/>
        <v>0</v>
      </c>
      <c r="AD372" s="1">
        <f t="shared" si="647"/>
        <v>17.100000000000001</v>
      </c>
      <c r="AE372" s="1">
        <f t="shared" si="647"/>
        <v>0</v>
      </c>
      <c r="AF372" s="1">
        <f t="shared" si="647"/>
        <v>0</v>
      </c>
      <c r="AG372" s="1">
        <f t="shared" si="647"/>
        <v>0</v>
      </c>
      <c r="AH372" s="1">
        <f t="shared" si="647"/>
        <v>0</v>
      </c>
      <c r="AI372" s="1">
        <f t="shared" si="647"/>
        <v>0</v>
      </c>
      <c r="AJ372" s="1">
        <f t="shared" si="647"/>
        <v>0</v>
      </c>
      <c r="AK372" s="1">
        <f t="shared" si="647"/>
        <v>0</v>
      </c>
      <c r="AL372" s="1">
        <f t="shared" si="647"/>
        <v>0</v>
      </c>
      <c r="AM372" s="1">
        <f t="shared" si="647"/>
        <v>0</v>
      </c>
      <c r="AN372" s="1">
        <f t="shared" si="647"/>
        <v>0</v>
      </c>
      <c r="AO372" s="1">
        <f t="shared" si="647"/>
        <v>0</v>
      </c>
      <c r="AP372" s="1">
        <f t="shared" si="647"/>
        <v>0</v>
      </c>
      <c r="AQ372" s="1">
        <f t="shared" si="647"/>
        <v>0</v>
      </c>
      <c r="AR372" s="3">
        <f>SUM(D372:AQ372)</f>
        <v>133570.50000000003</v>
      </c>
      <c r="AT372" s="8">
        <f>IF(AR372=0,0,+AR372/PassVol!AR533)</f>
        <v>8.9136136136136148</v>
      </c>
    </row>
    <row r="373" spans="1:47" x14ac:dyDescent="0.25">
      <c r="A373"/>
      <c r="C373" t="s">
        <v>424</v>
      </c>
      <c r="D373" s="1">
        <f t="shared" ref="D373:Y390" si="648">+D5+D28+D51+D74+D97+D120+D143+D166+D189+D212+D235+D258+D281+D304+D327+D350</f>
        <v>0</v>
      </c>
      <c r="E373" s="1">
        <f t="shared" ref="E373:J373" si="649">+E5+E28+E51+E74+E97+E120+E143+E166+E189+E212+E235+E258+E281+E304+E327+E350</f>
        <v>0</v>
      </c>
      <c r="F373" s="1">
        <f t="shared" si="649"/>
        <v>0</v>
      </c>
      <c r="G373" s="1">
        <f t="shared" si="649"/>
        <v>0</v>
      </c>
      <c r="H373" s="1">
        <f t="shared" si="649"/>
        <v>0</v>
      </c>
      <c r="I373" s="1">
        <f t="shared" si="649"/>
        <v>0</v>
      </c>
      <c r="J373" s="1">
        <f t="shared" si="649"/>
        <v>0</v>
      </c>
      <c r="K373" s="1">
        <f t="shared" si="648"/>
        <v>0</v>
      </c>
      <c r="L373" s="1">
        <f t="shared" si="648"/>
        <v>1366.2</v>
      </c>
      <c r="M373" s="1">
        <f t="shared" si="648"/>
        <v>4683.6000000000004</v>
      </c>
      <c r="N373" s="1">
        <f t="shared" si="648"/>
        <v>1255.32</v>
      </c>
      <c r="O373" s="1">
        <f t="shared" si="648"/>
        <v>4215.6000000000004</v>
      </c>
      <c r="P373" s="1">
        <f t="shared" si="648"/>
        <v>6325.56</v>
      </c>
      <c r="Q373" s="1">
        <f t="shared" si="648"/>
        <v>9553.880000000001</v>
      </c>
      <c r="R373" s="1">
        <f t="shared" si="648"/>
        <v>8770.2000000000007</v>
      </c>
      <c r="S373" s="1">
        <f t="shared" si="648"/>
        <v>12383.070000000002</v>
      </c>
      <c r="T373" s="1">
        <f t="shared" si="648"/>
        <v>13209.64</v>
      </c>
      <c r="U373" s="1">
        <f t="shared" si="648"/>
        <v>10472.36</v>
      </c>
      <c r="V373" s="1">
        <f>+V5+V28+V51+V74+V97+V120+V143+V166+V189+V212+V235+V258+V281+V304+V327+V350</f>
        <v>6779.3799999999992</v>
      </c>
      <c r="W373" s="1">
        <f t="shared" si="648"/>
        <v>8526.48</v>
      </c>
      <c r="X373" s="1">
        <f t="shared" si="648"/>
        <v>3123.3599999999997</v>
      </c>
      <c r="Y373" s="1">
        <f t="shared" si="648"/>
        <v>4266.32</v>
      </c>
      <c r="Z373" s="1">
        <f t="shared" si="647"/>
        <v>525.96</v>
      </c>
      <c r="AA373" s="1">
        <f t="shared" si="647"/>
        <v>589.68000000000006</v>
      </c>
      <c r="AB373" s="1">
        <f t="shared" si="647"/>
        <v>511.91999999999996</v>
      </c>
      <c r="AC373" s="1">
        <f t="shared" si="647"/>
        <v>15.12</v>
      </c>
      <c r="AD373" s="1">
        <f t="shared" si="647"/>
        <v>0</v>
      </c>
      <c r="AE373" s="1">
        <f t="shared" si="647"/>
        <v>0</v>
      </c>
      <c r="AF373" s="1">
        <f t="shared" si="647"/>
        <v>0</v>
      </c>
      <c r="AG373" s="1">
        <f t="shared" si="647"/>
        <v>0</v>
      </c>
      <c r="AH373" s="1">
        <f t="shared" si="647"/>
        <v>0</v>
      </c>
      <c r="AI373" s="1">
        <f t="shared" si="647"/>
        <v>0</v>
      </c>
      <c r="AJ373" s="1">
        <f t="shared" si="647"/>
        <v>0</v>
      </c>
      <c r="AK373" s="1">
        <f t="shared" si="647"/>
        <v>0</v>
      </c>
      <c r="AL373" s="1">
        <f t="shared" si="647"/>
        <v>0</v>
      </c>
      <c r="AM373" s="1">
        <f t="shared" si="647"/>
        <v>0</v>
      </c>
      <c r="AN373" s="1">
        <f t="shared" si="647"/>
        <v>0</v>
      </c>
      <c r="AO373" s="1">
        <f t="shared" si="647"/>
        <v>0</v>
      </c>
      <c r="AP373" s="1">
        <f t="shared" si="647"/>
        <v>0</v>
      </c>
      <c r="AQ373" s="1">
        <f t="shared" si="647"/>
        <v>0</v>
      </c>
      <c r="AR373" s="3">
        <f t="shared" ref="AR373:AR390" si="650">SUM(D373:AQ373)</f>
        <v>96573.65</v>
      </c>
      <c r="AT373" s="8">
        <f>IF(AR373=0,0,+AR373/PassVol!AR534)</f>
        <v>11.506451805075658</v>
      </c>
    </row>
    <row r="374" spans="1:47" x14ac:dyDescent="0.25">
      <c r="A374"/>
      <c r="C374" t="s">
        <v>347</v>
      </c>
      <c r="D374" s="1">
        <f t="shared" si="648"/>
        <v>0</v>
      </c>
      <c r="E374" s="1">
        <f t="shared" ref="E374:J374" si="651">+E6+E29+E52+E75+E98+E121+E144+E167+E190+E213+E236+E259+E282+E305+E328+E351</f>
        <v>0</v>
      </c>
      <c r="F374" s="1">
        <f t="shared" si="651"/>
        <v>0</v>
      </c>
      <c r="G374" s="1">
        <f t="shared" si="651"/>
        <v>0</v>
      </c>
      <c r="H374" s="1">
        <f t="shared" si="651"/>
        <v>0</v>
      </c>
      <c r="I374" s="1">
        <f t="shared" si="651"/>
        <v>0</v>
      </c>
      <c r="J374" s="1">
        <f t="shared" si="651"/>
        <v>0</v>
      </c>
      <c r="K374" s="1">
        <f t="shared" si="647"/>
        <v>0</v>
      </c>
      <c r="L374" s="1">
        <f t="shared" si="647"/>
        <v>1425.6</v>
      </c>
      <c r="M374" s="1">
        <f t="shared" si="647"/>
        <v>4466.88</v>
      </c>
      <c r="N374" s="1">
        <f t="shared" si="647"/>
        <v>2260.08</v>
      </c>
      <c r="O374" s="1">
        <f t="shared" si="647"/>
        <v>2981.52</v>
      </c>
      <c r="P374" s="1">
        <f t="shared" si="647"/>
        <v>7776.36</v>
      </c>
      <c r="Q374" s="1">
        <f t="shared" si="647"/>
        <v>14497.62</v>
      </c>
      <c r="R374" s="1">
        <f t="shared" si="647"/>
        <v>14156.880000000001</v>
      </c>
      <c r="S374" s="1">
        <f t="shared" si="647"/>
        <v>16389.2</v>
      </c>
      <c r="T374" s="1">
        <f t="shared" si="647"/>
        <v>13649.64</v>
      </c>
      <c r="U374" s="1">
        <f t="shared" si="647"/>
        <v>16803.16</v>
      </c>
      <c r="V374" s="1">
        <f t="shared" si="647"/>
        <v>7975.8399999999992</v>
      </c>
      <c r="W374" s="1">
        <f t="shared" si="647"/>
        <v>8541.08</v>
      </c>
      <c r="X374" s="1">
        <f t="shared" si="647"/>
        <v>4366.4400000000005</v>
      </c>
      <c r="Y374" s="1">
        <f t="shared" si="647"/>
        <v>3241.76</v>
      </c>
      <c r="Z374" s="1">
        <f t="shared" si="647"/>
        <v>285.12</v>
      </c>
      <c r="AA374" s="1">
        <f t="shared" si="647"/>
        <v>103.67999999999999</v>
      </c>
      <c r="AB374" s="1">
        <f t="shared" si="647"/>
        <v>29.159999999999997</v>
      </c>
      <c r="AC374" s="1">
        <f t="shared" si="647"/>
        <v>0</v>
      </c>
      <c r="AD374" s="1">
        <f t="shared" si="647"/>
        <v>37.44</v>
      </c>
      <c r="AE374" s="1">
        <f t="shared" si="647"/>
        <v>0</v>
      </c>
      <c r="AF374" s="1">
        <f t="shared" si="647"/>
        <v>0</v>
      </c>
      <c r="AG374" s="1">
        <f t="shared" si="647"/>
        <v>0</v>
      </c>
      <c r="AH374" s="1">
        <f t="shared" si="647"/>
        <v>0</v>
      </c>
      <c r="AI374" s="1">
        <f t="shared" si="647"/>
        <v>0</v>
      </c>
      <c r="AJ374" s="1">
        <f t="shared" si="647"/>
        <v>0</v>
      </c>
      <c r="AK374" s="1">
        <f t="shared" si="647"/>
        <v>0</v>
      </c>
      <c r="AL374" s="1">
        <f t="shared" si="647"/>
        <v>0</v>
      </c>
      <c r="AM374" s="1">
        <f t="shared" si="647"/>
        <v>0</v>
      </c>
      <c r="AN374" s="1">
        <f t="shared" si="647"/>
        <v>0</v>
      </c>
      <c r="AO374" s="1">
        <f t="shared" si="647"/>
        <v>0</v>
      </c>
      <c r="AP374" s="1">
        <f t="shared" si="647"/>
        <v>0</v>
      </c>
      <c r="AQ374" s="1">
        <f t="shared" si="647"/>
        <v>0</v>
      </c>
      <c r="AR374" s="3">
        <f t="shared" si="650"/>
        <v>118987.45999999999</v>
      </c>
      <c r="AT374" s="8">
        <f>IF(AR374=0,0,+AR374/PassVol!AR535)</f>
        <v>15.511336201277537</v>
      </c>
    </row>
    <row r="375" spans="1:47" x14ac:dyDescent="0.25">
      <c r="A375"/>
      <c r="C375" t="s">
        <v>0</v>
      </c>
      <c r="D375" s="1">
        <f t="shared" si="648"/>
        <v>0</v>
      </c>
      <c r="E375" s="1">
        <f t="shared" ref="E375:J375" si="652">+E7+E30+E53+E76+E99+E122+E145+E168+E191+E214+E237+E260+E283+E306+E329+E352</f>
        <v>0</v>
      </c>
      <c r="F375" s="1">
        <f t="shared" si="652"/>
        <v>0</v>
      </c>
      <c r="G375" s="1">
        <f t="shared" si="652"/>
        <v>0</v>
      </c>
      <c r="H375" s="1">
        <f t="shared" si="652"/>
        <v>0</v>
      </c>
      <c r="I375" s="1">
        <f t="shared" si="652"/>
        <v>0</v>
      </c>
      <c r="J375" s="1">
        <f t="shared" si="652"/>
        <v>0</v>
      </c>
      <c r="K375" s="1">
        <f t="shared" si="647"/>
        <v>0</v>
      </c>
      <c r="L375" s="1">
        <f t="shared" si="647"/>
        <v>0</v>
      </c>
      <c r="M375" s="1">
        <f t="shared" si="647"/>
        <v>25721.82</v>
      </c>
      <c r="N375" s="1">
        <f t="shared" si="647"/>
        <v>20977.38</v>
      </c>
      <c r="O375" s="1">
        <f t="shared" si="647"/>
        <v>23126.04</v>
      </c>
      <c r="P375" s="1">
        <f t="shared" si="647"/>
        <v>25336.799999999999</v>
      </c>
      <c r="Q375" s="1">
        <f t="shared" si="647"/>
        <v>80049.78</v>
      </c>
      <c r="R375" s="1">
        <f t="shared" si="647"/>
        <v>51440.9</v>
      </c>
      <c r="S375" s="1">
        <f t="shared" si="647"/>
        <v>66888</v>
      </c>
      <c r="T375" s="1">
        <f t="shared" si="647"/>
        <v>53785.06</v>
      </c>
      <c r="U375" s="1">
        <f t="shared" si="647"/>
        <v>48767.759999999995</v>
      </c>
      <c r="V375" s="1">
        <f t="shared" si="647"/>
        <v>25970.219999999998</v>
      </c>
      <c r="W375" s="1">
        <f t="shared" si="647"/>
        <v>27249.48</v>
      </c>
      <c r="X375" s="1">
        <f t="shared" si="647"/>
        <v>37856.160000000003</v>
      </c>
      <c r="Y375" s="1">
        <f t="shared" si="647"/>
        <v>28777.14</v>
      </c>
      <c r="Z375" s="1">
        <f t="shared" si="647"/>
        <v>18791.46</v>
      </c>
      <c r="AA375" s="1">
        <f t="shared" si="647"/>
        <v>5378.9400000000005</v>
      </c>
      <c r="AB375" s="1">
        <f t="shared" si="647"/>
        <v>2019.6</v>
      </c>
      <c r="AC375" s="1">
        <f t="shared" si="647"/>
        <v>0</v>
      </c>
      <c r="AD375" s="1">
        <f t="shared" si="647"/>
        <v>0</v>
      </c>
      <c r="AE375" s="1">
        <f t="shared" si="647"/>
        <v>0</v>
      </c>
      <c r="AF375" s="1">
        <f t="shared" si="647"/>
        <v>0</v>
      </c>
      <c r="AG375" s="1">
        <f t="shared" si="647"/>
        <v>0</v>
      </c>
      <c r="AH375" s="1">
        <f t="shared" si="647"/>
        <v>0</v>
      </c>
      <c r="AI375" s="1">
        <f t="shared" si="647"/>
        <v>0</v>
      </c>
      <c r="AJ375" s="1">
        <f t="shared" si="647"/>
        <v>0</v>
      </c>
      <c r="AK375" s="1">
        <f t="shared" si="647"/>
        <v>0</v>
      </c>
      <c r="AL375" s="1">
        <f t="shared" si="647"/>
        <v>0</v>
      </c>
      <c r="AM375" s="1">
        <f t="shared" si="647"/>
        <v>0</v>
      </c>
      <c r="AN375" s="1">
        <f t="shared" si="647"/>
        <v>0</v>
      </c>
      <c r="AO375" s="1">
        <f t="shared" si="647"/>
        <v>0</v>
      </c>
      <c r="AP375" s="1">
        <f t="shared" si="647"/>
        <v>0</v>
      </c>
      <c r="AQ375" s="1">
        <f t="shared" si="647"/>
        <v>0</v>
      </c>
      <c r="AR375" s="3">
        <f t="shared" si="650"/>
        <v>542136.5399999998</v>
      </c>
      <c r="AT375" s="8">
        <f>IF(AR375=0,0,+AR375/PassVol!AR536)</f>
        <v>7.4188042585801055</v>
      </c>
    </row>
    <row r="376" spans="1:47" x14ac:dyDescent="0.25">
      <c r="A376"/>
      <c r="C376" t="s">
        <v>354</v>
      </c>
      <c r="D376" s="1">
        <f t="shared" si="648"/>
        <v>0</v>
      </c>
      <c r="E376" s="1">
        <f t="shared" ref="E376:J376" si="653">+E8+E31+E54+E77+E100+E123+E146+E169+E192+E215+E238+E261+E284+E307+E330+E353</f>
        <v>0</v>
      </c>
      <c r="F376" s="1">
        <f t="shared" si="653"/>
        <v>0</v>
      </c>
      <c r="G376" s="1">
        <f t="shared" si="653"/>
        <v>0</v>
      </c>
      <c r="H376" s="1">
        <f t="shared" si="653"/>
        <v>0</v>
      </c>
      <c r="I376" s="1">
        <f t="shared" si="653"/>
        <v>0</v>
      </c>
      <c r="J376" s="1">
        <f t="shared" si="653"/>
        <v>0</v>
      </c>
      <c r="K376" s="1">
        <f t="shared" si="647"/>
        <v>0</v>
      </c>
      <c r="L376" s="1">
        <f t="shared" si="647"/>
        <v>1267.2</v>
      </c>
      <c r="M376" s="1">
        <f t="shared" si="647"/>
        <v>56.16</v>
      </c>
      <c r="N376" s="1">
        <f t="shared" si="647"/>
        <v>495.72</v>
      </c>
      <c r="O376" s="1">
        <f t="shared" si="647"/>
        <v>1536.1200000000001</v>
      </c>
      <c r="P376" s="1">
        <f t="shared" si="647"/>
        <v>1829.52</v>
      </c>
      <c r="Q376" s="1">
        <f t="shared" si="647"/>
        <v>1596.6000000000001</v>
      </c>
      <c r="R376" s="1">
        <f t="shared" si="647"/>
        <v>2380.44</v>
      </c>
      <c r="S376" s="1">
        <f t="shared" si="647"/>
        <v>2391.12</v>
      </c>
      <c r="T376" s="1">
        <f t="shared" si="647"/>
        <v>3713.16</v>
      </c>
      <c r="U376" s="1">
        <f t="shared" si="647"/>
        <v>1287.42</v>
      </c>
      <c r="V376" s="1">
        <f t="shared" si="647"/>
        <v>745.2</v>
      </c>
      <c r="W376" s="1">
        <f t="shared" si="647"/>
        <v>1922.76</v>
      </c>
      <c r="X376" s="1">
        <f t="shared" si="647"/>
        <v>1405.0800000000002</v>
      </c>
      <c r="Y376" s="1">
        <f t="shared" si="647"/>
        <v>2707.08</v>
      </c>
      <c r="Z376" s="1">
        <f t="shared" si="647"/>
        <v>284.04000000000002</v>
      </c>
      <c r="AA376" s="1">
        <f t="shared" si="647"/>
        <v>450.36</v>
      </c>
      <c r="AB376" s="1">
        <f t="shared" si="647"/>
        <v>143.63999999999999</v>
      </c>
      <c r="AC376" s="1">
        <f t="shared" si="647"/>
        <v>0</v>
      </c>
      <c r="AD376" s="1">
        <f t="shared" si="647"/>
        <v>0</v>
      </c>
      <c r="AE376" s="1">
        <f t="shared" si="647"/>
        <v>0</v>
      </c>
      <c r="AF376" s="1">
        <f t="shared" si="647"/>
        <v>0</v>
      </c>
      <c r="AG376" s="1">
        <f t="shared" si="647"/>
        <v>0</v>
      </c>
      <c r="AH376" s="1">
        <f t="shared" si="647"/>
        <v>0</v>
      </c>
      <c r="AI376" s="1">
        <f t="shared" si="647"/>
        <v>0</v>
      </c>
      <c r="AJ376" s="1">
        <f t="shared" si="647"/>
        <v>0</v>
      </c>
      <c r="AK376" s="1">
        <f t="shared" si="647"/>
        <v>0</v>
      </c>
      <c r="AL376" s="1">
        <f t="shared" si="647"/>
        <v>0</v>
      </c>
      <c r="AM376" s="1">
        <f t="shared" si="647"/>
        <v>0</v>
      </c>
      <c r="AN376" s="1">
        <f t="shared" si="647"/>
        <v>0</v>
      </c>
      <c r="AO376" s="1">
        <f t="shared" si="647"/>
        <v>0</v>
      </c>
      <c r="AP376" s="1">
        <f t="shared" si="647"/>
        <v>0</v>
      </c>
      <c r="AQ376" s="1">
        <f t="shared" si="647"/>
        <v>0</v>
      </c>
      <c r="AR376" s="3">
        <f t="shared" si="650"/>
        <v>24211.620000000003</v>
      </c>
      <c r="AT376" s="8">
        <f>IF(AR376=0,0,+AR376/PassVol!AR537)</f>
        <v>13.678881355932205</v>
      </c>
    </row>
    <row r="377" spans="1:47" x14ac:dyDescent="0.25">
      <c r="A377"/>
      <c r="C377" t="s">
        <v>265</v>
      </c>
      <c r="D377" s="1">
        <f t="shared" si="648"/>
        <v>0</v>
      </c>
      <c r="E377" s="1">
        <f t="shared" ref="E377:J377" si="654">+E9+E32+E55+E78+E101+E124+E147+E170+E193+E216+E239+E262+E285+E308+E331+E354</f>
        <v>0</v>
      </c>
      <c r="F377" s="1">
        <f t="shared" si="654"/>
        <v>0</v>
      </c>
      <c r="G377" s="1">
        <f t="shared" si="654"/>
        <v>0</v>
      </c>
      <c r="H377" s="1">
        <f t="shared" si="654"/>
        <v>0</v>
      </c>
      <c r="I377" s="1">
        <f t="shared" si="654"/>
        <v>0</v>
      </c>
      <c r="J377" s="1">
        <f t="shared" si="654"/>
        <v>0</v>
      </c>
      <c r="K377" s="1">
        <f t="shared" si="647"/>
        <v>0</v>
      </c>
      <c r="L377" s="1">
        <f t="shared" si="647"/>
        <v>0</v>
      </c>
      <c r="M377" s="1">
        <f t="shared" si="647"/>
        <v>2358</v>
      </c>
      <c r="N377" s="1">
        <f t="shared" si="647"/>
        <v>1299.06</v>
      </c>
      <c r="O377" s="1">
        <f t="shared" si="647"/>
        <v>1663.5600000000002</v>
      </c>
      <c r="P377" s="1">
        <f t="shared" si="647"/>
        <v>5866.02</v>
      </c>
      <c r="Q377" s="1">
        <f t="shared" si="647"/>
        <v>11056.32</v>
      </c>
      <c r="R377" s="1">
        <f t="shared" si="647"/>
        <v>6994.02</v>
      </c>
      <c r="S377" s="1">
        <f t="shared" si="647"/>
        <v>11973.779999999999</v>
      </c>
      <c r="T377" s="1">
        <f t="shared" si="647"/>
        <v>6750.9199999999992</v>
      </c>
      <c r="U377" s="1">
        <f t="shared" si="647"/>
        <v>10900.380000000001</v>
      </c>
      <c r="V377" s="1">
        <f t="shared" si="647"/>
        <v>3923.6400000000003</v>
      </c>
      <c r="W377" s="1">
        <f t="shared" si="647"/>
        <v>4126.3599999999997</v>
      </c>
      <c r="X377" s="1">
        <f t="shared" si="647"/>
        <v>5091.66</v>
      </c>
      <c r="Y377" s="1">
        <f t="shared" si="647"/>
        <v>1398.22</v>
      </c>
      <c r="Z377" s="1">
        <f t="shared" si="647"/>
        <v>0</v>
      </c>
      <c r="AA377" s="1">
        <f t="shared" si="647"/>
        <v>0</v>
      </c>
      <c r="AB377" s="1">
        <f t="shared" si="647"/>
        <v>0</v>
      </c>
      <c r="AC377" s="1">
        <f t="shared" si="647"/>
        <v>0</v>
      </c>
      <c r="AD377" s="1">
        <f t="shared" si="647"/>
        <v>0</v>
      </c>
      <c r="AE377" s="1">
        <f t="shared" si="647"/>
        <v>0</v>
      </c>
      <c r="AF377" s="1">
        <f t="shared" si="647"/>
        <v>0</v>
      </c>
      <c r="AG377" s="1">
        <f t="shared" si="647"/>
        <v>0</v>
      </c>
      <c r="AH377" s="1">
        <f t="shared" si="647"/>
        <v>0</v>
      </c>
      <c r="AI377" s="1">
        <f t="shared" si="647"/>
        <v>0</v>
      </c>
      <c r="AJ377" s="1">
        <f t="shared" si="647"/>
        <v>0</v>
      </c>
      <c r="AK377" s="1">
        <f t="shared" si="647"/>
        <v>0</v>
      </c>
      <c r="AL377" s="1">
        <f t="shared" si="647"/>
        <v>0</v>
      </c>
      <c r="AM377" s="1">
        <f t="shared" si="647"/>
        <v>0</v>
      </c>
      <c r="AN377" s="1">
        <f t="shared" si="647"/>
        <v>0</v>
      </c>
      <c r="AO377" s="1">
        <f t="shared" si="647"/>
        <v>0</v>
      </c>
      <c r="AP377" s="1">
        <f t="shared" si="647"/>
        <v>0</v>
      </c>
      <c r="AQ377" s="1">
        <f t="shared" si="647"/>
        <v>0</v>
      </c>
      <c r="AR377" s="3">
        <f t="shared" si="650"/>
        <v>73401.94</v>
      </c>
      <c r="AT377" s="8">
        <f>IF(AR377=0,0,+AR377/PassVol!AR538)</f>
        <v>10.579697319112137</v>
      </c>
    </row>
    <row r="378" spans="1:47" x14ac:dyDescent="0.25">
      <c r="A378"/>
      <c r="C378" t="s">
        <v>191</v>
      </c>
      <c r="D378" s="1">
        <f t="shared" si="648"/>
        <v>0</v>
      </c>
      <c r="E378" s="1">
        <f t="shared" ref="E378:J378" si="655">+E10+E33+E56+E79+E102+E125+E148+E171+E194+E217+E240+E263+E286+E309+E332+E355</f>
        <v>0</v>
      </c>
      <c r="F378" s="1">
        <f t="shared" si="655"/>
        <v>0</v>
      </c>
      <c r="G378" s="1">
        <f t="shared" si="655"/>
        <v>0</v>
      </c>
      <c r="H378" s="1">
        <f t="shared" si="655"/>
        <v>0</v>
      </c>
      <c r="I378" s="1">
        <f t="shared" si="655"/>
        <v>0</v>
      </c>
      <c r="J378" s="1">
        <f t="shared" si="655"/>
        <v>0</v>
      </c>
      <c r="K378" s="1">
        <f t="shared" si="647"/>
        <v>0</v>
      </c>
      <c r="L378" s="1">
        <f t="shared" si="647"/>
        <v>0</v>
      </c>
      <c r="M378" s="1">
        <f t="shared" si="647"/>
        <v>8306.2800000000007</v>
      </c>
      <c r="N378" s="1">
        <f t="shared" si="647"/>
        <v>1647.3600000000001</v>
      </c>
      <c r="O378" s="1">
        <f t="shared" si="647"/>
        <v>1830.6</v>
      </c>
      <c r="P378" s="1">
        <f t="shared" si="647"/>
        <v>9966.24</v>
      </c>
      <c r="Q378" s="1">
        <f t="shared" si="647"/>
        <v>24836.84</v>
      </c>
      <c r="R378" s="1">
        <f t="shared" si="647"/>
        <v>25886.039999999997</v>
      </c>
      <c r="S378" s="1">
        <f t="shared" si="647"/>
        <v>28076.559999999998</v>
      </c>
      <c r="T378" s="1">
        <f t="shared" si="647"/>
        <v>7270.5599999999995</v>
      </c>
      <c r="U378" s="1">
        <f t="shared" si="647"/>
        <v>11122.68</v>
      </c>
      <c r="V378" s="1">
        <f t="shared" si="647"/>
        <v>312.12</v>
      </c>
      <c r="W378" s="1">
        <f t="shared" si="647"/>
        <v>14769.080000000002</v>
      </c>
      <c r="X378" s="1">
        <f t="shared" si="647"/>
        <v>9332.2799999999988</v>
      </c>
      <c r="Y378" s="1">
        <f t="shared" si="647"/>
        <v>7177.7199999999993</v>
      </c>
      <c r="Z378" s="1">
        <f t="shared" si="647"/>
        <v>4084.56</v>
      </c>
      <c r="AA378" s="1">
        <f t="shared" si="647"/>
        <v>3992.7599999999998</v>
      </c>
      <c r="AB378" s="1">
        <f t="shared" si="647"/>
        <v>57.239999999999995</v>
      </c>
      <c r="AC378" s="1">
        <f t="shared" si="647"/>
        <v>0</v>
      </c>
      <c r="AD378" s="1">
        <f t="shared" si="647"/>
        <v>0</v>
      </c>
      <c r="AE378" s="1">
        <f t="shared" si="647"/>
        <v>0</v>
      </c>
      <c r="AF378" s="1">
        <f t="shared" si="647"/>
        <v>0</v>
      </c>
      <c r="AG378" s="1">
        <f t="shared" si="647"/>
        <v>0</v>
      </c>
      <c r="AH378" s="1">
        <f t="shared" si="647"/>
        <v>0</v>
      </c>
      <c r="AI378" s="1">
        <f t="shared" si="647"/>
        <v>0</v>
      </c>
      <c r="AJ378" s="1">
        <f t="shared" si="647"/>
        <v>0</v>
      </c>
      <c r="AK378" s="1">
        <f t="shared" si="647"/>
        <v>0</v>
      </c>
      <c r="AL378" s="1">
        <f t="shared" si="647"/>
        <v>0</v>
      </c>
      <c r="AM378" s="1">
        <f t="shared" si="647"/>
        <v>0</v>
      </c>
      <c r="AN378" s="1">
        <f t="shared" si="647"/>
        <v>0</v>
      </c>
      <c r="AO378" s="1">
        <f t="shared" si="647"/>
        <v>0</v>
      </c>
      <c r="AP378" s="1">
        <f t="shared" si="647"/>
        <v>0</v>
      </c>
      <c r="AQ378" s="1">
        <f t="shared" si="647"/>
        <v>0</v>
      </c>
      <c r="AR378" s="3">
        <f t="shared" si="650"/>
        <v>158668.91999999998</v>
      </c>
      <c r="AT378" s="8">
        <f>IF(AR378=0,0,+AR378/PassVol!AR539)</f>
        <v>12.813447468303318</v>
      </c>
    </row>
    <row r="379" spans="1:47" x14ac:dyDescent="0.25">
      <c r="A379"/>
      <c r="C379" t="s">
        <v>549</v>
      </c>
      <c r="D379" s="1">
        <f t="shared" si="648"/>
        <v>0</v>
      </c>
      <c r="E379" s="1">
        <f t="shared" ref="E379:J379" si="656">+E11+E34+E57+E80+E103+E126+E149+E172+E195+E218+E241+E264+E287+E310+E333+E356</f>
        <v>0</v>
      </c>
      <c r="F379" s="1">
        <f t="shared" si="656"/>
        <v>0</v>
      </c>
      <c r="G379" s="1">
        <f t="shared" si="656"/>
        <v>0</v>
      </c>
      <c r="H379" s="1">
        <f t="shared" si="656"/>
        <v>0</v>
      </c>
      <c r="I379" s="1">
        <f t="shared" si="656"/>
        <v>0</v>
      </c>
      <c r="J379" s="1">
        <f t="shared" si="656"/>
        <v>0</v>
      </c>
      <c r="K379" s="1">
        <f t="shared" si="647"/>
        <v>0</v>
      </c>
      <c r="L379" s="1">
        <f t="shared" si="647"/>
        <v>0</v>
      </c>
      <c r="M379" s="1">
        <f t="shared" si="647"/>
        <v>0</v>
      </c>
      <c r="N379" s="1">
        <f t="shared" si="647"/>
        <v>0</v>
      </c>
      <c r="O379" s="1">
        <f t="shared" si="647"/>
        <v>0</v>
      </c>
      <c r="P379" s="1">
        <f t="shared" si="647"/>
        <v>0</v>
      </c>
      <c r="Q379" s="1">
        <f t="shared" si="647"/>
        <v>0</v>
      </c>
      <c r="R379" s="1">
        <f t="shared" si="647"/>
        <v>0</v>
      </c>
      <c r="S379" s="1">
        <f t="shared" si="647"/>
        <v>0</v>
      </c>
      <c r="T379" s="1">
        <f t="shared" si="647"/>
        <v>0</v>
      </c>
      <c r="U379" s="1">
        <f t="shared" si="647"/>
        <v>0</v>
      </c>
      <c r="V379" s="1">
        <f t="shared" si="647"/>
        <v>0</v>
      </c>
      <c r="W379" s="1">
        <f t="shared" si="647"/>
        <v>0</v>
      </c>
      <c r="X379" s="1">
        <f t="shared" si="647"/>
        <v>0</v>
      </c>
      <c r="Y379" s="1">
        <f t="shared" si="647"/>
        <v>0</v>
      </c>
      <c r="Z379" s="1">
        <f t="shared" si="647"/>
        <v>0</v>
      </c>
      <c r="AA379" s="1">
        <f t="shared" si="647"/>
        <v>0</v>
      </c>
      <c r="AB379" s="1">
        <f t="shared" si="647"/>
        <v>0</v>
      </c>
      <c r="AC379" s="1">
        <f t="shared" si="647"/>
        <v>0</v>
      </c>
      <c r="AD379" s="1">
        <f t="shared" si="647"/>
        <v>0</v>
      </c>
      <c r="AE379" s="1">
        <f t="shared" si="647"/>
        <v>0</v>
      </c>
      <c r="AF379" s="1">
        <f t="shared" si="647"/>
        <v>0</v>
      </c>
      <c r="AG379" s="1">
        <f t="shared" si="647"/>
        <v>0</v>
      </c>
      <c r="AH379" s="1">
        <f t="shared" si="647"/>
        <v>0</v>
      </c>
      <c r="AI379" s="1">
        <f t="shared" si="647"/>
        <v>0</v>
      </c>
      <c r="AJ379" s="1">
        <f t="shared" si="647"/>
        <v>0</v>
      </c>
      <c r="AK379" s="1">
        <f t="shared" si="647"/>
        <v>0</v>
      </c>
      <c r="AL379" s="1">
        <f t="shared" si="647"/>
        <v>0</v>
      </c>
      <c r="AM379" s="1">
        <f t="shared" si="647"/>
        <v>0</v>
      </c>
      <c r="AN379" s="1">
        <f t="shared" si="647"/>
        <v>0</v>
      </c>
      <c r="AO379" s="1">
        <f t="shared" si="647"/>
        <v>0</v>
      </c>
      <c r="AP379" s="1">
        <f t="shared" si="647"/>
        <v>0</v>
      </c>
      <c r="AQ379" s="1">
        <f t="shared" si="647"/>
        <v>0</v>
      </c>
      <c r="AR379" s="3">
        <f t="shared" si="650"/>
        <v>0</v>
      </c>
      <c r="AT379" s="8">
        <f>IF(AR379=0,0,+AR379/PassVol!AR540)</f>
        <v>0</v>
      </c>
    </row>
    <row r="380" spans="1:47" x14ac:dyDescent="0.25">
      <c r="A380"/>
      <c r="C380" t="s">
        <v>550</v>
      </c>
      <c r="D380" s="1">
        <f t="shared" si="648"/>
        <v>0</v>
      </c>
      <c r="E380" s="1">
        <f t="shared" ref="E380:J380" si="657">+E12+E35+E58+E81+E104+E127+E150+E173+E196+E219+E242+E265+E288+E311+E334+E357</f>
        <v>0</v>
      </c>
      <c r="F380" s="1">
        <f t="shared" si="657"/>
        <v>0</v>
      </c>
      <c r="G380" s="1">
        <f t="shared" si="657"/>
        <v>0</v>
      </c>
      <c r="H380" s="1">
        <f t="shared" si="657"/>
        <v>0</v>
      </c>
      <c r="I380" s="1">
        <f t="shared" si="657"/>
        <v>0</v>
      </c>
      <c r="J380" s="1">
        <f t="shared" si="657"/>
        <v>0</v>
      </c>
      <c r="K380" s="1">
        <f t="shared" si="647"/>
        <v>0</v>
      </c>
      <c r="L380" s="1">
        <f t="shared" si="647"/>
        <v>0</v>
      </c>
      <c r="M380" s="1">
        <f t="shared" si="647"/>
        <v>7776</v>
      </c>
      <c r="N380" s="1">
        <f t="shared" si="647"/>
        <v>0</v>
      </c>
      <c r="O380" s="1">
        <f t="shared" si="647"/>
        <v>298.08</v>
      </c>
      <c r="P380" s="1">
        <f t="shared" si="647"/>
        <v>0</v>
      </c>
      <c r="Q380" s="1">
        <f t="shared" ref="K380:AQ387" si="658">+Q12+Q35+Q58+Q81+Q104+Q127+Q150+Q173+Q196+Q219+Q242+Q265+Q288+Q311+Q334+Q357</f>
        <v>23773.32</v>
      </c>
      <c r="R380" s="1">
        <f t="shared" si="658"/>
        <v>6793.92</v>
      </c>
      <c r="S380" s="1">
        <f t="shared" si="658"/>
        <v>9550.7999999999993</v>
      </c>
      <c r="T380" s="1">
        <f t="shared" si="658"/>
        <v>29059.8</v>
      </c>
      <c r="U380" s="1">
        <f t="shared" si="658"/>
        <v>5000.96</v>
      </c>
      <c r="V380" s="1">
        <f t="shared" si="658"/>
        <v>5271.4800000000005</v>
      </c>
      <c r="W380" s="1">
        <f t="shared" si="658"/>
        <v>4864.32</v>
      </c>
      <c r="X380" s="1">
        <f t="shared" si="658"/>
        <v>3102.84</v>
      </c>
      <c r="Y380" s="1">
        <f t="shared" si="658"/>
        <v>2008.8</v>
      </c>
      <c r="Z380" s="1">
        <f t="shared" si="658"/>
        <v>738.72</v>
      </c>
      <c r="AA380" s="1">
        <f t="shared" si="658"/>
        <v>637.20000000000005</v>
      </c>
      <c r="AB380" s="1">
        <f t="shared" si="658"/>
        <v>425.88</v>
      </c>
      <c r="AC380" s="1">
        <f t="shared" si="658"/>
        <v>147.96</v>
      </c>
      <c r="AD380" s="1">
        <f t="shared" si="658"/>
        <v>37.44</v>
      </c>
      <c r="AE380" s="1">
        <f t="shared" si="658"/>
        <v>0</v>
      </c>
      <c r="AF380" s="1">
        <f t="shared" si="658"/>
        <v>0</v>
      </c>
      <c r="AG380" s="1">
        <f t="shared" si="658"/>
        <v>0</v>
      </c>
      <c r="AH380" s="1">
        <f t="shared" si="658"/>
        <v>0</v>
      </c>
      <c r="AI380" s="1">
        <f t="shared" si="658"/>
        <v>0</v>
      </c>
      <c r="AJ380" s="1">
        <f t="shared" si="658"/>
        <v>0</v>
      </c>
      <c r="AK380" s="1">
        <f t="shared" si="658"/>
        <v>0</v>
      </c>
      <c r="AL380" s="1">
        <f t="shared" si="658"/>
        <v>0</v>
      </c>
      <c r="AM380" s="1">
        <f t="shared" si="658"/>
        <v>0</v>
      </c>
      <c r="AN380" s="1">
        <f t="shared" si="658"/>
        <v>0</v>
      </c>
      <c r="AO380" s="1">
        <f t="shared" si="658"/>
        <v>0</v>
      </c>
      <c r="AP380" s="1">
        <f t="shared" si="658"/>
        <v>0</v>
      </c>
      <c r="AQ380" s="1">
        <f t="shared" si="658"/>
        <v>0</v>
      </c>
      <c r="AR380" s="3">
        <f t="shared" si="650"/>
        <v>99487.52</v>
      </c>
      <c r="AT380" s="8">
        <f>IF(AR380=0,0,+AR380/PassVol!AR541)</f>
        <v>11.797405431044705</v>
      </c>
    </row>
    <row r="381" spans="1:47" x14ac:dyDescent="0.25">
      <c r="C381" t="s">
        <v>6</v>
      </c>
      <c r="D381" s="1">
        <f t="shared" si="648"/>
        <v>0</v>
      </c>
      <c r="E381" s="1">
        <f t="shared" ref="E381:J381" si="659">+E13+E36+E59+E82+E105+E128+E151+E174+E197+E220+E243+E266+E289+E312+E335+E358</f>
        <v>0</v>
      </c>
      <c r="F381" s="1">
        <f t="shared" si="659"/>
        <v>0</v>
      </c>
      <c r="G381" s="1">
        <f t="shared" si="659"/>
        <v>0</v>
      </c>
      <c r="H381" s="1">
        <f t="shared" si="659"/>
        <v>0</v>
      </c>
      <c r="I381" s="1">
        <f t="shared" si="659"/>
        <v>0</v>
      </c>
      <c r="J381" s="1">
        <f t="shared" si="659"/>
        <v>0</v>
      </c>
      <c r="K381" s="1">
        <f t="shared" si="658"/>
        <v>0</v>
      </c>
      <c r="L381" s="1">
        <f t="shared" si="658"/>
        <v>0</v>
      </c>
      <c r="M381" s="1">
        <f t="shared" si="658"/>
        <v>0</v>
      </c>
      <c r="N381" s="1">
        <f t="shared" si="658"/>
        <v>0</v>
      </c>
      <c r="O381" s="1">
        <f t="shared" si="658"/>
        <v>0</v>
      </c>
      <c r="P381" s="1">
        <f t="shared" si="658"/>
        <v>0</v>
      </c>
      <c r="Q381" s="1">
        <f t="shared" si="658"/>
        <v>0</v>
      </c>
      <c r="R381" s="1">
        <f t="shared" si="658"/>
        <v>30018</v>
      </c>
      <c r="S381" s="1">
        <f t="shared" si="658"/>
        <v>0</v>
      </c>
      <c r="T381" s="1">
        <f t="shared" si="658"/>
        <v>17632.5</v>
      </c>
      <c r="U381" s="1">
        <f t="shared" si="658"/>
        <v>5400</v>
      </c>
      <c r="V381" s="1">
        <f t="shared" si="658"/>
        <v>15434.400000000001</v>
      </c>
      <c r="W381" s="1">
        <f t="shared" si="658"/>
        <v>0</v>
      </c>
      <c r="X381" s="1">
        <f t="shared" si="658"/>
        <v>0</v>
      </c>
      <c r="Y381" s="1">
        <f t="shared" si="658"/>
        <v>0</v>
      </c>
      <c r="Z381" s="1">
        <f t="shared" si="658"/>
        <v>0</v>
      </c>
      <c r="AA381" s="1">
        <f t="shared" si="658"/>
        <v>0</v>
      </c>
      <c r="AB381" s="1">
        <f t="shared" si="658"/>
        <v>0</v>
      </c>
      <c r="AC381" s="1">
        <f t="shared" si="658"/>
        <v>0</v>
      </c>
      <c r="AD381" s="1">
        <f t="shared" si="658"/>
        <v>0</v>
      </c>
      <c r="AE381" s="1">
        <f t="shared" si="658"/>
        <v>0</v>
      </c>
      <c r="AF381" s="1">
        <f t="shared" si="658"/>
        <v>0</v>
      </c>
      <c r="AG381" s="1">
        <f t="shared" si="658"/>
        <v>0</v>
      </c>
      <c r="AH381" s="1">
        <f t="shared" si="658"/>
        <v>0</v>
      </c>
      <c r="AI381" s="1">
        <f t="shared" si="658"/>
        <v>0</v>
      </c>
      <c r="AJ381" s="1">
        <f t="shared" si="658"/>
        <v>0</v>
      </c>
      <c r="AK381" s="1">
        <f t="shared" si="658"/>
        <v>0</v>
      </c>
      <c r="AL381" s="1">
        <f t="shared" si="658"/>
        <v>0</v>
      </c>
      <c r="AM381" s="1">
        <f t="shared" si="658"/>
        <v>0</v>
      </c>
      <c r="AN381" s="1">
        <f t="shared" si="658"/>
        <v>0</v>
      </c>
      <c r="AO381" s="1">
        <f t="shared" si="658"/>
        <v>0</v>
      </c>
      <c r="AP381" s="1">
        <f t="shared" si="658"/>
        <v>0</v>
      </c>
      <c r="AQ381" s="1">
        <f t="shared" si="658"/>
        <v>0</v>
      </c>
      <c r="AR381" s="3">
        <f t="shared" si="650"/>
        <v>68484.899999999994</v>
      </c>
      <c r="AT381" s="8">
        <f>IF(AR381=0,0,+AR381/PassVol!AR542)</f>
        <v>14.966105769230769</v>
      </c>
    </row>
    <row r="382" spans="1:47" x14ac:dyDescent="0.25">
      <c r="C382" t="s">
        <v>262</v>
      </c>
      <c r="D382" s="1">
        <f t="shared" si="648"/>
        <v>0</v>
      </c>
      <c r="E382" s="1">
        <f t="shared" ref="E382:J382" si="660">+E14+E37+E60+E83+E106+E129+E152+E175+E198+E221+E244+E267+E290+E313+E336+E359</f>
        <v>0</v>
      </c>
      <c r="F382" s="1">
        <f t="shared" si="660"/>
        <v>0</v>
      </c>
      <c r="G382" s="1">
        <f t="shared" si="660"/>
        <v>0</v>
      </c>
      <c r="H382" s="1">
        <f t="shared" si="660"/>
        <v>0</v>
      </c>
      <c r="I382" s="1">
        <f t="shared" si="660"/>
        <v>0</v>
      </c>
      <c r="J382" s="1">
        <f t="shared" si="660"/>
        <v>0</v>
      </c>
      <c r="K382" s="1">
        <f t="shared" si="658"/>
        <v>0</v>
      </c>
      <c r="L382" s="1">
        <f t="shared" si="658"/>
        <v>712.8</v>
      </c>
      <c r="M382" s="1">
        <f t="shared" si="658"/>
        <v>5916.6</v>
      </c>
      <c r="N382" s="1">
        <f t="shared" si="658"/>
        <v>3318.84</v>
      </c>
      <c r="O382" s="1">
        <f t="shared" si="658"/>
        <v>3764.8800000000006</v>
      </c>
      <c r="P382" s="1">
        <f t="shared" si="658"/>
        <v>4407.4799999999996</v>
      </c>
      <c r="Q382" s="1">
        <f t="shared" si="658"/>
        <v>17300.28</v>
      </c>
      <c r="R382" s="1">
        <f t="shared" si="658"/>
        <v>10711.8</v>
      </c>
      <c r="S382" s="1">
        <f t="shared" si="658"/>
        <v>4875.84</v>
      </c>
      <c r="T382" s="1">
        <f t="shared" si="658"/>
        <v>11941.439999999999</v>
      </c>
      <c r="U382" s="1">
        <f t="shared" si="658"/>
        <v>4614.88</v>
      </c>
      <c r="V382" s="1">
        <f t="shared" si="658"/>
        <v>3693.92</v>
      </c>
      <c r="W382" s="1">
        <f t="shared" si="658"/>
        <v>3533.4</v>
      </c>
      <c r="X382" s="1">
        <f t="shared" si="658"/>
        <v>1361.8799999999999</v>
      </c>
      <c r="Y382" s="1">
        <f t="shared" si="658"/>
        <v>370.44000000000005</v>
      </c>
      <c r="Z382" s="1">
        <f t="shared" si="658"/>
        <v>177.12</v>
      </c>
      <c r="AA382" s="1">
        <f t="shared" si="658"/>
        <v>0</v>
      </c>
      <c r="AB382" s="1">
        <f t="shared" si="658"/>
        <v>509.76000000000005</v>
      </c>
      <c r="AC382" s="1">
        <f t="shared" si="658"/>
        <v>113.39999999999999</v>
      </c>
      <c r="AD382" s="1">
        <f t="shared" si="658"/>
        <v>0</v>
      </c>
      <c r="AE382" s="1">
        <f t="shared" si="658"/>
        <v>0</v>
      </c>
      <c r="AF382" s="1">
        <f t="shared" si="658"/>
        <v>0</v>
      </c>
      <c r="AG382" s="1">
        <f t="shared" si="658"/>
        <v>0</v>
      </c>
      <c r="AH382" s="1">
        <f t="shared" si="658"/>
        <v>0</v>
      </c>
      <c r="AI382" s="1">
        <f t="shared" si="658"/>
        <v>0</v>
      </c>
      <c r="AJ382" s="1">
        <f t="shared" si="658"/>
        <v>0</v>
      </c>
      <c r="AK382" s="1">
        <f t="shared" si="658"/>
        <v>0</v>
      </c>
      <c r="AL382" s="1">
        <f t="shared" si="658"/>
        <v>0</v>
      </c>
      <c r="AM382" s="1">
        <f t="shared" si="658"/>
        <v>0</v>
      </c>
      <c r="AN382" s="1">
        <f t="shared" si="658"/>
        <v>0</v>
      </c>
      <c r="AO382" s="1">
        <f t="shared" si="658"/>
        <v>0</v>
      </c>
      <c r="AP382" s="1">
        <f t="shared" si="658"/>
        <v>0</v>
      </c>
      <c r="AQ382" s="1">
        <f t="shared" si="658"/>
        <v>0</v>
      </c>
      <c r="AR382" s="3">
        <f t="shared" si="650"/>
        <v>77324.759999999995</v>
      </c>
      <c r="AT382" s="8">
        <f>IF(AR382=0,0,+AR382/PassVol!AR543)</f>
        <v>16.347729386892176</v>
      </c>
    </row>
    <row r="383" spans="1:47" x14ac:dyDescent="0.25">
      <c r="C383" t="s">
        <v>42</v>
      </c>
      <c r="D383" s="1">
        <f t="shared" si="648"/>
        <v>0</v>
      </c>
      <c r="E383" s="1">
        <f t="shared" ref="E383:J383" si="661">+E15+E38+E61+E84+E107+E130+E153+E176+E199+E222+E245+E268+E291+E314+E337+E360</f>
        <v>0</v>
      </c>
      <c r="F383" s="1">
        <f t="shared" si="661"/>
        <v>0</v>
      </c>
      <c r="G383" s="1">
        <f t="shared" si="661"/>
        <v>0</v>
      </c>
      <c r="H383" s="1">
        <f t="shared" si="661"/>
        <v>0</v>
      </c>
      <c r="I383" s="1">
        <f t="shared" si="661"/>
        <v>0</v>
      </c>
      <c r="J383" s="1">
        <f t="shared" si="661"/>
        <v>0</v>
      </c>
      <c r="K383" s="1">
        <f t="shared" si="658"/>
        <v>0</v>
      </c>
      <c r="L383" s="1">
        <f t="shared" si="658"/>
        <v>5636.16</v>
      </c>
      <c r="M383" s="1">
        <f t="shared" si="658"/>
        <v>7853.76</v>
      </c>
      <c r="N383" s="1">
        <f t="shared" si="658"/>
        <v>5403.24</v>
      </c>
      <c r="O383" s="1">
        <f t="shared" si="658"/>
        <v>2752.92</v>
      </c>
      <c r="P383" s="1">
        <f t="shared" si="658"/>
        <v>10516.86</v>
      </c>
      <c r="Q383" s="1">
        <f t="shared" si="658"/>
        <v>14727.24</v>
      </c>
      <c r="R383" s="1">
        <f t="shared" si="658"/>
        <v>9806.0400000000009</v>
      </c>
      <c r="S383" s="1">
        <f t="shared" si="658"/>
        <v>6738.4800000000005</v>
      </c>
      <c r="T383" s="1">
        <f t="shared" si="658"/>
        <v>6388.2</v>
      </c>
      <c r="U383" s="1">
        <f t="shared" si="658"/>
        <v>12444</v>
      </c>
      <c r="V383" s="1">
        <f t="shared" si="658"/>
        <v>2726.64</v>
      </c>
      <c r="W383" s="1">
        <f t="shared" si="658"/>
        <v>8273.7999999999993</v>
      </c>
      <c r="X383" s="1">
        <f t="shared" si="658"/>
        <v>2669.76</v>
      </c>
      <c r="Y383" s="1">
        <f t="shared" si="658"/>
        <v>7997.2800000000007</v>
      </c>
      <c r="Z383" s="1">
        <f t="shared" si="658"/>
        <v>70.02000000000001</v>
      </c>
      <c r="AA383" s="1">
        <f t="shared" si="658"/>
        <v>246.24</v>
      </c>
      <c r="AB383" s="1">
        <f t="shared" si="658"/>
        <v>0</v>
      </c>
      <c r="AC383" s="1">
        <f t="shared" si="658"/>
        <v>0</v>
      </c>
      <c r="AD383" s="1">
        <f t="shared" si="658"/>
        <v>0</v>
      </c>
      <c r="AE383" s="1">
        <f t="shared" si="658"/>
        <v>0</v>
      </c>
      <c r="AF383" s="1">
        <f t="shared" si="658"/>
        <v>0</v>
      </c>
      <c r="AG383" s="1">
        <f t="shared" si="658"/>
        <v>0</v>
      </c>
      <c r="AH383" s="1">
        <f t="shared" si="658"/>
        <v>0</v>
      </c>
      <c r="AI383" s="1">
        <f t="shared" si="658"/>
        <v>0</v>
      </c>
      <c r="AJ383" s="1">
        <f t="shared" si="658"/>
        <v>0</v>
      </c>
      <c r="AK383" s="1">
        <f t="shared" si="658"/>
        <v>0</v>
      </c>
      <c r="AL383" s="1">
        <f t="shared" si="658"/>
        <v>0</v>
      </c>
      <c r="AM383" s="1">
        <f t="shared" si="658"/>
        <v>0</v>
      </c>
      <c r="AN383" s="1">
        <f t="shared" si="658"/>
        <v>0</v>
      </c>
      <c r="AO383" s="1">
        <f t="shared" si="658"/>
        <v>0</v>
      </c>
      <c r="AP383" s="1">
        <f t="shared" si="658"/>
        <v>0</v>
      </c>
      <c r="AQ383" s="1">
        <f t="shared" si="658"/>
        <v>0</v>
      </c>
      <c r="AR383" s="3">
        <f t="shared" si="650"/>
        <v>104250.64000000001</v>
      </c>
      <c r="AT383" s="8">
        <f>IF(AR383=0,0,+AR383/PassVol!AR544)</f>
        <v>12.277781180073021</v>
      </c>
    </row>
    <row r="384" spans="1:47" x14ac:dyDescent="0.25">
      <c r="C384" t="s">
        <v>192</v>
      </c>
      <c r="D384" s="1">
        <f t="shared" si="648"/>
        <v>0</v>
      </c>
      <c r="E384" s="1">
        <f t="shared" ref="E384:J384" si="662">+E16+E39+E62+E85+E108+E131+E154+E177+E200+E223+E246+E269+E292+E315+E338+E361</f>
        <v>0</v>
      </c>
      <c r="F384" s="1">
        <f t="shared" si="662"/>
        <v>0</v>
      </c>
      <c r="G384" s="1">
        <f t="shared" si="662"/>
        <v>0</v>
      </c>
      <c r="H384" s="1">
        <f t="shared" si="662"/>
        <v>0</v>
      </c>
      <c r="I384" s="1">
        <f t="shared" si="662"/>
        <v>0</v>
      </c>
      <c r="J384" s="1">
        <f t="shared" si="662"/>
        <v>0</v>
      </c>
      <c r="K384" s="1">
        <f t="shared" si="658"/>
        <v>0</v>
      </c>
      <c r="L384" s="1">
        <f t="shared" si="658"/>
        <v>0</v>
      </c>
      <c r="M384" s="1">
        <f t="shared" si="658"/>
        <v>16562.52</v>
      </c>
      <c r="N384" s="1">
        <f t="shared" si="658"/>
        <v>1615.68</v>
      </c>
      <c r="O384" s="1">
        <f t="shared" si="658"/>
        <v>4303.26</v>
      </c>
      <c r="P384" s="1">
        <f t="shared" si="658"/>
        <v>9763.2000000000007</v>
      </c>
      <c r="Q384" s="1">
        <f t="shared" si="658"/>
        <v>23119.64</v>
      </c>
      <c r="R384" s="1">
        <f t="shared" si="658"/>
        <v>19730.68</v>
      </c>
      <c r="S384" s="1">
        <f t="shared" si="658"/>
        <v>8533.2000000000007</v>
      </c>
      <c r="T384" s="1">
        <f t="shared" si="658"/>
        <v>7095.3</v>
      </c>
      <c r="U384" s="1">
        <f t="shared" si="658"/>
        <v>17419.72</v>
      </c>
      <c r="V384" s="1">
        <f t="shared" si="658"/>
        <v>2790.3599999999997</v>
      </c>
      <c r="W384" s="1">
        <f t="shared" si="658"/>
        <v>10337.959999999999</v>
      </c>
      <c r="X384" s="1">
        <f t="shared" si="658"/>
        <v>4457.16</v>
      </c>
      <c r="Y384" s="1">
        <f t="shared" si="658"/>
        <v>6630.3600000000006</v>
      </c>
      <c r="Z384" s="1">
        <f t="shared" si="658"/>
        <v>465.84000000000003</v>
      </c>
      <c r="AA384" s="1">
        <f t="shared" si="658"/>
        <v>159.84</v>
      </c>
      <c r="AB384" s="1">
        <f t="shared" si="658"/>
        <v>83.16</v>
      </c>
      <c r="AC384" s="1">
        <f t="shared" si="658"/>
        <v>108.72</v>
      </c>
      <c r="AD384" s="1">
        <f t="shared" si="658"/>
        <v>0</v>
      </c>
      <c r="AE384" s="1">
        <f t="shared" si="658"/>
        <v>0</v>
      </c>
      <c r="AF384" s="1">
        <f t="shared" si="658"/>
        <v>0</v>
      </c>
      <c r="AG384" s="1">
        <f t="shared" si="658"/>
        <v>0</v>
      </c>
      <c r="AH384" s="1">
        <f t="shared" si="658"/>
        <v>0</v>
      </c>
      <c r="AI384" s="1">
        <f t="shared" si="658"/>
        <v>0</v>
      </c>
      <c r="AJ384" s="1">
        <f t="shared" si="658"/>
        <v>0</v>
      </c>
      <c r="AK384" s="1">
        <f t="shared" si="658"/>
        <v>0</v>
      </c>
      <c r="AL384" s="1">
        <f t="shared" si="658"/>
        <v>0</v>
      </c>
      <c r="AM384" s="1">
        <f t="shared" si="658"/>
        <v>0</v>
      </c>
      <c r="AN384" s="1">
        <f t="shared" si="658"/>
        <v>0</v>
      </c>
      <c r="AO384" s="1">
        <f t="shared" si="658"/>
        <v>0</v>
      </c>
      <c r="AP384" s="1">
        <f t="shared" si="658"/>
        <v>0</v>
      </c>
      <c r="AQ384" s="1">
        <f t="shared" si="658"/>
        <v>0</v>
      </c>
      <c r="AR384" s="3">
        <f t="shared" si="650"/>
        <v>133176.60000000003</v>
      </c>
      <c r="AT384" s="8">
        <f>IF(AR384=0,0,+AR384/PassVol!AR545)</f>
        <v>11.683182735327664</v>
      </c>
    </row>
    <row r="385" spans="1:47" x14ac:dyDescent="0.25">
      <c r="C385" t="s">
        <v>133</v>
      </c>
      <c r="D385" s="1">
        <f t="shared" si="648"/>
        <v>0</v>
      </c>
      <c r="E385" s="1">
        <f t="shared" ref="E385:J385" si="663">+E17+E40+E63+E86+E109+E132+E155+E178+E201+E224+E247+E270+E293+E316+E339+E362</f>
        <v>0</v>
      </c>
      <c r="F385" s="1">
        <f t="shared" si="663"/>
        <v>0</v>
      </c>
      <c r="G385" s="1">
        <f t="shared" si="663"/>
        <v>0</v>
      </c>
      <c r="H385" s="1">
        <f t="shared" si="663"/>
        <v>0</v>
      </c>
      <c r="I385" s="1">
        <f t="shared" si="663"/>
        <v>0</v>
      </c>
      <c r="J385" s="1">
        <f t="shared" si="663"/>
        <v>0</v>
      </c>
      <c r="K385" s="1">
        <f t="shared" si="658"/>
        <v>0</v>
      </c>
      <c r="L385" s="1">
        <f t="shared" si="658"/>
        <v>475.2</v>
      </c>
      <c r="M385" s="1">
        <f t="shared" si="658"/>
        <v>874.80000000000007</v>
      </c>
      <c r="N385" s="1">
        <f t="shared" si="658"/>
        <v>1740.96</v>
      </c>
      <c r="O385" s="1">
        <f t="shared" si="658"/>
        <v>2244.2399999999998</v>
      </c>
      <c r="P385" s="1">
        <f t="shared" si="658"/>
        <v>5087.5199999999995</v>
      </c>
      <c r="Q385" s="1">
        <f t="shared" si="658"/>
        <v>5574.7599999999993</v>
      </c>
      <c r="R385" s="1">
        <f t="shared" si="658"/>
        <v>3265.2</v>
      </c>
      <c r="S385" s="1">
        <f t="shared" si="658"/>
        <v>5502.6399999999994</v>
      </c>
      <c r="T385" s="1">
        <f t="shared" si="658"/>
        <v>6367.68</v>
      </c>
      <c r="U385" s="1">
        <f t="shared" si="658"/>
        <v>4956.8399999999992</v>
      </c>
      <c r="V385" s="1">
        <f t="shared" si="658"/>
        <v>2239.92</v>
      </c>
      <c r="W385" s="1">
        <f t="shared" si="658"/>
        <v>3274</v>
      </c>
      <c r="X385" s="1">
        <f t="shared" si="658"/>
        <v>2897.6400000000003</v>
      </c>
      <c r="Y385" s="1">
        <f t="shared" si="658"/>
        <v>2508.84</v>
      </c>
      <c r="Z385" s="1">
        <f t="shared" si="658"/>
        <v>572.4</v>
      </c>
      <c r="AA385" s="1">
        <f t="shared" si="658"/>
        <v>775.8</v>
      </c>
      <c r="AB385" s="1">
        <f t="shared" si="658"/>
        <v>673.92000000000007</v>
      </c>
      <c r="AC385" s="1">
        <f t="shared" si="658"/>
        <v>112.32</v>
      </c>
      <c r="AD385" s="1">
        <f t="shared" si="658"/>
        <v>0</v>
      </c>
      <c r="AE385" s="1">
        <f t="shared" si="658"/>
        <v>0</v>
      </c>
      <c r="AF385" s="1">
        <f t="shared" si="658"/>
        <v>0</v>
      </c>
      <c r="AG385" s="1">
        <f t="shared" si="658"/>
        <v>0</v>
      </c>
      <c r="AH385" s="1">
        <f t="shared" si="658"/>
        <v>0</v>
      </c>
      <c r="AI385" s="1">
        <f t="shared" si="658"/>
        <v>0</v>
      </c>
      <c r="AJ385" s="1">
        <f t="shared" si="658"/>
        <v>0</v>
      </c>
      <c r="AK385" s="1">
        <f t="shared" si="658"/>
        <v>0</v>
      </c>
      <c r="AL385" s="1">
        <f t="shared" si="658"/>
        <v>0</v>
      </c>
      <c r="AM385" s="1">
        <f t="shared" si="658"/>
        <v>0</v>
      </c>
      <c r="AN385" s="1">
        <f t="shared" si="658"/>
        <v>0</v>
      </c>
      <c r="AO385" s="1">
        <f t="shared" si="658"/>
        <v>0</v>
      </c>
      <c r="AP385" s="1">
        <f t="shared" si="658"/>
        <v>0</v>
      </c>
      <c r="AQ385" s="1">
        <f t="shared" si="658"/>
        <v>0</v>
      </c>
      <c r="AR385" s="3">
        <f t="shared" si="650"/>
        <v>49144.679999999993</v>
      </c>
      <c r="AT385" s="8">
        <f>IF(AR385=0,0,+AR385/PassVol!AR546)</f>
        <v>14.731618705035968</v>
      </c>
    </row>
    <row r="386" spans="1:47" x14ac:dyDescent="0.25">
      <c r="C386" t="s">
        <v>41</v>
      </c>
      <c r="D386" s="1">
        <f t="shared" si="648"/>
        <v>0</v>
      </c>
      <c r="E386" s="1">
        <f t="shared" ref="E386:J386" si="664">+E18+E41+E64+E87+E110+E133+E156+E179+E202+E225+E248+E271+E294+E317+E340+E363</f>
        <v>0</v>
      </c>
      <c r="F386" s="1">
        <f t="shared" si="664"/>
        <v>0</v>
      </c>
      <c r="G386" s="1">
        <f t="shared" si="664"/>
        <v>0</v>
      </c>
      <c r="H386" s="1">
        <f t="shared" si="664"/>
        <v>0</v>
      </c>
      <c r="I386" s="1">
        <f t="shared" si="664"/>
        <v>0</v>
      </c>
      <c r="J386" s="1">
        <f t="shared" si="664"/>
        <v>0</v>
      </c>
      <c r="K386" s="1">
        <f t="shared" si="658"/>
        <v>0</v>
      </c>
      <c r="L386" s="1">
        <f t="shared" si="658"/>
        <v>2178</v>
      </c>
      <c r="M386" s="1">
        <f t="shared" si="658"/>
        <v>10754.64</v>
      </c>
      <c r="N386" s="1">
        <f t="shared" si="658"/>
        <v>4499.28</v>
      </c>
      <c r="O386" s="1">
        <f t="shared" si="658"/>
        <v>12401.28</v>
      </c>
      <c r="P386" s="1">
        <f t="shared" si="658"/>
        <v>18620.640000000003</v>
      </c>
      <c r="Q386" s="1">
        <f t="shared" si="658"/>
        <v>46315.299999999996</v>
      </c>
      <c r="R386" s="1">
        <f t="shared" si="658"/>
        <v>30867.599999999999</v>
      </c>
      <c r="S386" s="1">
        <f t="shared" si="658"/>
        <v>30963.119999999999</v>
      </c>
      <c r="T386" s="1">
        <f t="shared" si="658"/>
        <v>35328.199999999997</v>
      </c>
      <c r="U386" s="1">
        <f t="shared" si="658"/>
        <v>41781.26</v>
      </c>
      <c r="V386" s="1">
        <f t="shared" si="658"/>
        <v>13868.56</v>
      </c>
      <c r="W386" s="1">
        <f t="shared" si="658"/>
        <v>19706</v>
      </c>
      <c r="X386" s="1">
        <f t="shared" si="658"/>
        <v>20374.199999999997</v>
      </c>
      <c r="Y386" s="1">
        <f t="shared" si="658"/>
        <v>18329.16</v>
      </c>
      <c r="Z386" s="1">
        <f t="shared" si="658"/>
        <v>3230.28</v>
      </c>
      <c r="AA386" s="1">
        <f t="shared" si="658"/>
        <v>1078.92</v>
      </c>
      <c r="AB386" s="1">
        <f t="shared" si="658"/>
        <v>491.4</v>
      </c>
      <c r="AC386" s="1">
        <f t="shared" si="658"/>
        <v>171.72</v>
      </c>
      <c r="AD386" s="1">
        <f t="shared" si="658"/>
        <v>0</v>
      </c>
      <c r="AE386" s="1">
        <f t="shared" si="658"/>
        <v>0</v>
      </c>
      <c r="AF386" s="1">
        <f t="shared" si="658"/>
        <v>0</v>
      </c>
      <c r="AG386" s="1">
        <f t="shared" si="658"/>
        <v>0</v>
      </c>
      <c r="AH386" s="1">
        <f t="shared" si="658"/>
        <v>0</v>
      </c>
      <c r="AI386" s="1">
        <f t="shared" si="658"/>
        <v>0</v>
      </c>
      <c r="AJ386" s="1">
        <f t="shared" si="658"/>
        <v>0</v>
      </c>
      <c r="AK386" s="1">
        <f t="shared" si="658"/>
        <v>0</v>
      </c>
      <c r="AL386" s="1">
        <f t="shared" si="658"/>
        <v>0</v>
      </c>
      <c r="AM386" s="1">
        <f t="shared" si="658"/>
        <v>0</v>
      </c>
      <c r="AN386" s="1">
        <f t="shared" si="658"/>
        <v>0</v>
      </c>
      <c r="AO386" s="1">
        <f t="shared" si="658"/>
        <v>0</v>
      </c>
      <c r="AP386" s="1">
        <f t="shared" si="658"/>
        <v>0</v>
      </c>
      <c r="AQ386" s="1">
        <f t="shared" si="658"/>
        <v>0</v>
      </c>
      <c r="AR386" s="3">
        <f t="shared" si="650"/>
        <v>310959.56</v>
      </c>
      <c r="AT386" s="8">
        <f>IF(AR386=0,0,+AR386/PassVol!AR547)</f>
        <v>10.501133324327975</v>
      </c>
    </row>
    <row r="387" spans="1:47" x14ac:dyDescent="0.25">
      <c r="C387" t="s">
        <v>193</v>
      </c>
      <c r="D387" s="1">
        <f t="shared" si="648"/>
        <v>0</v>
      </c>
      <c r="E387" s="1">
        <f t="shared" ref="E387:J387" si="665">+E19+E42+E65+E88+E111+E134+E157+E180+E203+E226+E249+E272+E295+E318+E341+E364</f>
        <v>0</v>
      </c>
      <c r="F387" s="1">
        <f t="shared" si="665"/>
        <v>0</v>
      </c>
      <c r="G387" s="1">
        <f t="shared" si="665"/>
        <v>0</v>
      </c>
      <c r="H387" s="1">
        <f t="shared" si="665"/>
        <v>0</v>
      </c>
      <c r="I387" s="1">
        <f t="shared" si="665"/>
        <v>0</v>
      </c>
      <c r="J387" s="1">
        <f t="shared" si="665"/>
        <v>0</v>
      </c>
      <c r="K387" s="1">
        <f t="shared" si="658"/>
        <v>0</v>
      </c>
      <c r="L387" s="1">
        <f t="shared" si="658"/>
        <v>0</v>
      </c>
      <c r="M387" s="1">
        <f t="shared" si="658"/>
        <v>0</v>
      </c>
      <c r="N387" s="1">
        <f t="shared" si="658"/>
        <v>0</v>
      </c>
      <c r="O387" s="1">
        <f t="shared" si="658"/>
        <v>0</v>
      </c>
      <c r="P387" s="1">
        <f t="shared" si="658"/>
        <v>0</v>
      </c>
      <c r="Q387" s="1">
        <f t="shared" si="658"/>
        <v>0</v>
      </c>
      <c r="R387" s="1">
        <f t="shared" si="658"/>
        <v>0</v>
      </c>
      <c r="S387" s="1">
        <f t="shared" si="658"/>
        <v>0</v>
      </c>
      <c r="T387" s="1">
        <f t="shared" si="658"/>
        <v>0</v>
      </c>
      <c r="U387" s="1">
        <f t="shared" si="658"/>
        <v>0</v>
      </c>
      <c r="V387" s="1">
        <f t="shared" si="658"/>
        <v>0</v>
      </c>
      <c r="W387" s="1">
        <f t="shared" si="658"/>
        <v>0</v>
      </c>
      <c r="X387" s="1">
        <f t="shared" si="658"/>
        <v>0</v>
      </c>
      <c r="Y387" s="1">
        <f t="shared" si="658"/>
        <v>0</v>
      </c>
      <c r="Z387" s="1">
        <f t="shared" si="658"/>
        <v>0</v>
      </c>
      <c r="AA387" s="1">
        <f t="shared" si="658"/>
        <v>0</v>
      </c>
      <c r="AB387" s="1">
        <f t="shared" si="658"/>
        <v>0</v>
      </c>
      <c r="AC387" s="1">
        <f t="shared" si="658"/>
        <v>0</v>
      </c>
      <c r="AD387" s="1">
        <f t="shared" si="658"/>
        <v>0</v>
      </c>
      <c r="AE387" s="1">
        <f t="shared" si="658"/>
        <v>0</v>
      </c>
      <c r="AF387" s="1">
        <f t="shared" si="658"/>
        <v>0</v>
      </c>
      <c r="AG387" s="1">
        <f t="shared" si="658"/>
        <v>0</v>
      </c>
      <c r="AH387" s="1">
        <f t="shared" si="658"/>
        <v>0</v>
      </c>
      <c r="AI387" s="1">
        <f t="shared" si="658"/>
        <v>0</v>
      </c>
      <c r="AJ387" s="1">
        <f t="shared" si="658"/>
        <v>0</v>
      </c>
      <c r="AK387" s="1">
        <f t="shared" si="658"/>
        <v>0</v>
      </c>
      <c r="AL387" s="1">
        <f t="shared" si="658"/>
        <v>0</v>
      </c>
      <c r="AM387" s="1">
        <f t="shared" si="658"/>
        <v>0</v>
      </c>
      <c r="AN387" s="1">
        <f t="shared" si="658"/>
        <v>0</v>
      </c>
      <c r="AO387" s="1">
        <f t="shared" ref="K387:AQ390" si="666">+AO19+AO42+AO65+AO88+AO111+AO134+AO157+AO180+AO203+AO226+AO249+AO272+AO295+AO318+AO341+AO364</f>
        <v>0</v>
      </c>
      <c r="AP387" s="1">
        <f t="shared" si="666"/>
        <v>0</v>
      </c>
      <c r="AQ387" s="1">
        <f t="shared" si="666"/>
        <v>0</v>
      </c>
      <c r="AR387" s="3">
        <f t="shared" si="650"/>
        <v>0</v>
      </c>
      <c r="AT387" s="8">
        <f>IF(AR387=0,0,+AR387/PassVol!AR548)</f>
        <v>0</v>
      </c>
    </row>
    <row r="388" spans="1:47" x14ac:dyDescent="0.25">
      <c r="C388" t="s">
        <v>297</v>
      </c>
      <c r="D388" s="1">
        <f t="shared" si="648"/>
        <v>0</v>
      </c>
      <c r="E388" s="1">
        <f t="shared" ref="E388:J388" si="667">+E20+E43+E66+E89+E112+E135+E158+E181+E204+E227+E250+E273+E296+E319+E342+E365</f>
        <v>0</v>
      </c>
      <c r="F388" s="1">
        <f t="shared" si="667"/>
        <v>0</v>
      </c>
      <c r="G388" s="1">
        <f t="shared" si="667"/>
        <v>0</v>
      </c>
      <c r="H388" s="1">
        <f t="shared" si="667"/>
        <v>0</v>
      </c>
      <c r="I388" s="1">
        <f t="shared" si="667"/>
        <v>0</v>
      </c>
      <c r="J388" s="1">
        <f t="shared" si="667"/>
        <v>0</v>
      </c>
      <c r="K388" s="1">
        <f t="shared" si="666"/>
        <v>0</v>
      </c>
      <c r="L388" s="1">
        <f t="shared" si="666"/>
        <v>0</v>
      </c>
      <c r="M388" s="1">
        <f t="shared" si="666"/>
        <v>0</v>
      </c>
      <c r="N388" s="1">
        <f t="shared" si="666"/>
        <v>0</v>
      </c>
      <c r="O388" s="1">
        <f t="shared" si="666"/>
        <v>0</v>
      </c>
      <c r="P388" s="1">
        <f t="shared" si="666"/>
        <v>0</v>
      </c>
      <c r="Q388" s="1">
        <f t="shared" si="666"/>
        <v>0</v>
      </c>
      <c r="R388" s="1">
        <f t="shared" si="666"/>
        <v>0</v>
      </c>
      <c r="S388" s="1">
        <f t="shared" si="666"/>
        <v>0</v>
      </c>
      <c r="T388" s="1">
        <f t="shared" si="666"/>
        <v>0</v>
      </c>
      <c r="U388" s="1">
        <f t="shared" si="666"/>
        <v>0</v>
      </c>
      <c r="V388" s="1">
        <f t="shared" si="666"/>
        <v>0</v>
      </c>
      <c r="W388" s="1">
        <f t="shared" si="666"/>
        <v>0</v>
      </c>
      <c r="X388" s="1">
        <f t="shared" si="666"/>
        <v>0</v>
      </c>
      <c r="Y388" s="1">
        <f t="shared" si="666"/>
        <v>0</v>
      </c>
      <c r="Z388" s="1">
        <f t="shared" si="666"/>
        <v>0</v>
      </c>
      <c r="AA388" s="1">
        <f t="shared" si="666"/>
        <v>0</v>
      </c>
      <c r="AB388" s="1">
        <f t="shared" si="666"/>
        <v>0</v>
      </c>
      <c r="AC388" s="1">
        <f t="shared" si="666"/>
        <v>0</v>
      </c>
      <c r="AD388" s="1">
        <f t="shared" si="666"/>
        <v>0</v>
      </c>
      <c r="AE388" s="1">
        <f t="shared" si="666"/>
        <v>0</v>
      </c>
      <c r="AF388" s="1">
        <f t="shared" si="666"/>
        <v>0</v>
      </c>
      <c r="AG388" s="1">
        <f t="shared" si="666"/>
        <v>0</v>
      </c>
      <c r="AH388" s="1">
        <f t="shared" si="666"/>
        <v>0</v>
      </c>
      <c r="AI388" s="1">
        <f t="shared" si="666"/>
        <v>0</v>
      </c>
      <c r="AJ388" s="1">
        <f t="shared" si="666"/>
        <v>0</v>
      </c>
      <c r="AK388" s="1">
        <f t="shared" si="666"/>
        <v>0</v>
      </c>
      <c r="AL388" s="1">
        <f t="shared" si="666"/>
        <v>0</v>
      </c>
      <c r="AM388" s="1">
        <f t="shared" si="666"/>
        <v>0</v>
      </c>
      <c r="AN388" s="1">
        <f t="shared" si="666"/>
        <v>0</v>
      </c>
      <c r="AO388" s="1">
        <f t="shared" si="666"/>
        <v>0</v>
      </c>
      <c r="AP388" s="1">
        <f t="shared" si="666"/>
        <v>0</v>
      </c>
      <c r="AQ388" s="1">
        <f t="shared" si="666"/>
        <v>0</v>
      </c>
      <c r="AR388" s="3">
        <f t="shared" si="650"/>
        <v>0</v>
      </c>
      <c r="AT388" s="8">
        <f>IF(AR388=0,0,+AR388/PassVol!AR549)</f>
        <v>0</v>
      </c>
    </row>
    <row r="389" spans="1:47" x14ac:dyDescent="0.25">
      <c r="C389" t="s">
        <v>296</v>
      </c>
      <c r="D389" s="1">
        <f t="shared" si="648"/>
        <v>0</v>
      </c>
      <c r="E389" s="1">
        <f t="shared" ref="E389:J389" si="668">+E21+E44+E67+E90+E113+E136+E159+E182+E205+E228+E251+E274+E297+E320+E343+E366</f>
        <v>0</v>
      </c>
      <c r="F389" s="1">
        <f t="shared" si="668"/>
        <v>0</v>
      </c>
      <c r="G389" s="1">
        <f t="shared" si="668"/>
        <v>0</v>
      </c>
      <c r="H389" s="1">
        <f t="shared" si="668"/>
        <v>0</v>
      </c>
      <c r="I389" s="1">
        <f t="shared" si="668"/>
        <v>0</v>
      </c>
      <c r="J389" s="1">
        <f t="shared" si="668"/>
        <v>0</v>
      </c>
      <c r="K389" s="1">
        <f t="shared" si="666"/>
        <v>0</v>
      </c>
      <c r="L389" s="1">
        <f t="shared" si="666"/>
        <v>0</v>
      </c>
      <c r="M389" s="1">
        <f t="shared" si="666"/>
        <v>559.07999999999993</v>
      </c>
      <c r="N389" s="1">
        <f t="shared" si="666"/>
        <v>977.40000000000009</v>
      </c>
      <c r="O389" s="1">
        <f t="shared" si="666"/>
        <v>1097.6399999999999</v>
      </c>
      <c r="P389" s="1">
        <f t="shared" si="666"/>
        <v>1572.48</v>
      </c>
      <c r="Q389" s="1">
        <f t="shared" si="666"/>
        <v>1739.1599999999999</v>
      </c>
      <c r="R389" s="1">
        <f t="shared" si="666"/>
        <v>2141.4</v>
      </c>
      <c r="S389" s="1">
        <f t="shared" si="666"/>
        <v>3141.74</v>
      </c>
      <c r="T389" s="1">
        <f t="shared" si="666"/>
        <v>3239.2400000000002</v>
      </c>
      <c r="U389" s="1">
        <f t="shared" si="666"/>
        <v>3466.02</v>
      </c>
      <c r="V389" s="1">
        <f t="shared" si="666"/>
        <v>1646.52</v>
      </c>
      <c r="W389" s="1">
        <f t="shared" si="666"/>
        <v>1584.6</v>
      </c>
      <c r="X389" s="1">
        <f t="shared" si="666"/>
        <v>991.44</v>
      </c>
      <c r="Y389" s="1">
        <f t="shared" si="666"/>
        <v>1020.5200000000001</v>
      </c>
      <c r="Z389" s="1">
        <f t="shared" si="666"/>
        <v>238.68</v>
      </c>
      <c r="AA389" s="1">
        <f t="shared" si="666"/>
        <v>691.19999999999993</v>
      </c>
      <c r="AB389" s="1">
        <f t="shared" si="666"/>
        <v>212.76000000000002</v>
      </c>
      <c r="AC389" s="1">
        <f t="shared" si="666"/>
        <v>56.16</v>
      </c>
      <c r="AD389" s="1">
        <f t="shared" si="666"/>
        <v>0</v>
      </c>
      <c r="AE389" s="1">
        <f t="shared" si="666"/>
        <v>0</v>
      </c>
      <c r="AF389" s="1">
        <f t="shared" si="666"/>
        <v>0</v>
      </c>
      <c r="AG389" s="1">
        <f t="shared" si="666"/>
        <v>0</v>
      </c>
      <c r="AH389" s="1">
        <f t="shared" si="666"/>
        <v>0</v>
      </c>
      <c r="AI389" s="1">
        <f t="shared" si="666"/>
        <v>0</v>
      </c>
      <c r="AJ389" s="1">
        <f t="shared" si="666"/>
        <v>0</v>
      </c>
      <c r="AK389" s="1">
        <f t="shared" si="666"/>
        <v>0</v>
      </c>
      <c r="AL389" s="1">
        <f t="shared" si="666"/>
        <v>0</v>
      </c>
      <c r="AM389" s="1">
        <f t="shared" si="666"/>
        <v>0</v>
      </c>
      <c r="AN389" s="1">
        <f t="shared" si="666"/>
        <v>0</v>
      </c>
      <c r="AO389" s="1">
        <f t="shared" si="666"/>
        <v>0</v>
      </c>
      <c r="AP389" s="1">
        <f t="shared" si="666"/>
        <v>0</v>
      </c>
      <c r="AQ389" s="1">
        <f t="shared" si="666"/>
        <v>0</v>
      </c>
      <c r="AR389" s="3">
        <f t="shared" si="650"/>
        <v>24376.039999999997</v>
      </c>
      <c r="AT389" s="8">
        <f>IF(AR389=0,0,+AR389/PassVol!AR550)</f>
        <v>11.295662650602408</v>
      </c>
    </row>
    <row r="390" spans="1:47" x14ac:dyDescent="0.25">
      <c r="A390"/>
      <c r="C390" t="s">
        <v>44</v>
      </c>
      <c r="D390" s="1">
        <f t="shared" si="648"/>
        <v>0</v>
      </c>
      <c r="E390" s="1">
        <f t="shared" ref="E390:J390" si="669">+E22+E45+E68+E91+E114+E137+E160+E183+E206+E229+E252+E275+E298+E321+E344+E367</f>
        <v>0</v>
      </c>
      <c r="F390" s="1">
        <f t="shared" si="669"/>
        <v>0</v>
      </c>
      <c r="G390" s="1">
        <f t="shared" si="669"/>
        <v>0</v>
      </c>
      <c r="H390" s="1">
        <f t="shared" si="669"/>
        <v>0</v>
      </c>
      <c r="I390" s="1">
        <f t="shared" si="669"/>
        <v>0</v>
      </c>
      <c r="J390" s="1">
        <f t="shared" si="669"/>
        <v>0</v>
      </c>
      <c r="K390" s="1">
        <f t="shared" si="666"/>
        <v>0</v>
      </c>
      <c r="L390" s="1">
        <f t="shared" si="666"/>
        <v>15879.240000000002</v>
      </c>
      <c r="M390" s="1">
        <f t="shared" si="666"/>
        <v>36570.659999999996</v>
      </c>
      <c r="N390" s="1">
        <f t="shared" si="666"/>
        <v>34794.080000000002</v>
      </c>
      <c r="O390" s="1">
        <f t="shared" si="666"/>
        <v>59802.319999999992</v>
      </c>
      <c r="P390" s="1">
        <f t="shared" si="666"/>
        <v>84724.62</v>
      </c>
      <c r="Q390" s="1">
        <f t="shared" si="666"/>
        <v>123102.07999999999</v>
      </c>
      <c r="R390" s="1">
        <f t="shared" si="666"/>
        <v>127186.36000000002</v>
      </c>
      <c r="S390" s="1">
        <f t="shared" si="666"/>
        <v>151336.28000000003</v>
      </c>
      <c r="T390" s="1">
        <f t="shared" si="666"/>
        <v>139410.13999999998</v>
      </c>
      <c r="U390" s="1">
        <f t="shared" si="666"/>
        <v>136429.34</v>
      </c>
      <c r="V390" s="1">
        <f t="shared" si="666"/>
        <v>92125.060000000012</v>
      </c>
      <c r="W390" s="1">
        <f t="shared" si="666"/>
        <v>92479.459999999992</v>
      </c>
      <c r="X390" s="1">
        <f t="shared" si="666"/>
        <v>57889.760000000002</v>
      </c>
      <c r="Y390" s="1">
        <f t="shared" si="666"/>
        <v>35488.480000000003</v>
      </c>
      <c r="Z390" s="1">
        <f t="shared" si="666"/>
        <v>6859.7400000000016</v>
      </c>
      <c r="AA390" s="1">
        <f t="shared" si="666"/>
        <v>7921.5599999999995</v>
      </c>
      <c r="AB390" s="1">
        <f t="shared" si="666"/>
        <v>3321.8599999999997</v>
      </c>
      <c r="AC390" s="1">
        <f t="shared" si="666"/>
        <v>115.95999999999998</v>
      </c>
      <c r="AD390" s="1">
        <f t="shared" si="666"/>
        <v>74.860000000000014</v>
      </c>
      <c r="AE390" s="1">
        <f t="shared" si="666"/>
        <v>0</v>
      </c>
      <c r="AF390" s="1">
        <f t="shared" si="666"/>
        <v>0</v>
      </c>
      <c r="AG390" s="1">
        <f t="shared" si="666"/>
        <v>0</v>
      </c>
      <c r="AH390" s="1">
        <f t="shared" si="666"/>
        <v>0</v>
      </c>
      <c r="AI390" s="1">
        <f t="shared" si="666"/>
        <v>0</v>
      </c>
      <c r="AJ390" s="1">
        <f t="shared" si="666"/>
        <v>0</v>
      </c>
      <c r="AK390" s="1">
        <f t="shared" si="666"/>
        <v>0</v>
      </c>
      <c r="AL390" s="1">
        <f t="shared" si="666"/>
        <v>0</v>
      </c>
      <c r="AM390" s="1">
        <f t="shared" si="666"/>
        <v>0</v>
      </c>
      <c r="AN390" s="1">
        <f t="shared" si="666"/>
        <v>0</v>
      </c>
      <c r="AO390" s="1">
        <f t="shared" si="666"/>
        <v>0</v>
      </c>
      <c r="AP390" s="1">
        <f t="shared" si="666"/>
        <v>0</v>
      </c>
      <c r="AQ390" s="1">
        <f t="shared" si="666"/>
        <v>0</v>
      </c>
      <c r="AR390" s="3">
        <f t="shared" si="650"/>
        <v>1205511.8600000003</v>
      </c>
      <c r="AT390" s="8">
        <f>IF(AR390=0,0,+AR390/PassVol!AR551)</f>
        <v>11.169282782518463</v>
      </c>
    </row>
    <row r="391" spans="1:47" s="2" customFormat="1" x14ac:dyDescent="0.25">
      <c r="B391" s="2" t="s">
        <v>77</v>
      </c>
      <c r="D391" s="3">
        <f>SUM(D372:D390)</f>
        <v>0</v>
      </c>
      <c r="E391" s="3">
        <f t="shared" ref="E391:J391" si="670">SUM(E372:E390)</f>
        <v>0</v>
      </c>
      <c r="F391" s="3">
        <f t="shared" si="670"/>
        <v>0</v>
      </c>
      <c r="G391" s="3">
        <f t="shared" si="670"/>
        <v>0</v>
      </c>
      <c r="H391" s="3">
        <f t="shared" si="670"/>
        <v>0</v>
      </c>
      <c r="I391" s="3">
        <f t="shared" si="670"/>
        <v>0</v>
      </c>
      <c r="J391" s="3">
        <f t="shared" si="670"/>
        <v>0</v>
      </c>
      <c r="K391" s="3">
        <f>SUM(K372:K390)</f>
        <v>0</v>
      </c>
      <c r="L391" s="3">
        <f>SUM(L372:L390)</f>
        <v>29162.880000000001</v>
      </c>
      <c r="M391" s="3">
        <f t="shared" ref="M391:AR391" si="671">SUM(M372:M390)</f>
        <v>132460.80000000002</v>
      </c>
      <c r="N391" s="3">
        <f t="shared" si="671"/>
        <v>80821.16</v>
      </c>
      <c r="O391" s="3">
        <f t="shared" si="671"/>
        <v>123565.51999999999</v>
      </c>
      <c r="P391" s="3">
        <f t="shared" si="671"/>
        <v>194971.38</v>
      </c>
      <c r="Q391" s="3">
        <f t="shared" si="671"/>
        <v>446830.12</v>
      </c>
      <c r="R391" s="3">
        <f t="shared" si="671"/>
        <v>357473.5</v>
      </c>
      <c r="S391" s="3">
        <f t="shared" si="671"/>
        <v>387340.07</v>
      </c>
      <c r="T391" s="3">
        <f t="shared" si="671"/>
        <v>365834.22</v>
      </c>
      <c r="U391" s="3">
        <f t="shared" si="671"/>
        <v>345672.02</v>
      </c>
      <c r="V391" s="3">
        <f t="shared" si="671"/>
        <v>191113.72</v>
      </c>
      <c r="W391" s="3">
        <f t="shared" si="671"/>
        <v>212819.20000000001</v>
      </c>
      <c r="X391" s="3">
        <f t="shared" si="671"/>
        <v>160260.44</v>
      </c>
      <c r="Y391" s="3">
        <f t="shared" si="671"/>
        <v>123764.96000000002</v>
      </c>
      <c r="Z391" s="3">
        <f t="shared" si="671"/>
        <v>36341.040000000008</v>
      </c>
      <c r="AA391" s="3">
        <f t="shared" si="671"/>
        <v>22291.68</v>
      </c>
      <c r="AB391" s="3">
        <f t="shared" si="671"/>
        <v>8536.2799999999988</v>
      </c>
      <c r="AC391" s="3">
        <f t="shared" si="671"/>
        <v>841.3599999999999</v>
      </c>
      <c r="AD391" s="3">
        <f t="shared" si="671"/>
        <v>166.84</v>
      </c>
      <c r="AE391" s="3">
        <f t="shared" si="671"/>
        <v>0</v>
      </c>
      <c r="AF391" s="3">
        <f t="shared" si="671"/>
        <v>0</v>
      </c>
      <c r="AG391" s="3">
        <f t="shared" si="671"/>
        <v>0</v>
      </c>
      <c r="AH391" s="3">
        <f t="shared" si="671"/>
        <v>0</v>
      </c>
      <c r="AI391" s="3">
        <f t="shared" si="671"/>
        <v>0</v>
      </c>
      <c r="AJ391" s="3">
        <f t="shared" si="671"/>
        <v>0</v>
      </c>
      <c r="AK391" s="3">
        <f t="shared" si="671"/>
        <v>0</v>
      </c>
      <c r="AL391" s="3">
        <f t="shared" si="671"/>
        <v>0</v>
      </c>
      <c r="AM391" s="3">
        <f t="shared" si="671"/>
        <v>0</v>
      </c>
      <c r="AN391" s="3">
        <f t="shared" si="671"/>
        <v>0</v>
      </c>
      <c r="AO391" s="3">
        <f t="shared" si="671"/>
        <v>0</v>
      </c>
      <c r="AP391" s="3">
        <f t="shared" si="671"/>
        <v>0</v>
      </c>
      <c r="AQ391" s="3">
        <f t="shared" si="671"/>
        <v>0</v>
      </c>
      <c r="AR391" s="3">
        <f t="shared" si="671"/>
        <v>3220267.1900000004</v>
      </c>
      <c r="AS391" s="3"/>
      <c r="AT391" s="9">
        <f>IF(AR391=0,0,+AR391/PassVol!AR552)</f>
        <v>10.527808730163921</v>
      </c>
      <c r="AU391" s="61"/>
    </row>
    <row r="392" spans="1:47" s="24" customFormat="1" x14ac:dyDescent="0.25">
      <c r="A392" s="23"/>
      <c r="B392" s="23"/>
      <c r="C392" s="27" t="s">
        <v>102</v>
      </c>
      <c r="D392" s="25">
        <f>+D391</f>
        <v>0</v>
      </c>
      <c r="E392" s="25">
        <f>+D392+E391</f>
        <v>0</v>
      </c>
      <c r="F392" s="25">
        <f t="shared" ref="F392" si="672">+E392+F391</f>
        <v>0</v>
      </c>
      <c r="G392" s="25">
        <f t="shared" ref="G392" si="673">+F392+G391</f>
        <v>0</v>
      </c>
      <c r="H392" s="25">
        <f t="shared" ref="H392" si="674">+G392+H391</f>
        <v>0</v>
      </c>
      <c r="I392" s="25">
        <f t="shared" ref="I392" si="675">+H392+I391</f>
        <v>0</v>
      </c>
      <c r="J392" s="25">
        <f t="shared" ref="J392" si="676">+I392+J391</f>
        <v>0</v>
      </c>
      <c r="K392" s="25">
        <f t="shared" ref="K392" si="677">+J392+K391</f>
        <v>0</v>
      </c>
      <c r="L392" s="25">
        <f t="shared" ref="L392" si="678">+K392+L391</f>
        <v>29162.880000000001</v>
      </c>
      <c r="M392" s="25">
        <f t="shared" ref="M392" si="679">+L392+M391</f>
        <v>161623.68000000002</v>
      </c>
      <c r="N392" s="25">
        <f t="shared" ref="N392" si="680">+M392+N391</f>
        <v>242444.84000000003</v>
      </c>
      <c r="O392" s="25">
        <f t="shared" ref="O392" si="681">+N392+O391</f>
        <v>366010.36</v>
      </c>
      <c r="P392" s="25">
        <f t="shared" ref="P392" si="682">+O392+P391</f>
        <v>560981.74</v>
      </c>
      <c r="Q392" s="25">
        <f t="shared" ref="Q392" si="683">+P392+Q391</f>
        <v>1007811.86</v>
      </c>
      <c r="R392" s="25">
        <f t="shared" ref="R392" si="684">+Q392+R391</f>
        <v>1365285.3599999999</v>
      </c>
      <c r="S392" s="25">
        <f t="shared" ref="S392" si="685">+R392+S391</f>
        <v>1752625.43</v>
      </c>
      <c r="T392" s="25">
        <f t="shared" ref="T392" si="686">+S392+T391</f>
        <v>2118459.65</v>
      </c>
      <c r="U392" s="25">
        <f t="shared" ref="U392" si="687">+T392+U391</f>
        <v>2464131.67</v>
      </c>
      <c r="V392" s="25">
        <f t="shared" ref="V392" si="688">+U392+V391</f>
        <v>2655245.39</v>
      </c>
      <c r="W392" s="25">
        <f t="shared" ref="W392" si="689">+V392+W391</f>
        <v>2868064.5900000003</v>
      </c>
      <c r="X392" s="25">
        <f t="shared" ref="X392" si="690">+W392+X391</f>
        <v>3028325.0300000003</v>
      </c>
      <c r="Y392" s="25">
        <f t="shared" ref="Y392" si="691">+X392+Y391</f>
        <v>3152089.99</v>
      </c>
      <c r="Z392" s="25">
        <f t="shared" ref="Z392" si="692">+Y392+Z391</f>
        <v>3188431.0300000003</v>
      </c>
      <c r="AA392" s="25">
        <f t="shared" ref="AA392" si="693">+Z392+AA391</f>
        <v>3210722.7100000004</v>
      </c>
      <c r="AB392" s="25">
        <f t="shared" ref="AB392" si="694">+AA392+AB391</f>
        <v>3219258.99</v>
      </c>
      <c r="AC392" s="25">
        <f t="shared" ref="AC392" si="695">+AB392+AC391</f>
        <v>3220100.35</v>
      </c>
      <c r="AD392" s="25">
        <f t="shared" ref="AD392" si="696">+AC392+AD391</f>
        <v>3220267.19</v>
      </c>
      <c r="AE392" s="25">
        <f t="shared" ref="AE392" si="697">+AD392+AE391</f>
        <v>3220267.19</v>
      </c>
      <c r="AF392" s="25">
        <f t="shared" ref="AF392" si="698">+AE392+AF391</f>
        <v>3220267.19</v>
      </c>
      <c r="AG392" s="25">
        <f t="shared" ref="AG392" si="699">+AF392+AG391</f>
        <v>3220267.19</v>
      </c>
      <c r="AH392" s="25">
        <f t="shared" ref="AH392" si="700">+AG392+AH391</f>
        <v>3220267.19</v>
      </c>
      <c r="AI392" s="25">
        <f t="shared" ref="AI392" si="701">+AH392+AI391</f>
        <v>3220267.19</v>
      </c>
      <c r="AJ392" s="25">
        <f t="shared" ref="AJ392" si="702">+AI392+AJ391</f>
        <v>3220267.19</v>
      </c>
      <c r="AK392" s="25">
        <f t="shared" ref="AK392" si="703">+AJ392+AK391</f>
        <v>3220267.19</v>
      </c>
      <c r="AL392" s="25">
        <f t="shared" ref="AL392" si="704">+AK392+AL391</f>
        <v>3220267.19</v>
      </c>
      <c r="AM392" s="25">
        <f t="shared" ref="AM392" si="705">+AL392+AM391</f>
        <v>3220267.19</v>
      </c>
      <c r="AN392" s="25">
        <f t="shared" ref="AN392" si="706">+AM392+AN391</f>
        <v>3220267.19</v>
      </c>
      <c r="AO392" s="25">
        <f t="shared" ref="AO392" si="707">+AN392+AO391</f>
        <v>3220267.19</v>
      </c>
      <c r="AP392" s="25">
        <f t="shared" ref="AP392" si="708">+AO392+AP391</f>
        <v>3220267.19</v>
      </c>
      <c r="AQ392" s="25">
        <f t="shared" ref="AQ392" si="709">+AP392+AQ391</f>
        <v>3220267.19</v>
      </c>
      <c r="AR392" s="49"/>
      <c r="AS392" s="25"/>
      <c r="AT392" s="26"/>
      <c r="AU392" s="60"/>
    </row>
    <row r="393" spans="1:47" s="24" customFormat="1" x14ac:dyDescent="0.25">
      <c r="A393" s="23"/>
      <c r="B393" s="23"/>
      <c r="C393" s="38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49"/>
      <c r="AS393" s="25"/>
      <c r="AT393" s="26"/>
      <c r="AU393" s="60"/>
    </row>
    <row r="394" spans="1:47" x14ac:dyDescent="0.25">
      <c r="B394" s="2" t="s">
        <v>79</v>
      </c>
    </row>
    <row r="395" spans="1:47" x14ac:dyDescent="0.25">
      <c r="C395" t="s">
        <v>190</v>
      </c>
      <c r="D395" s="1">
        <f>+BD!D91</f>
        <v>0</v>
      </c>
      <c r="E395" s="1">
        <f>+BD!E91</f>
        <v>0</v>
      </c>
      <c r="F395" s="1">
        <f>+BD!F91</f>
        <v>0</v>
      </c>
      <c r="G395" s="1">
        <f>+BD!G91</f>
        <v>0</v>
      </c>
      <c r="H395" s="1">
        <f>+BD!H91</f>
        <v>0</v>
      </c>
      <c r="I395" s="1">
        <f>+BD!I91</f>
        <v>0</v>
      </c>
      <c r="J395" s="1">
        <f>+BD!J91</f>
        <v>0</v>
      </c>
      <c r="K395" s="1">
        <f>+BD!K91</f>
        <v>0</v>
      </c>
      <c r="L395" s="1">
        <f>+BD!L91</f>
        <v>0</v>
      </c>
      <c r="M395" s="1">
        <f>+BD!M91</f>
        <v>0</v>
      </c>
      <c r="N395" s="1">
        <f>+BD!N91</f>
        <v>0</v>
      </c>
      <c r="O395" s="1">
        <f>+BD!O91</f>
        <v>-13.49</v>
      </c>
      <c r="P395" s="1">
        <f>+BD!P91</f>
        <v>-7.02</v>
      </c>
      <c r="Q395" s="1">
        <f>+BD!Q91</f>
        <v>-65.89</v>
      </c>
      <c r="R395" s="1">
        <f>+BD!R91</f>
        <v>0</v>
      </c>
      <c r="S395" s="1">
        <f>+BD!S91</f>
        <v>-93.40000000000002</v>
      </c>
      <c r="T395" s="1">
        <f>+BD!T91</f>
        <v>-109.09</v>
      </c>
      <c r="U395" s="1">
        <f>+BD!U91</f>
        <v>0</v>
      </c>
      <c r="V395" s="1">
        <f>+BD!V91</f>
        <v>-14.66</v>
      </c>
      <c r="W395" s="1">
        <f>+BD!W91</f>
        <v>-326.15999999999997</v>
      </c>
      <c r="X395" s="1">
        <f>+BD!X91</f>
        <v>-12.78</v>
      </c>
      <c r="Y395" s="1">
        <f>+BD!Y91</f>
        <v>-31.439999999999998</v>
      </c>
      <c r="Z395" s="1">
        <f>+BD!Z91</f>
        <v>0</v>
      </c>
      <c r="AA395" s="1">
        <f>+BD!AA91</f>
        <v>-886.8</v>
      </c>
      <c r="AB395" s="1">
        <f>+BD!AB91</f>
        <v>0</v>
      </c>
      <c r="AC395" s="1">
        <f>+BD!AC91</f>
        <v>0</v>
      </c>
      <c r="AD395" s="1">
        <f>+BD!AD91</f>
        <v>0</v>
      </c>
      <c r="AE395" s="1">
        <f>+BD!AE91</f>
        <v>0</v>
      </c>
      <c r="AF395" s="1">
        <f>+BD!AF91</f>
        <v>0</v>
      </c>
      <c r="AG395" s="1">
        <f>+BD!AG91</f>
        <v>-17.23</v>
      </c>
      <c r="AH395" s="1">
        <f>+BD!AH91</f>
        <v>0</v>
      </c>
      <c r="AI395" s="1">
        <f>+BD!AI91</f>
        <v>0</v>
      </c>
      <c r="AJ395" s="1">
        <f>+BD!AJ91</f>
        <v>0</v>
      </c>
      <c r="AK395" s="1">
        <f>+BD!AK91</f>
        <v>0</v>
      </c>
      <c r="AL395" s="1">
        <f>+BD!AL91</f>
        <v>0</v>
      </c>
      <c r="AM395" s="1">
        <f>+BD!AM91</f>
        <v>-8.52</v>
      </c>
      <c r="AN395" s="1">
        <f>+BD!AN91</f>
        <v>0</v>
      </c>
      <c r="AO395" s="1">
        <f>+BD!AO91</f>
        <v>0</v>
      </c>
      <c r="AP395" s="1">
        <f>+BD!AP91</f>
        <v>-10.65</v>
      </c>
      <c r="AQ395" s="1">
        <f>+BD!AQ91</f>
        <v>0</v>
      </c>
      <c r="AR395" s="3">
        <f t="shared" ref="AR395:AR414" si="710">SUM(D395:AQ395)</f>
        <v>-1597.13</v>
      </c>
    </row>
    <row r="396" spans="1:47" x14ac:dyDescent="0.25">
      <c r="C396" t="s">
        <v>424</v>
      </c>
      <c r="D396" s="1">
        <f>+Choice!D89</f>
        <v>0</v>
      </c>
      <c r="E396" s="1">
        <f>+Choice!E89</f>
        <v>0</v>
      </c>
      <c r="F396" s="1">
        <f>+Choice!F89</f>
        <v>0</v>
      </c>
      <c r="G396" s="1">
        <f>+Choice!G89</f>
        <v>0</v>
      </c>
      <c r="H396" s="1">
        <f>+Choice!H89</f>
        <v>0</v>
      </c>
      <c r="I396" s="1">
        <f>+Choice!I89</f>
        <v>0</v>
      </c>
      <c r="J396" s="1">
        <f>+Choice!J89</f>
        <v>0</v>
      </c>
      <c r="K396" s="1">
        <f>+Choice!K89</f>
        <v>0</v>
      </c>
      <c r="L396" s="1">
        <f>+Choice!L89</f>
        <v>0</v>
      </c>
      <c r="M396" s="1">
        <f>+Choice!M89</f>
        <v>0</v>
      </c>
      <c r="N396" s="1">
        <f>+Choice!N89</f>
        <v>0</v>
      </c>
      <c r="O396" s="1">
        <f>+Choice!O89</f>
        <v>-7.1999999999999993</v>
      </c>
      <c r="P396" s="1">
        <f>+Choice!P89</f>
        <v>-84.24</v>
      </c>
      <c r="Q396" s="1">
        <f>+Choice!Q89</f>
        <v>-33.839999999999996</v>
      </c>
      <c r="R396" s="1">
        <f>+Choice!R89</f>
        <v>0</v>
      </c>
      <c r="S396" s="1">
        <f>+Choice!S89</f>
        <v>-187.44</v>
      </c>
      <c r="T396" s="1">
        <f>+Choice!T89</f>
        <v>-54.239999999999995</v>
      </c>
      <c r="U396" s="1">
        <f>+Choice!U89</f>
        <v>0</v>
      </c>
      <c r="V396" s="1">
        <f>+Choice!V89</f>
        <v>0</v>
      </c>
      <c r="W396" s="1">
        <f>+Choice!W89</f>
        <v>-42.24</v>
      </c>
      <c r="X396" s="1">
        <f>+Choice!X89</f>
        <v>0</v>
      </c>
      <c r="Y396" s="1">
        <f>+Choice!Y89</f>
        <v>-478.08</v>
      </c>
      <c r="Z396" s="1">
        <f>+Choice!Z89</f>
        <v>-556.1</v>
      </c>
      <c r="AA396" s="1">
        <f>+Choice!AA89</f>
        <v>-14.04</v>
      </c>
      <c r="AB396" s="1">
        <f>+Choice!AB89</f>
        <v>0</v>
      </c>
      <c r="AC396" s="1">
        <f>+Choice!AC89</f>
        <v>0</v>
      </c>
      <c r="AD396" s="1">
        <f>+Choice!AD89</f>
        <v>0</v>
      </c>
      <c r="AE396" s="1">
        <f>+Choice!AE89</f>
        <v>0</v>
      </c>
      <c r="AF396" s="1">
        <f>+Choice!AF89</f>
        <v>0</v>
      </c>
      <c r="AG396" s="1">
        <f>+Choice!AG89</f>
        <v>0</v>
      </c>
      <c r="AH396" s="1">
        <f>+Choice!AH89</f>
        <v>0</v>
      </c>
      <c r="AI396" s="1">
        <f>+Choice!AI89</f>
        <v>0</v>
      </c>
      <c r="AJ396" s="1">
        <f>+Choice!AJ89</f>
        <v>0</v>
      </c>
      <c r="AK396" s="1">
        <f>+Choice!AK89</f>
        <v>0</v>
      </c>
      <c r="AL396" s="1">
        <f>+Choice!AL89</f>
        <v>0</v>
      </c>
      <c r="AM396" s="1">
        <f>+Choice!AM89</f>
        <v>0</v>
      </c>
      <c r="AN396" s="1">
        <f>+Choice!AN89</f>
        <v>-246.24</v>
      </c>
      <c r="AO396" s="1">
        <f>+Choice!AO89</f>
        <v>0</v>
      </c>
      <c r="AP396" s="1">
        <f>+Choice!AP89</f>
        <v>0</v>
      </c>
      <c r="AQ396" s="1">
        <f>+Choice!AQ89</f>
        <v>0</v>
      </c>
      <c r="AR396" s="3">
        <f t="shared" si="710"/>
        <v>-1703.66</v>
      </c>
    </row>
    <row r="397" spans="1:47" x14ac:dyDescent="0.25">
      <c r="C397" t="s">
        <v>347</v>
      </c>
      <c r="D397" s="1">
        <f>+Prosper!D33</f>
        <v>0</v>
      </c>
      <c r="E397" s="1">
        <f>+Prosper!E33</f>
        <v>0</v>
      </c>
      <c r="F397" s="1">
        <f>+Prosper!F33</f>
        <v>0</v>
      </c>
      <c r="G397" s="1">
        <f>+Prosper!G33</f>
        <v>0</v>
      </c>
      <c r="H397" s="1">
        <f>+Prosper!H33</f>
        <v>0</v>
      </c>
      <c r="I397" s="1">
        <f>+Prosper!I33</f>
        <v>0</v>
      </c>
      <c r="J397" s="1">
        <f>+Prosper!J33</f>
        <v>0</v>
      </c>
      <c r="K397" s="1">
        <f>+Prosper!K33</f>
        <v>0</v>
      </c>
      <c r="L397" s="1">
        <f>+Prosper!L33</f>
        <v>0</v>
      </c>
      <c r="M397" s="1">
        <f>+Prosper!M33</f>
        <v>0</v>
      </c>
      <c r="N397" s="1">
        <f>+Prosper!N33</f>
        <v>-8.58</v>
      </c>
      <c r="O397" s="1">
        <f>+Prosper!O33</f>
        <v>0</v>
      </c>
      <c r="P397" s="1">
        <f>+Prosper!P33</f>
        <v>-8.16</v>
      </c>
      <c r="Q397" s="1">
        <f>+Prosper!Q33</f>
        <v>-686.66000000000008</v>
      </c>
      <c r="R397" s="1">
        <f>+Prosper!R33</f>
        <v>0</v>
      </c>
      <c r="S397" s="1">
        <f>+Prosper!S33</f>
        <v>-32.880000000000003</v>
      </c>
      <c r="T397" s="1">
        <f>+Prosper!T33</f>
        <v>-54.960000000000008</v>
      </c>
      <c r="U397" s="1">
        <f>+Prosper!U33</f>
        <v>-354.36</v>
      </c>
      <c r="V397" s="1">
        <f>+Prosper!V33</f>
        <v>-421.74</v>
      </c>
      <c r="W397" s="1">
        <f>+Prosper!W33</f>
        <v>0</v>
      </c>
      <c r="X397" s="1">
        <f>+Prosper!X33</f>
        <v>0</v>
      </c>
      <c r="Y397" s="1">
        <f>+Prosper!Y33</f>
        <v>0</v>
      </c>
      <c r="Z397" s="1">
        <f>+Prosper!Z33</f>
        <v>-428.03999999999996</v>
      </c>
      <c r="AA397" s="1">
        <f>+Prosper!AA33</f>
        <v>0</v>
      </c>
      <c r="AB397" s="1">
        <f>+Prosper!AB33</f>
        <v>0</v>
      </c>
      <c r="AC397" s="1">
        <f>+Prosper!AC33</f>
        <v>0</v>
      </c>
      <c r="AD397" s="1">
        <f>+Prosper!AD33</f>
        <v>0</v>
      </c>
      <c r="AE397" s="1">
        <f>+Prosper!AE33</f>
        <v>0</v>
      </c>
      <c r="AF397" s="1">
        <f>+Prosper!AF33</f>
        <v>0</v>
      </c>
      <c r="AG397" s="1">
        <f>+Prosper!AG33</f>
        <v>0</v>
      </c>
      <c r="AH397" s="1">
        <f>+Prosper!AH33</f>
        <v>0</v>
      </c>
      <c r="AI397" s="1">
        <f>+Prosper!AI33</f>
        <v>0</v>
      </c>
      <c r="AJ397" s="1">
        <f>+Prosper!AJ33</f>
        <v>0</v>
      </c>
      <c r="AK397" s="1">
        <f>+Prosper!AK33</f>
        <v>0</v>
      </c>
      <c r="AL397" s="1">
        <f>+Prosper!AL33</f>
        <v>0</v>
      </c>
      <c r="AM397" s="1">
        <f>+Prosper!AM33</f>
        <v>0</v>
      </c>
      <c r="AN397" s="1">
        <f>+Prosper!AN33</f>
        <v>0</v>
      </c>
      <c r="AO397" s="1">
        <f>+Prosper!AO33</f>
        <v>0</v>
      </c>
      <c r="AP397" s="1">
        <f>+Prosper!AP33</f>
        <v>0</v>
      </c>
      <c r="AQ397" s="1">
        <f>+Prosper!AQ33</f>
        <v>0</v>
      </c>
      <c r="AR397" s="3">
        <f t="shared" si="710"/>
        <v>-1995.38</v>
      </c>
    </row>
    <row r="398" spans="1:47" x14ac:dyDescent="0.25">
      <c r="C398" t="s">
        <v>0</v>
      </c>
      <c r="T398" s="1">
        <v>-12.42</v>
      </c>
      <c r="X398" s="1">
        <v>-6000</v>
      </c>
      <c r="AB398" s="1">
        <f>-1383.45-596.16</f>
        <v>-1979.6100000000001</v>
      </c>
      <c r="AC398" s="1">
        <f>+Grovewell!AC33</f>
        <v>0</v>
      </c>
      <c r="AR398" s="3">
        <f t="shared" si="710"/>
        <v>-7992.0300000000007</v>
      </c>
    </row>
    <row r="399" spans="1:47" x14ac:dyDescent="0.25">
      <c r="C399" t="s">
        <v>354</v>
      </c>
      <c r="D399" s="1">
        <f>+Grovewell!D33</f>
        <v>0</v>
      </c>
      <c r="E399" s="1">
        <f>+Grovewell!E33</f>
        <v>0</v>
      </c>
      <c r="F399" s="1">
        <f>+Grovewell!F33</f>
        <v>0</v>
      </c>
      <c r="G399" s="1">
        <f>+Grovewell!G33</f>
        <v>0</v>
      </c>
      <c r="H399" s="1">
        <f>+Grovewell!H33</f>
        <v>0</v>
      </c>
      <c r="I399" s="1">
        <f>+Grovewell!I33</f>
        <v>0</v>
      </c>
      <c r="J399" s="1">
        <f>+Grovewell!J33</f>
        <v>0</v>
      </c>
      <c r="K399" s="1">
        <f>+Grovewell!K33</f>
        <v>0</v>
      </c>
      <c r="L399" s="1">
        <f>+Grovewell!L33</f>
        <v>0</v>
      </c>
      <c r="M399" s="1">
        <f>+Grovewell!M33</f>
        <v>0</v>
      </c>
      <c r="N399" s="1">
        <f>+Grovewell!N33</f>
        <v>-81.899999999999991</v>
      </c>
      <c r="O399" s="1">
        <f>+Grovewell!O33</f>
        <v>-28.08</v>
      </c>
      <c r="P399" s="1">
        <f>+Grovewell!P33</f>
        <v>-6.42</v>
      </c>
      <c r="Q399" s="1">
        <f>+Grovewell!Q33</f>
        <v>-30.24</v>
      </c>
      <c r="R399" s="1">
        <f>+Grovewell!R33</f>
        <v>0</v>
      </c>
      <c r="S399" s="1">
        <f>+Grovewell!S33</f>
        <v>0</v>
      </c>
      <c r="T399" s="1">
        <f>+Grovewell!T33</f>
        <v>-61.98</v>
      </c>
      <c r="U399" s="1">
        <f>+Grovewell!U33</f>
        <v>-14.04</v>
      </c>
      <c r="V399" s="1">
        <f>+Grovewell!V33</f>
        <v>0</v>
      </c>
      <c r="W399" s="1">
        <f>+Grovewell!W33</f>
        <v>0</v>
      </c>
      <c r="X399" s="1">
        <f>+Grovewell!X33</f>
        <v>0</v>
      </c>
      <c r="Y399" s="1">
        <f>+Grovewell!Y33</f>
        <v>-242.24</v>
      </c>
      <c r="Z399" s="1">
        <f>+Grovewell!Z33</f>
        <v>-252.68</v>
      </c>
      <c r="AA399" s="1">
        <f>+Grovewell!AA33</f>
        <v>-28.08</v>
      </c>
      <c r="AB399" s="1">
        <f>+Grovewell!AB33</f>
        <v>0</v>
      </c>
      <c r="AD399" s="1">
        <f>+Grovewell!AD33</f>
        <v>0</v>
      </c>
      <c r="AE399" s="1">
        <f>+Grovewell!AE33</f>
        <v>0</v>
      </c>
      <c r="AF399" s="1">
        <f>+Grovewell!AF33</f>
        <v>0</v>
      </c>
      <c r="AG399" s="1">
        <f>+Grovewell!AG33</f>
        <v>0</v>
      </c>
      <c r="AH399" s="1">
        <f>+Grovewell!AH33</f>
        <v>0</v>
      </c>
      <c r="AI399" s="1">
        <f>+Grovewell!AI33</f>
        <v>0</v>
      </c>
      <c r="AJ399" s="1">
        <f>+Grovewell!AJ33</f>
        <v>0</v>
      </c>
      <c r="AK399" s="1">
        <f>+Grovewell!AK33</f>
        <v>0</v>
      </c>
      <c r="AL399" s="1">
        <f>+Grovewell!AL33</f>
        <v>0</v>
      </c>
      <c r="AM399" s="1">
        <f>+Grovewell!AM33</f>
        <v>0</v>
      </c>
      <c r="AN399" s="1">
        <f>+Grovewell!AN33</f>
        <v>0</v>
      </c>
      <c r="AO399" s="1">
        <f>+Grovewell!AO33</f>
        <v>0</v>
      </c>
      <c r="AP399" s="1">
        <f>+Grovewell!AP33</f>
        <v>0</v>
      </c>
      <c r="AQ399" s="1">
        <f>+Grovewell!AQ33</f>
        <v>-1.62</v>
      </c>
      <c r="AR399" s="3">
        <f t="shared" si="710"/>
        <v>-747.28</v>
      </c>
    </row>
    <row r="400" spans="1:47" x14ac:dyDescent="0.25">
      <c r="C400" t="s">
        <v>265</v>
      </c>
      <c r="N400" s="1">
        <v>-0.74</v>
      </c>
      <c r="Q400" s="1">
        <f>-39.96-14.22</f>
        <v>-54.18</v>
      </c>
      <c r="S400" s="1">
        <v>-13.32</v>
      </c>
      <c r="T400" s="1">
        <f>-13.32-28.44</f>
        <v>-41.760000000000005</v>
      </c>
      <c r="U400" s="1">
        <f>-79.92-28.44</f>
        <v>-108.36</v>
      </c>
      <c r="V400" s="1">
        <f>-27.9-55.08</f>
        <v>-82.97999999999999</v>
      </c>
      <c r="W400" s="1">
        <f>-27.9-297.54</f>
        <v>-325.44</v>
      </c>
      <c r="X400" s="1">
        <f>-213.12-85.32</f>
        <v>-298.44</v>
      </c>
      <c r="Y400" s="1">
        <f>-106.56-113.76</f>
        <v>-220.32</v>
      </c>
      <c r="Z400" s="1">
        <f>-55.8-37.92-133.2-85.32</f>
        <v>-312.24</v>
      </c>
      <c r="AA400" s="1">
        <v>-348.12</v>
      </c>
      <c r="AR400" s="3">
        <f t="shared" si="710"/>
        <v>-1805.9</v>
      </c>
    </row>
    <row r="401" spans="1:47" x14ac:dyDescent="0.25">
      <c r="C401" t="s">
        <v>191</v>
      </c>
      <c r="N401" s="1">
        <v>-14.82</v>
      </c>
      <c r="O401" s="1">
        <f>-16.92-56.16</f>
        <v>-73.08</v>
      </c>
      <c r="P401" s="1">
        <v>-5.46</v>
      </c>
      <c r="Q401" s="1">
        <v>-14.04</v>
      </c>
      <c r="S401" s="1">
        <f>-67.08-10.08</f>
        <v>-77.16</v>
      </c>
      <c r="T401" s="1">
        <f>-11.88-16.92-8.4</f>
        <v>-37.200000000000003</v>
      </c>
      <c r="U401" s="1">
        <f>-19.5-1.68</f>
        <v>-21.18</v>
      </c>
      <c r="V401" s="1">
        <f>-3405.5-22.68</f>
        <v>-3428.18</v>
      </c>
      <c r="W401" s="1">
        <v>-14.04</v>
      </c>
      <c r="X401" s="1">
        <v>-29.5</v>
      </c>
      <c r="Y401" s="1">
        <f>-28.08-45.36</f>
        <v>-73.44</v>
      </c>
      <c r="Z401" s="1">
        <f>-56.94-75.6</f>
        <v>-132.54</v>
      </c>
      <c r="AA401" s="1">
        <v>-105.6</v>
      </c>
      <c r="AB401" s="1">
        <f>-13.28-70.2-45.36</f>
        <v>-128.84</v>
      </c>
      <c r="AC401" s="1">
        <f>-14.04-60.48</f>
        <v>-74.52</v>
      </c>
      <c r="AD401" s="1">
        <f>-28.08-45.36</f>
        <v>-73.44</v>
      </c>
      <c r="AE401" s="1">
        <v>-29.16</v>
      </c>
      <c r="AF401" s="1">
        <v>-14.04</v>
      </c>
      <c r="AI401" s="1">
        <f>-264.42-181.44</f>
        <v>-445.86</v>
      </c>
      <c r="AR401" s="3">
        <f t="shared" si="710"/>
        <v>-4792.0999999999995</v>
      </c>
      <c r="AT401" s="8" t="s">
        <v>757</v>
      </c>
    </row>
    <row r="402" spans="1:47" x14ac:dyDescent="0.25">
      <c r="C402" t="s">
        <v>549</v>
      </c>
      <c r="AC402" s="1">
        <f>+BGC!AC129</f>
        <v>0</v>
      </c>
      <c r="AR402" s="3">
        <f t="shared" si="710"/>
        <v>0</v>
      </c>
    </row>
    <row r="403" spans="1:47" x14ac:dyDescent="0.25">
      <c r="C403" t="s">
        <v>550</v>
      </c>
      <c r="D403" s="1">
        <f>+BGC!D129</f>
        <v>0</v>
      </c>
      <c r="E403" s="1">
        <f>+BGC!E129</f>
        <v>0</v>
      </c>
      <c r="F403" s="1">
        <f>+BGC!F129</f>
        <v>0</v>
      </c>
      <c r="G403" s="1">
        <f>+BGC!G129</f>
        <v>0</v>
      </c>
      <c r="H403" s="1">
        <f>+BGC!H129</f>
        <v>0</v>
      </c>
      <c r="I403" s="1">
        <f>+BGC!I129</f>
        <v>0</v>
      </c>
      <c r="J403" s="1">
        <f>+BGC!J129</f>
        <v>0</v>
      </c>
      <c r="K403" s="1">
        <f>+BGC!K129</f>
        <v>0</v>
      </c>
      <c r="L403" s="1">
        <f>+BGC!L129</f>
        <v>0</v>
      </c>
      <c r="M403" s="1">
        <f>+BGC!M129</f>
        <v>0</v>
      </c>
      <c r="N403" s="1">
        <f>+BGC!N129</f>
        <v>-99.84</v>
      </c>
      <c r="O403" s="1">
        <f>+BGC!O129</f>
        <v>-41.339999999999996</v>
      </c>
      <c r="P403" s="1">
        <f>+BGC!P129</f>
        <v>0</v>
      </c>
      <c r="Q403" s="1">
        <f>+BGC!Q129</f>
        <v>0</v>
      </c>
      <c r="R403" s="1">
        <f>+BGC!R129</f>
        <v>0</v>
      </c>
      <c r="S403" s="1">
        <f>+BGC!S129</f>
        <v>-85.68</v>
      </c>
      <c r="T403" s="1">
        <f>+BGC!T129</f>
        <v>0</v>
      </c>
      <c r="U403" s="1">
        <f>+BGC!U129</f>
        <v>-393.5</v>
      </c>
      <c r="V403" s="1">
        <f>+BGC!V129</f>
        <v>0</v>
      </c>
      <c r="W403" s="1">
        <f>+BGC!W129</f>
        <v>0</v>
      </c>
      <c r="X403" s="1">
        <f>+BGC!X129</f>
        <v>-14.04</v>
      </c>
      <c r="Y403" s="1">
        <f>+BGC!Y129</f>
        <v>0</v>
      </c>
      <c r="Z403" s="1">
        <f>+BGC!Z129</f>
        <v>-56.16</v>
      </c>
      <c r="AA403" s="1">
        <f>+BGC!AA129</f>
        <v>-29.16</v>
      </c>
      <c r="AB403" s="1">
        <f>+BGC!AB129</f>
        <v>0</v>
      </c>
      <c r="AD403" s="1">
        <f>+BGC!AD129</f>
        <v>0</v>
      </c>
      <c r="AE403" s="1">
        <f>+BGC!AE129</f>
        <v>0</v>
      </c>
      <c r="AF403" s="1">
        <f>+BGC!AF129</f>
        <v>0</v>
      </c>
      <c r="AG403" s="1">
        <f>+BGC!AG129</f>
        <v>0</v>
      </c>
      <c r="AH403" s="1">
        <f>+BGC!AH129</f>
        <v>0</v>
      </c>
      <c r="AI403" s="1">
        <f>+BGC!AI129</f>
        <v>0</v>
      </c>
      <c r="AJ403" s="1">
        <f>+BGC!AJ129</f>
        <v>0</v>
      </c>
      <c r="AK403" s="1">
        <f>+BGC!AK129</f>
        <v>0</v>
      </c>
      <c r="AL403" s="1">
        <f>+BGC!AL129</f>
        <v>0</v>
      </c>
      <c r="AM403" s="1">
        <f>+BGC!AM129</f>
        <v>0</v>
      </c>
      <c r="AN403" s="1">
        <f>+BGC!AN129</f>
        <v>0</v>
      </c>
      <c r="AO403" s="1">
        <f>+BGC!AO129</f>
        <v>0</v>
      </c>
      <c r="AP403" s="1">
        <f>+BGC!AP129</f>
        <v>0</v>
      </c>
      <c r="AQ403" s="1">
        <f>+BGC!AQ129</f>
        <v>-86.4</v>
      </c>
      <c r="AR403" s="3">
        <f t="shared" si="710"/>
        <v>-806.11999999999989</v>
      </c>
    </row>
    <row r="404" spans="1:47" x14ac:dyDescent="0.25">
      <c r="C404" t="s">
        <v>6</v>
      </c>
      <c r="V404" s="1">
        <v>-500</v>
      </c>
      <c r="AR404" s="3">
        <f t="shared" si="710"/>
        <v>-500</v>
      </c>
      <c r="AS404" s="58"/>
    </row>
    <row r="405" spans="1:47" x14ac:dyDescent="0.25">
      <c r="C405" t="s">
        <v>262</v>
      </c>
      <c r="P405" s="1">
        <v>-28.08</v>
      </c>
      <c r="Q405" s="1">
        <f>-13.16-15.12-59.4</f>
        <v>-87.68</v>
      </c>
      <c r="R405" s="1">
        <v>-30.24</v>
      </c>
      <c r="S405" s="1">
        <f>-27.18-114</f>
        <v>-141.18</v>
      </c>
      <c r="T405" s="1">
        <f>-204.27-5.88</f>
        <v>-210.15</v>
      </c>
      <c r="U405" s="1">
        <f>-196.32-2.52</f>
        <v>-198.84</v>
      </c>
      <c r="V405" s="1">
        <v>-65.400000000000006</v>
      </c>
      <c r="AA405" s="1">
        <v>-142.74</v>
      </c>
      <c r="AI405" s="1">
        <v>-28.08</v>
      </c>
      <c r="AN405" s="1">
        <f>-19.8-50.76-144.36</f>
        <v>-214.92000000000002</v>
      </c>
      <c r="AR405" s="3">
        <f t="shared" si="710"/>
        <v>-1147.3100000000002</v>
      </c>
    </row>
    <row r="406" spans="1:47" x14ac:dyDescent="0.25">
      <c r="C406" t="s">
        <v>42</v>
      </c>
      <c r="M406" s="1">
        <f>-46.8-1.44</f>
        <v>-48.239999999999995</v>
      </c>
      <c r="O406" s="1">
        <f>-33.44-18-0.72</f>
        <v>-52.16</v>
      </c>
      <c r="P406" s="1">
        <v>-36.72</v>
      </c>
      <c r="Q406" s="1">
        <v>-81.36</v>
      </c>
      <c r="R406" s="1">
        <f>-4.32-2.16</f>
        <v>-6.48</v>
      </c>
      <c r="S406" s="1">
        <v>-77.760000000000005</v>
      </c>
      <c r="T406" s="1">
        <f>-54-1.44</f>
        <v>-55.44</v>
      </c>
      <c r="U406" s="1">
        <f>-79.92-0.72</f>
        <v>-80.64</v>
      </c>
      <c r="V406" s="1">
        <f>-2.28-138.36-12.96</f>
        <v>-153.60000000000002</v>
      </c>
      <c r="W406" s="1">
        <v>-142.56</v>
      </c>
      <c r="X406" s="1">
        <f>-103.68-11.4-3.6</f>
        <v>-118.68</v>
      </c>
      <c r="Y406" s="1">
        <f>-17.28-1105.56</f>
        <v>-1122.8399999999999</v>
      </c>
      <c r="Z406" s="1">
        <v>-879.8</v>
      </c>
      <c r="AA406" s="1">
        <v>-1505.46</v>
      </c>
      <c r="AD406" s="1">
        <v>-220.16</v>
      </c>
      <c r="AR406" s="3">
        <f t="shared" si="710"/>
        <v>-4581.8999999999996</v>
      </c>
    </row>
    <row r="407" spans="1:47" x14ac:dyDescent="0.25">
      <c r="C407" t="s">
        <v>192</v>
      </c>
      <c r="N407" s="1">
        <f>-18.9-16.28-32</f>
        <v>-67.180000000000007</v>
      </c>
      <c r="P407" s="1">
        <v>-14.4</v>
      </c>
      <c r="Q407" s="1">
        <f>-284.16-16</f>
        <v>-300.16000000000003</v>
      </c>
      <c r="S407" s="1">
        <f>-34.2-1.88-38.85-44.5-140.6-9.6</f>
        <v>-269.63</v>
      </c>
      <c r="U407" s="1">
        <f>-39.96-28.8</f>
        <v>-68.760000000000005</v>
      </c>
      <c r="V407" s="1">
        <v>-22.8</v>
      </c>
      <c r="W407" s="1">
        <v>-79.92</v>
      </c>
      <c r="X407" s="1">
        <f>-53.28-407.64</f>
        <v>-460.91999999999996</v>
      </c>
      <c r="Y407" s="1">
        <f>-26.64-86.4</f>
        <v>-113.04</v>
      </c>
      <c r="Z407" s="1">
        <v>-824.76</v>
      </c>
      <c r="AA407" s="1">
        <v>-93.24</v>
      </c>
      <c r="AB407" s="1">
        <v>-277.2</v>
      </c>
      <c r="AF407" s="1">
        <f>-47.36-25.6</f>
        <v>-72.960000000000008</v>
      </c>
      <c r="AG407" s="1">
        <v>-704.68</v>
      </c>
      <c r="AR407" s="3">
        <f t="shared" si="710"/>
        <v>-3369.6499999999992</v>
      </c>
    </row>
    <row r="408" spans="1:47" x14ac:dyDescent="0.25">
      <c r="C408" t="s">
        <v>133</v>
      </c>
      <c r="O408" s="1">
        <v>-9.36</v>
      </c>
      <c r="P408" s="1">
        <f>-7.02-2.52</f>
        <v>-9.5399999999999991</v>
      </c>
      <c r="Q408" s="1">
        <f>-214.5-94.92-1.15</f>
        <v>-310.57</v>
      </c>
      <c r="S408" s="1">
        <f>-31.98-43.68</f>
        <v>-75.66</v>
      </c>
      <c r="T408" s="1">
        <v>-15.12</v>
      </c>
      <c r="U408" s="1">
        <v>-120.96</v>
      </c>
      <c r="V408" s="1">
        <v>-80.16</v>
      </c>
      <c r="W408" s="1">
        <v>-421.38</v>
      </c>
      <c r="X408" s="1">
        <f>-18.26-42.12-30.24</f>
        <v>-90.61999999999999</v>
      </c>
      <c r="Y408" s="1">
        <v>-56.16</v>
      </c>
      <c r="AA408" s="1">
        <v>-71.28</v>
      </c>
      <c r="AB408" s="1">
        <v>-60.48</v>
      </c>
      <c r="AC408" s="1">
        <v>-42.12</v>
      </c>
      <c r="AR408" s="3">
        <f t="shared" si="710"/>
        <v>-1363.4099999999999</v>
      </c>
    </row>
    <row r="409" spans="1:47" x14ac:dyDescent="0.25">
      <c r="C409" t="s">
        <v>41</v>
      </c>
      <c r="D409" s="1">
        <f>+Till!D47</f>
        <v>0</v>
      </c>
      <c r="E409" s="1">
        <f>+Till!E47</f>
        <v>0</v>
      </c>
      <c r="F409" s="1">
        <f>+Till!F47</f>
        <v>0</v>
      </c>
      <c r="G409" s="1">
        <f>+Till!G47</f>
        <v>0</v>
      </c>
      <c r="H409" s="1">
        <f>+Till!H47</f>
        <v>0</v>
      </c>
      <c r="I409" s="1">
        <f>+Till!I47</f>
        <v>0</v>
      </c>
      <c r="J409" s="1">
        <f>+Till!J47</f>
        <v>0</v>
      </c>
      <c r="K409" s="1">
        <f>+Till!K47</f>
        <v>0</v>
      </c>
      <c r="L409" s="1">
        <f>+Till!L47</f>
        <v>0</v>
      </c>
      <c r="M409" s="1">
        <f>+Till!M47</f>
        <v>0</v>
      </c>
      <c r="N409" s="1">
        <f>+Till!N47</f>
        <v>0</v>
      </c>
      <c r="O409" s="1">
        <f>+Till!O47</f>
        <v>0</v>
      </c>
      <c r="P409" s="1">
        <f>+Till!P47</f>
        <v>-12.120000000000001</v>
      </c>
      <c r="Q409" s="1">
        <f>+Till!Q47</f>
        <v>-160.91999999999999</v>
      </c>
      <c r="R409" s="1">
        <f>+Till!R47</f>
        <v>0</v>
      </c>
      <c r="S409" s="1">
        <f>+Till!S47</f>
        <v>-89.399999999999977</v>
      </c>
      <c r="T409" s="1">
        <f>+Till!T47</f>
        <v>-50.64</v>
      </c>
      <c r="U409" s="1">
        <f>+Till!U47</f>
        <v>-177.24</v>
      </c>
      <c r="V409" s="1">
        <f>+Till!V47</f>
        <v>-537.78</v>
      </c>
      <c r="W409" s="1">
        <f>+Till!W47</f>
        <v>-38.04</v>
      </c>
      <c r="X409" s="1">
        <f>+Till!X47</f>
        <v>-146.88</v>
      </c>
      <c r="Y409" s="1">
        <f>+Till!Y47</f>
        <v>-516.17999999999995</v>
      </c>
      <c r="Z409" s="1">
        <f>+Till!Z47</f>
        <v>-453.73999999999995</v>
      </c>
      <c r="AA409" s="1">
        <f>+Till!AA47</f>
        <v>0</v>
      </c>
      <c r="AB409" s="1">
        <f>+Till!AB47</f>
        <v>-14.04</v>
      </c>
      <c r="AD409" s="1">
        <f>+Till!AD47</f>
        <v>-86.399999999999991</v>
      </c>
      <c r="AE409" s="1">
        <f>+Till!AE47</f>
        <v>-85.8</v>
      </c>
      <c r="AF409" s="1">
        <f>+Till!AF47</f>
        <v>0</v>
      </c>
      <c r="AG409" s="1">
        <f>+Till!AG47</f>
        <v>-59</v>
      </c>
      <c r="AH409" s="1">
        <f>+Till!AH47</f>
        <v>0</v>
      </c>
      <c r="AI409" s="1">
        <f>+Till!AI47</f>
        <v>0</v>
      </c>
      <c r="AJ409" s="1">
        <f>+Till!AJ47</f>
        <v>0</v>
      </c>
      <c r="AK409" s="1">
        <f>+Till!AK47</f>
        <v>0</v>
      </c>
      <c r="AL409" s="1">
        <f>+Till!AL47</f>
        <v>0</v>
      </c>
      <c r="AM409" s="1">
        <f>+Till!AM47</f>
        <v>0</v>
      </c>
      <c r="AN409" s="1">
        <f>+Till!AN47</f>
        <v>0</v>
      </c>
      <c r="AO409" s="1">
        <f>+Till!AO47</f>
        <v>0</v>
      </c>
      <c r="AP409" s="1">
        <f>+Till!AP47</f>
        <v>0</v>
      </c>
      <c r="AQ409" s="1">
        <f>+Till!AQ47</f>
        <v>0</v>
      </c>
      <c r="AR409" s="3">
        <f t="shared" si="710"/>
        <v>-2428.1799999999998</v>
      </c>
    </row>
    <row r="410" spans="1:47" x14ac:dyDescent="0.25">
      <c r="C410" t="s">
        <v>193</v>
      </c>
      <c r="AR410" s="3">
        <f t="shared" si="710"/>
        <v>0</v>
      </c>
    </row>
    <row r="411" spans="1:47" x14ac:dyDescent="0.25">
      <c r="C411" t="s">
        <v>297</v>
      </c>
      <c r="AC411" s="1">
        <f>+GW!AC33</f>
        <v>0</v>
      </c>
      <c r="AR411" s="3">
        <f t="shared" si="710"/>
        <v>0</v>
      </c>
    </row>
    <row r="412" spans="1:47" x14ac:dyDescent="0.25">
      <c r="C412" t="s">
        <v>296</v>
      </c>
      <c r="D412" s="1">
        <f>+GW!D33</f>
        <v>0</v>
      </c>
      <c r="E412" s="1">
        <f>+GW!E33</f>
        <v>0</v>
      </c>
      <c r="F412" s="1">
        <f>+GW!F33</f>
        <v>0</v>
      </c>
      <c r="G412" s="1">
        <f>+GW!G33</f>
        <v>0</v>
      </c>
      <c r="H412" s="1">
        <f>+GW!H33</f>
        <v>0</v>
      </c>
      <c r="I412" s="1">
        <f>+GW!I33</f>
        <v>0</v>
      </c>
      <c r="J412" s="1">
        <f>+GW!J33</f>
        <v>0</v>
      </c>
      <c r="K412" s="1">
        <f>+GW!K33</f>
        <v>0</v>
      </c>
      <c r="L412" s="1">
        <f>+GW!L33</f>
        <v>0</v>
      </c>
      <c r="M412" s="1">
        <f>+GW!M33</f>
        <v>0</v>
      </c>
      <c r="N412" s="1">
        <f>+GW!N33</f>
        <v>0</v>
      </c>
      <c r="O412" s="1">
        <f>+GW!O33</f>
        <v>-6.72</v>
      </c>
      <c r="P412" s="1">
        <f>+GW!P33</f>
        <v>0</v>
      </c>
      <c r="Q412" s="1">
        <f>+GW!Q33</f>
        <v>-2.52</v>
      </c>
      <c r="R412" s="1">
        <f>+GW!R33</f>
        <v>0</v>
      </c>
      <c r="S412" s="1">
        <f>+GW!S33</f>
        <v>-98.1</v>
      </c>
      <c r="T412" s="1">
        <f>+GW!T33</f>
        <v>-129.24</v>
      </c>
      <c r="U412" s="1">
        <f>+GW!U33</f>
        <v>0</v>
      </c>
      <c r="V412" s="1">
        <f>+GW!V33</f>
        <v>-4.0199999999999996</v>
      </c>
      <c r="W412" s="1">
        <f>+GW!W33</f>
        <v>-56.94</v>
      </c>
      <c r="X412" s="1">
        <f>+GW!X33</f>
        <v>-183.54000000000002</v>
      </c>
      <c r="Y412" s="1">
        <f>+GW!Y33</f>
        <v>-121.11999999999999</v>
      </c>
      <c r="Z412" s="1">
        <f>+GW!Z33</f>
        <v>-3.36</v>
      </c>
      <c r="AA412" s="1">
        <f>+GW!AA33</f>
        <v>0</v>
      </c>
      <c r="AB412" s="1">
        <f>+GW!AB33</f>
        <v>-29.159999999999997</v>
      </c>
      <c r="AD412" s="1">
        <f>+GW!AD33</f>
        <v>0</v>
      </c>
      <c r="AE412" s="1">
        <f>+GW!AE33</f>
        <v>0</v>
      </c>
      <c r="AF412" s="1">
        <f>+GW!AF33</f>
        <v>0</v>
      </c>
      <c r="AG412" s="1">
        <f>+GW!AG33</f>
        <v>0</v>
      </c>
      <c r="AH412" s="1">
        <f>+GW!AH33</f>
        <v>0</v>
      </c>
      <c r="AI412" s="1">
        <f>+GW!AI33</f>
        <v>0</v>
      </c>
      <c r="AJ412" s="1">
        <f>+GW!AJ33</f>
        <v>-14.04</v>
      </c>
      <c r="AK412" s="1">
        <f>+GW!AK33</f>
        <v>0</v>
      </c>
      <c r="AL412" s="1">
        <f>+GW!AL33</f>
        <v>0</v>
      </c>
      <c r="AM412" s="1">
        <f>+GW!AM33</f>
        <v>0</v>
      </c>
      <c r="AN412" s="1">
        <f>+GW!AN33</f>
        <v>0</v>
      </c>
      <c r="AO412" s="1">
        <f>+GW!AO33</f>
        <v>0</v>
      </c>
      <c r="AP412" s="1">
        <f>+GW!AP33</f>
        <v>0</v>
      </c>
      <c r="AQ412" s="1">
        <f>+GW!AQ33</f>
        <v>0</v>
      </c>
      <c r="AR412" s="3">
        <f t="shared" si="710"/>
        <v>-648.75999999999988</v>
      </c>
    </row>
    <row r="413" spans="1:47" x14ac:dyDescent="0.25">
      <c r="C413" t="s">
        <v>44</v>
      </c>
      <c r="M413" s="1">
        <v>0</v>
      </c>
      <c r="N413" s="1">
        <f>-1454.88+273</f>
        <v>-1181.8800000000001</v>
      </c>
      <c r="O413" s="1">
        <f>-397.57+231</f>
        <v>-166.57</v>
      </c>
      <c r="P413" s="1">
        <f>-587.28+212</f>
        <v>-375.28</v>
      </c>
      <c r="Q413" s="1">
        <f>-2624.89+1828</f>
        <v>-796.88999999999987</v>
      </c>
      <c r="R413" s="1">
        <f>-330.34+37</f>
        <v>-293.33999999999997</v>
      </c>
      <c r="S413" s="1">
        <f>-3150.82+1242</f>
        <v>-1908.8200000000002</v>
      </c>
      <c r="T413" s="1">
        <f>-1785.2+832</f>
        <v>-953.2</v>
      </c>
      <c r="U413" s="1">
        <f>-2455.27+1538</f>
        <v>-917.27</v>
      </c>
      <c r="V413" s="1">
        <f>-6415.06+4906-95</f>
        <v>-1604.0600000000004</v>
      </c>
      <c r="W413" s="1">
        <f>-4055.52+1447</f>
        <v>-2608.52</v>
      </c>
      <c r="X413" s="1">
        <f>-8291.14+7355</f>
        <v>-936.13999999999942</v>
      </c>
      <c r="Y413" s="1">
        <f>-6872.1+2975</f>
        <v>-3897.1000000000004</v>
      </c>
      <c r="Z413" s="1">
        <f>-4996.69+3899</f>
        <v>-1097.6899999999996</v>
      </c>
      <c r="AA413" s="1">
        <f>-4223.44+3225</f>
        <v>-998.4399999999996</v>
      </c>
      <c r="AB413" s="1">
        <f>-2655.05+2489</f>
        <v>-166.05000000000018</v>
      </c>
      <c r="AC413" s="1">
        <f>-740.8+117</f>
        <v>-623.79999999999995</v>
      </c>
      <c r="AD413" s="1">
        <f>-478.28+380</f>
        <v>-98.279999999999973</v>
      </c>
      <c r="AE413" s="1">
        <f>-587.28+115</f>
        <v>-472.28</v>
      </c>
      <c r="AF413" s="1">
        <f>-129.12+87</f>
        <v>-42.120000000000005</v>
      </c>
      <c r="AG413" s="1">
        <f>-799.45+781</f>
        <v>-18.450000000000045</v>
      </c>
      <c r="AH413" s="1">
        <v>0</v>
      </c>
      <c r="AI413" s="1">
        <f>-887.54+474</f>
        <v>-413.53999999999996</v>
      </c>
      <c r="AJ413" s="1">
        <v>0</v>
      </c>
      <c r="AK413" s="1">
        <v>-252.423</v>
      </c>
      <c r="AM413" s="1">
        <f>-13.92+9</f>
        <v>-4.92</v>
      </c>
      <c r="AN413" s="1">
        <v>0</v>
      </c>
      <c r="AO413" s="1">
        <v>0</v>
      </c>
      <c r="AP413" s="1">
        <v>0</v>
      </c>
      <c r="AQ413" s="1">
        <v>0</v>
      </c>
      <c r="AR413" s="3">
        <f t="shared" si="710"/>
        <v>-19827.062999999995</v>
      </c>
    </row>
    <row r="414" spans="1:47" x14ac:dyDescent="0.25">
      <c r="C414" t="s">
        <v>104</v>
      </c>
      <c r="V414" s="104">
        <f>-3500+3405</f>
        <v>-95</v>
      </c>
      <c r="Y414" s="104"/>
      <c r="AC414" s="3"/>
      <c r="AR414" s="3">
        <f t="shared" si="710"/>
        <v>-95</v>
      </c>
    </row>
    <row r="415" spans="1:47" s="2" customFormat="1" x14ac:dyDescent="0.25">
      <c r="B415" s="2" t="s">
        <v>2</v>
      </c>
      <c r="D415" s="3">
        <f>SUM(D395:D414)</f>
        <v>0</v>
      </c>
      <c r="E415" s="3">
        <f t="shared" ref="E415:J415" si="711">SUM(E395:E414)</f>
        <v>0</v>
      </c>
      <c r="F415" s="3">
        <f t="shared" si="711"/>
        <v>0</v>
      </c>
      <c r="G415" s="3">
        <f t="shared" si="711"/>
        <v>0</v>
      </c>
      <c r="H415" s="3">
        <f t="shared" si="711"/>
        <v>0</v>
      </c>
      <c r="I415" s="3">
        <f t="shared" si="711"/>
        <v>0</v>
      </c>
      <c r="J415" s="3">
        <f t="shared" si="711"/>
        <v>0</v>
      </c>
      <c r="K415" s="3">
        <f t="shared" ref="K415:AQ415" si="712">SUM(K395:K414)</f>
        <v>0</v>
      </c>
      <c r="L415" s="3">
        <f t="shared" si="712"/>
        <v>0</v>
      </c>
      <c r="M415" s="3">
        <f t="shared" si="712"/>
        <v>-48.239999999999995</v>
      </c>
      <c r="N415" s="3">
        <f t="shared" si="712"/>
        <v>-1454.94</v>
      </c>
      <c r="O415" s="3">
        <f t="shared" si="712"/>
        <v>-398</v>
      </c>
      <c r="P415" s="3">
        <f t="shared" si="712"/>
        <v>-587.43999999999994</v>
      </c>
      <c r="Q415" s="3">
        <f t="shared" si="712"/>
        <v>-2624.95</v>
      </c>
      <c r="R415" s="3">
        <f t="shared" si="712"/>
        <v>-330.05999999999995</v>
      </c>
      <c r="S415" s="3">
        <f t="shared" si="712"/>
        <v>-3150.4300000000003</v>
      </c>
      <c r="T415" s="3">
        <f t="shared" si="712"/>
        <v>-1785.44</v>
      </c>
      <c r="U415" s="3">
        <f t="shared" si="712"/>
        <v>-2455.15</v>
      </c>
      <c r="V415" s="3">
        <f t="shared" si="712"/>
        <v>-7010.38</v>
      </c>
      <c r="W415" s="3">
        <f t="shared" si="712"/>
        <v>-4055.24</v>
      </c>
      <c r="X415" s="3">
        <f t="shared" si="712"/>
        <v>-8291.5399999999991</v>
      </c>
      <c r="Y415" s="3">
        <f t="shared" si="712"/>
        <v>-6871.9599999999991</v>
      </c>
      <c r="Z415" s="3">
        <f t="shared" si="712"/>
        <v>-4997.1099999999988</v>
      </c>
      <c r="AA415" s="3">
        <f t="shared" si="712"/>
        <v>-4222.9599999999991</v>
      </c>
      <c r="AB415" s="3">
        <f t="shared" si="712"/>
        <v>-2655.38</v>
      </c>
      <c r="AC415" s="3">
        <f t="shared" si="712"/>
        <v>-740.43999999999994</v>
      </c>
      <c r="AD415" s="3">
        <f t="shared" si="712"/>
        <v>-478.28</v>
      </c>
      <c r="AE415" s="3">
        <f t="shared" si="712"/>
        <v>-587.24</v>
      </c>
      <c r="AF415" s="3">
        <f t="shared" si="712"/>
        <v>-129.12</v>
      </c>
      <c r="AG415" s="3">
        <f t="shared" si="712"/>
        <v>-799.36</v>
      </c>
      <c r="AH415" s="3">
        <f t="shared" si="712"/>
        <v>0</v>
      </c>
      <c r="AI415" s="3">
        <f t="shared" si="712"/>
        <v>-887.48</v>
      </c>
      <c r="AJ415" s="3">
        <f t="shared" si="712"/>
        <v>-14.04</v>
      </c>
      <c r="AK415" s="3">
        <f t="shared" si="712"/>
        <v>-252.423</v>
      </c>
      <c r="AL415" s="3">
        <f t="shared" si="712"/>
        <v>0</v>
      </c>
      <c r="AM415" s="3">
        <f t="shared" si="712"/>
        <v>-13.44</v>
      </c>
      <c r="AN415" s="3">
        <f t="shared" si="712"/>
        <v>-461.16</v>
      </c>
      <c r="AO415" s="3">
        <f t="shared" si="712"/>
        <v>0</v>
      </c>
      <c r="AP415" s="3">
        <f t="shared" si="712"/>
        <v>-10.65</v>
      </c>
      <c r="AQ415" s="3">
        <f t="shared" si="712"/>
        <v>-88.02000000000001</v>
      </c>
      <c r="AR415" s="3">
        <f>SUM(AR395:AR414)</f>
        <v>-55400.872999999992</v>
      </c>
      <c r="AS415" s="3"/>
      <c r="AT415" s="9" t="s">
        <v>758</v>
      </c>
      <c r="AU415" s="61"/>
    </row>
    <row r="416" spans="1:47" s="24" customFormat="1" x14ac:dyDescent="0.25">
      <c r="A416" s="23"/>
      <c r="B416" s="23"/>
      <c r="C416" s="27" t="s">
        <v>102</v>
      </c>
      <c r="D416" s="25">
        <f>+D415</f>
        <v>0</v>
      </c>
      <c r="E416" s="25">
        <f>+D416+E415</f>
        <v>0</v>
      </c>
      <c r="F416" s="25">
        <f t="shared" ref="F416" si="713">+E416+F415</f>
        <v>0</v>
      </c>
      <c r="G416" s="25">
        <f t="shared" ref="G416" si="714">+F416+G415</f>
        <v>0</v>
      </c>
      <c r="H416" s="25">
        <f t="shared" ref="H416" si="715">+G416+H415</f>
        <v>0</v>
      </c>
      <c r="I416" s="25">
        <f t="shared" ref="I416" si="716">+H416+I415</f>
        <v>0</v>
      </c>
      <c r="J416" s="25">
        <f t="shared" ref="J416" si="717">+I416+J415</f>
        <v>0</v>
      </c>
      <c r="K416" s="25">
        <f t="shared" ref="K416" si="718">+J416+K415</f>
        <v>0</v>
      </c>
      <c r="L416" s="25">
        <f t="shared" ref="L416" si="719">+K416+L415</f>
        <v>0</v>
      </c>
      <c r="M416" s="25">
        <f t="shared" ref="M416" si="720">+L416+M415</f>
        <v>-48.239999999999995</v>
      </c>
      <c r="N416" s="25">
        <f t="shared" ref="N416" si="721">+M416+N415</f>
        <v>-1503.18</v>
      </c>
      <c r="O416" s="25">
        <f t="shared" ref="O416" si="722">+N416+O415</f>
        <v>-1901.18</v>
      </c>
      <c r="P416" s="25">
        <f t="shared" ref="P416" si="723">+O416+P415</f>
        <v>-2488.62</v>
      </c>
      <c r="Q416" s="25">
        <f t="shared" ref="Q416" si="724">+P416+Q415</f>
        <v>-5113.57</v>
      </c>
      <c r="R416" s="25">
        <f t="shared" ref="R416" si="725">+Q416+R415</f>
        <v>-5443.6299999999992</v>
      </c>
      <c r="S416" s="25">
        <f t="shared" ref="S416" si="726">+R416+S415</f>
        <v>-8594.06</v>
      </c>
      <c r="T416" s="25">
        <f t="shared" ref="T416" si="727">+S416+T415</f>
        <v>-10379.5</v>
      </c>
      <c r="U416" s="25">
        <f t="shared" ref="U416" si="728">+T416+U415</f>
        <v>-12834.65</v>
      </c>
      <c r="V416" s="25">
        <f t="shared" ref="V416" si="729">+U416+V415</f>
        <v>-19845.03</v>
      </c>
      <c r="W416" s="25">
        <f t="shared" ref="W416" si="730">+V416+W415</f>
        <v>-23900.269999999997</v>
      </c>
      <c r="X416" s="25">
        <f t="shared" ref="X416" si="731">+W416+X415</f>
        <v>-32191.809999999998</v>
      </c>
      <c r="Y416" s="25">
        <f t="shared" ref="Y416" si="732">+X416+Y415</f>
        <v>-39063.769999999997</v>
      </c>
      <c r="Z416" s="25">
        <f t="shared" ref="Z416" si="733">+Y416+Z415</f>
        <v>-44060.88</v>
      </c>
      <c r="AA416" s="25">
        <f t="shared" ref="AA416" si="734">+Z416+AA415</f>
        <v>-48283.839999999997</v>
      </c>
      <c r="AB416" s="25">
        <f t="shared" ref="AB416" si="735">+AA416+AB415</f>
        <v>-50939.219999999994</v>
      </c>
      <c r="AC416" s="25">
        <f t="shared" ref="AC416" si="736">+AB416+AC415</f>
        <v>-51679.659999999996</v>
      </c>
      <c r="AD416" s="25">
        <f t="shared" ref="AD416" si="737">+AC416+AD415</f>
        <v>-52157.939999999995</v>
      </c>
      <c r="AE416" s="25">
        <f t="shared" ref="AE416" si="738">+AD416+AE415</f>
        <v>-52745.179999999993</v>
      </c>
      <c r="AF416" s="25">
        <f t="shared" ref="AF416" si="739">+AE416+AF415</f>
        <v>-52874.299999999996</v>
      </c>
      <c r="AG416" s="25">
        <f t="shared" ref="AG416" si="740">+AF416+AG415</f>
        <v>-53673.659999999996</v>
      </c>
      <c r="AH416" s="25">
        <f t="shared" ref="AH416" si="741">+AG416+AH415</f>
        <v>-53673.659999999996</v>
      </c>
      <c r="AI416" s="25">
        <f t="shared" ref="AI416" si="742">+AH416+AI415</f>
        <v>-54561.14</v>
      </c>
      <c r="AJ416" s="25">
        <f t="shared" ref="AJ416" si="743">+AI416+AJ415</f>
        <v>-54575.18</v>
      </c>
      <c r="AK416" s="25">
        <f t="shared" ref="AK416" si="744">+AJ416+AK415</f>
        <v>-54827.603000000003</v>
      </c>
      <c r="AL416" s="25">
        <f t="shared" ref="AL416" si="745">+AK416+AL415</f>
        <v>-54827.603000000003</v>
      </c>
      <c r="AM416" s="25">
        <f t="shared" ref="AM416" si="746">+AL416+AM415</f>
        <v>-54841.043000000005</v>
      </c>
      <c r="AN416" s="25">
        <f t="shared" ref="AN416" si="747">+AM416+AN415</f>
        <v>-55302.203000000009</v>
      </c>
      <c r="AO416" s="25">
        <f t="shared" ref="AO416" si="748">+AN416+AO415</f>
        <v>-55302.203000000009</v>
      </c>
      <c r="AP416" s="25">
        <f t="shared" ref="AP416" si="749">+AO416+AP415</f>
        <v>-55312.85300000001</v>
      </c>
      <c r="AQ416" s="25">
        <f t="shared" ref="AQ416" si="750">+AP416+AQ415</f>
        <v>-55400.873000000007</v>
      </c>
      <c r="AR416" s="118">
        <f>+AR415/AR391</f>
        <v>-1.7203812519668588E-2</v>
      </c>
      <c r="AS416" s="25"/>
      <c r="AT416" s="26"/>
      <c r="AU416" s="60"/>
    </row>
    <row r="417" spans="1:47" s="24" customFormat="1" x14ac:dyDescent="0.25">
      <c r="A417" s="23"/>
      <c r="B417" s="23"/>
      <c r="C417" s="38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0"/>
      <c r="O417" s="110"/>
      <c r="P417" s="110"/>
      <c r="Q417" s="110"/>
      <c r="R417" s="110"/>
      <c r="S417" s="110"/>
      <c r="T417" s="110"/>
      <c r="U417" s="110" t="s">
        <v>754</v>
      </c>
      <c r="V417" s="110">
        <f>-3000-500</f>
        <v>-3500</v>
      </c>
      <c r="W417" s="110"/>
      <c r="X417" s="110">
        <v>-6000</v>
      </c>
      <c r="Y417" s="110">
        <f>+Y414</f>
        <v>0</v>
      </c>
      <c r="Z417" s="110"/>
      <c r="AA417" s="110"/>
      <c r="AB417" s="110"/>
      <c r="AC417" s="1"/>
      <c r="AD417" s="110"/>
      <c r="AE417" s="110"/>
      <c r="AF417" s="110"/>
      <c r="AG417" s="110"/>
      <c r="AH417" s="110"/>
      <c r="AI417" s="110">
        <v>0</v>
      </c>
      <c r="AJ417" s="110"/>
      <c r="AK417" s="110"/>
      <c r="AL417" s="110"/>
      <c r="AM417" s="110"/>
      <c r="AN417" s="110"/>
      <c r="AO417" s="110"/>
      <c r="AP417" s="110"/>
      <c r="AQ417" s="110"/>
      <c r="AR417" s="111">
        <f>SUM(D417:AQ417)+V418</f>
        <v>-6095</v>
      </c>
      <c r="AS417" s="25"/>
      <c r="AT417" s="26"/>
      <c r="AU417" s="60"/>
    </row>
    <row r="418" spans="1:47" x14ac:dyDescent="0.25">
      <c r="A418" s="2" t="s">
        <v>153</v>
      </c>
      <c r="T418" s="4" t="s">
        <v>756</v>
      </c>
      <c r="U418" s="1" t="s">
        <v>755</v>
      </c>
      <c r="V418" s="1">
        <v>3405</v>
      </c>
      <c r="Y418" s="1" t="s">
        <v>759</v>
      </c>
      <c r="AC418" s="1">
        <f>+AC372+AC395</f>
        <v>0</v>
      </c>
      <c r="AR418" s="113">
        <f>+AR415-AR417</f>
        <v>-49305.872999999992</v>
      </c>
    </row>
    <row r="419" spans="1:47" x14ac:dyDescent="0.25">
      <c r="C419" t="s">
        <v>190</v>
      </c>
      <c r="D419" s="1">
        <f>+D372+D395</f>
        <v>0</v>
      </c>
      <c r="E419" s="1">
        <f t="shared" ref="E419:J419" si="751">+E372+E395</f>
        <v>0</v>
      </c>
      <c r="F419" s="1">
        <f t="shared" si="751"/>
        <v>0</v>
      </c>
      <c r="G419" s="1">
        <f t="shared" si="751"/>
        <v>0</v>
      </c>
      <c r="H419" s="1">
        <f t="shared" si="751"/>
        <v>0</v>
      </c>
      <c r="I419" s="1">
        <f t="shared" si="751"/>
        <v>0</v>
      </c>
      <c r="J419" s="1">
        <f t="shared" si="751"/>
        <v>0</v>
      </c>
      <c r="K419" s="1">
        <f t="shared" ref="K419:AQ419" si="752">+K372+K395</f>
        <v>0</v>
      </c>
      <c r="L419" s="1">
        <f t="shared" si="752"/>
        <v>222.48</v>
      </c>
      <c r="M419" s="1">
        <f t="shared" si="752"/>
        <v>0</v>
      </c>
      <c r="N419" s="1">
        <f t="shared" si="752"/>
        <v>536.76</v>
      </c>
      <c r="O419" s="1">
        <f t="shared" si="752"/>
        <v>1533.97</v>
      </c>
      <c r="P419" s="1">
        <f t="shared" si="752"/>
        <v>3171.06</v>
      </c>
      <c r="Q419" s="1">
        <f t="shared" si="752"/>
        <v>49521.41</v>
      </c>
      <c r="R419" s="1">
        <f t="shared" si="752"/>
        <v>7324.02</v>
      </c>
      <c r="S419" s="1">
        <f t="shared" si="752"/>
        <v>28502.839999999997</v>
      </c>
      <c r="T419" s="1">
        <f t="shared" si="752"/>
        <v>10883.65</v>
      </c>
      <c r="U419" s="1">
        <f t="shared" si="752"/>
        <v>14805.24</v>
      </c>
      <c r="V419" s="1">
        <f t="shared" si="752"/>
        <v>5595.8000000000011</v>
      </c>
      <c r="W419" s="1">
        <f t="shared" si="752"/>
        <v>3304.26</v>
      </c>
      <c r="X419" s="1">
        <f t="shared" si="752"/>
        <v>5328.0000000000009</v>
      </c>
      <c r="Y419" s="1">
        <f t="shared" si="752"/>
        <v>1811.4</v>
      </c>
      <c r="Z419" s="1">
        <f t="shared" si="752"/>
        <v>17.100000000000001</v>
      </c>
      <c r="AA419" s="1">
        <f t="shared" si="752"/>
        <v>-621.29999999999995</v>
      </c>
      <c r="AB419" s="1">
        <f t="shared" si="752"/>
        <v>55.980000000000004</v>
      </c>
      <c r="AC419" s="1">
        <f t="shared" si="752"/>
        <v>0</v>
      </c>
      <c r="AD419" s="1">
        <f t="shared" si="752"/>
        <v>17.100000000000001</v>
      </c>
      <c r="AE419" s="1">
        <f t="shared" si="752"/>
        <v>0</v>
      </c>
      <c r="AF419" s="1">
        <f t="shared" si="752"/>
        <v>0</v>
      </c>
      <c r="AG419" s="1">
        <f t="shared" si="752"/>
        <v>-17.23</v>
      </c>
      <c r="AH419" s="1">
        <f t="shared" si="752"/>
        <v>0</v>
      </c>
      <c r="AI419" s="1">
        <f t="shared" si="752"/>
        <v>0</v>
      </c>
      <c r="AJ419" s="1">
        <f t="shared" si="752"/>
        <v>0</v>
      </c>
      <c r="AK419" s="1">
        <f t="shared" si="752"/>
        <v>0</v>
      </c>
      <c r="AL419" s="1">
        <f t="shared" si="752"/>
        <v>0</v>
      </c>
      <c r="AM419" s="1">
        <f t="shared" si="752"/>
        <v>-8.52</v>
      </c>
      <c r="AN419" s="1">
        <f t="shared" si="752"/>
        <v>0</v>
      </c>
      <c r="AO419" s="1">
        <f t="shared" si="752"/>
        <v>0</v>
      </c>
      <c r="AP419" s="1">
        <f t="shared" si="752"/>
        <v>-10.65</v>
      </c>
      <c r="AQ419" s="1">
        <f t="shared" si="752"/>
        <v>0</v>
      </c>
      <c r="AR419" s="3">
        <f t="shared" ref="AR419:AR436" si="753">+AR372+AR395</f>
        <v>131973.37000000002</v>
      </c>
      <c r="AT419" s="8">
        <f>IF(AR419=0,0,+AR419/PassVol!AR533)</f>
        <v>8.8070316983650336</v>
      </c>
    </row>
    <row r="420" spans="1:47" x14ac:dyDescent="0.25">
      <c r="C420" t="s">
        <v>424</v>
      </c>
      <c r="D420" s="1">
        <f t="shared" ref="D420:AQ420" si="754">+D373+D396</f>
        <v>0</v>
      </c>
      <c r="E420" s="1">
        <f t="shared" ref="E420:J420" si="755">+E373+E396</f>
        <v>0</v>
      </c>
      <c r="F420" s="1">
        <f t="shared" si="755"/>
        <v>0</v>
      </c>
      <c r="G420" s="1">
        <f t="shared" si="755"/>
        <v>0</v>
      </c>
      <c r="H420" s="1">
        <f t="shared" si="755"/>
        <v>0</v>
      </c>
      <c r="I420" s="1">
        <f t="shared" si="755"/>
        <v>0</v>
      </c>
      <c r="J420" s="1">
        <f t="shared" si="755"/>
        <v>0</v>
      </c>
      <c r="K420" s="1">
        <f t="shared" si="754"/>
        <v>0</v>
      </c>
      <c r="L420" s="1">
        <f t="shared" si="754"/>
        <v>1366.2</v>
      </c>
      <c r="M420" s="1">
        <f t="shared" si="754"/>
        <v>4683.6000000000004</v>
      </c>
      <c r="N420" s="1">
        <f t="shared" si="754"/>
        <v>1255.32</v>
      </c>
      <c r="O420" s="1">
        <f t="shared" si="754"/>
        <v>4208.4000000000005</v>
      </c>
      <c r="P420" s="1">
        <f t="shared" si="754"/>
        <v>6241.3200000000006</v>
      </c>
      <c r="Q420" s="1">
        <f t="shared" si="754"/>
        <v>9520.0400000000009</v>
      </c>
      <c r="R420" s="1">
        <f t="shared" si="754"/>
        <v>8770.2000000000007</v>
      </c>
      <c r="S420" s="1">
        <f t="shared" si="754"/>
        <v>12195.630000000001</v>
      </c>
      <c r="T420" s="1">
        <f t="shared" si="754"/>
        <v>13155.4</v>
      </c>
      <c r="U420" s="1">
        <f t="shared" si="754"/>
        <v>10472.36</v>
      </c>
      <c r="V420" s="1">
        <f t="shared" si="754"/>
        <v>6779.3799999999992</v>
      </c>
      <c r="W420" s="1">
        <f t="shared" si="754"/>
        <v>8484.24</v>
      </c>
      <c r="X420" s="1">
        <f t="shared" si="754"/>
        <v>3123.3599999999997</v>
      </c>
      <c r="Y420" s="1">
        <f t="shared" si="754"/>
        <v>3788.24</v>
      </c>
      <c r="Z420" s="1">
        <f t="shared" si="754"/>
        <v>-30.139999999999986</v>
      </c>
      <c r="AA420" s="1">
        <f t="shared" si="754"/>
        <v>575.6400000000001</v>
      </c>
      <c r="AB420" s="1">
        <f t="shared" si="754"/>
        <v>511.91999999999996</v>
      </c>
      <c r="AC420" s="1">
        <f t="shared" si="754"/>
        <v>15.12</v>
      </c>
      <c r="AD420" s="1">
        <f t="shared" si="754"/>
        <v>0</v>
      </c>
      <c r="AE420" s="1">
        <f t="shared" si="754"/>
        <v>0</v>
      </c>
      <c r="AF420" s="1">
        <f t="shared" si="754"/>
        <v>0</v>
      </c>
      <c r="AG420" s="1">
        <f t="shared" si="754"/>
        <v>0</v>
      </c>
      <c r="AH420" s="1">
        <f t="shared" si="754"/>
        <v>0</v>
      </c>
      <c r="AI420" s="1">
        <f t="shared" si="754"/>
        <v>0</v>
      </c>
      <c r="AJ420" s="1">
        <f t="shared" si="754"/>
        <v>0</v>
      </c>
      <c r="AK420" s="1">
        <f t="shared" si="754"/>
        <v>0</v>
      </c>
      <c r="AL420" s="1">
        <f t="shared" si="754"/>
        <v>0</v>
      </c>
      <c r="AM420" s="1">
        <f t="shared" si="754"/>
        <v>0</v>
      </c>
      <c r="AN420" s="1">
        <f t="shared" si="754"/>
        <v>-246.24</v>
      </c>
      <c r="AO420" s="1">
        <f t="shared" si="754"/>
        <v>0</v>
      </c>
      <c r="AP420" s="1">
        <f t="shared" si="754"/>
        <v>0</v>
      </c>
      <c r="AQ420" s="1">
        <f t="shared" si="754"/>
        <v>0</v>
      </c>
      <c r="AR420" s="3">
        <f t="shared" si="753"/>
        <v>94869.989999999991</v>
      </c>
      <c r="AT420" s="8">
        <f>IF(AR420=0,0,+AR420/PassVol!AR534)</f>
        <v>11.303465983557725</v>
      </c>
    </row>
    <row r="421" spans="1:47" x14ac:dyDescent="0.25">
      <c r="C421" t="s">
        <v>347</v>
      </c>
      <c r="D421" s="1">
        <f t="shared" ref="D421" si="756">+D374+D397</f>
        <v>0</v>
      </c>
      <c r="E421" s="1">
        <f t="shared" ref="E421:AQ421" si="757">+E374+E397</f>
        <v>0</v>
      </c>
      <c r="F421" s="1">
        <f t="shared" si="757"/>
        <v>0</v>
      </c>
      <c r="G421" s="1">
        <f t="shared" si="757"/>
        <v>0</v>
      </c>
      <c r="H421" s="1">
        <f t="shared" si="757"/>
        <v>0</v>
      </c>
      <c r="I421" s="1">
        <f t="shared" si="757"/>
        <v>0</v>
      </c>
      <c r="J421" s="1">
        <f t="shared" si="757"/>
        <v>0</v>
      </c>
      <c r="K421" s="1">
        <f t="shared" si="757"/>
        <v>0</v>
      </c>
      <c r="L421" s="1">
        <f t="shared" si="757"/>
        <v>1425.6</v>
      </c>
      <c r="M421" s="1">
        <f t="shared" si="757"/>
        <v>4466.88</v>
      </c>
      <c r="N421" s="1">
        <f t="shared" si="757"/>
        <v>2251.5</v>
      </c>
      <c r="O421" s="1">
        <f t="shared" si="757"/>
        <v>2981.52</v>
      </c>
      <c r="P421" s="1">
        <f t="shared" si="757"/>
        <v>7768.2</v>
      </c>
      <c r="Q421" s="1">
        <f t="shared" si="757"/>
        <v>13810.960000000001</v>
      </c>
      <c r="R421" s="1">
        <f t="shared" si="757"/>
        <v>14156.880000000001</v>
      </c>
      <c r="S421" s="1">
        <f t="shared" si="757"/>
        <v>16356.320000000002</v>
      </c>
      <c r="T421" s="1">
        <f t="shared" si="757"/>
        <v>13594.68</v>
      </c>
      <c r="U421" s="1">
        <f t="shared" si="757"/>
        <v>16448.8</v>
      </c>
      <c r="V421" s="1">
        <f t="shared" si="757"/>
        <v>7554.0999999999995</v>
      </c>
      <c r="W421" s="1">
        <f t="shared" si="757"/>
        <v>8541.08</v>
      </c>
      <c r="X421" s="1">
        <f t="shared" si="757"/>
        <v>4366.4400000000005</v>
      </c>
      <c r="Y421" s="1">
        <f t="shared" si="757"/>
        <v>3241.76</v>
      </c>
      <c r="Z421" s="1">
        <f t="shared" si="757"/>
        <v>-142.91999999999996</v>
      </c>
      <c r="AA421" s="1">
        <f t="shared" si="757"/>
        <v>103.67999999999999</v>
      </c>
      <c r="AB421" s="1">
        <f t="shared" si="757"/>
        <v>29.159999999999997</v>
      </c>
      <c r="AC421" s="1">
        <f t="shared" si="757"/>
        <v>0</v>
      </c>
      <c r="AD421" s="1">
        <f t="shared" si="757"/>
        <v>37.44</v>
      </c>
      <c r="AE421" s="1">
        <f t="shared" si="757"/>
        <v>0</v>
      </c>
      <c r="AF421" s="1">
        <f t="shared" si="757"/>
        <v>0</v>
      </c>
      <c r="AG421" s="1">
        <f t="shared" si="757"/>
        <v>0</v>
      </c>
      <c r="AH421" s="1">
        <f t="shared" si="757"/>
        <v>0</v>
      </c>
      <c r="AI421" s="1">
        <f t="shared" si="757"/>
        <v>0</v>
      </c>
      <c r="AJ421" s="1">
        <f t="shared" si="757"/>
        <v>0</v>
      </c>
      <c r="AK421" s="1">
        <f t="shared" si="757"/>
        <v>0</v>
      </c>
      <c r="AL421" s="1">
        <f t="shared" si="757"/>
        <v>0</v>
      </c>
      <c r="AM421" s="1">
        <f t="shared" si="757"/>
        <v>0</v>
      </c>
      <c r="AN421" s="1">
        <f t="shared" si="757"/>
        <v>0</v>
      </c>
      <c r="AO421" s="1">
        <f t="shared" si="757"/>
        <v>0</v>
      </c>
      <c r="AP421" s="1">
        <f t="shared" si="757"/>
        <v>0</v>
      </c>
      <c r="AQ421" s="1">
        <f t="shared" si="757"/>
        <v>0</v>
      </c>
      <c r="AR421" s="3">
        <f t="shared" si="753"/>
        <v>116992.07999999999</v>
      </c>
      <c r="AT421" s="8">
        <f>IF(AR421=0,0,+AR421/PassVol!AR535)</f>
        <v>15.25121626906531</v>
      </c>
    </row>
    <row r="422" spans="1:47" x14ac:dyDescent="0.25">
      <c r="C422" t="s">
        <v>0</v>
      </c>
      <c r="D422" s="1">
        <f t="shared" ref="D422" si="758">+D375+D398</f>
        <v>0</v>
      </c>
      <c r="E422" s="1">
        <f t="shared" ref="E422:J422" si="759">+E375+E398</f>
        <v>0</v>
      </c>
      <c r="F422" s="1">
        <f t="shared" si="759"/>
        <v>0</v>
      </c>
      <c r="G422" s="1">
        <f t="shared" si="759"/>
        <v>0</v>
      </c>
      <c r="H422" s="1">
        <f t="shared" si="759"/>
        <v>0</v>
      </c>
      <c r="I422" s="1">
        <f t="shared" si="759"/>
        <v>0</v>
      </c>
      <c r="J422" s="1">
        <f t="shared" si="759"/>
        <v>0</v>
      </c>
      <c r="K422" s="1">
        <f t="shared" ref="K422:AQ422" si="760">+K375+K398</f>
        <v>0</v>
      </c>
      <c r="L422" s="1">
        <f t="shared" si="760"/>
        <v>0</v>
      </c>
      <c r="M422" s="1">
        <f t="shared" si="760"/>
        <v>25721.82</v>
      </c>
      <c r="N422" s="1">
        <f t="shared" si="760"/>
        <v>20977.38</v>
      </c>
      <c r="O422" s="1">
        <f t="shared" si="760"/>
        <v>23126.04</v>
      </c>
      <c r="P422" s="1">
        <f t="shared" si="760"/>
        <v>25336.799999999999</v>
      </c>
      <c r="Q422" s="1">
        <f t="shared" si="760"/>
        <v>80049.78</v>
      </c>
      <c r="R422" s="1">
        <f t="shared" si="760"/>
        <v>51440.9</v>
      </c>
      <c r="S422" s="1">
        <f t="shared" si="760"/>
        <v>66888</v>
      </c>
      <c r="T422" s="1">
        <f t="shared" si="760"/>
        <v>53772.639999999999</v>
      </c>
      <c r="U422" s="1">
        <f t="shared" si="760"/>
        <v>48767.759999999995</v>
      </c>
      <c r="V422" s="1">
        <f t="shared" si="760"/>
        <v>25970.219999999998</v>
      </c>
      <c r="W422" s="1">
        <f t="shared" si="760"/>
        <v>27249.48</v>
      </c>
      <c r="X422" s="1">
        <f t="shared" si="760"/>
        <v>31856.160000000003</v>
      </c>
      <c r="Y422" s="1">
        <f t="shared" si="760"/>
        <v>28777.14</v>
      </c>
      <c r="Z422" s="1">
        <f t="shared" si="760"/>
        <v>18791.46</v>
      </c>
      <c r="AA422" s="1">
        <f t="shared" si="760"/>
        <v>5378.9400000000005</v>
      </c>
      <c r="AB422" s="1">
        <f t="shared" si="760"/>
        <v>39.989999999999782</v>
      </c>
      <c r="AC422" s="1">
        <f t="shared" si="760"/>
        <v>0</v>
      </c>
      <c r="AD422" s="1">
        <f t="shared" si="760"/>
        <v>0</v>
      </c>
      <c r="AE422" s="1">
        <f t="shared" si="760"/>
        <v>0</v>
      </c>
      <c r="AF422" s="1">
        <f t="shared" si="760"/>
        <v>0</v>
      </c>
      <c r="AG422" s="1">
        <f t="shared" si="760"/>
        <v>0</v>
      </c>
      <c r="AH422" s="1">
        <f t="shared" si="760"/>
        <v>0</v>
      </c>
      <c r="AI422" s="1">
        <f t="shared" si="760"/>
        <v>0</v>
      </c>
      <c r="AJ422" s="1">
        <f t="shared" si="760"/>
        <v>0</v>
      </c>
      <c r="AK422" s="1">
        <f t="shared" si="760"/>
        <v>0</v>
      </c>
      <c r="AL422" s="1">
        <f t="shared" si="760"/>
        <v>0</v>
      </c>
      <c r="AM422" s="1">
        <f t="shared" si="760"/>
        <v>0</v>
      </c>
      <c r="AN422" s="1">
        <f t="shared" si="760"/>
        <v>0</v>
      </c>
      <c r="AO422" s="1">
        <f t="shared" si="760"/>
        <v>0</v>
      </c>
      <c r="AP422" s="1">
        <f t="shared" si="760"/>
        <v>0</v>
      </c>
      <c r="AQ422" s="1">
        <f t="shared" si="760"/>
        <v>0</v>
      </c>
      <c r="AR422" s="3">
        <f t="shared" si="753"/>
        <v>534144.50999999978</v>
      </c>
      <c r="AT422" s="8">
        <f>IF(AR422=0,0,+AR422/PassVol!AR536)</f>
        <v>7.3094382560621787</v>
      </c>
    </row>
    <row r="423" spans="1:47" x14ac:dyDescent="0.25">
      <c r="C423" t="s">
        <v>354</v>
      </c>
      <c r="D423" s="1">
        <f t="shared" ref="D423" si="761">+D376+D399</f>
        <v>0</v>
      </c>
      <c r="E423" s="1">
        <f t="shared" ref="E423:J423" si="762">+E376+E399</f>
        <v>0</v>
      </c>
      <c r="F423" s="1">
        <f t="shared" si="762"/>
        <v>0</v>
      </c>
      <c r="G423" s="1">
        <f t="shared" si="762"/>
        <v>0</v>
      </c>
      <c r="H423" s="1">
        <f t="shared" si="762"/>
        <v>0</v>
      </c>
      <c r="I423" s="1">
        <f t="shared" si="762"/>
        <v>0</v>
      </c>
      <c r="J423" s="1">
        <f t="shared" si="762"/>
        <v>0</v>
      </c>
      <c r="K423" s="1">
        <f t="shared" ref="K423:AQ423" si="763">+K376+K399</f>
        <v>0</v>
      </c>
      <c r="L423" s="1">
        <f t="shared" si="763"/>
        <v>1267.2</v>
      </c>
      <c r="M423" s="1">
        <f t="shared" si="763"/>
        <v>56.16</v>
      </c>
      <c r="N423" s="1">
        <f t="shared" si="763"/>
        <v>413.82000000000005</v>
      </c>
      <c r="O423" s="1">
        <f t="shared" si="763"/>
        <v>1508.0400000000002</v>
      </c>
      <c r="P423" s="1">
        <f t="shared" si="763"/>
        <v>1823.1</v>
      </c>
      <c r="Q423" s="1">
        <f t="shared" si="763"/>
        <v>1566.3600000000001</v>
      </c>
      <c r="R423" s="1">
        <f t="shared" si="763"/>
        <v>2380.44</v>
      </c>
      <c r="S423" s="1">
        <f t="shared" si="763"/>
        <v>2391.12</v>
      </c>
      <c r="T423" s="1">
        <f t="shared" si="763"/>
        <v>3651.18</v>
      </c>
      <c r="U423" s="1">
        <f t="shared" si="763"/>
        <v>1273.3800000000001</v>
      </c>
      <c r="V423" s="1">
        <f t="shared" si="763"/>
        <v>745.2</v>
      </c>
      <c r="W423" s="1">
        <f t="shared" si="763"/>
        <v>1922.76</v>
      </c>
      <c r="X423" s="1">
        <f t="shared" si="763"/>
        <v>1405.0800000000002</v>
      </c>
      <c r="Y423" s="1">
        <f t="shared" si="763"/>
        <v>2464.84</v>
      </c>
      <c r="Z423" s="1">
        <f t="shared" si="763"/>
        <v>31.360000000000014</v>
      </c>
      <c r="AA423" s="1">
        <f t="shared" si="763"/>
        <v>422.28000000000003</v>
      </c>
      <c r="AB423" s="1">
        <f t="shared" si="763"/>
        <v>143.63999999999999</v>
      </c>
      <c r="AC423" s="1">
        <f t="shared" si="763"/>
        <v>0</v>
      </c>
      <c r="AD423" s="1">
        <f t="shared" si="763"/>
        <v>0</v>
      </c>
      <c r="AE423" s="1">
        <f t="shared" si="763"/>
        <v>0</v>
      </c>
      <c r="AF423" s="1">
        <f t="shared" si="763"/>
        <v>0</v>
      </c>
      <c r="AG423" s="1">
        <f t="shared" si="763"/>
        <v>0</v>
      </c>
      <c r="AH423" s="1">
        <f t="shared" si="763"/>
        <v>0</v>
      </c>
      <c r="AI423" s="1">
        <f t="shared" si="763"/>
        <v>0</v>
      </c>
      <c r="AJ423" s="1">
        <f t="shared" si="763"/>
        <v>0</v>
      </c>
      <c r="AK423" s="1">
        <f t="shared" si="763"/>
        <v>0</v>
      </c>
      <c r="AL423" s="1">
        <f t="shared" si="763"/>
        <v>0</v>
      </c>
      <c r="AM423" s="1">
        <f t="shared" si="763"/>
        <v>0</v>
      </c>
      <c r="AN423" s="1">
        <f t="shared" si="763"/>
        <v>0</v>
      </c>
      <c r="AO423" s="1">
        <f t="shared" si="763"/>
        <v>0</v>
      </c>
      <c r="AP423" s="1">
        <f t="shared" si="763"/>
        <v>0</v>
      </c>
      <c r="AQ423" s="1">
        <f t="shared" si="763"/>
        <v>-1.62</v>
      </c>
      <c r="AR423" s="3">
        <f t="shared" si="753"/>
        <v>23464.340000000004</v>
      </c>
      <c r="AT423" s="8">
        <f>IF(AR423=0,0,+AR423/PassVol!AR537)</f>
        <v>13.256689265536725</v>
      </c>
    </row>
    <row r="424" spans="1:47" x14ac:dyDescent="0.25">
      <c r="C424" t="s">
        <v>265</v>
      </c>
      <c r="D424" s="1">
        <f t="shared" ref="D424" si="764">+D377+D400</f>
        <v>0</v>
      </c>
      <c r="E424" s="1">
        <f t="shared" ref="E424:J424" si="765">+E377+E400</f>
        <v>0</v>
      </c>
      <c r="F424" s="1">
        <f t="shared" si="765"/>
        <v>0</v>
      </c>
      <c r="G424" s="1">
        <f t="shared" si="765"/>
        <v>0</v>
      </c>
      <c r="H424" s="1">
        <f t="shared" si="765"/>
        <v>0</v>
      </c>
      <c r="I424" s="1">
        <f t="shared" si="765"/>
        <v>0</v>
      </c>
      <c r="J424" s="1">
        <f t="shared" si="765"/>
        <v>0</v>
      </c>
      <c r="K424" s="1">
        <f t="shared" ref="K424:AQ424" si="766">+K377+K400</f>
        <v>0</v>
      </c>
      <c r="L424" s="1">
        <f t="shared" si="766"/>
        <v>0</v>
      </c>
      <c r="M424" s="1">
        <f t="shared" si="766"/>
        <v>2358</v>
      </c>
      <c r="N424" s="1">
        <f t="shared" si="766"/>
        <v>1298.32</v>
      </c>
      <c r="O424" s="1">
        <f t="shared" si="766"/>
        <v>1663.5600000000002</v>
      </c>
      <c r="P424" s="1">
        <f t="shared" si="766"/>
        <v>5866.02</v>
      </c>
      <c r="Q424" s="1">
        <f t="shared" si="766"/>
        <v>11002.14</v>
      </c>
      <c r="R424" s="1">
        <f t="shared" si="766"/>
        <v>6994.02</v>
      </c>
      <c r="S424" s="1">
        <f t="shared" si="766"/>
        <v>11960.46</v>
      </c>
      <c r="T424" s="1">
        <f t="shared" si="766"/>
        <v>6709.1599999999989</v>
      </c>
      <c r="U424" s="1">
        <f t="shared" si="766"/>
        <v>10792.02</v>
      </c>
      <c r="V424" s="1">
        <f t="shared" si="766"/>
        <v>3840.6600000000003</v>
      </c>
      <c r="W424" s="1">
        <f t="shared" si="766"/>
        <v>3800.9199999999996</v>
      </c>
      <c r="X424" s="1">
        <f t="shared" si="766"/>
        <v>4793.22</v>
      </c>
      <c r="Y424" s="1">
        <f t="shared" si="766"/>
        <v>1177.9000000000001</v>
      </c>
      <c r="Z424" s="1">
        <f t="shared" si="766"/>
        <v>-312.24</v>
      </c>
      <c r="AA424" s="1">
        <f t="shared" si="766"/>
        <v>-348.12</v>
      </c>
      <c r="AB424" s="1">
        <f t="shared" si="766"/>
        <v>0</v>
      </c>
      <c r="AC424" s="1">
        <f t="shared" si="766"/>
        <v>0</v>
      </c>
      <c r="AD424" s="1">
        <f t="shared" si="766"/>
        <v>0</v>
      </c>
      <c r="AE424" s="1">
        <f t="shared" si="766"/>
        <v>0</v>
      </c>
      <c r="AF424" s="1">
        <f t="shared" si="766"/>
        <v>0</v>
      </c>
      <c r="AG424" s="1">
        <f t="shared" si="766"/>
        <v>0</v>
      </c>
      <c r="AH424" s="1">
        <f t="shared" si="766"/>
        <v>0</v>
      </c>
      <c r="AI424" s="1">
        <f t="shared" si="766"/>
        <v>0</v>
      </c>
      <c r="AJ424" s="1">
        <f t="shared" si="766"/>
        <v>0</v>
      </c>
      <c r="AK424" s="1">
        <f t="shared" si="766"/>
        <v>0</v>
      </c>
      <c r="AL424" s="1">
        <f t="shared" si="766"/>
        <v>0</v>
      </c>
      <c r="AM424" s="1">
        <f t="shared" si="766"/>
        <v>0</v>
      </c>
      <c r="AN424" s="1">
        <f t="shared" si="766"/>
        <v>0</v>
      </c>
      <c r="AO424" s="1">
        <f t="shared" si="766"/>
        <v>0</v>
      </c>
      <c r="AP424" s="1">
        <f t="shared" si="766"/>
        <v>0</v>
      </c>
      <c r="AQ424" s="1">
        <f t="shared" si="766"/>
        <v>0</v>
      </c>
      <c r="AR424" s="3">
        <f t="shared" si="753"/>
        <v>71596.040000000008</v>
      </c>
      <c r="AT424" s="8">
        <f>IF(AR424=0,0,+AR424/PassVol!AR538)</f>
        <v>10.319406168924763</v>
      </c>
    </row>
    <row r="425" spans="1:47" x14ac:dyDescent="0.25">
      <c r="C425" t="s">
        <v>191</v>
      </c>
      <c r="D425" s="1">
        <f t="shared" ref="D425" si="767">+D378+D401</f>
        <v>0</v>
      </c>
      <c r="E425" s="1">
        <f t="shared" ref="E425:J425" si="768">+E378+E401</f>
        <v>0</v>
      </c>
      <c r="F425" s="1">
        <f t="shared" si="768"/>
        <v>0</v>
      </c>
      <c r="G425" s="1">
        <f t="shared" si="768"/>
        <v>0</v>
      </c>
      <c r="H425" s="1">
        <f t="shared" si="768"/>
        <v>0</v>
      </c>
      <c r="I425" s="1">
        <f t="shared" si="768"/>
        <v>0</v>
      </c>
      <c r="J425" s="1">
        <f t="shared" si="768"/>
        <v>0</v>
      </c>
      <c r="K425" s="1">
        <f t="shared" ref="K425:AQ425" si="769">+K378+K401</f>
        <v>0</v>
      </c>
      <c r="L425" s="1">
        <f t="shared" si="769"/>
        <v>0</v>
      </c>
      <c r="M425" s="1">
        <f t="shared" si="769"/>
        <v>8306.2800000000007</v>
      </c>
      <c r="N425" s="1">
        <f t="shared" si="769"/>
        <v>1632.5400000000002</v>
      </c>
      <c r="O425" s="1">
        <f t="shared" si="769"/>
        <v>1757.52</v>
      </c>
      <c r="P425" s="1">
        <f t="shared" si="769"/>
        <v>9960.7800000000007</v>
      </c>
      <c r="Q425" s="1">
        <f t="shared" si="769"/>
        <v>24822.799999999999</v>
      </c>
      <c r="R425" s="1">
        <f t="shared" si="769"/>
        <v>25886.039999999997</v>
      </c>
      <c r="S425" s="1">
        <f t="shared" si="769"/>
        <v>27999.399999999998</v>
      </c>
      <c r="T425" s="1">
        <f t="shared" si="769"/>
        <v>7233.36</v>
      </c>
      <c r="U425" s="1">
        <f t="shared" si="769"/>
        <v>11101.5</v>
      </c>
      <c r="V425" s="1">
        <f t="shared" si="769"/>
        <v>-3116.06</v>
      </c>
      <c r="W425" s="1">
        <f t="shared" si="769"/>
        <v>14755.04</v>
      </c>
      <c r="X425" s="1">
        <f t="shared" si="769"/>
        <v>9302.7799999999988</v>
      </c>
      <c r="Y425" s="1">
        <f t="shared" si="769"/>
        <v>7104.28</v>
      </c>
      <c r="Z425" s="1">
        <f t="shared" si="769"/>
        <v>3952.02</v>
      </c>
      <c r="AA425" s="1">
        <f t="shared" si="769"/>
        <v>3887.16</v>
      </c>
      <c r="AB425" s="1">
        <f t="shared" si="769"/>
        <v>-71.600000000000009</v>
      </c>
      <c r="AC425" s="1">
        <f t="shared" si="769"/>
        <v>-74.52</v>
      </c>
      <c r="AD425" s="1">
        <f t="shared" si="769"/>
        <v>-73.44</v>
      </c>
      <c r="AE425" s="1">
        <f t="shared" si="769"/>
        <v>-29.16</v>
      </c>
      <c r="AF425" s="1">
        <f t="shared" si="769"/>
        <v>-14.04</v>
      </c>
      <c r="AG425" s="1">
        <f t="shared" si="769"/>
        <v>0</v>
      </c>
      <c r="AH425" s="1">
        <f t="shared" si="769"/>
        <v>0</v>
      </c>
      <c r="AI425" s="1">
        <f t="shared" si="769"/>
        <v>-445.86</v>
      </c>
      <c r="AJ425" s="1">
        <f t="shared" si="769"/>
        <v>0</v>
      </c>
      <c r="AK425" s="1">
        <f t="shared" si="769"/>
        <v>0</v>
      </c>
      <c r="AL425" s="1">
        <f t="shared" si="769"/>
        <v>0</v>
      </c>
      <c r="AM425" s="1">
        <f t="shared" si="769"/>
        <v>0</v>
      </c>
      <c r="AN425" s="1">
        <f t="shared" si="769"/>
        <v>0</v>
      </c>
      <c r="AO425" s="1">
        <f t="shared" si="769"/>
        <v>0</v>
      </c>
      <c r="AP425" s="1">
        <f t="shared" si="769"/>
        <v>0</v>
      </c>
      <c r="AQ425" s="1">
        <f t="shared" si="769"/>
        <v>0</v>
      </c>
      <c r="AR425" s="3">
        <f t="shared" si="753"/>
        <v>153876.81999999998</v>
      </c>
      <c r="AT425" s="8">
        <f>IF(AR425=0,0,+AR425/PassVol!AR539)</f>
        <v>12.426457239764192</v>
      </c>
    </row>
    <row r="426" spans="1:47" x14ac:dyDescent="0.25">
      <c r="C426" t="s">
        <v>549</v>
      </c>
      <c r="D426" s="1">
        <f t="shared" ref="D426" si="770">+D379+D402</f>
        <v>0</v>
      </c>
      <c r="E426" s="1">
        <f t="shared" ref="E426:J426" si="771">+E379+E402</f>
        <v>0</v>
      </c>
      <c r="F426" s="1">
        <f t="shared" si="771"/>
        <v>0</v>
      </c>
      <c r="G426" s="1">
        <f t="shared" si="771"/>
        <v>0</v>
      </c>
      <c r="H426" s="1">
        <f t="shared" si="771"/>
        <v>0</v>
      </c>
      <c r="I426" s="1">
        <f t="shared" si="771"/>
        <v>0</v>
      </c>
      <c r="J426" s="1">
        <f t="shared" si="771"/>
        <v>0</v>
      </c>
      <c r="K426" s="1">
        <f t="shared" ref="K426:AQ426" si="772">+K379+K402</f>
        <v>0</v>
      </c>
      <c r="L426" s="1">
        <f t="shared" si="772"/>
        <v>0</v>
      </c>
      <c r="M426" s="1">
        <f t="shared" si="772"/>
        <v>0</v>
      </c>
      <c r="N426" s="1">
        <f t="shared" si="772"/>
        <v>0</v>
      </c>
      <c r="O426" s="1">
        <f t="shared" si="772"/>
        <v>0</v>
      </c>
      <c r="P426" s="1">
        <f t="shared" si="772"/>
        <v>0</v>
      </c>
      <c r="Q426" s="1">
        <f t="shared" si="772"/>
        <v>0</v>
      </c>
      <c r="R426" s="1">
        <f t="shared" si="772"/>
        <v>0</v>
      </c>
      <c r="S426" s="1">
        <f t="shared" si="772"/>
        <v>0</v>
      </c>
      <c r="T426" s="1">
        <f t="shared" si="772"/>
        <v>0</v>
      </c>
      <c r="U426" s="1">
        <f t="shared" si="772"/>
        <v>0</v>
      </c>
      <c r="V426" s="1">
        <f t="shared" si="772"/>
        <v>0</v>
      </c>
      <c r="W426" s="1">
        <f t="shared" si="772"/>
        <v>0</v>
      </c>
      <c r="X426" s="1">
        <f t="shared" si="772"/>
        <v>0</v>
      </c>
      <c r="Y426" s="1">
        <f t="shared" si="772"/>
        <v>0</v>
      </c>
      <c r="Z426" s="1">
        <f t="shared" si="772"/>
        <v>0</v>
      </c>
      <c r="AA426" s="1">
        <f t="shared" si="772"/>
        <v>0</v>
      </c>
      <c r="AB426" s="1">
        <f t="shared" si="772"/>
        <v>0</v>
      </c>
      <c r="AC426" s="1">
        <f t="shared" si="772"/>
        <v>0</v>
      </c>
      <c r="AD426" s="1">
        <f t="shared" si="772"/>
        <v>0</v>
      </c>
      <c r="AE426" s="1">
        <f t="shared" si="772"/>
        <v>0</v>
      </c>
      <c r="AF426" s="1">
        <f t="shared" si="772"/>
        <v>0</v>
      </c>
      <c r="AG426" s="1">
        <f t="shared" si="772"/>
        <v>0</v>
      </c>
      <c r="AH426" s="1">
        <f t="shared" si="772"/>
        <v>0</v>
      </c>
      <c r="AI426" s="1">
        <f t="shared" si="772"/>
        <v>0</v>
      </c>
      <c r="AJ426" s="1">
        <f t="shared" si="772"/>
        <v>0</v>
      </c>
      <c r="AK426" s="1">
        <f t="shared" si="772"/>
        <v>0</v>
      </c>
      <c r="AL426" s="1">
        <f t="shared" si="772"/>
        <v>0</v>
      </c>
      <c r="AM426" s="1">
        <f t="shared" si="772"/>
        <v>0</v>
      </c>
      <c r="AN426" s="1">
        <f t="shared" si="772"/>
        <v>0</v>
      </c>
      <c r="AO426" s="1">
        <f t="shared" si="772"/>
        <v>0</v>
      </c>
      <c r="AP426" s="1">
        <f t="shared" si="772"/>
        <v>0</v>
      </c>
      <c r="AQ426" s="1">
        <f t="shared" si="772"/>
        <v>0</v>
      </c>
      <c r="AR426" s="3">
        <f t="shared" si="753"/>
        <v>0</v>
      </c>
      <c r="AT426" s="8">
        <f>IF(AR426=0,0,+AR426/PassVol!AR540)</f>
        <v>0</v>
      </c>
    </row>
    <row r="427" spans="1:47" x14ac:dyDescent="0.25">
      <c r="C427" t="s">
        <v>550</v>
      </c>
      <c r="D427" s="1">
        <f t="shared" ref="D427" si="773">+D380+D403</f>
        <v>0</v>
      </c>
      <c r="E427" s="1">
        <f t="shared" ref="E427:J427" si="774">+E380+E403</f>
        <v>0</v>
      </c>
      <c r="F427" s="1">
        <f t="shared" si="774"/>
        <v>0</v>
      </c>
      <c r="G427" s="1">
        <f t="shared" si="774"/>
        <v>0</v>
      </c>
      <c r="H427" s="1">
        <f t="shared" si="774"/>
        <v>0</v>
      </c>
      <c r="I427" s="1">
        <f t="shared" si="774"/>
        <v>0</v>
      </c>
      <c r="J427" s="1">
        <f t="shared" si="774"/>
        <v>0</v>
      </c>
      <c r="K427" s="1">
        <f t="shared" ref="K427:AQ427" si="775">+K380+K403</f>
        <v>0</v>
      </c>
      <c r="L427" s="1">
        <f t="shared" si="775"/>
        <v>0</v>
      </c>
      <c r="M427" s="1">
        <f t="shared" si="775"/>
        <v>7776</v>
      </c>
      <c r="N427" s="1">
        <f t="shared" si="775"/>
        <v>-99.84</v>
      </c>
      <c r="O427" s="1">
        <f t="shared" si="775"/>
        <v>256.74</v>
      </c>
      <c r="P427" s="1">
        <f t="shared" si="775"/>
        <v>0</v>
      </c>
      <c r="Q427" s="1">
        <f t="shared" si="775"/>
        <v>23773.32</v>
      </c>
      <c r="R427" s="1">
        <f t="shared" si="775"/>
        <v>6793.92</v>
      </c>
      <c r="S427" s="1">
        <f t="shared" si="775"/>
        <v>9465.119999999999</v>
      </c>
      <c r="T427" s="1">
        <f t="shared" si="775"/>
        <v>29059.8</v>
      </c>
      <c r="U427" s="1">
        <f t="shared" si="775"/>
        <v>4607.46</v>
      </c>
      <c r="V427" s="1">
        <f t="shared" si="775"/>
        <v>5271.4800000000005</v>
      </c>
      <c r="W427" s="1">
        <f t="shared" si="775"/>
        <v>4864.32</v>
      </c>
      <c r="X427" s="1">
        <f t="shared" si="775"/>
        <v>3088.8</v>
      </c>
      <c r="Y427" s="1">
        <f t="shared" si="775"/>
        <v>2008.8</v>
      </c>
      <c r="Z427" s="1">
        <f t="shared" si="775"/>
        <v>682.56000000000006</v>
      </c>
      <c r="AA427" s="1">
        <f t="shared" si="775"/>
        <v>608.04000000000008</v>
      </c>
      <c r="AB427" s="1">
        <f t="shared" si="775"/>
        <v>425.88</v>
      </c>
      <c r="AC427" s="1">
        <f t="shared" si="775"/>
        <v>147.96</v>
      </c>
      <c r="AD427" s="1">
        <f t="shared" si="775"/>
        <v>37.44</v>
      </c>
      <c r="AE427" s="1">
        <f t="shared" si="775"/>
        <v>0</v>
      </c>
      <c r="AF427" s="1">
        <f t="shared" si="775"/>
        <v>0</v>
      </c>
      <c r="AG427" s="1">
        <f t="shared" si="775"/>
        <v>0</v>
      </c>
      <c r="AH427" s="1">
        <f t="shared" si="775"/>
        <v>0</v>
      </c>
      <c r="AI427" s="1">
        <f t="shared" si="775"/>
        <v>0</v>
      </c>
      <c r="AJ427" s="1">
        <f t="shared" si="775"/>
        <v>0</v>
      </c>
      <c r="AK427" s="1">
        <f t="shared" si="775"/>
        <v>0</v>
      </c>
      <c r="AL427" s="1">
        <f t="shared" si="775"/>
        <v>0</v>
      </c>
      <c r="AM427" s="1">
        <f t="shared" si="775"/>
        <v>0</v>
      </c>
      <c r="AN427" s="1">
        <f t="shared" si="775"/>
        <v>0</v>
      </c>
      <c r="AO427" s="1">
        <f t="shared" si="775"/>
        <v>0</v>
      </c>
      <c r="AP427" s="1">
        <f t="shared" si="775"/>
        <v>0</v>
      </c>
      <c r="AQ427" s="1">
        <f t="shared" si="775"/>
        <v>-86.4</v>
      </c>
      <c r="AR427" s="3">
        <f t="shared" si="753"/>
        <v>98681.400000000009</v>
      </c>
      <c r="AT427" s="8">
        <f>IF(AR427=0,0,+AR427/PassVol!AR541)</f>
        <v>11.701814300960514</v>
      </c>
    </row>
    <row r="428" spans="1:47" x14ac:dyDescent="0.25">
      <c r="C428" t="s">
        <v>6</v>
      </c>
      <c r="D428" s="1">
        <f t="shared" ref="D428" si="776">+D381+D404</f>
        <v>0</v>
      </c>
      <c r="E428" s="1">
        <f t="shared" ref="E428:J428" si="777">+E381+E404</f>
        <v>0</v>
      </c>
      <c r="F428" s="1">
        <f t="shared" si="777"/>
        <v>0</v>
      </c>
      <c r="G428" s="1">
        <f t="shared" si="777"/>
        <v>0</v>
      </c>
      <c r="H428" s="1">
        <f t="shared" si="777"/>
        <v>0</v>
      </c>
      <c r="I428" s="1">
        <f t="shared" si="777"/>
        <v>0</v>
      </c>
      <c r="J428" s="1">
        <f t="shared" si="777"/>
        <v>0</v>
      </c>
      <c r="K428" s="1">
        <f t="shared" ref="K428:AQ428" si="778">+K381+K404</f>
        <v>0</v>
      </c>
      <c r="L428" s="1">
        <f t="shared" si="778"/>
        <v>0</v>
      </c>
      <c r="M428" s="1">
        <f t="shared" si="778"/>
        <v>0</v>
      </c>
      <c r="N428" s="1">
        <f t="shared" si="778"/>
        <v>0</v>
      </c>
      <c r="O428" s="1">
        <f t="shared" si="778"/>
        <v>0</v>
      </c>
      <c r="P428" s="1">
        <f t="shared" si="778"/>
        <v>0</v>
      </c>
      <c r="Q428" s="1">
        <f t="shared" si="778"/>
        <v>0</v>
      </c>
      <c r="R428" s="1">
        <f t="shared" si="778"/>
        <v>30018</v>
      </c>
      <c r="S428" s="1">
        <f t="shared" si="778"/>
        <v>0</v>
      </c>
      <c r="T428" s="1">
        <f t="shared" si="778"/>
        <v>17632.5</v>
      </c>
      <c r="U428" s="1">
        <f t="shared" si="778"/>
        <v>5400</v>
      </c>
      <c r="V428" s="1">
        <f t="shared" si="778"/>
        <v>14934.400000000001</v>
      </c>
      <c r="W428" s="1">
        <f t="shared" si="778"/>
        <v>0</v>
      </c>
      <c r="X428" s="1">
        <f t="shared" si="778"/>
        <v>0</v>
      </c>
      <c r="Y428" s="1">
        <f t="shared" si="778"/>
        <v>0</v>
      </c>
      <c r="Z428" s="1">
        <f t="shared" si="778"/>
        <v>0</v>
      </c>
      <c r="AA428" s="1">
        <f t="shared" si="778"/>
        <v>0</v>
      </c>
      <c r="AB428" s="1">
        <f t="shared" si="778"/>
        <v>0</v>
      </c>
      <c r="AC428" s="1">
        <f t="shared" si="778"/>
        <v>0</v>
      </c>
      <c r="AD428" s="1">
        <f t="shared" si="778"/>
        <v>0</v>
      </c>
      <c r="AE428" s="1">
        <f t="shared" si="778"/>
        <v>0</v>
      </c>
      <c r="AF428" s="1">
        <f t="shared" si="778"/>
        <v>0</v>
      </c>
      <c r="AG428" s="1">
        <f t="shared" si="778"/>
        <v>0</v>
      </c>
      <c r="AH428" s="1">
        <f t="shared" si="778"/>
        <v>0</v>
      </c>
      <c r="AI428" s="1">
        <f t="shared" si="778"/>
        <v>0</v>
      </c>
      <c r="AJ428" s="1">
        <f t="shared" si="778"/>
        <v>0</v>
      </c>
      <c r="AK428" s="1">
        <f t="shared" si="778"/>
        <v>0</v>
      </c>
      <c r="AL428" s="1">
        <f t="shared" si="778"/>
        <v>0</v>
      </c>
      <c r="AM428" s="1">
        <f t="shared" si="778"/>
        <v>0</v>
      </c>
      <c r="AN428" s="1">
        <f t="shared" si="778"/>
        <v>0</v>
      </c>
      <c r="AO428" s="1">
        <f t="shared" si="778"/>
        <v>0</v>
      </c>
      <c r="AP428" s="1">
        <f t="shared" si="778"/>
        <v>0</v>
      </c>
      <c r="AQ428" s="1">
        <f t="shared" si="778"/>
        <v>0</v>
      </c>
      <c r="AR428" s="3">
        <f t="shared" si="753"/>
        <v>67984.899999999994</v>
      </c>
      <c r="AT428" s="8">
        <f>IF(AR428=0,0,+AR428/PassVol!AR542)</f>
        <v>14.856840034965034</v>
      </c>
    </row>
    <row r="429" spans="1:47" x14ac:dyDescent="0.25">
      <c r="C429" t="s">
        <v>262</v>
      </c>
      <c r="D429" s="1">
        <f t="shared" ref="D429" si="779">+D382+D405</f>
        <v>0</v>
      </c>
      <c r="E429" s="1">
        <f t="shared" ref="E429:J429" si="780">+E382+E405</f>
        <v>0</v>
      </c>
      <c r="F429" s="1">
        <f t="shared" si="780"/>
        <v>0</v>
      </c>
      <c r="G429" s="1">
        <f t="shared" si="780"/>
        <v>0</v>
      </c>
      <c r="H429" s="1">
        <f t="shared" si="780"/>
        <v>0</v>
      </c>
      <c r="I429" s="1">
        <f t="shared" si="780"/>
        <v>0</v>
      </c>
      <c r="J429" s="1">
        <f t="shared" si="780"/>
        <v>0</v>
      </c>
      <c r="K429" s="1">
        <f t="shared" ref="K429:AQ429" si="781">+K382+K405</f>
        <v>0</v>
      </c>
      <c r="L429" s="1">
        <f t="shared" si="781"/>
        <v>712.8</v>
      </c>
      <c r="M429" s="1">
        <f t="shared" si="781"/>
        <v>5916.6</v>
      </c>
      <c r="N429" s="1">
        <f t="shared" si="781"/>
        <v>3318.84</v>
      </c>
      <c r="O429" s="1">
        <f t="shared" si="781"/>
        <v>3764.8800000000006</v>
      </c>
      <c r="P429" s="1">
        <f t="shared" si="781"/>
        <v>4379.3999999999996</v>
      </c>
      <c r="Q429" s="1">
        <f t="shared" si="781"/>
        <v>17212.599999999999</v>
      </c>
      <c r="R429" s="1">
        <f t="shared" si="781"/>
        <v>10681.56</v>
      </c>
      <c r="S429" s="1">
        <f t="shared" si="781"/>
        <v>4734.66</v>
      </c>
      <c r="T429" s="1">
        <f t="shared" si="781"/>
        <v>11731.289999999999</v>
      </c>
      <c r="U429" s="1">
        <f t="shared" si="781"/>
        <v>4416.04</v>
      </c>
      <c r="V429" s="1">
        <f t="shared" si="781"/>
        <v>3628.52</v>
      </c>
      <c r="W429" s="1">
        <f t="shared" si="781"/>
        <v>3533.4</v>
      </c>
      <c r="X429" s="1">
        <f t="shared" si="781"/>
        <v>1361.8799999999999</v>
      </c>
      <c r="Y429" s="1">
        <f t="shared" si="781"/>
        <v>370.44000000000005</v>
      </c>
      <c r="Z429" s="1">
        <f t="shared" si="781"/>
        <v>177.12</v>
      </c>
      <c r="AA429" s="1">
        <f t="shared" si="781"/>
        <v>-142.74</v>
      </c>
      <c r="AB429" s="1">
        <f t="shared" si="781"/>
        <v>509.76000000000005</v>
      </c>
      <c r="AC429" s="1">
        <f t="shared" si="781"/>
        <v>113.39999999999999</v>
      </c>
      <c r="AD429" s="1">
        <f t="shared" si="781"/>
        <v>0</v>
      </c>
      <c r="AE429" s="1">
        <f t="shared" si="781"/>
        <v>0</v>
      </c>
      <c r="AF429" s="1">
        <f t="shared" si="781"/>
        <v>0</v>
      </c>
      <c r="AG429" s="1">
        <f t="shared" si="781"/>
        <v>0</v>
      </c>
      <c r="AH429" s="1">
        <f t="shared" si="781"/>
        <v>0</v>
      </c>
      <c r="AI429" s="1">
        <f t="shared" si="781"/>
        <v>-28.08</v>
      </c>
      <c r="AJ429" s="1">
        <f t="shared" si="781"/>
        <v>0</v>
      </c>
      <c r="AK429" s="1">
        <f t="shared" si="781"/>
        <v>0</v>
      </c>
      <c r="AL429" s="1">
        <f t="shared" si="781"/>
        <v>0</v>
      </c>
      <c r="AM429" s="1">
        <f t="shared" si="781"/>
        <v>0</v>
      </c>
      <c r="AN429" s="1">
        <f t="shared" si="781"/>
        <v>-214.92000000000002</v>
      </c>
      <c r="AO429" s="1">
        <f t="shared" si="781"/>
        <v>0</v>
      </c>
      <c r="AP429" s="1">
        <f t="shared" si="781"/>
        <v>0</v>
      </c>
      <c r="AQ429" s="1">
        <f t="shared" si="781"/>
        <v>0</v>
      </c>
      <c r="AR429" s="3">
        <f t="shared" si="753"/>
        <v>76177.45</v>
      </c>
      <c r="AT429" s="8">
        <f>IF(AR429=0,0,+AR429/PassVol!AR543)</f>
        <v>16.105169133192387</v>
      </c>
    </row>
    <row r="430" spans="1:47" x14ac:dyDescent="0.25">
      <c r="C430" t="s">
        <v>42</v>
      </c>
      <c r="D430" s="1">
        <f t="shared" ref="D430" si="782">+D383+D406</f>
        <v>0</v>
      </c>
      <c r="E430" s="1">
        <f t="shared" ref="E430:J430" si="783">+E383+E406</f>
        <v>0</v>
      </c>
      <c r="F430" s="1">
        <f t="shared" si="783"/>
        <v>0</v>
      </c>
      <c r="G430" s="1">
        <f t="shared" si="783"/>
        <v>0</v>
      </c>
      <c r="H430" s="1">
        <f t="shared" si="783"/>
        <v>0</v>
      </c>
      <c r="I430" s="1">
        <f t="shared" si="783"/>
        <v>0</v>
      </c>
      <c r="J430" s="1">
        <f t="shared" si="783"/>
        <v>0</v>
      </c>
      <c r="K430" s="1">
        <f t="shared" ref="K430:AQ430" si="784">+K383+K406</f>
        <v>0</v>
      </c>
      <c r="L430" s="1">
        <f t="shared" si="784"/>
        <v>5636.16</v>
      </c>
      <c r="M430" s="1">
        <f t="shared" si="784"/>
        <v>7805.52</v>
      </c>
      <c r="N430" s="1">
        <f t="shared" si="784"/>
        <v>5403.24</v>
      </c>
      <c r="O430" s="1">
        <f t="shared" si="784"/>
        <v>2700.76</v>
      </c>
      <c r="P430" s="1">
        <f t="shared" si="784"/>
        <v>10480.140000000001</v>
      </c>
      <c r="Q430" s="1">
        <f t="shared" si="784"/>
        <v>14645.88</v>
      </c>
      <c r="R430" s="1">
        <f t="shared" si="784"/>
        <v>9799.5600000000013</v>
      </c>
      <c r="S430" s="1">
        <f t="shared" si="784"/>
        <v>6660.72</v>
      </c>
      <c r="T430" s="1">
        <f t="shared" si="784"/>
        <v>6332.76</v>
      </c>
      <c r="U430" s="1">
        <f t="shared" si="784"/>
        <v>12363.36</v>
      </c>
      <c r="V430" s="1">
        <f t="shared" si="784"/>
        <v>2573.04</v>
      </c>
      <c r="W430" s="1">
        <f t="shared" si="784"/>
        <v>8131.2399999999989</v>
      </c>
      <c r="X430" s="1">
        <f t="shared" si="784"/>
        <v>2551.0800000000004</v>
      </c>
      <c r="Y430" s="1">
        <f t="shared" si="784"/>
        <v>6874.4400000000005</v>
      </c>
      <c r="Z430" s="1">
        <f t="shared" si="784"/>
        <v>-809.78</v>
      </c>
      <c r="AA430" s="1">
        <f t="shared" si="784"/>
        <v>-1259.22</v>
      </c>
      <c r="AB430" s="1">
        <f t="shared" si="784"/>
        <v>0</v>
      </c>
      <c r="AC430" s="1">
        <f t="shared" si="784"/>
        <v>0</v>
      </c>
      <c r="AD430" s="1">
        <f t="shared" si="784"/>
        <v>-220.16</v>
      </c>
      <c r="AE430" s="1">
        <f t="shared" si="784"/>
        <v>0</v>
      </c>
      <c r="AF430" s="1">
        <f t="shared" si="784"/>
        <v>0</v>
      </c>
      <c r="AG430" s="1">
        <f t="shared" si="784"/>
        <v>0</v>
      </c>
      <c r="AH430" s="1">
        <f t="shared" si="784"/>
        <v>0</v>
      </c>
      <c r="AI430" s="1">
        <f t="shared" si="784"/>
        <v>0</v>
      </c>
      <c r="AJ430" s="1">
        <f t="shared" si="784"/>
        <v>0</v>
      </c>
      <c r="AK430" s="1">
        <f t="shared" si="784"/>
        <v>0</v>
      </c>
      <c r="AL430" s="1">
        <f t="shared" si="784"/>
        <v>0</v>
      </c>
      <c r="AM430" s="1">
        <f t="shared" si="784"/>
        <v>0</v>
      </c>
      <c r="AN430" s="1">
        <f t="shared" si="784"/>
        <v>0</v>
      </c>
      <c r="AO430" s="1">
        <f t="shared" si="784"/>
        <v>0</v>
      </c>
      <c r="AP430" s="1">
        <f t="shared" si="784"/>
        <v>0</v>
      </c>
      <c r="AQ430" s="1">
        <f t="shared" si="784"/>
        <v>0</v>
      </c>
      <c r="AR430" s="3">
        <f t="shared" si="753"/>
        <v>99668.74000000002</v>
      </c>
      <c r="AT430" s="8">
        <f>IF(AR430=0,0,+AR430/PassVol!AR544)</f>
        <v>11.738162760570019</v>
      </c>
    </row>
    <row r="431" spans="1:47" x14ac:dyDescent="0.25">
      <c r="C431" t="s">
        <v>192</v>
      </c>
      <c r="D431" s="1">
        <f t="shared" ref="D431" si="785">+D384+D407</f>
        <v>0</v>
      </c>
      <c r="E431" s="1">
        <f t="shared" ref="E431:J431" si="786">+E384+E407</f>
        <v>0</v>
      </c>
      <c r="F431" s="1">
        <f t="shared" si="786"/>
        <v>0</v>
      </c>
      <c r="G431" s="1">
        <f t="shared" si="786"/>
        <v>0</v>
      </c>
      <c r="H431" s="1">
        <f t="shared" si="786"/>
        <v>0</v>
      </c>
      <c r="I431" s="1">
        <f t="shared" si="786"/>
        <v>0</v>
      </c>
      <c r="J431" s="1">
        <f t="shared" si="786"/>
        <v>0</v>
      </c>
      <c r="K431" s="1">
        <f t="shared" ref="K431:AQ431" si="787">+K384+K407</f>
        <v>0</v>
      </c>
      <c r="L431" s="1">
        <f t="shared" si="787"/>
        <v>0</v>
      </c>
      <c r="M431" s="1">
        <f t="shared" si="787"/>
        <v>16562.52</v>
      </c>
      <c r="N431" s="1">
        <f t="shared" si="787"/>
        <v>1548.5</v>
      </c>
      <c r="O431" s="1">
        <f t="shared" si="787"/>
        <v>4303.26</v>
      </c>
      <c r="P431" s="1">
        <f t="shared" si="787"/>
        <v>9748.8000000000011</v>
      </c>
      <c r="Q431" s="1">
        <f t="shared" si="787"/>
        <v>22819.48</v>
      </c>
      <c r="R431" s="1">
        <f t="shared" si="787"/>
        <v>19730.68</v>
      </c>
      <c r="S431" s="1">
        <f t="shared" si="787"/>
        <v>8263.5700000000015</v>
      </c>
      <c r="T431" s="1">
        <f t="shared" si="787"/>
        <v>7095.3</v>
      </c>
      <c r="U431" s="1">
        <f t="shared" si="787"/>
        <v>17350.960000000003</v>
      </c>
      <c r="V431" s="1">
        <f t="shared" si="787"/>
        <v>2767.5599999999995</v>
      </c>
      <c r="W431" s="1">
        <f t="shared" si="787"/>
        <v>10258.039999999999</v>
      </c>
      <c r="X431" s="1">
        <f t="shared" si="787"/>
        <v>3996.24</v>
      </c>
      <c r="Y431" s="1">
        <f t="shared" si="787"/>
        <v>6517.3200000000006</v>
      </c>
      <c r="Z431" s="1">
        <f t="shared" si="787"/>
        <v>-358.91999999999996</v>
      </c>
      <c r="AA431" s="1">
        <f t="shared" si="787"/>
        <v>66.600000000000009</v>
      </c>
      <c r="AB431" s="1">
        <f t="shared" si="787"/>
        <v>-194.04</v>
      </c>
      <c r="AC431" s="1">
        <f t="shared" si="787"/>
        <v>108.72</v>
      </c>
      <c r="AD431" s="1">
        <f t="shared" si="787"/>
        <v>0</v>
      </c>
      <c r="AE431" s="1">
        <f t="shared" si="787"/>
        <v>0</v>
      </c>
      <c r="AF431" s="1">
        <f t="shared" si="787"/>
        <v>-72.960000000000008</v>
      </c>
      <c r="AG431" s="1">
        <f t="shared" si="787"/>
        <v>-704.68</v>
      </c>
      <c r="AH431" s="1">
        <f t="shared" si="787"/>
        <v>0</v>
      </c>
      <c r="AI431" s="1">
        <f t="shared" si="787"/>
        <v>0</v>
      </c>
      <c r="AJ431" s="1">
        <f t="shared" si="787"/>
        <v>0</v>
      </c>
      <c r="AK431" s="1">
        <f t="shared" si="787"/>
        <v>0</v>
      </c>
      <c r="AL431" s="1">
        <f t="shared" si="787"/>
        <v>0</v>
      </c>
      <c r="AM431" s="1">
        <f t="shared" si="787"/>
        <v>0</v>
      </c>
      <c r="AN431" s="1">
        <f t="shared" si="787"/>
        <v>0</v>
      </c>
      <c r="AO431" s="1">
        <f t="shared" si="787"/>
        <v>0</v>
      </c>
      <c r="AP431" s="1">
        <f t="shared" si="787"/>
        <v>0</v>
      </c>
      <c r="AQ431" s="1">
        <f t="shared" si="787"/>
        <v>0</v>
      </c>
      <c r="AR431" s="3">
        <f t="shared" si="753"/>
        <v>129806.95000000004</v>
      </c>
      <c r="AT431" s="8">
        <f>IF(AR431=0,0,+AR431/PassVol!AR545)</f>
        <v>11.38757347135714</v>
      </c>
    </row>
    <row r="432" spans="1:47" x14ac:dyDescent="0.25">
      <c r="C432" t="s">
        <v>133</v>
      </c>
      <c r="D432" s="1">
        <f t="shared" ref="D432" si="788">+D385+D408</f>
        <v>0</v>
      </c>
      <c r="E432" s="1">
        <f t="shared" ref="E432:J432" si="789">+E385+E408</f>
        <v>0</v>
      </c>
      <c r="F432" s="1">
        <f t="shared" si="789"/>
        <v>0</v>
      </c>
      <c r="G432" s="1">
        <f t="shared" si="789"/>
        <v>0</v>
      </c>
      <c r="H432" s="1">
        <f t="shared" si="789"/>
        <v>0</v>
      </c>
      <c r="I432" s="1">
        <f t="shared" si="789"/>
        <v>0</v>
      </c>
      <c r="J432" s="1">
        <f t="shared" si="789"/>
        <v>0</v>
      </c>
      <c r="K432" s="1">
        <f t="shared" ref="K432:AQ432" si="790">+K385+K408</f>
        <v>0</v>
      </c>
      <c r="L432" s="1">
        <f t="shared" si="790"/>
        <v>475.2</v>
      </c>
      <c r="M432" s="1">
        <f t="shared" si="790"/>
        <v>874.80000000000007</v>
      </c>
      <c r="N432" s="1">
        <f t="shared" si="790"/>
        <v>1740.96</v>
      </c>
      <c r="O432" s="1">
        <f t="shared" si="790"/>
        <v>2234.8799999999997</v>
      </c>
      <c r="P432" s="1">
        <f t="shared" si="790"/>
        <v>5077.9799999999996</v>
      </c>
      <c r="Q432" s="1">
        <f t="shared" si="790"/>
        <v>5264.19</v>
      </c>
      <c r="R432" s="1">
        <f t="shared" si="790"/>
        <v>3265.2</v>
      </c>
      <c r="S432" s="1">
        <f t="shared" si="790"/>
        <v>5426.98</v>
      </c>
      <c r="T432" s="1">
        <f t="shared" si="790"/>
        <v>6352.56</v>
      </c>
      <c r="U432" s="1">
        <f t="shared" si="790"/>
        <v>4835.8799999999992</v>
      </c>
      <c r="V432" s="1">
        <f t="shared" si="790"/>
        <v>2159.7600000000002</v>
      </c>
      <c r="W432" s="1">
        <f t="shared" si="790"/>
        <v>2852.62</v>
      </c>
      <c r="X432" s="1">
        <f t="shared" si="790"/>
        <v>2807.0200000000004</v>
      </c>
      <c r="Y432" s="1">
        <f t="shared" si="790"/>
        <v>2452.6800000000003</v>
      </c>
      <c r="Z432" s="1">
        <f t="shared" si="790"/>
        <v>572.4</v>
      </c>
      <c r="AA432" s="1">
        <f t="shared" si="790"/>
        <v>704.52</v>
      </c>
      <c r="AB432" s="1">
        <f t="shared" si="790"/>
        <v>613.44000000000005</v>
      </c>
      <c r="AC432" s="1">
        <f t="shared" si="790"/>
        <v>70.199999999999989</v>
      </c>
      <c r="AD432" s="1">
        <f t="shared" si="790"/>
        <v>0</v>
      </c>
      <c r="AE432" s="1">
        <f t="shared" si="790"/>
        <v>0</v>
      </c>
      <c r="AF432" s="1">
        <f t="shared" si="790"/>
        <v>0</v>
      </c>
      <c r="AG432" s="1">
        <f t="shared" si="790"/>
        <v>0</v>
      </c>
      <c r="AH432" s="1">
        <f t="shared" si="790"/>
        <v>0</v>
      </c>
      <c r="AI432" s="1">
        <f t="shared" si="790"/>
        <v>0</v>
      </c>
      <c r="AJ432" s="1">
        <f t="shared" si="790"/>
        <v>0</v>
      </c>
      <c r="AK432" s="1">
        <f t="shared" si="790"/>
        <v>0</v>
      </c>
      <c r="AL432" s="1">
        <f t="shared" si="790"/>
        <v>0</v>
      </c>
      <c r="AM432" s="1">
        <f t="shared" si="790"/>
        <v>0</v>
      </c>
      <c r="AN432" s="1">
        <f t="shared" si="790"/>
        <v>0</v>
      </c>
      <c r="AO432" s="1">
        <f t="shared" si="790"/>
        <v>0</v>
      </c>
      <c r="AP432" s="1">
        <f t="shared" si="790"/>
        <v>0</v>
      </c>
      <c r="AQ432" s="1">
        <f t="shared" si="790"/>
        <v>0</v>
      </c>
      <c r="AR432" s="3">
        <f t="shared" si="753"/>
        <v>47781.26999999999</v>
      </c>
      <c r="AT432" s="8">
        <f>IF(AR432=0,0,+AR432/PassVol!AR546)</f>
        <v>14.3229226618705</v>
      </c>
    </row>
    <row r="433" spans="1:47" x14ac:dyDescent="0.25">
      <c r="C433" t="s">
        <v>41</v>
      </c>
      <c r="D433" s="1">
        <f t="shared" ref="D433" si="791">+D386+D409</f>
        <v>0</v>
      </c>
      <c r="E433" s="1">
        <f t="shared" ref="E433:J433" si="792">+E386+E409</f>
        <v>0</v>
      </c>
      <c r="F433" s="1">
        <f t="shared" si="792"/>
        <v>0</v>
      </c>
      <c r="G433" s="1">
        <f t="shared" si="792"/>
        <v>0</v>
      </c>
      <c r="H433" s="1">
        <f t="shared" si="792"/>
        <v>0</v>
      </c>
      <c r="I433" s="1">
        <f t="shared" si="792"/>
        <v>0</v>
      </c>
      <c r="J433" s="1">
        <f t="shared" si="792"/>
        <v>0</v>
      </c>
      <c r="K433" s="1">
        <f t="shared" ref="K433:AQ433" si="793">+K386+K409</f>
        <v>0</v>
      </c>
      <c r="L433" s="1">
        <f t="shared" si="793"/>
        <v>2178</v>
      </c>
      <c r="M433" s="1">
        <f t="shared" si="793"/>
        <v>10754.64</v>
      </c>
      <c r="N433" s="1">
        <f t="shared" si="793"/>
        <v>4499.28</v>
      </c>
      <c r="O433" s="1">
        <f t="shared" si="793"/>
        <v>12401.28</v>
      </c>
      <c r="P433" s="1">
        <f t="shared" si="793"/>
        <v>18608.520000000004</v>
      </c>
      <c r="Q433" s="1">
        <f t="shared" si="793"/>
        <v>46154.38</v>
      </c>
      <c r="R433" s="1">
        <f t="shared" si="793"/>
        <v>30867.599999999999</v>
      </c>
      <c r="S433" s="1">
        <f t="shared" si="793"/>
        <v>30873.719999999998</v>
      </c>
      <c r="T433" s="1">
        <f t="shared" si="793"/>
        <v>35277.56</v>
      </c>
      <c r="U433" s="1">
        <f t="shared" si="793"/>
        <v>41604.020000000004</v>
      </c>
      <c r="V433" s="1">
        <f t="shared" si="793"/>
        <v>13330.779999999999</v>
      </c>
      <c r="W433" s="1">
        <f t="shared" si="793"/>
        <v>19667.96</v>
      </c>
      <c r="X433" s="1">
        <f t="shared" si="793"/>
        <v>20227.319999999996</v>
      </c>
      <c r="Y433" s="1">
        <f t="shared" si="793"/>
        <v>17812.98</v>
      </c>
      <c r="Z433" s="1">
        <f t="shared" si="793"/>
        <v>2776.5400000000004</v>
      </c>
      <c r="AA433" s="1">
        <f t="shared" si="793"/>
        <v>1078.92</v>
      </c>
      <c r="AB433" s="1">
        <f t="shared" si="793"/>
        <v>477.35999999999996</v>
      </c>
      <c r="AC433" s="1">
        <f t="shared" si="793"/>
        <v>171.72</v>
      </c>
      <c r="AD433" s="1">
        <f t="shared" si="793"/>
        <v>-86.399999999999991</v>
      </c>
      <c r="AE433" s="1">
        <f t="shared" si="793"/>
        <v>-85.8</v>
      </c>
      <c r="AF433" s="1">
        <f t="shared" si="793"/>
        <v>0</v>
      </c>
      <c r="AG433" s="1">
        <f t="shared" si="793"/>
        <v>-59</v>
      </c>
      <c r="AH433" s="1">
        <f t="shared" si="793"/>
        <v>0</v>
      </c>
      <c r="AI433" s="1">
        <f t="shared" si="793"/>
        <v>0</v>
      </c>
      <c r="AJ433" s="1">
        <f t="shared" si="793"/>
        <v>0</v>
      </c>
      <c r="AK433" s="1">
        <f t="shared" si="793"/>
        <v>0</v>
      </c>
      <c r="AL433" s="1">
        <f t="shared" si="793"/>
        <v>0</v>
      </c>
      <c r="AM433" s="1">
        <f t="shared" si="793"/>
        <v>0</v>
      </c>
      <c r="AN433" s="1">
        <f t="shared" si="793"/>
        <v>0</v>
      </c>
      <c r="AO433" s="1">
        <f t="shared" si="793"/>
        <v>0</v>
      </c>
      <c r="AP433" s="1">
        <f t="shared" si="793"/>
        <v>0</v>
      </c>
      <c r="AQ433" s="1">
        <f t="shared" si="793"/>
        <v>0</v>
      </c>
      <c r="AR433" s="3">
        <f t="shared" si="753"/>
        <v>308531.38</v>
      </c>
      <c r="AT433" s="8">
        <f>IF(AR433=0,0,+AR433/PassVol!AR547)</f>
        <v>10.419133459408348</v>
      </c>
    </row>
    <row r="434" spans="1:47" x14ac:dyDescent="0.25">
      <c r="C434" t="s">
        <v>193</v>
      </c>
      <c r="D434" s="1">
        <f t="shared" ref="D434" si="794">+D387+D410</f>
        <v>0</v>
      </c>
      <c r="E434" s="1">
        <f t="shared" ref="E434:J434" si="795">+E387+E410</f>
        <v>0</v>
      </c>
      <c r="F434" s="1">
        <f t="shared" si="795"/>
        <v>0</v>
      </c>
      <c r="G434" s="1">
        <f t="shared" si="795"/>
        <v>0</v>
      </c>
      <c r="H434" s="1">
        <f t="shared" si="795"/>
        <v>0</v>
      </c>
      <c r="I434" s="1">
        <f t="shared" si="795"/>
        <v>0</v>
      </c>
      <c r="J434" s="1">
        <f t="shared" si="795"/>
        <v>0</v>
      </c>
      <c r="K434" s="1">
        <f t="shared" ref="K434:AQ434" si="796">+K387+K410</f>
        <v>0</v>
      </c>
      <c r="L434" s="1">
        <f t="shared" si="796"/>
        <v>0</v>
      </c>
      <c r="M434" s="1">
        <f t="shared" si="796"/>
        <v>0</v>
      </c>
      <c r="N434" s="1">
        <f t="shared" si="796"/>
        <v>0</v>
      </c>
      <c r="O434" s="1">
        <f t="shared" si="796"/>
        <v>0</v>
      </c>
      <c r="P434" s="1">
        <f t="shared" si="796"/>
        <v>0</v>
      </c>
      <c r="Q434" s="1">
        <f t="shared" si="796"/>
        <v>0</v>
      </c>
      <c r="R434" s="1">
        <f t="shared" si="796"/>
        <v>0</v>
      </c>
      <c r="S434" s="1">
        <f t="shared" si="796"/>
        <v>0</v>
      </c>
      <c r="T434" s="1">
        <f t="shared" si="796"/>
        <v>0</v>
      </c>
      <c r="U434" s="1">
        <f t="shared" si="796"/>
        <v>0</v>
      </c>
      <c r="V434" s="1">
        <f t="shared" si="796"/>
        <v>0</v>
      </c>
      <c r="W434" s="1">
        <f t="shared" si="796"/>
        <v>0</v>
      </c>
      <c r="X434" s="1">
        <f t="shared" si="796"/>
        <v>0</v>
      </c>
      <c r="Y434" s="1">
        <f t="shared" si="796"/>
        <v>0</v>
      </c>
      <c r="Z434" s="1">
        <f t="shared" si="796"/>
        <v>0</v>
      </c>
      <c r="AA434" s="1">
        <f t="shared" si="796"/>
        <v>0</v>
      </c>
      <c r="AB434" s="1">
        <f t="shared" si="796"/>
        <v>0</v>
      </c>
      <c r="AC434" s="1">
        <f t="shared" si="796"/>
        <v>0</v>
      </c>
      <c r="AD434" s="1">
        <f t="shared" si="796"/>
        <v>0</v>
      </c>
      <c r="AE434" s="1">
        <f t="shared" si="796"/>
        <v>0</v>
      </c>
      <c r="AF434" s="1">
        <f t="shared" si="796"/>
        <v>0</v>
      </c>
      <c r="AG434" s="1">
        <f t="shared" si="796"/>
        <v>0</v>
      </c>
      <c r="AH434" s="1">
        <f t="shared" si="796"/>
        <v>0</v>
      </c>
      <c r="AI434" s="1">
        <f t="shared" si="796"/>
        <v>0</v>
      </c>
      <c r="AJ434" s="1">
        <f t="shared" si="796"/>
        <v>0</v>
      </c>
      <c r="AK434" s="1">
        <f t="shared" si="796"/>
        <v>0</v>
      </c>
      <c r="AL434" s="1">
        <f t="shared" si="796"/>
        <v>0</v>
      </c>
      <c r="AM434" s="1">
        <f t="shared" si="796"/>
        <v>0</v>
      </c>
      <c r="AN434" s="1">
        <f t="shared" si="796"/>
        <v>0</v>
      </c>
      <c r="AO434" s="1">
        <f t="shared" si="796"/>
        <v>0</v>
      </c>
      <c r="AP434" s="1">
        <f t="shared" si="796"/>
        <v>0</v>
      </c>
      <c r="AQ434" s="1">
        <f t="shared" si="796"/>
        <v>0</v>
      </c>
      <c r="AR434" s="3">
        <f t="shared" si="753"/>
        <v>0</v>
      </c>
      <c r="AT434" s="8">
        <f>IF(AR434=0,0,+AR434/PassVol!AR548)</f>
        <v>0</v>
      </c>
    </row>
    <row r="435" spans="1:47" x14ac:dyDescent="0.25">
      <c r="C435" t="s">
        <v>297</v>
      </c>
      <c r="D435" s="1">
        <f t="shared" ref="D435" si="797">+D388+D411</f>
        <v>0</v>
      </c>
      <c r="E435" s="1">
        <f t="shared" ref="E435:J435" si="798">+E388+E411</f>
        <v>0</v>
      </c>
      <c r="F435" s="1">
        <f t="shared" si="798"/>
        <v>0</v>
      </c>
      <c r="G435" s="1">
        <f t="shared" si="798"/>
        <v>0</v>
      </c>
      <c r="H435" s="1">
        <f t="shared" si="798"/>
        <v>0</v>
      </c>
      <c r="I435" s="1">
        <f t="shared" si="798"/>
        <v>0</v>
      </c>
      <c r="J435" s="1">
        <f t="shared" si="798"/>
        <v>0</v>
      </c>
      <c r="K435" s="1">
        <f t="shared" ref="K435:AQ435" si="799">+K388+K411</f>
        <v>0</v>
      </c>
      <c r="L435" s="1">
        <f t="shared" si="799"/>
        <v>0</v>
      </c>
      <c r="M435" s="1">
        <f t="shared" si="799"/>
        <v>0</v>
      </c>
      <c r="N435" s="1">
        <f t="shared" si="799"/>
        <v>0</v>
      </c>
      <c r="O435" s="1">
        <f t="shared" si="799"/>
        <v>0</v>
      </c>
      <c r="P435" s="1">
        <f t="shared" si="799"/>
        <v>0</v>
      </c>
      <c r="Q435" s="1">
        <f t="shared" si="799"/>
        <v>0</v>
      </c>
      <c r="R435" s="1">
        <f t="shared" si="799"/>
        <v>0</v>
      </c>
      <c r="S435" s="1">
        <f t="shared" si="799"/>
        <v>0</v>
      </c>
      <c r="T435" s="1">
        <f t="shared" si="799"/>
        <v>0</v>
      </c>
      <c r="U435" s="1">
        <f t="shared" si="799"/>
        <v>0</v>
      </c>
      <c r="V435" s="1">
        <f t="shared" si="799"/>
        <v>0</v>
      </c>
      <c r="W435" s="1">
        <f t="shared" si="799"/>
        <v>0</v>
      </c>
      <c r="X435" s="1">
        <f t="shared" si="799"/>
        <v>0</v>
      </c>
      <c r="Y435" s="1">
        <f t="shared" si="799"/>
        <v>0</v>
      </c>
      <c r="Z435" s="1">
        <f t="shared" si="799"/>
        <v>0</v>
      </c>
      <c r="AA435" s="1">
        <f t="shared" si="799"/>
        <v>0</v>
      </c>
      <c r="AB435" s="1">
        <f t="shared" si="799"/>
        <v>0</v>
      </c>
      <c r="AC435" s="1">
        <f t="shared" si="799"/>
        <v>0</v>
      </c>
      <c r="AD435" s="1">
        <f t="shared" si="799"/>
        <v>0</v>
      </c>
      <c r="AE435" s="1">
        <f t="shared" si="799"/>
        <v>0</v>
      </c>
      <c r="AF435" s="1">
        <f t="shared" si="799"/>
        <v>0</v>
      </c>
      <c r="AG435" s="1">
        <f t="shared" si="799"/>
        <v>0</v>
      </c>
      <c r="AH435" s="1">
        <f t="shared" si="799"/>
        <v>0</v>
      </c>
      <c r="AI435" s="1">
        <f t="shared" si="799"/>
        <v>0</v>
      </c>
      <c r="AJ435" s="1">
        <f t="shared" si="799"/>
        <v>0</v>
      </c>
      <c r="AK435" s="1">
        <f t="shared" si="799"/>
        <v>0</v>
      </c>
      <c r="AL435" s="1">
        <f t="shared" si="799"/>
        <v>0</v>
      </c>
      <c r="AM435" s="1">
        <f t="shared" si="799"/>
        <v>0</v>
      </c>
      <c r="AN435" s="1">
        <f t="shared" si="799"/>
        <v>0</v>
      </c>
      <c r="AO435" s="1">
        <f t="shared" si="799"/>
        <v>0</v>
      </c>
      <c r="AP435" s="1">
        <f t="shared" si="799"/>
        <v>0</v>
      </c>
      <c r="AQ435" s="1">
        <f t="shared" si="799"/>
        <v>0</v>
      </c>
      <c r="AR435" s="3">
        <f t="shared" si="753"/>
        <v>0</v>
      </c>
      <c r="AT435" s="8">
        <f>IF(AR435=0,0,+AR435/PassVol!AR549)</f>
        <v>0</v>
      </c>
    </row>
    <row r="436" spans="1:47" x14ac:dyDescent="0.25">
      <c r="C436" t="s">
        <v>296</v>
      </c>
      <c r="D436" s="1">
        <f t="shared" ref="D436" si="800">+D389+D412</f>
        <v>0</v>
      </c>
      <c r="E436" s="1">
        <f t="shared" ref="E436:J436" si="801">+E389+E412</f>
        <v>0</v>
      </c>
      <c r="F436" s="1">
        <f t="shared" si="801"/>
        <v>0</v>
      </c>
      <c r="G436" s="1">
        <f t="shared" si="801"/>
        <v>0</v>
      </c>
      <c r="H436" s="1">
        <f t="shared" si="801"/>
        <v>0</v>
      </c>
      <c r="I436" s="1">
        <f t="shared" si="801"/>
        <v>0</v>
      </c>
      <c r="J436" s="1">
        <f t="shared" si="801"/>
        <v>0</v>
      </c>
      <c r="K436" s="1">
        <f t="shared" ref="K436:AQ436" si="802">+K389+K412</f>
        <v>0</v>
      </c>
      <c r="L436" s="1">
        <f t="shared" si="802"/>
        <v>0</v>
      </c>
      <c r="M436" s="1">
        <f t="shared" si="802"/>
        <v>559.07999999999993</v>
      </c>
      <c r="N436" s="1">
        <f t="shared" si="802"/>
        <v>977.40000000000009</v>
      </c>
      <c r="O436" s="1">
        <f t="shared" si="802"/>
        <v>1090.9199999999998</v>
      </c>
      <c r="P436" s="1">
        <f t="shared" si="802"/>
        <v>1572.48</v>
      </c>
      <c r="Q436" s="1">
        <f t="shared" si="802"/>
        <v>1736.6399999999999</v>
      </c>
      <c r="R436" s="1">
        <f t="shared" si="802"/>
        <v>2141.4</v>
      </c>
      <c r="S436" s="1">
        <f t="shared" si="802"/>
        <v>3043.64</v>
      </c>
      <c r="T436" s="1">
        <f t="shared" si="802"/>
        <v>3110</v>
      </c>
      <c r="U436" s="1">
        <f t="shared" si="802"/>
        <v>3466.02</v>
      </c>
      <c r="V436" s="1">
        <f t="shared" si="802"/>
        <v>1642.5</v>
      </c>
      <c r="W436" s="1">
        <f t="shared" si="802"/>
        <v>1527.6599999999999</v>
      </c>
      <c r="X436" s="1">
        <f t="shared" si="802"/>
        <v>807.90000000000009</v>
      </c>
      <c r="Y436" s="1">
        <f t="shared" si="802"/>
        <v>899.40000000000009</v>
      </c>
      <c r="Z436" s="1">
        <f t="shared" si="802"/>
        <v>235.32</v>
      </c>
      <c r="AA436" s="1">
        <f t="shared" si="802"/>
        <v>691.19999999999993</v>
      </c>
      <c r="AB436" s="1">
        <f t="shared" si="802"/>
        <v>183.60000000000002</v>
      </c>
      <c r="AC436" s="1">
        <f t="shared" si="802"/>
        <v>56.16</v>
      </c>
      <c r="AD436" s="1">
        <f t="shared" si="802"/>
        <v>0</v>
      </c>
      <c r="AE436" s="1">
        <f t="shared" si="802"/>
        <v>0</v>
      </c>
      <c r="AF436" s="1">
        <f t="shared" si="802"/>
        <v>0</v>
      </c>
      <c r="AG436" s="1">
        <f t="shared" si="802"/>
        <v>0</v>
      </c>
      <c r="AH436" s="1">
        <f t="shared" si="802"/>
        <v>0</v>
      </c>
      <c r="AI436" s="1">
        <f t="shared" si="802"/>
        <v>0</v>
      </c>
      <c r="AJ436" s="1">
        <f t="shared" si="802"/>
        <v>-14.04</v>
      </c>
      <c r="AK436" s="1">
        <f t="shared" si="802"/>
        <v>0</v>
      </c>
      <c r="AL436" s="1">
        <f t="shared" si="802"/>
        <v>0</v>
      </c>
      <c r="AM436" s="1">
        <f t="shared" si="802"/>
        <v>0</v>
      </c>
      <c r="AN436" s="1">
        <f t="shared" si="802"/>
        <v>0</v>
      </c>
      <c r="AO436" s="1">
        <f t="shared" si="802"/>
        <v>0</v>
      </c>
      <c r="AP436" s="1">
        <f t="shared" si="802"/>
        <v>0</v>
      </c>
      <c r="AQ436" s="1">
        <f t="shared" si="802"/>
        <v>0</v>
      </c>
      <c r="AR436" s="3">
        <f t="shared" si="753"/>
        <v>23727.279999999999</v>
      </c>
      <c r="AT436" s="8">
        <f>IF(AR436=0,0,+AR436/PassVol!AR550)</f>
        <v>10.995032437442076</v>
      </c>
    </row>
    <row r="437" spans="1:47" x14ac:dyDescent="0.25">
      <c r="C437" t="s">
        <v>44</v>
      </c>
      <c r="D437" s="1">
        <f t="shared" ref="D437:J437" si="803">+D390+D413+D414</f>
        <v>0</v>
      </c>
      <c r="E437" s="1">
        <f t="shared" si="803"/>
        <v>0</v>
      </c>
      <c r="F437" s="1">
        <f t="shared" si="803"/>
        <v>0</v>
      </c>
      <c r="G437" s="1">
        <f t="shared" si="803"/>
        <v>0</v>
      </c>
      <c r="H437" s="1">
        <f t="shared" si="803"/>
        <v>0</v>
      </c>
      <c r="I437" s="1">
        <f t="shared" si="803"/>
        <v>0</v>
      </c>
      <c r="J437" s="1">
        <f t="shared" si="803"/>
        <v>0</v>
      </c>
      <c r="K437" s="1">
        <f t="shared" ref="K437:AQ437" si="804">+K390+K413+K414</f>
        <v>0</v>
      </c>
      <c r="L437" s="1">
        <f t="shared" si="804"/>
        <v>15879.240000000002</v>
      </c>
      <c r="M437" s="1">
        <f t="shared" si="804"/>
        <v>36570.659999999996</v>
      </c>
      <c r="N437" s="1">
        <f t="shared" si="804"/>
        <v>33612.200000000004</v>
      </c>
      <c r="O437" s="1">
        <f t="shared" si="804"/>
        <v>59635.749999999993</v>
      </c>
      <c r="P437" s="1">
        <f t="shared" si="804"/>
        <v>84349.34</v>
      </c>
      <c r="Q437" s="1">
        <f t="shared" si="804"/>
        <v>122305.18999999999</v>
      </c>
      <c r="R437" s="1">
        <f t="shared" si="804"/>
        <v>126893.02000000002</v>
      </c>
      <c r="S437" s="1">
        <f t="shared" si="804"/>
        <v>149427.46000000002</v>
      </c>
      <c r="T437" s="1">
        <f t="shared" si="804"/>
        <v>138456.93999999997</v>
      </c>
      <c r="U437" s="1">
        <f t="shared" si="804"/>
        <v>135512.07</v>
      </c>
      <c r="V437" s="1">
        <f t="shared" si="804"/>
        <v>90426.000000000015</v>
      </c>
      <c r="W437" s="1">
        <f t="shared" si="804"/>
        <v>89870.939999999988</v>
      </c>
      <c r="X437" s="1">
        <f t="shared" si="804"/>
        <v>56953.62</v>
      </c>
      <c r="Y437" s="1">
        <f t="shared" si="804"/>
        <v>31591.380000000005</v>
      </c>
      <c r="Z437" s="1">
        <f t="shared" si="804"/>
        <v>5762.050000000002</v>
      </c>
      <c r="AA437" s="1">
        <f t="shared" si="804"/>
        <v>6923.12</v>
      </c>
      <c r="AB437" s="1">
        <f t="shared" si="804"/>
        <v>3155.8099999999995</v>
      </c>
      <c r="AC437" s="1">
        <f t="shared" si="804"/>
        <v>-507.84</v>
      </c>
      <c r="AD437" s="1">
        <f t="shared" si="804"/>
        <v>-23.419999999999959</v>
      </c>
      <c r="AE437" s="1">
        <f t="shared" si="804"/>
        <v>-472.28</v>
      </c>
      <c r="AF437" s="1">
        <f t="shared" si="804"/>
        <v>-42.120000000000005</v>
      </c>
      <c r="AG437" s="1">
        <f t="shared" si="804"/>
        <v>-18.450000000000045</v>
      </c>
      <c r="AH437" s="1">
        <f t="shared" si="804"/>
        <v>0</v>
      </c>
      <c r="AI437" s="1">
        <f t="shared" si="804"/>
        <v>-413.53999999999996</v>
      </c>
      <c r="AJ437" s="1">
        <f t="shared" si="804"/>
        <v>0</v>
      </c>
      <c r="AK437" s="1">
        <f t="shared" si="804"/>
        <v>-252.423</v>
      </c>
      <c r="AL437" s="1">
        <f t="shared" si="804"/>
        <v>0</v>
      </c>
      <c r="AM437" s="1">
        <f t="shared" si="804"/>
        <v>-4.92</v>
      </c>
      <c r="AN437" s="1">
        <f t="shared" si="804"/>
        <v>0</v>
      </c>
      <c r="AO437" s="1">
        <f t="shared" si="804"/>
        <v>0</v>
      </c>
      <c r="AP437" s="1">
        <f t="shared" si="804"/>
        <v>0</v>
      </c>
      <c r="AQ437" s="1">
        <f t="shared" si="804"/>
        <v>0</v>
      </c>
      <c r="AR437" s="3">
        <f>+AR390+AR413+AR414</f>
        <v>1185589.7970000003</v>
      </c>
      <c r="AT437" s="8">
        <f>IF(AR437=0,0,+AR437/PassVol!AR551)</f>
        <v>10.984701309169751</v>
      </c>
    </row>
    <row r="438" spans="1:47" s="2" customFormat="1" x14ac:dyDescent="0.25">
      <c r="A438" s="2" t="s">
        <v>153</v>
      </c>
      <c r="D438" s="3">
        <f t="shared" ref="D438:AR438" si="805">SUM(D419:D437)</f>
        <v>0</v>
      </c>
      <c r="E438" s="3">
        <f t="shared" ref="E438:J438" si="806">SUM(E419:E437)</f>
        <v>0</v>
      </c>
      <c r="F438" s="3">
        <f t="shared" si="806"/>
        <v>0</v>
      </c>
      <c r="G438" s="3">
        <f t="shared" si="806"/>
        <v>0</v>
      </c>
      <c r="H438" s="3">
        <f t="shared" si="806"/>
        <v>0</v>
      </c>
      <c r="I438" s="3">
        <f t="shared" si="806"/>
        <v>0</v>
      </c>
      <c r="J438" s="3">
        <f t="shared" si="806"/>
        <v>0</v>
      </c>
      <c r="K438" s="3">
        <f t="shared" si="805"/>
        <v>0</v>
      </c>
      <c r="L438" s="3">
        <f t="shared" si="805"/>
        <v>29162.880000000001</v>
      </c>
      <c r="M438" s="3">
        <f t="shared" si="805"/>
        <v>132412.56</v>
      </c>
      <c r="N438" s="3">
        <f t="shared" si="805"/>
        <v>79366.22</v>
      </c>
      <c r="O438" s="3">
        <f t="shared" si="805"/>
        <v>123167.51999999999</v>
      </c>
      <c r="P438" s="3">
        <f t="shared" si="805"/>
        <v>194383.94</v>
      </c>
      <c r="Q438" s="3">
        <f t="shared" si="805"/>
        <v>444205.17000000004</v>
      </c>
      <c r="R438" s="3">
        <f t="shared" si="805"/>
        <v>357143.44</v>
      </c>
      <c r="S438" s="3">
        <f t="shared" si="805"/>
        <v>384189.64</v>
      </c>
      <c r="T438" s="3">
        <f t="shared" si="805"/>
        <v>364048.77999999997</v>
      </c>
      <c r="U438" s="3">
        <f t="shared" si="805"/>
        <v>343216.87</v>
      </c>
      <c r="V438" s="3">
        <f t="shared" si="805"/>
        <v>184103.34000000003</v>
      </c>
      <c r="W438" s="3">
        <f t="shared" si="805"/>
        <v>208763.95999999996</v>
      </c>
      <c r="X438" s="3">
        <f t="shared" si="805"/>
        <v>151968.9</v>
      </c>
      <c r="Y438" s="3">
        <f t="shared" si="805"/>
        <v>116893.00000000001</v>
      </c>
      <c r="Z438" s="3">
        <f t="shared" si="805"/>
        <v>31343.930000000008</v>
      </c>
      <c r="AA438" s="3">
        <f t="shared" si="805"/>
        <v>18068.720000000005</v>
      </c>
      <c r="AB438" s="3">
        <f t="shared" si="805"/>
        <v>5880.9</v>
      </c>
      <c r="AC438" s="3">
        <f t="shared" ref="AC438" si="807">SUM(AC419:AC437)</f>
        <v>100.9199999999999</v>
      </c>
      <c r="AD438" s="3">
        <f t="shared" si="805"/>
        <v>-311.43999999999994</v>
      </c>
      <c r="AE438" s="3">
        <f t="shared" si="805"/>
        <v>-587.24</v>
      </c>
      <c r="AF438" s="3">
        <f t="shared" si="805"/>
        <v>-129.12</v>
      </c>
      <c r="AG438" s="3">
        <f t="shared" si="805"/>
        <v>-799.36</v>
      </c>
      <c r="AH438" s="3">
        <f t="shared" si="805"/>
        <v>0</v>
      </c>
      <c r="AI438" s="3">
        <f t="shared" si="805"/>
        <v>-887.48</v>
      </c>
      <c r="AJ438" s="3">
        <f t="shared" si="805"/>
        <v>-14.04</v>
      </c>
      <c r="AK438" s="3">
        <f t="shared" si="805"/>
        <v>-252.423</v>
      </c>
      <c r="AL438" s="3">
        <f t="shared" si="805"/>
        <v>0</v>
      </c>
      <c r="AM438" s="3">
        <f t="shared" si="805"/>
        <v>-13.44</v>
      </c>
      <c r="AN438" s="3">
        <f t="shared" si="805"/>
        <v>-461.16</v>
      </c>
      <c r="AO438" s="3">
        <f t="shared" si="805"/>
        <v>0</v>
      </c>
      <c r="AP438" s="3">
        <f t="shared" si="805"/>
        <v>-10.65</v>
      </c>
      <c r="AQ438" s="3">
        <f t="shared" si="805"/>
        <v>-88.02000000000001</v>
      </c>
      <c r="AR438" s="3">
        <f t="shared" si="805"/>
        <v>3164866.3169999998</v>
      </c>
      <c r="AS438" s="3"/>
      <c r="AT438" s="9">
        <f>IF(AR438=0,0,+AR438/PassVol!AR552)</f>
        <v>10.346690282527248</v>
      </c>
      <c r="AU438" s="61"/>
    </row>
    <row r="439" spans="1:47" s="24" customFormat="1" x14ac:dyDescent="0.25">
      <c r="A439" s="23"/>
      <c r="B439" s="23"/>
      <c r="C439" s="27" t="s">
        <v>102</v>
      </c>
      <c r="D439" s="25">
        <f>+D438</f>
        <v>0</v>
      </c>
      <c r="E439" s="25">
        <f>+D439+E438</f>
        <v>0</v>
      </c>
      <c r="F439" s="25">
        <f t="shared" ref="F439" si="808">+E439+F438</f>
        <v>0</v>
      </c>
      <c r="G439" s="25">
        <f t="shared" ref="G439" si="809">+F439+G438</f>
        <v>0</v>
      </c>
      <c r="H439" s="25">
        <f t="shared" ref="H439" si="810">+G439+H438</f>
        <v>0</v>
      </c>
      <c r="I439" s="25">
        <f t="shared" ref="I439" si="811">+H439+I438</f>
        <v>0</v>
      </c>
      <c r="J439" s="25">
        <f t="shared" ref="J439" si="812">+I439+J438</f>
        <v>0</v>
      </c>
      <c r="K439" s="25">
        <f t="shared" ref="K439" si="813">+J439+K438</f>
        <v>0</v>
      </c>
      <c r="L439" s="25">
        <f t="shared" ref="L439" si="814">+K439+L438</f>
        <v>29162.880000000001</v>
      </c>
      <c r="M439" s="25">
        <f t="shared" ref="M439" si="815">+L439+M438</f>
        <v>161575.44</v>
      </c>
      <c r="N439" s="25">
        <f t="shared" ref="N439" si="816">+M439+N438</f>
        <v>240941.66</v>
      </c>
      <c r="O439" s="25">
        <f t="shared" ref="O439" si="817">+N439+O438</f>
        <v>364109.18</v>
      </c>
      <c r="P439" s="25">
        <f t="shared" ref="P439" si="818">+O439+P438</f>
        <v>558493.12</v>
      </c>
      <c r="Q439" s="25">
        <f t="shared" ref="Q439" si="819">+P439+Q438</f>
        <v>1002698.29</v>
      </c>
      <c r="R439" s="25">
        <f t="shared" ref="R439" si="820">+Q439+R438</f>
        <v>1359841.73</v>
      </c>
      <c r="S439" s="25">
        <f t="shared" ref="S439" si="821">+R439+S438</f>
        <v>1744031.37</v>
      </c>
      <c r="T439" s="25">
        <f t="shared" ref="T439" si="822">+S439+T438</f>
        <v>2108080.15</v>
      </c>
      <c r="U439" s="25">
        <f t="shared" ref="U439" si="823">+T439+U438</f>
        <v>2451297.02</v>
      </c>
      <c r="V439" s="25">
        <f t="shared" ref="V439" si="824">+U439+V438</f>
        <v>2635400.36</v>
      </c>
      <c r="W439" s="25">
        <f t="shared" ref="W439" si="825">+V439+W438</f>
        <v>2844164.32</v>
      </c>
      <c r="X439" s="25">
        <f t="shared" ref="X439" si="826">+W439+X438</f>
        <v>2996133.2199999997</v>
      </c>
      <c r="Y439" s="25">
        <f t="shared" ref="Y439" si="827">+X439+Y438</f>
        <v>3113026.2199999997</v>
      </c>
      <c r="Z439" s="25">
        <f t="shared" ref="Z439" si="828">+Y439+Z438</f>
        <v>3144370.15</v>
      </c>
      <c r="AA439" s="25">
        <f t="shared" ref="AA439" si="829">+Z439+AA438</f>
        <v>3162438.87</v>
      </c>
      <c r="AB439" s="25">
        <f t="shared" ref="AB439" si="830">+AA439+AB438</f>
        <v>3168319.77</v>
      </c>
      <c r="AC439" s="25">
        <f t="shared" ref="AC439" si="831">+AB439+AC438</f>
        <v>3168420.69</v>
      </c>
      <c r="AD439" s="25">
        <f t="shared" ref="AD439" si="832">+AC439+AD438</f>
        <v>3168109.25</v>
      </c>
      <c r="AE439" s="25">
        <f t="shared" ref="AE439" si="833">+AD439+AE438</f>
        <v>3167522.01</v>
      </c>
      <c r="AF439" s="25">
        <f t="shared" ref="AF439" si="834">+AE439+AF438</f>
        <v>3167392.8899999997</v>
      </c>
      <c r="AG439" s="25">
        <f t="shared" ref="AG439" si="835">+AF439+AG438</f>
        <v>3166593.53</v>
      </c>
      <c r="AH439" s="25">
        <f t="shared" ref="AH439" si="836">+AG439+AH438</f>
        <v>3166593.53</v>
      </c>
      <c r="AI439" s="25">
        <f t="shared" ref="AI439" si="837">+AH439+AI438</f>
        <v>3165706.05</v>
      </c>
      <c r="AJ439" s="25">
        <f t="shared" ref="AJ439" si="838">+AI439+AJ438</f>
        <v>3165692.01</v>
      </c>
      <c r="AK439" s="25">
        <f t="shared" ref="AK439" si="839">+AJ439+AK438</f>
        <v>3165439.5869999998</v>
      </c>
      <c r="AL439" s="25">
        <f t="shared" ref="AL439" si="840">+AK439+AL438</f>
        <v>3165439.5869999998</v>
      </c>
      <c r="AM439" s="25">
        <f t="shared" ref="AM439" si="841">+AL439+AM438</f>
        <v>3165426.1469999999</v>
      </c>
      <c r="AN439" s="25">
        <f t="shared" ref="AN439" si="842">+AM439+AN438</f>
        <v>3164964.9869999997</v>
      </c>
      <c r="AO439" s="25">
        <f t="shared" ref="AO439" si="843">+AN439+AO438</f>
        <v>3164964.9869999997</v>
      </c>
      <c r="AP439" s="25">
        <f t="shared" ref="AP439" si="844">+AO439+AP438</f>
        <v>3164954.3369999998</v>
      </c>
      <c r="AQ439" s="25">
        <f t="shared" ref="AQ439" si="845">+AP439+AQ438</f>
        <v>3164866.3169999998</v>
      </c>
      <c r="AR439" s="49"/>
      <c r="AS439" s="25"/>
      <c r="AT439" s="26"/>
      <c r="AU439" s="60"/>
    </row>
    <row r="440" spans="1:47" s="24" customFormat="1" x14ac:dyDescent="0.25">
      <c r="A440" s="23"/>
      <c r="B440" s="23"/>
      <c r="C440" s="38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49"/>
      <c r="AS440" s="25"/>
      <c r="AT440" s="26"/>
      <c r="AU440" s="60"/>
    </row>
  </sheetData>
  <pageMargins left="0.11811023622047245" right="0.19685039370078741" top="0.55118110236220474" bottom="0.59055118110236227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118"/>
  <sheetViews>
    <sheetView workbookViewId="0">
      <pane xSplit="3" ySplit="2" topLeftCell="AF5" activePane="bottomRight" state="frozen"/>
      <selection pane="topRight" activeCell="D1" sqref="D1"/>
      <selection pane="bottomLeft" activeCell="A3" sqref="A3"/>
      <selection pane="bottomRight" activeCell="AO91" sqref="AO91"/>
    </sheetView>
  </sheetViews>
  <sheetFormatPr defaultRowHeight="15" x14ac:dyDescent="0.25"/>
  <cols>
    <col min="1" max="2" width="3.42578125" style="2" customWidth="1"/>
    <col min="3" max="3" width="28.85546875" customWidth="1"/>
    <col min="4" max="14" width="9.140625" style="1"/>
    <col min="15" max="43" width="9.140625" style="1" customWidth="1"/>
    <col min="44" max="44" width="9.140625" style="3"/>
    <col min="45" max="45" width="4.42578125" style="1" customWidth="1"/>
    <col min="46" max="46" width="9.140625" style="8" customWidth="1"/>
    <col min="47" max="47" width="9.140625" style="60" customWidth="1"/>
    <col min="50" max="50" width="39.7109375" customWidth="1"/>
    <col min="51" max="51" width="27" customWidth="1"/>
  </cols>
  <sheetData>
    <row r="1" spans="1:51" x14ac:dyDescent="0.25">
      <c r="A1" s="2" t="s">
        <v>43</v>
      </c>
      <c r="D1" s="142">
        <v>45292</v>
      </c>
      <c r="E1" s="142">
        <v>45292</v>
      </c>
      <c r="F1" s="142">
        <v>45292</v>
      </c>
      <c r="G1" s="142">
        <v>45292</v>
      </c>
      <c r="H1" s="142">
        <v>45292</v>
      </c>
      <c r="I1" s="142">
        <v>45323</v>
      </c>
      <c r="J1" s="142">
        <v>45323</v>
      </c>
      <c r="K1" s="142">
        <v>45323</v>
      </c>
      <c r="L1" s="142">
        <v>45323</v>
      </c>
      <c r="M1" s="142">
        <v>45352</v>
      </c>
      <c r="N1" s="142">
        <v>45352</v>
      </c>
      <c r="O1" s="142">
        <v>45352</v>
      </c>
      <c r="P1" s="142">
        <v>45352</v>
      </c>
      <c r="Q1" s="142">
        <v>45383</v>
      </c>
      <c r="R1" s="142">
        <v>45383</v>
      </c>
      <c r="S1" s="142">
        <v>45383</v>
      </c>
      <c r="T1" s="142">
        <v>45383</v>
      </c>
      <c r="U1" s="142">
        <v>45413</v>
      </c>
      <c r="V1" s="142">
        <v>45413</v>
      </c>
      <c r="W1" s="142">
        <v>45413</v>
      </c>
      <c r="X1" s="142">
        <v>45413</v>
      </c>
      <c r="Y1" s="142">
        <v>45413</v>
      </c>
      <c r="Z1" s="142">
        <v>45444</v>
      </c>
      <c r="AA1" s="142">
        <v>45444</v>
      </c>
      <c r="AB1" s="142">
        <v>45444</v>
      </c>
      <c r="AC1" s="142">
        <v>45444</v>
      </c>
      <c r="AD1" s="142">
        <v>45474</v>
      </c>
      <c r="AE1" s="142">
        <v>45474</v>
      </c>
      <c r="AF1" s="142">
        <v>45474</v>
      </c>
      <c r="AG1" s="142">
        <v>45474</v>
      </c>
      <c r="AH1" s="142">
        <v>45474</v>
      </c>
      <c r="AI1" s="142">
        <v>45505</v>
      </c>
      <c r="AJ1" s="142">
        <v>45505</v>
      </c>
      <c r="AK1" s="142">
        <v>45505</v>
      </c>
      <c r="AL1" s="142">
        <v>45505</v>
      </c>
      <c r="AM1" s="142">
        <v>45536</v>
      </c>
      <c r="AN1" s="142">
        <v>45536</v>
      </c>
      <c r="AO1" s="142">
        <v>45536</v>
      </c>
      <c r="AP1" s="142">
        <v>45536</v>
      </c>
      <c r="AQ1" s="13" t="s">
        <v>282</v>
      </c>
    </row>
    <row r="2" spans="1:51" x14ac:dyDescent="0.25">
      <c r="A2" s="2" t="s">
        <v>502</v>
      </c>
      <c r="D2" s="13" t="s">
        <v>491</v>
      </c>
      <c r="E2" s="13" t="s">
        <v>492</v>
      </c>
      <c r="F2" s="13" t="s">
        <v>493</v>
      </c>
      <c r="G2" s="13" t="s">
        <v>494</v>
      </c>
      <c r="H2" s="13" t="s">
        <v>495</v>
      </c>
      <c r="I2" s="13" t="s">
        <v>496</v>
      </c>
      <c r="J2" s="13" t="s">
        <v>263</v>
      </c>
      <c r="K2" s="13" t="s">
        <v>264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3" t="s">
        <v>54</v>
      </c>
      <c r="V2" s="13" t="s">
        <v>20</v>
      </c>
      <c r="W2" s="13" t="s">
        <v>21</v>
      </c>
      <c r="X2" s="13" t="s">
        <v>22</v>
      </c>
      <c r="Y2" s="13" t="s">
        <v>23</v>
      </c>
      <c r="Z2" s="13" t="s">
        <v>24</v>
      </c>
      <c r="AA2" s="13" t="s">
        <v>25</v>
      </c>
      <c r="AB2" s="13" t="s">
        <v>26</v>
      </c>
      <c r="AC2" s="13" t="s">
        <v>27</v>
      </c>
      <c r="AD2" s="13" t="s">
        <v>28</v>
      </c>
      <c r="AE2" s="13" t="s">
        <v>29</v>
      </c>
      <c r="AF2" s="13" t="s">
        <v>30</v>
      </c>
      <c r="AG2" s="13" t="s">
        <v>31</v>
      </c>
      <c r="AH2" s="13" t="s">
        <v>32</v>
      </c>
      <c r="AI2" s="13" t="s">
        <v>33</v>
      </c>
      <c r="AJ2" s="13" t="s">
        <v>34</v>
      </c>
      <c r="AK2" s="13" t="s">
        <v>55</v>
      </c>
      <c r="AL2" s="13" t="s">
        <v>56</v>
      </c>
      <c r="AM2" s="13" t="s">
        <v>57</v>
      </c>
      <c r="AN2" s="13" t="s">
        <v>58</v>
      </c>
      <c r="AO2" s="13" t="s">
        <v>59</v>
      </c>
      <c r="AP2" s="13" t="s">
        <v>60</v>
      </c>
      <c r="AQ2" s="4" t="s">
        <v>61</v>
      </c>
      <c r="AR2" s="52" t="s">
        <v>2</v>
      </c>
      <c r="AV2">
        <v>2017</v>
      </c>
      <c r="AW2" s="80" t="s">
        <v>374</v>
      </c>
    </row>
    <row r="3" spans="1:51" x14ac:dyDescent="0.25">
      <c r="A3"/>
      <c r="B3" s="2" t="s">
        <v>148</v>
      </c>
    </row>
    <row r="4" spans="1:51" x14ac:dyDescent="0.25">
      <c r="A4"/>
      <c r="C4" t="s">
        <v>190</v>
      </c>
      <c r="G4" s="1">
        <v>6085.8</v>
      </c>
      <c r="J4" s="1">
        <v>102.6</v>
      </c>
      <c r="K4" s="1">
        <v>290.7</v>
      </c>
      <c r="L4" s="1">
        <v>9336.6</v>
      </c>
      <c r="N4" s="1">
        <v>906.3</v>
      </c>
      <c r="O4" s="1">
        <v>1145.7</v>
      </c>
      <c r="P4" s="1">
        <v>2838.6</v>
      </c>
      <c r="Q4" s="1">
        <v>3283.2</v>
      </c>
      <c r="R4" s="1">
        <v>9798.2999999999993</v>
      </c>
      <c r="S4" s="1">
        <v>1607.4</v>
      </c>
      <c r="T4" s="1">
        <v>6429.6</v>
      </c>
      <c r="U4" s="1">
        <v>1385.1</v>
      </c>
      <c r="V4" s="1">
        <v>3060.9</v>
      </c>
      <c r="W4" s="1">
        <v>2667.6</v>
      </c>
      <c r="X4" s="1">
        <v>7814.7</v>
      </c>
      <c r="Y4" s="1">
        <v>1333.8</v>
      </c>
      <c r="Z4" s="1">
        <v>1658.7</v>
      </c>
      <c r="AA4" s="1">
        <v>1470.6</v>
      </c>
      <c r="AB4" s="1">
        <v>1521.9</v>
      </c>
      <c r="AC4" s="1">
        <v>1077.3</v>
      </c>
      <c r="AD4" s="1">
        <v>872.1</v>
      </c>
      <c r="AE4" s="1">
        <v>1094.4000000000001</v>
      </c>
      <c r="AF4" s="1">
        <v>1265.4000000000001</v>
      </c>
      <c r="AG4" s="1">
        <v>1094.4000000000001</v>
      </c>
      <c r="AH4" s="1">
        <v>2924.1</v>
      </c>
      <c r="AI4" s="1">
        <v>1966.5</v>
      </c>
      <c r="AJ4" s="1">
        <v>2565</v>
      </c>
      <c r="AK4" s="1">
        <v>872.1</v>
      </c>
      <c r="AL4" s="1">
        <v>1521.9</v>
      </c>
      <c r="AM4" s="1">
        <v>632.70000000000005</v>
      </c>
      <c r="AR4" s="3">
        <f>SUM(D4:AQ4)</f>
        <v>78623.999999999985</v>
      </c>
      <c r="AT4" s="8">
        <f>IF(AR4=0,0,+AR4/PassVol!AR197)</f>
        <v>17.107049608355087</v>
      </c>
      <c r="AU4" s="60">
        <f>0.95*18</f>
        <v>17.099999999999998</v>
      </c>
      <c r="AV4" s="3"/>
      <c r="AW4" s="81">
        <f>IF(AV4=0,0,+(AR4-AV4)/AV4)</f>
        <v>0</v>
      </c>
      <c r="AX4" s="82"/>
      <c r="AY4" s="84"/>
    </row>
    <row r="5" spans="1:51" x14ac:dyDescent="0.25">
      <c r="A5"/>
      <c r="C5" t="s">
        <v>424</v>
      </c>
      <c r="H5" s="1">
        <v>411.84</v>
      </c>
      <c r="I5" s="1">
        <v>411.84</v>
      </c>
      <c r="L5" s="1">
        <v>730.08</v>
      </c>
      <c r="M5" s="1">
        <v>1347.84</v>
      </c>
      <c r="N5" s="1">
        <v>636.48</v>
      </c>
      <c r="O5" s="1">
        <v>1198.08</v>
      </c>
      <c r="P5" s="1">
        <v>1591.2</v>
      </c>
      <c r="Q5" s="1">
        <v>1553.76</v>
      </c>
      <c r="R5" s="1">
        <v>1553.76</v>
      </c>
      <c r="S5" s="1">
        <v>2040.48</v>
      </c>
      <c r="T5" s="1">
        <v>2115.36</v>
      </c>
      <c r="U5" s="1">
        <v>542.88</v>
      </c>
      <c r="V5" s="1">
        <v>1553.76</v>
      </c>
      <c r="W5" s="1">
        <v>2246.4</v>
      </c>
      <c r="X5" s="1">
        <v>748.8</v>
      </c>
      <c r="Y5" s="1">
        <v>580.32000000000005</v>
      </c>
      <c r="Z5" s="1">
        <v>1085.76</v>
      </c>
      <c r="AA5" s="1">
        <v>449.28</v>
      </c>
      <c r="AB5" s="1">
        <v>280.8</v>
      </c>
      <c r="AC5" s="1">
        <v>673.92</v>
      </c>
      <c r="AE5" s="1">
        <v>374.4</v>
      </c>
      <c r="AF5" s="1">
        <v>149.76</v>
      </c>
      <c r="AJ5" s="1">
        <v>224.64</v>
      </c>
      <c r="AL5" s="1">
        <v>580.32000000000005</v>
      </c>
      <c r="AR5" s="3">
        <f>SUM(D5:AQ5)</f>
        <v>23081.759999999991</v>
      </c>
      <c r="AT5" s="8">
        <f>IF(AR5=0,0,+AR5/PassVol!AR198)</f>
        <v>18.719999999999992</v>
      </c>
      <c r="AU5" s="60">
        <f>1.04*18</f>
        <v>18.72</v>
      </c>
      <c r="AV5" s="3"/>
      <c r="AW5" s="81"/>
      <c r="AX5" s="82"/>
      <c r="AY5" s="85"/>
    </row>
    <row r="6" spans="1:51" x14ac:dyDescent="0.25">
      <c r="A6"/>
      <c r="C6" t="s">
        <v>347</v>
      </c>
      <c r="O6" s="1">
        <v>112.32</v>
      </c>
      <c r="P6" s="1">
        <v>374.4</v>
      </c>
      <c r="Q6" s="1">
        <v>149.76</v>
      </c>
      <c r="R6" s="1">
        <v>468</v>
      </c>
      <c r="S6" s="1">
        <v>262.08</v>
      </c>
      <c r="T6" s="1">
        <v>711.36</v>
      </c>
      <c r="U6" s="1">
        <v>599.04</v>
      </c>
      <c r="V6" s="1">
        <v>1141.92</v>
      </c>
      <c r="W6" s="1">
        <v>1329.12</v>
      </c>
      <c r="X6" s="1">
        <v>1104.48</v>
      </c>
      <c r="Y6" s="1">
        <v>18.72</v>
      </c>
      <c r="Z6" s="1">
        <v>374.4</v>
      </c>
      <c r="AA6" s="1">
        <v>93.6</v>
      </c>
      <c r="AB6" s="1">
        <v>112.32</v>
      </c>
      <c r="AD6" s="1">
        <v>37.44</v>
      </c>
      <c r="AF6" s="1">
        <v>112.32</v>
      </c>
      <c r="AG6" s="1">
        <v>393.12</v>
      </c>
      <c r="AJ6" s="1">
        <v>112.32</v>
      </c>
      <c r="AK6" s="1">
        <v>262.08</v>
      </c>
      <c r="AR6" s="3">
        <f t="shared" ref="AR6:AR22" si="0">SUM(D6:AQ6)</f>
        <v>7768.7999999999984</v>
      </c>
      <c r="AT6" s="8">
        <f>IF(AR6=0,0,+AR6/PassVol!AR199)</f>
        <v>18.719999999999995</v>
      </c>
      <c r="AU6" s="60">
        <f>1.04*18</f>
        <v>18.72</v>
      </c>
      <c r="AV6" s="3"/>
      <c r="AW6" s="81">
        <f>IF(AV6=0,0,+(AR6-AV6)/AV6)</f>
        <v>0</v>
      </c>
      <c r="AX6" s="82"/>
      <c r="AY6" s="85"/>
    </row>
    <row r="7" spans="1:51" x14ac:dyDescent="0.25">
      <c r="A7"/>
      <c r="C7" t="s">
        <v>0</v>
      </c>
      <c r="G7" s="1">
        <v>35743.68</v>
      </c>
      <c r="J7" s="1">
        <v>10085.040000000001</v>
      </c>
      <c r="K7" s="1">
        <v>10977.12</v>
      </c>
      <c r="L7" s="1">
        <v>378</v>
      </c>
      <c r="M7" s="1">
        <v>11687.76</v>
      </c>
      <c r="N7" s="1">
        <v>14046.48</v>
      </c>
      <c r="O7" s="1">
        <v>7741.44</v>
      </c>
      <c r="P7" s="1">
        <v>4415.04</v>
      </c>
      <c r="Q7" s="1">
        <v>9948.9599999999991</v>
      </c>
      <c r="R7" s="1">
        <v>9964.08</v>
      </c>
      <c r="S7" s="1">
        <v>12776.4</v>
      </c>
      <c r="T7" s="1">
        <v>9964.08</v>
      </c>
      <c r="U7" s="1">
        <v>20245.68</v>
      </c>
      <c r="V7" s="1">
        <v>10281.6</v>
      </c>
      <c r="W7" s="1">
        <v>11854.08</v>
      </c>
      <c r="X7" s="1">
        <v>12277.44</v>
      </c>
      <c r="Y7" s="1">
        <v>11234.16</v>
      </c>
      <c r="Z7" s="1">
        <v>7575.12</v>
      </c>
      <c r="AA7" s="1">
        <v>9313.92</v>
      </c>
      <c r="AB7" s="1">
        <v>9510.48</v>
      </c>
      <c r="AC7" s="1">
        <v>3885.84</v>
      </c>
      <c r="AD7" s="1">
        <v>9646.56</v>
      </c>
      <c r="AE7" s="1">
        <v>604.79999999999995</v>
      </c>
      <c r="AF7" s="1">
        <v>786.24</v>
      </c>
      <c r="AG7" s="1">
        <v>1708.56</v>
      </c>
      <c r="AH7" s="1">
        <v>574.55999999999995</v>
      </c>
      <c r="AI7" s="1">
        <v>3916.08</v>
      </c>
      <c r="AJ7" s="1">
        <v>2388.96</v>
      </c>
      <c r="AK7" s="1">
        <v>6244.56</v>
      </c>
      <c r="AL7" s="1">
        <v>498.96</v>
      </c>
      <c r="AM7" s="1">
        <v>816.48</v>
      </c>
      <c r="AN7" s="1">
        <v>1587.6</v>
      </c>
      <c r="AR7" s="3">
        <f t="shared" si="0"/>
        <v>262679.75999999995</v>
      </c>
      <c r="AT7" s="8">
        <f>IF(AR7=0,0,+AR7/PassVol!AR200)</f>
        <v>15.119999999999997</v>
      </c>
      <c r="AU7" s="60">
        <f>0.84*18</f>
        <v>15.12</v>
      </c>
      <c r="AV7" s="3"/>
      <c r="AW7" s="81">
        <f>IF(AV7=0,0,+(AR7-AV7)/AV7)</f>
        <v>0</v>
      </c>
      <c r="AX7" s="82"/>
      <c r="AY7" s="85"/>
    </row>
    <row r="8" spans="1:51" x14ac:dyDescent="0.25">
      <c r="A8"/>
      <c r="C8" t="s">
        <v>354</v>
      </c>
      <c r="N8" s="1">
        <v>131.04</v>
      </c>
      <c r="O8" s="1">
        <v>149.76</v>
      </c>
      <c r="P8" s="1">
        <v>205.92</v>
      </c>
      <c r="Q8" s="1">
        <v>56.16</v>
      </c>
      <c r="R8" s="1">
        <v>74.88</v>
      </c>
      <c r="S8" s="1">
        <v>112.32</v>
      </c>
      <c r="T8" s="1">
        <v>187.2</v>
      </c>
      <c r="V8" s="1">
        <v>18.72</v>
      </c>
      <c r="W8" s="1">
        <v>18.72</v>
      </c>
      <c r="X8" s="1">
        <v>74.88</v>
      </c>
      <c r="Y8" s="1">
        <v>93.16</v>
      </c>
      <c r="Z8" s="1">
        <v>74.88</v>
      </c>
      <c r="AA8" s="1">
        <v>243.36</v>
      </c>
      <c r="AR8" s="3">
        <f t="shared" si="0"/>
        <v>1441</v>
      </c>
      <c r="AT8" s="8">
        <f>IF(AR8=0,0,+AR8/PassVol!AR201)</f>
        <v>18.714285714285715</v>
      </c>
      <c r="AU8" s="60">
        <f>1.04*18</f>
        <v>18.72</v>
      </c>
      <c r="AV8" s="3"/>
      <c r="AW8" t="s">
        <v>373</v>
      </c>
      <c r="AX8" s="82"/>
      <c r="AY8" s="85"/>
    </row>
    <row r="9" spans="1:51" x14ac:dyDescent="0.25">
      <c r="A9"/>
      <c r="C9" t="s">
        <v>265</v>
      </c>
      <c r="I9" s="1">
        <v>2700</v>
      </c>
      <c r="L9" s="1">
        <v>837.54</v>
      </c>
      <c r="M9" s="1">
        <v>891</v>
      </c>
      <c r="N9" s="1">
        <v>819.72</v>
      </c>
      <c r="O9" s="1">
        <v>801.9</v>
      </c>
      <c r="P9" s="1">
        <v>1372.14</v>
      </c>
      <c r="Q9" s="1">
        <v>2031.48</v>
      </c>
      <c r="R9" s="1">
        <v>2084.94</v>
      </c>
      <c r="S9" s="1">
        <v>2370.06</v>
      </c>
      <c r="T9" s="1">
        <v>1122.6600000000001</v>
      </c>
      <c r="U9" s="1">
        <v>1692.9</v>
      </c>
      <c r="V9" s="1">
        <v>1461.24</v>
      </c>
      <c r="W9" s="1">
        <v>1300.8599999999999</v>
      </c>
      <c r="Y9" s="1">
        <v>106.92</v>
      </c>
      <c r="AA9" s="1">
        <v>160.38</v>
      </c>
      <c r="AR9" s="3">
        <f t="shared" si="0"/>
        <v>19753.740000000002</v>
      </c>
      <c r="AT9" s="8">
        <v>17.82</v>
      </c>
      <c r="AU9" s="60">
        <v>18</v>
      </c>
      <c r="AV9" s="3"/>
      <c r="AW9" s="81">
        <f t="shared" ref="AW9:AW23" si="1">IF(AV9=0,0,+(AR9-AV9)/AV9)</f>
        <v>0</v>
      </c>
      <c r="AX9" s="82"/>
      <c r="AY9" s="85"/>
    </row>
    <row r="10" spans="1:51" x14ac:dyDescent="0.25">
      <c r="A10"/>
      <c r="C10" t="s">
        <v>191</v>
      </c>
      <c r="H10" s="1">
        <v>11998.8</v>
      </c>
      <c r="N10" s="1">
        <v>1927.08</v>
      </c>
      <c r="O10" s="1">
        <v>654.48</v>
      </c>
      <c r="P10" s="1">
        <v>18.18</v>
      </c>
      <c r="Q10" s="1">
        <v>1836.18</v>
      </c>
      <c r="Y10" s="1">
        <v>199.98</v>
      </c>
      <c r="Z10" s="1">
        <v>54.54</v>
      </c>
      <c r="AM10" s="1">
        <v>127.26</v>
      </c>
      <c r="AP10" s="1">
        <v>199.98</v>
      </c>
      <c r="AR10" s="3">
        <f t="shared" si="0"/>
        <v>17016.479999999996</v>
      </c>
      <c r="AT10" s="8">
        <f>IF(AR10=0,0,+AR10/PassVol!AR203)</f>
        <v>18.179999999999996</v>
      </c>
      <c r="AU10" s="60">
        <v>18.18</v>
      </c>
      <c r="AV10" s="3"/>
      <c r="AW10" s="81">
        <f t="shared" si="1"/>
        <v>0</v>
      </c>
      <c r="AX10" s="82"/>
      <c r="AY10" s="85"/>
    </row>
    <row r="11" spans="1:51" x14ac:dyDescent="0.25">
      <c r="A11"/>
      <c r="C11" t="s">
        <v>549</v>
      </c>
      <c r="AR11" s="3">
        <f t="shared" si="0"/>
        <v>0</v>
      </c>
      <c r="AT11" s="8">
        <f>IF(AR11=0,0,+AR11/PassVol!AR204)</f>
        <v>0</v>
      </c>
      <c r="AU11" s="60">
        <f t="shared" ref="AU11:AU12" si="2">1.04*18</f>
        <v>18.72</v>
      </c>
      <c r="AV11" s="3"/>
      <c r="AW11" s="81">
        <f t="shared" si="1"/>
        <v>0</v>
      </c>
      <c r="AX11" s="82"/>
      <c r="AY11" s="85"/>
    </row>
    <row r="12" spans="1:51" x14ac:dyDescent="0.25">
      <c r="A12"/>
      <c r="C12" t="s">
        <v>550</v>
      </c>
      <c r="O12" s="1">
        <v>243.36</v>
      </c>
      <c r="Q12" s="1">
        <v>767.52</v>
      </c>
      <c r="T12" s="1">
        <v>2246.4</v>
      </c>
      <c r="V12" s="1">
        <v>6271.2</v>
      </c>
      <c r="W12" s="1">
        <v>1853.28</v>
      </c>
      <c r="X12" s="1">
        <v>1478.88</v>
      </c>
      <c r="Y12" s="1">
        <v>4343.04</v>
      </c>
      <c r="Z12" s="1">
        <v>673.92</v>
      </c>
      <c r="AA12" s="1">
        <v>1928.16</v>
      </c>
      <c r="AB12" s="1">
        <v>1216.8</v>
      </c>
      <c r="AC12" s="1">
        <v>636.48</v>
      </c>
      <c r="AD12" s="1">
        <v>992.16</v>
      </c>
      <c r="AE12" s="1">
        <v>1141.92</v>
      </c>
      <c r="AF12" s="1">
        <v>336.96</v>
      </c>
      <c r="AG12" s="1">
        <v>374.4</v>
      </c>
      <c r="AH12" s="1">
        <v>655.20000000000005</v>
      </c>
      <c r="AI12" s="1">
        <v>505.44</v>
      </c>
      <c r="AJ12" s="1">
        <v>542.88</v>
      </c>
      <c r="AK12" s="1">
        <v>430.56</v>
      </c>
      <c r="AL12" s="1">
        <v>542.88</v>
      </c>
      <c r="AM12" s="1">
        <v>861.12</v>
      </c>
      <c r="AN12" s="1">
        <v>542.88</v>
      </c>
      <c r="AR12" s="3">
        <f t="shared" si="0"/>
        <v>28585.439999999999</v>
      </c>
      <c r="AT12" s="8">
        <f>IF(AR12=0,0,+AR12/PassVol!AR205)</f>
        <v>18.72</v>
      </c>
      <c r="AU12" s="60">
        <f t="shared" si="2"/>
        <v>18.72</v>
      </c>
      <c r="AV12" s="3"/>
      <c r="AW12" s="81">
        <f t="shared" si="1"/>
        <v>0</v>
      </c>
      <c r="AX12" s="82"/>
      <c r="AY12" s="85"/>
    </row>
    <row r="13" spans="1:51" x14ac:dyDescent="0.25">
      <c r="C13" t="s">
        <v>6</v>
      </c>
      <c r="AR13" s="3">
        <f t="shared" si="0"/>
        <v>0</v>
      </c>
      <c r="AT13" s="8">
        <f>IF(AR13=0,0,+AR13/PassVol!AR206)</f>
        <v>0</v>
      </c>
      <c r="AU13" s="60">
        <v>0</v>
      </c>
      <c r="AV13" s="3"/>
      <c r="AW13" s="81">
        <f t="shared" si="1"/>
        <v>0</v>
      </c>
      <c r="AX13" s="82"/>
      <c r="AY13" s="85"/>
    </row>
    <row r="14" spans="1:51" x14ac:dyDescent="0.25">
      <c r="C14" t="s">
        <v>262</v>
      </c>
      <c r="AR14" s="3">
        <f t="shared" si="0"/>
        <v>0</v>
      </c>
      <c r="AT14" s="8">
        <f>IF(AR14=0,0,+AR14/PassVol!AR207)</f>
        <v>0</v>
      </c>
      <c r="AU14" s="60">
        <f>1.04*18</f>
        <v>18.72</v>
      </c>
      <c r="AV14" s="3"/>
      <c r="AW14" s="81">
        <f t="shared" si="1"/>
        <v>0</v>
      </c>
      <c r="AX14" s="82"/>
      <c r="AY14" s="85"/>
    </row>
    <row r="15" spans="1:51" x14ac:dyDescent="0.25">
      <c r="C15" t="s">
        <v>42</v>
      </c>
      <c r="K15" s="1">
        <v>90.9</v>
      </c>
      <c r="L15" s="1">
        <v>4617.72</v>
      </c>
      <c r="N15" s="1">
        <v>509.04</v>
      </c>
      <c r="O15" s="1">
        <v>181.8</v>
      </c>
      <c r="P15" s="1">
        <v>109.08</v>
      </c>
      <c r="Q15" s="1">
        <v>1436.22</v>
      </c>
      <c r="S15" s="1">
        <v>872.64</v>
      </c>
      <c r="T15" s="1">
        <v>1490.76</v>
      </c>
      <c r="U15" s="1">
        <v>272.7</v>
      </c>
      <c r="V15" s="1">
        <v>236.34</v>
      </c>
      <c r="W15" s="1">
        <v>272.7</v>
      </c>
      <c r="X15" s="1">
        <v>363.6</v>
      </c>
      <c r="Z15" s="1">
        <v>363.6</v>
      </c>
      <c r="AC15" s="1">
        <v>72.72</v>
      </c>
      <c r="AE15" s="1">
        <v>127.26</v>
      </c>
      <c r="AI15" s="1">
        <v>72.72</v>
      </c>
      <c r="AJ15" s="1">
        <v>381.78</v>
      </c>
      <c r="AR15" s="3">
        <f t="shared" si="0"/>
        <v>11471.580000000002</v>
      </c>
      <c r="AT15" s="8">
        <f>IF(AR15=0,0,+AR15/PassVol!AR208)</f>
        <v>18.180000000000003</v>
      </c>
      <c r="AU15" s="60">
        <v>18.18</v>
      </c>
      <c r="AV15" s="3"/>
      <c r="AW15" s="81">
        <f t="shared" si="1"/>
        <v>0</v>
      </c>
      <c r="AX15" s="82"/>
      <c r="AY15" s="85"/>
    </row>
    <row r="16" spans="1:51" x14ac:dyDescent="0.25">
      <c r="C16" t="s">
        <v>192</v>
      </c>
      <c r="G16" s="1">
        <v>356.4</v>
      </c>
      <c r="I16" s="1">
        <v>160.38</v>
      </c>
      <c r="J16" s="1">
        <v>534.6</v>
      </c>
      <c r="K16" s="1">
        <v>15610.32</v>
      </c>
      <c r="N16" s="1">
        <v>178.2</v>
      </c>
      <c r="O16" s="1">
        <v>730.62</v>
      </c>
      <c r="P16" s="1">
        <v>534.6</v>
      </c>
      <c r="Q16" s="1">
        <v>1211.76</v>
      </c>
      <c r="R16" s="1">
        <v>570.24</v>
      </c>
      <c r="S16" s="1">
        <v>1603.8</v>
      </c>
      <c r="T16" s="1">
        <v>1461.24</v>
      </c>
      <c r="U16" s="1">
        <v>2245.3200000000002</v>
      </c>
      <c r="V16" s="1">
        <v>249.48</v>
      </c>
      <c r="W16" s="1">
        <v>2084.94</v>
      </c>
      <c r="X16" s="1">
        <v>2280.96</v>
      </c>
      <c r="Y16" s="1">
        <v>855.36</v>
      </c>
      <c r="Z16" s="1">
        <v>249.48</v>
      </c>
      <c r="AA16" s="1">
        <v>891</v>
      </c>
      <c r="AB16" s="1">
        <v>766.26</v>
      </c>
      <c r="AC16" s="1">
        <v>142.56</v>
      </c>
      <c r="AD16" s="1">
        <v>249.48</v>
      </c>
      <c r="AH16" s="1">
        <v>285.12</v>
      </c>
      <c r="AI16" s="1">
        <v>285.12</v>
      </c>
      <c r="AJ16" s="1">
        <v>980.1</v>
      </c>
      <c r="AR16" s="3">
        <f t="shared" si="0"/>
        <v>34517.340000000004</v>
      </c>
      <c r="AT16" s="8">
        <f>IF(AR16=0,0,+AR16/PassVol!AR209)</f>
        <v>17.82</v>
      </c>
      <c r="AU16" s="60">
        <f>0.99*18</f>
        <v>17.82</v>
      </c>
      <c r="AV16" s="3"/>
      <c r="AW16" s="81">
        <f t="shared" si="1"/>
        <v>0</v>
      </c>
      <c r="AX16" s="82"/>
      <c r="AY16" s="85"/>
    </row>
    <row r="17" spans="1:51" x14ac:dyDescent="0.25">
      <c r="C17" t="s">
        <v>133</v>
      </c>
      <c r="Q17" s="1">
        <v>56.16</v>
      </c>
      <c r="R17" s="1">
        <v>18.72</v>
      </c>
      <c r="S17" s="1">
        <v>74.88</v>
      </c>
      <c r="T17" s="1">
        <v>56.16</v>
      </c>
      <c r="U17" s="1">
        <v>18.72</v>
      </c>
      <c r="V17" s="1">
        <v>18.72</v>
      </c>
      <c r="Z17" s="1">
        <v>262.08</v>
      </c>
      <c r="AA17" s="1">
        <v>37.44</v>
      </c>
      <c r="AD17" s="1">
        <v>56.16</v>
      </c>
      <c r="AF17" s="1">
        <v>112.32</v>
      </c>
      <c r="AG17" s="1">
        <v>149.76</v>
      </c>
      <c r="AR17" s="3">
        <f t="shared" si="0"/>
        <v>861.11999999999989</v>
      </c>
      <c r="AT17" s="8">
        <f>IF(AR17=0,0,+AR17/PassVol!AR210)</f>
        <v>18.72</v>
      </c>
      <c r="AU17" s="60">
        <f t="shared" ref="AU17:AU18" si="3">1.04*18</f>
        <v>18.72</v>
      </c>
      <c r="AV17" s="3"/>
      <c r="AW17" s="81">
        <f t="shared" si="1"/>
        <v>0</v>
      </c>
      <c r="AX17" s="82"/>
      <c r="AY17" s="85"/>
    </row>
    <row r="18" spans="1:51" x14ac:dyDescent="0.25">
      <c r="C18" t="s">
        <v>41</v>
      </c>
      <c r="H18" s="1">
        <v>5709.6</v>
      </c>
      <c r="K18" s="1">
        <v>112.32</v>
      </c>
      <c r="L18" s="1">
        <v>6289.92</v>
      </c>
      <c r="M18" s="1">
        <v>1946.88</v>
      </c>
      <c r="N18" s="1">
        <v>6757.92</v>
      </c>
      <c r="O18" s="1">
        <v>748.8</v>
      </c>
      <c r="P18" s="1">
        <v>8311.68</v>
      </c>
      <c r="Q18" s="1">
        <v>542.88</v>
      </c>
      <c r="R18" s="1">
        <v>6870.24</v>
      </c>
      <c r="S18" s="1">
        <v>3538.08</v>
      </c>
      <c r="T18" s="1">
        <v>6102.72</v>
      </c>
      <c r="U18" s="1">
        <v>6177.6</v>
      </c>
      <c r="V18" s="1">
        <v>6814.08</v>
      </c>
      <c r="W18" s="1">
        <v>1609.92</v>
      </c>
      <c r="X18" s="1">
        <v>7562.88</v>
      </c>
      <c r="Y18" s="1">
        <v>9902.8799999999992</v>
      </c>
      <c r="Z18" s="1">
        <v>823.68</v>
      </c>
      <c r="AA18" s="1">
        <v>468</v>
      </c>
      <c r="AB18" s="1">
        <v>561.6</v>
      </c>
      <c r="AC18" s="1">
        <v>411.84</v>
      </c>
      <c r="AD18" s="1">
        <v>730.08</v>
      </c>
      <c r="AE18" s="1">
        <v>748.8</v>
      </c>
      <c r="AF18" s="1">
        <v>2021.76</v>
      </c>
      <c r="AG18" s="1">
        <v>1422.72</v>
      </c>
      <c r="AH18" s="1">
        <v>449.28</v>
      </c>
      <c r="AI18" s="1">
        <v>1141.92</v>
      </c>
      <c r="AJ18" s="1">
        <v>2283.84</v>
      </c>
      <c r="AK18" s="1">
        <v>1160.6400000000001</v>
      </c>
      <c r="AL18" s="1">
        <v>542.88</v>
      </c>
      <c r="AM18" s="1">
        <v>711.36</v>
      </c>
      <c r="AN18" s="1">
        <v>112.32</v>
      </c>
      <c r="AO18" s="1">
        <v>842.4</v>
      </c>
      <c r="AR18" s="3">
        <f t="shared" si="0"/>
        <v>93431.52</v>
      </c>
      <c r="AT18" s="8">
        <f>IF(AR18=0,0,+AR18/PassVol!AR211)</f>
        <v>18.720000000000002</v>
      </c>
      <c r="AU18" s="60">
        <f t="shared" si="3"/>
        <v>18.72</v>
      </c>
      <c r="AV18" s="3"/>
      <c r="AW18" s="81">
        <f t="shared" si="1"/>
        <v>0</v>
      </c>
      <c r="AX18" s="82"/>
      <c r="AY18" s="85"/>
    </row>
    <row r="19" spans="1:51" x14ac:dyDescent="0.25">
      <c r="C19" t="s">
        <v>193</v>
      </c>
      <c r="AR19" s="3">
        <f t="shared" si="0"/>
        <v>0</v>
      </c>
      <c r="AT19" s="8">
        <f>IF(AR19=0,0,+AR19/PassVol!AR212)</f>
        <v>0</v>
      </c>
      <c r="AU19" s="60">
        <v>0</v>
      </c>
      <c r="AV19" s="3"/>
      <c r="AW19" s="81">
        <f t="shared" si="1"/>
        <v>0</v>
      </c>
      <c r="AX19" s="82"/>
      <c r="AY19" s="85"/>
    </row>
    <row r="20" spans="1:51" x14ac:dyDescent="0.25">
      <c r="C20" t="s">
        <v>297</v>
      </c>
      <c r="AR20" s="3">
        <f t="shared" si="0"/>
        <v>0</v>
      </c>
      <c r="AT20" s="8">
        <f>IF(AR20=0,0,+AR20/PassVol!AR213)</f>
        <v>0</v>
      </c>
      <c r="AU20" s="60">
        <v>0</v>
      </c>
      <c r="AV20" s="3"/>
      <c r="AW20" s="81">
        <f t="shared" si="1"/>
        <v>0</v>
      </c>
      <c r="AX20" s="82"/>
      <c r="AY20" s="85"/>
    </row>
    <row r="21" spans="1:51" x14ac:dyDescent="0.25">
      <c r="C21" t="s">
        <v>296</v>
      </c>
      <c r="G21" s="1">
        <v>561.6</v>
      </c>
      <c r="L21" s="1">
        <v>262.08</v>
      </c>
      <c r="M21" s="1">
        <v>56.16</v>
      </c>
      <c r="N21" s="1">
        <v>411.84</v>
      </c>
      <c r="O21" s="1">
        <v>168.48</v>
      </c>
      <c r="P21" s="1">
        <v>430.56</v>
      </c>
      <c r="Q21" s="1">
        <v>430.56</v>
      </c>
      <c r="R21" s="1">
        <v>18.72</v>
      </c>
      <c r="S21" s="1">
        <v>449.28</v>
      </c>
      <c r="T21" s="1">
        <v>505.44</v>
      </c>
      <c r="U21" s="1">
        <v>374.4</v>
      </c>
      <c r="V21" s="1">
        <v>112.32</v>
      </c>
      <c r="W21" s="1">
        <v>243.36</v>
      </c>
      <c r="X21" s="1">
        <v>131.04</v>
      </c>
      <c r="Y21" s="1">
        <v>561.6</v>
      </c>
      <c r="Z21" s="1">
        <v>56.16</v>
      </c>
      <c r="AA21" s="1">
        <v>93.6</v>
      </c>
      <c r="AB21" s="1">
        <v>393.12</v>
      </c>
      <c r="AC21" s="1">
        <v>74.88</v>
      </c>
      <c r="AE21" s="1">
        <v>131.04</v>
      </c>
      <c r="AH21" s="1">
        <v>149.76</v>
      </c>
      <c r="AJ21" s="1">
        <v>56.16</v>
      </c>
      <c r="AM21" s="1">
        <v>187.2</v>
      </c>
      <c r="AR21" s="3">
        <f t="shared" si="0"/>
        <v>5859.3600000000006</v>
      </c>
      <c r="AT21" s="8">
        <f>IF(AR21=0,0,+AR21/PassVol!AR214)</f>
        <v>18.720000000000002</v>
      </c>
      <c r="AU21" s="60">
        <f t="shared" ref="AU21:AU22" si="4">1.04*18</f>
        <v>18.72</v>
      </c>
      <c r="AV21" s="3"/>
      <c r="AW21" s="81">
        <f t="shared" si="1"/>
        <v>0</v>
      </c>
      <c r="AX21" s="82"/>
      <c r="AY21" s="85"/>
    </row>
    <row r="22" spans="1:51" x14ac:dyDescent="0.25">
      <c r="A22"/>
      <c r="C22" t="s">
        <v>44</v>
      </c>
      <c r="G22" s="1">
        <f>45293.4-42747</f>
        <v>2546.4000000000015</v>
      </c>
      <c r="H22" s="1">
        <f>26923.32-18120</f>
        <v>8803.32</v>
      </c>
      <c r="I22" s="1">
        <f>5350.14-3272</f>
        <v>2078.1400000000003</v>
      </c>
      <c r="J22" s="1">
        <f>12968.64-10722</f>
        <v>2246.6399999999994</v>
      </c>
      <c r="K22" s="1">
        <f>28316.88-27081</f>
        <v>1235.880000000001</v>
      </c>
      <c r="L22" s="1">
        <f>30501.54-22452</f>
        <v>8049.5400000000009</v>
      </c>
      <c r="M22" s="1">
        <f>22799.88-15930</f>
        <v>6869.880000000001</v>
      </c>
      <c r="N22" s="1">
        <f>35609.22-26324</f>
        <v>9285.2200000000012</v>
      </c>
      <c r="O22" s="1">
        <f>25670.34-13877</f>
        <v>11793.34</v>
      </c>
      <c r="P22" s="1">
        <f>36806.04-20201</f>
        <v>16605.04</v>
      </c>
      <c r="Q22" s="1">
        <f>41013.72-23305</f>
        <v>17708.72</v>
      </c>
      <c r="R22" s="1">
        <f>51676.92-31422</f>
        <v>20254.919999999998</v>
      </c>
      <c r="S22" s="1">
        <f>46673.82-25707</f>
        <v>20966.82</v>
      </c>
      <c r="T22" s="1">
        <f>50083.38-32393</f>
        <v>17690.379999999997</v>
      </c>
      <c r="U22" s="1">
        <f>59287.14-33554</f>
        <v>25733.14</v>
      </c>
      <c r="V22" s="1">
        <f>48611.16-31220</f>
        <v>17391.160000000003</v>
      </c>
      <c r="W22" s="1">
        <f>46484.82-25481</f>
        <v>21003.82</v>
      </c>
      <c r="X22" s="1">
        <f>52108.38-33838</f>
        <v>18270.379999999997</v>
      </c>
      <c r="Y22" s="1">
        <f>40200.3-29230</f>
        <v>10970.300000000003</v>
      </c>
      <c r="Z22" s="1">
        <f>21826.08-13252</f>
        <v>8574.0800000000017</v>
      </c>
      <c r="AA22" s="1">
        <f>23423.58-15149</f>
        <v>8274.5800000000017</v>
      </c>
      <c r="AB22" s="1">
        <f>19380.24-14363</f>
        <v>5017.2400000000016</v>
      </c>
      <c r="AC22" s="1">
        <f>13811.94-6960</f>
        <v>6851.9400000000005</v>
      </c>
      <c r="AD22" s="1">
        <f>15485.58-12584</f>
        <v>2901.58</v>
      </c>
      <c r="AE22" s="1">
        <f>6543.9-4223</f>
        <v>2320.8999999999996</v>
      </c>
      <c r="AF22" s="1">
        <f>7873.56-4785</f>
        <v>3088.5600000000004</v>
      </c>
      <c r="AG22" s="1">
        <f>7651.44-5143</f>
        <v>2508.4399999999996</v>
      </c>
      <c r="AH22" s="1">
        <f>6236.1-5038</f>
        <v>1198.1000000000004</v>
      </c>
      <c r="AI22" s="1">
        <f>9254.34-7888</f>
        <v>1366.3400000000001</v>
      </c>
      <c r="AJ22" s="1">
        <f>12736.8-9536</f>
        <v>3200.7999999999993</v>
      </c>
      <c r="AK22" s="1">
        <f>10336.5-8970</f>
        <v>1366.5</v>
      </c>
      <c r="AL22" s="1">
        <f>7168.86-3687</f>
        <v>3481.8599999999997</v>
      </c>
      <c r="AM22" s="1">
        <f>3991.32-3336</f>
        <v>655.32000000000016</v>
      </c>
      <c r="AN22" s="1">
        <f>3422.16-2243</f>
        <v>1179.1599999999999</v>
      </c>
      <c r="AO22" s="1">
        <f>1404-842</f>
        <v>562</v>
      </c>
      <c r="AP22" s="1">
        <f>443.34-200</f>
        <v>243.33999999999997</v>
      </c>
      <c r="AR22" s="3">
        <f t="shared" si="0"/>
        <v>292293.78000000009</v>
      </c>
      <c r="AT22" s="8">
        <f>IF(AR22=0,0,+AR22/PassVol!AR215)</f>
        <v>18.61862411618575</v>
      </c>
      <c r="AU22" s="60">
        <f t="shared" si="4"/>
        <v>18.72</v>
      </c>
      <c r="AV22" s="3"/>
      <c r="AW22" s="81">
        <f t="shared" si="1"/>
        <v>0</v>
      </c>
      <c r="AX22" s="82"/>
      <c r="AY22" s="85"/>
    </row>
    <row r="23" spans="1:51" s="2" customFormat="1" x14ac:dyDescent="0.25">
      <c r="B23" s="2" t="s">
        <v>151</v>
      </c>
      <c r="D23" s="3">
        <f>SUM(D4:D22)</f>
        <v>0</v>
      </c>
      <c r="E23" s="3">
        <f t="shared" ref="E23:J23" si="5">SUM(E4:E22)</f>
        <v>0</v>
      </c>
      <c r="F23" s="3">
        <f t="shared" si="5"/>
        <v>0</v>
      </c>
      <c r="G23" s="3">
        <f t="shared" si="5"/>
        <v>45293.880000000005</v>
      </c>
      <c r="H23" s="3">
        <f t="shared" si="5"/>
        <v>26923.559999999998</v>
      </c>
      <c r="I23" s="3">
        <f t="shared" si="5"/>
        <v>5350.3600000000006</v>
      </c>
      <c r="J23" s="3">
        <f t="shared" si="5"/>
        <v>12968.880000000001</v>
      </c>
      <c r="K23" s="3">
        <f>SUM(K4:K22)</f>
        <v>28317.24</v>
      </c>
      <c r="L23" s="3">
        <f>SUM(L4:L22)</f>
        <v>30501.480000000003</v>
      </c>
      <c r="M23" s="3">
        <f t="shared" ref="M23:AR23" si="6">SUM(M4:M22)</f>
        <v>22799.52</v>
      </c>
      <c r="N23" s="3">
        <f t="shared" si="6"/>
        <v>35609.320000000007</v>
      </c>
      <c r="O23" s="3">
        <f t="shared" si="6"/>
        <v>25670.079999999998</v>
      </c>
      <c r="P23" s="3">
        <f t="shared" si="6"/>
        <v>36806.44</v>
      </c>
      <c r="Q23" s="3">
        <f t="shared" si="6"/>
        <v>41013.320000000007</v>
      </c>
      <c r="R23" s="3">
        <f t="shared" si="6"/>
        <v>51676.800000000003</v>
      </c>
      <c r="S23" s="3">
        <f t="shared" si="6"/>
        <v>46674.239999999998</v>
      </c>
      <c r="T23" s="3">
        <f t="shared" si="6"/>
        <v>50083.360000000001</v>
      </c>
      <c r="U23" s="3">
        <f t="shared" si="6"/>
        <v>59287.48</v>
      </c>
      <c r="V23" s="3">
        <f t="shared" si="6"/>
        <v>48611.44</v>
      </c>
      <c r="W23" s="3">
        <f t="shared" si="6"/>
        <v>46484.800000000003</v>
      </c>
      <c r="X23" s="3">
        <f t="shared" si="6"/>
        <v>52108.039999999994</v>
      </c>
      <c r="Y23" s="3">
        <f t="shared" si="6"/>
        <v>40200.239999999998</v>
      </c>
      <c r="Z23" s="3">
        <f t="shared" si="6"/>
        <v>21826.400000000001</v>
      </c>
      <c r="AA23" s="3">
        <f t="shared" si="6"/>
        <v>23423.920000000002</v>
      </c>
      <c r="AB23" s="3">
        <f t="shared" si="6"/>
        <v>19380.520000000004</v>
      </c>
      <c r="AC23" s="3">
        <f t="shared" si="6"/>
        <v>13827.48</v>
      </c>
      <c r="AD23" s="3">
        <f t="shared" si="6"/>
        <v>15485.559999999998</v>
      </c>
      <c r="AE23" s="3">
        <f t="shared" si="6"/>
        <v>6543.52</v>
      </c>
      <c r="AF23" s="3">
        <f t="shared" si="6"/>
        <v>7873.3200000000006</v>
      </c>
      <c r="AG23" s="3">
        <f t="shared" si="6"/>
        <v>7651.4</v>
      </c>
      <c r="AH23" s="3">
        <f t="shared" si="6"/>
        <v>6236.12</v>
      </c>
      <c r="AI23" s="3">
        <f t="shared" si="6"/>
        <v>9254.119999999999</v>
      </c>
      <c r="AJ23" s="3">
        <f t="shared" si="6"/>
        <v>12736.48</v>
      </c>
      <c r="AK23" s="3">
        <f t="shared" si="6"/>
        <v>10336.44</v>
      </c>
      <c r="AL23" s="3">
        <f t="shared" si="6"/>
        <v>7168.8</v>
      </c>
      <c r="AM23" s="3">
        <f t="shared" si="6"/>
        <v>3991.44</v>
      </c>
      <c r="AN23" s="3">
        <f t="shared" si="6"/>
        <v>3421.96</v>
      </c>
      <c r="AO23" s="3">
        <f t="shared" si="6"/>
        <v>1404.4</v>
      </c>
      <c r="AP23" s="3">
        <f t="shared" si="6"/>
        <v>443.31999999999994</v>
      </c>
      <c r="AQ23" s="3">
        <f t="shared" si="6"/>
        <v>0</v>
      </c>
      <c r="AR23" s="3">
        <f t="shared" si="6"/>
        <v>877385.67999999993</v>
      </c>
      <c r="AS23" s="3"/>
      <c r="AT23" s="9">
        <f>IF(AR23=0,0,+AR23/PassVol!AR216)</f>
        <v>17.243876496138046</v>
      </c>
      <c r="AU23" s="61"/>
      <c r="AV23" s="3">
        <f>SUM(AV4:AV22)</f>
        <v>0</v>
      </c>
      <c r="AW23" s="81">
        <f t="shared" si="1"/>
        <v>0</v>
      </c>
      <c r="AX23" s="83"/>
      <c r="AY23" s="86"/>
    </row>
    <row r="24" spans="1:51" s="24" customFormat="1" x14ac:dyDescent="0.25">
      <c r="A24" s="23"/>
      <c r="B24" s="23"/>
      <c r="C24" s="27" t="s">
        <v>102</v>
      </c>
      <c r="D24" s="25">
        <f>+D23</f>
        <v>0</v>
      </c>
      <c r="E24" s="25">
        <f>+D24+E23</f>
        <v>0</v>
      </c>
      <c r="F24" s="25">
        <f t="shared" ref="F24:AQ24" si="7">+E24+F23</f>
        <v>0</v>
      </c>
      <c r="G24" s="25">
        <f t="shared" si="7"/>
        <v>45293.880000000005</v>
      </c>
      <c r="H24" s="25">
        <f t="shared" si="7"/>
        <v>72217.440000000002</v>
      </c>
      <c r="I24" s="25">
        <f t="shared" si="7"/>
        <v>77567.8</v>
      </c>
      <c r="J24" s="25">
        <f t="shared" si="7"/>
        <v>90536.680000000008</v>
      </c>
      <c r="K24" s="25">
        <f t="shared" si="7"/>
        <v>118853.92000000001</v>
      </c>
      <c r="L24" s="25">
        <f t="shared" si="7"/>
        <v>149355.40000000002</v>
      </c>
      <c r="M24" s="25">
        <f t="shared" si="7"/>
        <v>172154.92</v>
      </c>
      <c r="N24" s="25">
        <f t="shared" si="7"/>
        <v>207764.24000000002</v>
      </c>
      <c r="O24" s="25">
        <f t="shared" si="7"/>
        <v>233434.32</v>
      </c>
      <c r="P24" s="25">
        <f t="shared" si="7"/>
        <v>270240.76</v>
      </c>
      <c r="Q24" s="25">
        <f t="shared" si="7"/>
        <v>311254.08</v>
      </c>
      <c r="R24" s="25">
        <f t="shared" si="7"/>
        <v>362930.88</v>
      </c>
      <c r="S24" s="25">
        <f t="shared" si="7"/>
        <v>409605.12</v>
      </c>
      <c r="T24" s="25">
        <f t="shared" si="7"/>
        <v>459688.48</v>
      </c>
      <c r="U24" s="25">
        <f t="shared" si="7"/>
        <v>518975.95999999996</v>
      </c>
      <c r="V24" s="25">
        <f t="shared" si="7"/>
        <v>567587.39999999991</v>
      </c>
      <c r="W24" s="25">
        <f t="shared" si="7"/>
        <v>614072.19999999995</v>
      </c>
      <c r="X24" s="25">
        <f t="shared" si="7"/>
        <v>666180.24</v>
      </c>
      <c r="Y24" s="25">
        <f t="shared" si="7"/>
        <v>706380.48</v>
      </c>
      <c r="Z24" s="25">
        <f t="shared" si="7"/>
        <v>728206.88</v>
      </c>
      <c r="AA24" s="25">
        <f t="shared" si="7"/>
        <v>751630.8</v>
      </c>
      <c r="AB24" s="25">
        <f t="shared" si="7"/>
        <v>771011.32000000007</v>
      </c>
      <c r="AC24" s="25">
        <f t="shared" si="7"/>
        <v>784838.8</v>
      </c>
      <c r="AD24" s="25">
        <f t="shared" si="7"/>
        <v>800324.3600000001</v>
      </c>
      <c r="AE24" s="25">
        <f t="shared" si="7"/>
        <v>806867.88000000012</v>
      </c>
      <c r="AF24" s="25">
        <f t="shared" si="7"/>
        <v>814741.20000000007</v>
      </c>
      <c r="AG24" s="25">
        <f t="shared" si="7"/>
        <v>822392.60000000009</v>
      </c>
      <c r="AH24" s="25">
        <f t="shared" si="7"/>
        <v>828628.72000000009</v>
      </c>
      <c r="AI24" s="25">
        <f t="shared" si="7"/>
        <v>837882.84000000008</v>
      </c>
      <c r="AJ24" s="25">
        <f t="shared" si="7"/>
        <v>850619.32000000007</v>
      </c>
      <c r="AK24" s="25">
        <f t="shared" si="7"/>
        <v>860955.76</v>
      </c>
      <c r="AL24" s="25">
        <f t="shared" si="7"/>
        <v>868124.56</v>
      </c>
      <c r="AM24" s="25">
        <f t="shared" si="7"/>
        <v>872116</v>
      </c>
      <c r="AN24" s="25">
        <f t="shared" si="7"/>
        <v>875537.96</v>
      </c>
      <c r="AO24" s="25">
        <f t="shared" si="7"/>
        <v>876942.36</v>
      </c>
      <c r="AP24" s="25">
        <f t="shared" si="7"/>
        <v>877385.67999999993</v>
      </c>
      <c r="AQ24" s="25">
        <f t="shared" si="7"/>
        <v>877385.67999999993</v>
      </c>
      <c r="AR24" s="49"/>
      <c r="AS24" s="25"/>
      <c r="AT24" s="26"/>
      <c r="AU24" s="60"/>
    </row>
    <row r="25" spans="1:51" s="24" customFormat="1" x14ac:dyDescent="0.25">
      <c r="A25" s="23"/>
      <c r="B25" s="23"/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49"/>
      <c r="AS25" s="25"/>
      <c r="AT25" s="26"/>
      <c r="AU25" s="60"/>
    </row>
    <row r="26" spans="1:51" s="24" customFormat="1" x14ac:dyDescent="0.25">
      <c r="A26"/>
      <c r="B26" s="2" t="s">
        <v>271</v>
      </c>
      <c r="C26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49"/>
      <c r="AS26" s="25"/>
      <c r="AT26" s="26"/>
      <c r="AU26" s="60"/>
    </row>
    <row r="27" spans="1:51" s="24" customFormat="1" x14ac:dyDescent="0.25">
      <c r="A27"/>
      <c r="B27" s="2"/>
      <c r="C27" t="s">
        <v>190</v>
      </c>
      <c r="D27" s="1"/>
      <c r="E27" s="1"/>
      <c r="F27" s="1"/>
      <c r="G27" s="1">
        <v>3943.52</v>
      </c>
      <c r="H27" s="1"/>
      <c r="I27" s="1"/>
      <c r="J27" s="1">
        <v>349.44</v>
      </c>
      <c r="K27" s="1">
        <v>655.20000000000005</v>
      </c>
      <c r="L27" s="1">
        <v>6464.64</v>
      </c>
      <c r="M27" s="1"/>
      <c r="N27" s="1">
        <v>1150.24</v>
      </c>
      <c r="O27" s="1">
        <v>655.20000000000005</v>
      </c>
      <c r="P27" s="1">
        <v>1659.84</v>
      </c>
      <c r="Q27" s="1">
        <v>5445.44</v>
      </c>
      <c r="R27" s="1">
        <v>829.92</v>
      </c>
      <c r="S27" s="1">
        <v>1077.44</v>
      </c>
      <c r="T27" s="1">
        <v>3217.76</v>
      </c>
      <c r="U27" s="1">
        <v>538.72</v>
      </c>
      <c r="V27" s="1">
        <v>1543.36</v>
      </c>
      <c r="W27" s="1">
        <v>1324.96</v>
      </c>
      <c r="X27" s="1">
        <v>4382.5600000000004</v>
      </c>
      <c r="Y27" s="1">
        <v>567.84500000000003</v>
      </c>
      <c r="Z27" s="1">
        <v>1019.2</v>
      </c>
      <c r="AA27" s="1">
        <v>393.12</v>
      </c>
      <c r="AB27" s="1">
        <v>1354.08</v>
      </c>
      <c r="AC27" s="1">
        <v>1004.64</v>
      </c>
      <c r="AD27" s="1">
        <v>553.28</v>
      </c>
      <c r="AE27" s="1">
        <v>582.4</v>
      </c>
      <c r="AF27" s="1">
        <v>1223.04</v>
      </c>
      <c r="AG27" s="1">
        <v>640.64</v>
      </c>
      <c r="AH27" s="1">
        <v>2693.6</v>
      </c>
      <c r="AI27" s="1">
        <v>2285.92</v>
      </c>
      <c r="AJ27" s="1">
        <v>10305.68</v>
      </c>
      <c r="AK27" s="1">
        <v>946.4</v>
      </c>
      <c r="AL27" s="1">
        <v>509.6</v>
      </c>
      <c r="AM27" s="1">
        <v>538.72</v>
      </c>
      <c r="AN27" s="1"/>
      <c r="AO27" s="1"/>
      <c r="AP27" s="1"/>
      <c r="AQ27" s="1"/>
      <c r="AR27" s="3">
        <f>SUM(D27:AQ27)</f>
        <v>57856.404999999999</v>
      </c>
      <c r="AS27" s="25"/>
      <c r="AT27" s="8">
        <v>14.56</v>
      </c>
      <c r="AU27" s="60">
        <f>1.82*8</f>
        <v>14.56</v>
      </c>
      <c r="AV27" s="3"/>
      <c r="AW27" s="81">
        <f t="shared" ref="AW27:AW46" si="8">IF(AV27=0,0,+(AR27-AV27)/AV27)</f>
        <v>0</v>
      </c>
      <c r="AX27" s="82"/>
      <c r="AY27" s="84"/>
    </row>
    <row r="28" spans="1:51" s="24" customFormat="1" x14ac:dyDescent="0.25">
      <c r="A28"/>
      <c r="B28" s="2"/>
      <c r="C28" t="s">
        <v>424</v>
      </c>
      <c r="D28" s="1"/>
      <c r="E28" s="1"/>
      <c r="F28" s="1"/>
      <c r="G28" s="1"/>
      <c r="H28" s="1">
        <v>123.52</v>
      </c>
      <c r="I28" s="1">
        <v>308.8</v>
      </c>
      <c r="J28" s="1"/>
      <c r="K28" s="1"/>
      <c r="L28" s="1">
        <v>308.8</v>
      </c>
      <c r="M28" s="1">
        <v>756.56</v>
      </c>
      <c r="N28" s="1">
        <v>524.96</v>
      </c>
      <c r="O28" s="1">
        <v>1389.6</v>
      </c>
      <c r="P28" s="1">
        <v>1327.84</v>
      </c>
      <c r="Q28" s="1">
        <v>1111.68</v>
      </c>
      <c r="R28" s="1">
        <v>1142.56</v>
      </c>
      <c r="S28" s="1">
        <v>1837.36</v>
      </c>
      <c r="T28" s="1">
        <v>1111.68</v>
      </c>
      <c r="U28" s="1">
        <v>864.64</v>
      </c>
      <c r="V28" s="1">
        <v>1188.8800000000001</v>
      </c>
      <c r="W28" s="1">
        <v>1698.4</v>
      </c>
      <c r="X28" s="1">
        <v>725.68</v>
      </c>
      <c r="Y28" s="1">
        <v>648.48</v>
      </c>
      <c r="Z28" s="1">
        <v>1219.76</v>
      </c>
      <c r="AA28" s="1">
        <v>293.36</v>
      </c>
      <c r="AB28" s="1">
        <v>138.96</v>
      </c>
      <c r="AC28" s="1">
        <v>77.2</v>
      </c>
      <c r="AD28" s="1">
        <v>463.2</v>
      </c>
      <c r="AE28" s="1">
        <v>277.92</v>
      </c>
      <c r="AF28" s="1">
        <v>92.64</v>
      </c>
      <c r="AG28" s="1"/>
      <c r="AH28" s="1"/>
      <c r="AI28" s="1"/>
      <c r="AJ28" s="1">
        <v>185.28</v>
      </c>
      <c r="AK28" s="1"/>
      <c r="AL28" s="1">
        <v>77.2</v>
      </c>
      <c r="AM28" s="1"/>
      <c r="AN28" s="1"/>
      <c r="AO28" s="1"/>
      <c r="AP28" s="1"/>
      <c r="AQ28" s="1"/>
      <c r="AR28" s="3">
        <f>SUM(D28:AQ28)</f>
        <v>17894.96</v>
      </c>
      <c r="AS28" s="25"/>
      <c r="AT28" s="8">
        <f>IF(AR28=0,0,+AR28/PassVol!AR222)</f>
        <v>15.44</v>
      </c>
      <c r="AU28" s="60">
        <f>1.93*8</f>
        <v>15.44</v>
      </c>
      <c r="AV28" s="3"/>
      <c r="AW28" s="81"/>
      <c r="AX28" s="82"/>
      <c r="AY28" s="85"/>
    </row>
    <row r="29" spans="1:51" s="24" customFormat="1" x14ac:dyDescent="0.25">
      <c r="A29"/>
      <c r="B29" s="2"/>
      <c r="C29" t="s">
        <v>347</v>
      </c>
      <c r="D29" s="1"/>
      <c r="E29" s="1"/>
      <c r="F29" s="1"/>
      <c r="G29" s="1"/>
      <c r="H29" s="1"/>
      <c r="I29" s="1"/>
      <c r="J29" s="1"/>
      <c r="K29" s="1"/>
      <c r="L29" s="1">
        <v>154.4</v>
      </c>
      <c r="M29" s="1"/>
      <c r="N29" s="1"/>
      <c r="O29" s="1">
        <v>77.2</v>
      </c>
      <c r="P29" s="1">
        <v>277.92</v>
      </c>
      <c r="Q29" s="1">
        <v>77.2</v>
      </c>
      <c r="R29" s="1">
        <v>216.16</v>
      </c>
      <c r="S29" s="1">
        <v>355.12</v>
      </c>
      <c r="T29" s="1">
        <v>648.48</v>
      </c>
      <c r="U29" s="1"/>
      <c r="V29" s="1">
        <v>293.36</v>
      </c>
      <c r="W29" s="1">
        <v>386</v>
      </c>
      <c r="X29" s="1">
        <v>571.28</v>
      </c>
      <c r="Y29" s="1"/>
      <c r="Z29" s="1"/>
      <c r="AA29" s="1"/>
      <c r="AB29" s="1">
        <v>92.64</v>
      </c>
      <c r="AC29" s="1">
        <v>247.04</v>
      </c>
      <c r="AD29" s="1">
        <v>277.92</v>
      </c>
      <c r="AE29" s="1"/>
      <c r="AF29" s="1"/>
      <c r="AG29" s="1">
        <v>138.96</v>
      </c>
      <c r="AH29" s="1"/>
      <c r="AI29" s="1">
        <v>154.4</v>
      </c>
      <c r="AJ29" s="1">
        <v>92.64</v>
      </c>
      <c r="AK29" s="1">
        <v>123.52</v>
      </c>
      <c r="AL29" s="1"/>
      <c r="AM29" s="1"/>
      <c r="AN29" s="1"/>
      <c r="AO29" s="1"/>
      <c r="AP29" s="1"/>
      <c r="AQ29" s="1"/>
      <c r="AR29" s="3">
        <f t="shared" ref="AR29:AR45" si="9">SUM(D29:AQ29)</f>
        <v>4184.24</v>
      </c>
      <c r="AS29" s="25"/>
      <c r="AT29" s="8">
        <f>IF(AR29=0,0,+AR29/PassVol!AR223)</f>
        <v>15.44</v>
      </c>
      <c r="AU29" s="60">
        <f>1.93*8</f>
        <v>15.44</v>
      </c>
      <c r="AV29" s="3"/>
      <c r="AW29" s="81">
        <f t="shared" si="8"/>
        <v>0</v>
      </c>
      <c r="AX29" s="82"/>
      <c r="AY29" s="85"/>
    </row>
    <row r="30" spans="1:51" s="24" customFormat="1" x14ac:dyDescent="0.25">
      <c r="A30"/>
      <c r="B30" s="2"/>
      <c r="C30" t="s">
        <v>0</v>
      </c>
      <c r="D30" s="1"/>
      <c r="E30" s="1"/>
      <c r="F30" s="1"/>
      <c r="G30" s="1">
        <v>28247.360000000001</v>
      </c>
      <c r="H30" s="1"/>
      <c r="I30" s="1"/>
      <c r="J30" s="1">
        <v>6992.96</v>
      </c>
      <c r="K30" s="1">
        <v>11926.08</v>
      </c>
      <c r="L30" s="1">
        <v>826.56</v>
      </c>
      <c r="M30" s="1">
        <v>12647.68</v>
      </c>
      <c r="N30" s="1">
        <v>8291.84</v>
      </c>
      <c r="O30" s="1">
        <v>7294.72</v>
      </c>
      <c r="P30" s="1">
        <v>5680.96</v>
      </c>
      <c r="Q30" s="1">
        <v>7662.08</v>
      </c>
      <c r="R30" s="1">
        <v>5143.04</v>
      </c>
      <c r="S30" s="1">
        <v>10469.76</v>
      </c>
      <c r="T30" s="1">
        <v>8003.2</v>
      </c>
      <c r="U30" s="1">
        <v>16924.8</v>
      </c>
      <c r="V30" s="1">
        <v>6468.16</v>
      </c>
      <c r="W30" s="1">
        <v>9603.84</v>
      </c>
      <c r="X30" s="1">
        <v>10889.6</v>
      </c>
      <c r="Y30" s="1">
        <v>8095.04</v>
      </c>
      <c r="Z30" s="1">
        <v>7845.76</v>
      </c>
      <c r="AA30" s="1">
        <v>7767.04</v>
      </c>
      <c r="AB30" s="1">
        <v>9525.1200000000008</v>
      </c>
      <c r="AC30" s="1">
        <v>5576</v>
      </c>
      <c r="AD30" s="1">
        <v>8200</v>
      </c>
      <c r="AE30" s="1">
        <v>2033.6</v>
      </c>
      <c r="AF30" s="1">
        <v>695.36</v>
      </c>
      <c r="AG30" s="1">
        <v>2794.56</v>
      </c>
      <c r="AH30" s="1">
        <v>1141.44</v>
      </c>
      <c r="AI30" s="1">
        <v>3293.12</v>
      </c>
      <c r="AJ30" s="1">
        <v>3831.04</v>
      </c>
      <c r="AK30" s="1"/>
      <c r="AL30" s="1">
        <v>2873.28</v>
      </c>
      <c r="AM30" s="1">
        <v>865.92</v>
      </c>
      <c r="AN30" s="1">
        <v>1377.6</v>
      </c>
      <c r="AO30" s="1"/>
      <c r="AP30" s="1"/>
      <c r="AQ30" s="1"/>
      <c r="AR30" s="3">
        <f t="shared" si="9"/>
        <v>222987.52000000002</v>
      </c>
      <c r="AS30" s="25"/>
      <c r="AT30" s="8">
        <f>IF(AR30=0,0,+AR30/PassVol!AR224)</f>
        <v>13.120000000000001</v>
      </c>
      <c r="AU30" s="60">
        <f>1.64*8</f>
        <v>13.12</v>
      </c>
      <c r="AV30" s="3"/>
      <c r="AW30" s="81">
        <f t="shared" si="8"/>
        <v>0</v>
      </c>
      <c r="AX30" s="82"/>
      <c r="AY30" s="85"/>
    </row>
    <row r="31" spans="1:51" s="24" customFormat="1" x14ac:dyDescent="0.25">
      <c r="A31"/>
      <c r="B31" s="2"/>
      <c r="C31" t="s">
        <v>354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>
        <v>108.08</v>
      </c>
      <c r="P31" s="1">
        <v>138.96</v>
      </c>
      <c r="Q31" s="1">
        <v>30.88</v>
      </c>
      <c r="R31" s="1">
        <v>15.44</v>
      </c>
      <c r="S31" s="1">
        <v>555.84</v>
      </c>
      <c r="T31" s="1">
        <v>61.76</v>
      </c>
      <c r="U31" s="1">
        <v>77.2</v>
      </c>
      <c r="V31" s="1">
        <v>15.44</v>
      </c>
      <c r="W31" s="1"/>
      <c r="X31" s="1">
        <v>46.32</v>
      </c>
      <c r="Y31" s="1"/>
      <c r="Z31" s="1">
        <v>185.28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3">
        <f t="shared" si="9"/>
        <v>1235.2</v>
      </c>
      <c r="AS31" s="25"/>
      <c r="AT31" s="8">
        <f>IF(AR31=0,0,+AR31/PassVol!AR225)</f>
        <v>15.440000000000001</v>
      </c>
      <c r="AU31" s="60">
        <f t="shared" ref="AU31" si="10">1.93*8</f>
        <v>15.44</v>
      </c>
      <c r="AV31" s="3"/>
      <c r="AW31" t="s">
        <v>373</v>
      </c>
      <c r="AX31" s="82"/>
      <c r="AY31" s="85"/>
    </row>
    <row r="32" spans="1:51" s="24" customFormat="1" x14ac:dyDescent="0.25">
      <c r="A32"/>
      <c r="B32" s="2"/>
      <c r="C32" t="s">
        <v>265</v>
      </c>
      <c r="D32" s="1"/>
      <c r="E32" s="1"/>
      <c r="F32" s="1"/>
      <c r="G32" s="1"/>
      <c r="H32" s="1"/>
      <c r="I32" s="1"/>
      <c r="J32" s="1"/>
      <c r="K32" s="1"/>
      <c r="L32" s="1"/>
      <c r="M32" s="1">
        <v>585.6</v>
      </c>
      <c r="N32" s="1">
        <v>204.96</v>
      </c>
      <c r="O32" s="1">
        <v>351.36</v>
      </c>
      <c r="P32" s="1">
        <v>1581.12</v>
      </c>
      <c r="Q32" s="1">
        <v>1947.12</v>
      </c>
      <c r="R32" s="1">
        <v>849.12</v>
      </c>
      <c r="S32" s="1">
        <v>2620.56</v>
      </c>
      <c r="T32" s="1">
        <v>1288.32</v>
      </c>
      <c r="U32" s="1">
        <v>2591.2800000000002</v>
      </c>
      <c r="V32" s="1">
        <v>1698.24</v>
      </c>
      <c r="W32" s="1">
        <v>1390.8</v>
      </c>
      <c r="X32" s="1">
        <v>1010.16</v>
      </c>
      <c r="Y32" s="1">
        <v>1332.24</v>
      </c>
      <c r="Z32" s="1"/>
      <c r="AA32" s="1">
        <v>1156.56</v>
      </c>
      <c r="AB32" s="1"/>
      <c r="AC32" s="1"/>
      <c r="AD32" s="1"/>
      <c r="AE32" s="1"/>
      <c r="AF32" s="1"/>
      <c r="AG32" s="1"/>
      <c r="AH32" s="1">
        <v>1493.28</v>
      </c>
      <c r="AI32" s="1"/>
      <c r="AJ32" s="1"/>
      <c r="AK32" s="1">
        <v>512.4</v>
      </c>
      <c r="AL32" s="1"/>
      <c r="AM32" s="1"/>
      <c r="AN32" s="1"/>
      <c r="AO32" s="1"/>
      <c r="AP32" s="1"/>
      <c r="AQ32" s="1"/>
      <c r="AR32" s="3">
        <f t="shared" si="9"/>
        <v>20613.120000000003</v>
      </c>
      <c r="AS32" s="25"/>
      <c r="AT32" s="8">
        <f>IF(AR32=0,0,+AR32/PassVol!AR226)</f>
        <v>14.640000000000002</v>
      </c>
      <c r="AU32" s="60">
        <f>1.83*8</f>
        <v>14.64</v>
      </c>
      <c r="AV32" s="3"/>
      <c r="AW32" s="81">
        <f t="shared" si="8"/>
        <v>0</v>
      </c>
      <c r="AX32" s="82"/>
      <c r="AY32" s="85"/>
    </row>
    <row r="33" spans="1:51" s="24" customFormat="1" x14ac:dyDescent="0.25">
      <c r="A33"/>
      <c r="B33" s="2"/>
      <c r="C33" t="s">
        <v>191</v>
      </c>
      <c r="D33" s="1"/>
      <c r="E33" s="1"/>
      <c r="F33" s="1"/>
      <c r="G33" s="1"/>
      <c r="H33" s="1"/>
      <c r="I33" s="1"/>
      <c r="J33" s="1"/>
      <c r="K33" s="1">
        <v>9873.6</v>
      </c>
      <c r="L33" s="1"/>
      <c r="M33" s="1">
        <v>4488</v>
      </c>
      <c r="N33" s="1">
        <v>344.08</v>
      </c>
      <c r="O33" s="1">
        <v>1062.1600000000001</v>
      </c>
      <c r="P33" s="1">
        <v>254.32</v>
      </c>
      <c r="Q33" s="1">
        <v>2962.08</v>
      </c>
      <c r="R33" s="1"/>
      <c r="S33" s="1"/>
      <c r="T33" s="1"/>
      <c r="U33" s="1"/>
      <c r="V33" s="1"/>
      <c r="W33" s="1"/>
      <c r="X33" s="1"/>
      <c r="Y33" s="1">
        <v>643.28</v>
      </c>
      <c r="Z33" s="1">
        <v>14.96</v>
      </c>
      <c r="AA33" s="1">
        <v>4502.96</v>
      </c>
      <c r="AB33" s="1">
        <v>269.27999999999997</v>
      </c>
      <c r="AC33" s="1">
        <v>568.48</v>
      </c>
      <c r="AD33" s="1"/>
      <c r="AE33" s="1"/>
      <c r="AF33" s="1"/>
      <c r="AG33" s="1"/>
      <c r="AH33" s="1"/>
      <c r="AI33" s="1"/>
      <c r="AJ33" s="1"/>
      <c r="AK33" s="1"/>
      <c r="AL33" s="1">
        <v>89.76</v>
      </c>
      <c r="AM33" s="1">
        <v>493.68</v>
      </c>
      <c r="AN33" s="1">
        <v>269.27999999999997</v>
      </c>
      <c r="AO33" s="1"/>
      <c r="AP33" s="1">
        <v>284.24</v>
      </c>
      <c r="AQ33" s="1"/>
      <c r="AR33" s="3">
        <f t="shared" si="9"/>
        <v>26120.159999999993</v>
      </c>
      <c r="AS33" s="25"/>
      <c r="AT33" s="8">
        <f>IF(AR33=0,0,+AR33/PassVol!AR227)</f>
        <v>14.959999999999996</v>
      </c>
      <c r="AU33" s="60">
        <f>1.87*8</f>
        <v>14.96</v>
      </c>
      <c r="AV33" s="3"/>
      <c r="AW33" s="81">
        <f t="shared" si="8"/>
        <v>0</v>
      </c>
      <c r="AX33" s="82"/>
      <c r="AY33" s="85"/>
    </row>
    <row r="34" spans="1:51" s="24" customFormat="1" x14ac:dyDescent="0.25">
      <c r="A34"/>
      <c r="B34" s="2"/>
      <c r="C34" t="s">
        <v>549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3">
        <f t="shared" si="9"/>
        <v>0</v>
      </c>
      <c r="AS34" s="25"/>
      <c r="AT34" s="8">
        <f>IF(AR34=0,0,+AR34/PassVol!AR228)</f>
        <v>0</v>
      </c>
      <c r="AU34" s="60">
        <f t="shared" ref="AU34:AU35" si="11">1.93*8</f>
        <v>15.44</v>
      </c>
      <c r="AV34" s="3"/>
      <c r="AW34" s="81">
        <f t="shared" si="8"/>
        <v>0</v>
      </c>
      <c r="AX34" s="82"/>
      <c r="AY34" s="85"/>
    </row>
    <row r="35" spans="1:51" s="24" customFormat="1" x14ac:dyDescent="0.25">
      <c r="A35"/>
      <c r="B35" s="2"/>
      <c r="C35" t="s">
        <v>550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>
        <v>277.92</v>
      </c>
      <c r="P35" s="1"/>
      <c r="Q35" s="1">
        <v>200.72</v>
      </c>
      <c r="R35" s="1"/>
      <c r="S35" s="1"/>
      <c r="T35" s="1">
        <v>1852.8</v>
      </c>
      <c r="U35" s="1"/>
      <c r="V35" s="1">
        <v>524.96</v>
      </c>
      <c r="W35" s="1">
        <v>1003.6</v>
      </c>
      <c r="X35" s="1">
        <v>756.56</v>
      </c>
      <c r="Y35" s="1">
        <v>4909.92</v>
      </c>
      <c r="Z35" s="1">
        <v>988.16</v>
      </c>
      <c r="AA35" s="1">
        <v>1605.76</v>
      </c>
      <c r="AB35" s="1">
        <v>277.92</v>
      </c>
      <c r="AC35" s="1">
        <v>1374.16</v>
      </c>
      <c r="AD35" s="1">
        <v>1049.92</v>
      </c>
      <c r="AE35" s="1">
        <v>2053.52</v>
      </c>
      <c r="AF35" s="1">
        <v>247.04</v>
      </c>
      <c r="AG35" s="1">
        <v>972.72</v>
      </c>
      <c r="AH35" s="1">
        <v>571.28</v>
      </c>
      <c r="AI35" s="1">
        <v>355.12</v>
      </c>
      <c r="AJ35" s="1">
        <v>494.08</v>
      </c>
      <c r="AK35" s="1">
        <v>586.72</v>
      </c>
      <c r="AL35" s="1">
        <v>355.12</v>
      </c>
      <c r="AM35" s="1">
        <v>617.6</v>
      </c>
      <c r="AN35" s="1">
        <v>663.92</v>
      </c>
      <c r="AO35" s="1"/>
      <c r="AP35" s="1"/>
      <c r="AQ35" s="1"/>
      <c r="AR35" s="3">
        <f t="shared" si="9"/>
        <v>21739.519999999997</v>
      </c>
      <c r="AS35" s="25"/>
      <c r="AT35" s="8">
        <f>IF(AR35=0,0,+AR35/PassVol!AR229)</f>
        <v>15.439999999999998</v>
      </c>
      <c r="AU35" s="60">
        <f t="shared" si="11"/>
        <v>15.44</v>
      </c>
      <c r="AV35" s="3"/>
      <c r="AW35" s="81">
        <f t="shared" si="8"/>
        <v>0</v>
      </c>
      <c r="AX35" s="82"/>
      <c r="AY35" s="85"/>
    </row>
    <row r="36" spans="1:51" s="24" customFormat="1" x14ac:dyDescent="0.25">
      <c r="A36" s="2"/>
      <c r="B36" s="2"/>
      <c r="C36" t="s">
        <v>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3">
        <f t="shared" si="9"/>
        <v>0</v>
      </c>
      <c r="AS36" s="25"/>
      <c r="AT36" s="8">
        <f>IF(AR36=0,0,+AR36/PassVol!AR230)</f>
        <v>0</v>
      </c>
      <c r="AU36" s="116">
        <v>0</v>
      </c>
      <c r="AV36" s="3"/>
      <c r="AW36" s="81">
        <f t="shared" si="8"/>
        <v>0</v>
      </c>
      <c r="AX36" s="82"/>
      <c r="AY36" s="85"/>
    </row>
    <row r="37" spans="1:51" s="24" customFormat="1" x14ac:dyDescent="0.25">
      <c r="A37" s="2"/>
      <c r="B37" s="2"/>
      <c r="C37" t="s">
        <v>262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3">
        <f t="shared" si="9"/>
        <v>0</v>
      </c>
      <c r="AS37" s="25"/>
      <c r="AT37" s="8">
        <f>IF(AR37=0,0,+AR37/PassVol!AR231)</f>
        <v>0</v>
      </c>
      <c r="AU37" s="60">
        <f>1.93*8</f>
        <v>15.44</v>
      </c>
      <c r="AV37" s="3"/>
      <c r="AW37" s="81">
        <f t="shared" si="8"/>
        <v>0</v>
      </c>
      <c r="AX37" s="82"/>
      <c r="AY37" s="85"/>
    </row>
    <row r="38" spans="1:51" s="24" customFormat="1" x14ac:dyDescent="0.25">
      <c r="A38" s="2"/>
      <c r="B38" s="2"/>
      <c r="C38" t="s">
        <v>42</v>
      </c>
      <c r="D38" s="1"/>
      <c r="E38" s="1"/>
      <c r="F38" s="1"/>
      <c r="G38" s="1"/>
      <c r="H38" s="1"/>
      <c r="I38" s="1"/>
      <c r="J38" s="1"/>
      <c r="K38" s="1">
        <v>364</v>
      </c>
      <c r="L38" s="1">
        <v>2620.8000000000002</v>
      </c>
      <c r="M38" s="1"/>
      <c r="N38" s="1">
        <v>131.04</v>
      </c>
      <c r="O38" s="1">
        <v>436.8</v>
      </c>
      <c r="P38" s="1">
        <v>87.36</v>
      </c>
      <c r="Q38" s="1">
        <v>1135.68</v>
      </c>
      <c r="R38" s="1"/>
      <c r="S38" s="1">
        <v>655.20000000000005</v>
      </c>
      <c r="T38" s="1">
        <v>596.96</v>
      </c>
      <c r="U38" s="1">
        <v>305.76</v>
      </c>
      <c r="V38" s="1">
        <v>101.92</v>
      </c>
      <c r="W38" s="1">
        <v>524.16</v>
      </c>
      <c r="X38" s="1">
        <v>145.6</v>
      </c>
      <c r="Y38" s="1"/>
      <c r="Z38" s="1">
        <v>14.56</v>
      </c>
      <c r="AA38" s="1">
        <v>480.48</v>
      </c>
      <c r="AB38" s="1"/>
      <c r="AC38" s="1">
        <v>58.24</v>
      </c>
      <c r="AD38" s="1"/>
      <c r="AE38" s="1">
        <v>72.8</v>
      </c>
      <c r="AF38" s="1">
        <v>29.12</v>
      </c>
      <c r="AG38" s="1">
        <v>436.8</v>
      </c>
      <c r="AH38" s="1">
        <v>203.84</v>
      </c>
      <c r="AI38" s="1">
        <v>116.48</v>
      </c>
      <c r="AJ38" s="1">
        <v>160.16</v>
      </c>
      <c r="AK38" s="1"/>
      <c r="AL38" s="1"/>
      <c r="AM38" s="1"/>
      <c r="AN38" s="1">
        <v>145.6</v>
      </c>
      <c r="AO38" s="1"/>
      <c r="AP38" s="1"/>
      <c r="AQ38" s="1"/>
      <c r="AR38" s="3">
        <f t="shared" si="9"/>
        <v>8823.36</v>
      </c>
      <c r="AS38" s="25"/>
      <c r="AT38" s="8">
        <f>IF(AR38=0,0,+AR38/PassVol!AR232)</f>
        <v>14.56</v>
      </c>
      <c r="AU38" s="60">
        <f>1.82*8</f>
        <v>14.56</v>
      </c>
      <c r="AV38" s="3"/>
      <c r="AW38" s="81">
        <f t="shared" si="8"/>
        <v>0</v>
      </c>
      <c r="AX38" s="82"/>
      <c r="AY38" s="85"/>
    </row>
    <row r="39" spans="1:51" s="24" customFormat="1" x14ac:dyDescent="0.25">
      <c r="A39" s="2"/>
      <c r="B39" s="2"/>
      <c r="C39" t="s">
        <v>192</v>
      </c>
      <c r="D39" s="1"/>
      <c r="E39" s="1"/>
      <c r="F39" s="1"/>
      <c r="G39" s="1">
        <v>717.36</v>
      </c>
      <c r="H39" s="1"/>
      <c r="I39" s="1">
        <v>307.44</v>
      </c>
      <c r="J39" s="1">
        <v>732</v>
      </c>
      <c r="K39" s="1"/>
      <c r="L39" s="1"/>
      <c r="M39" s="1"/>
      <c r="N39" s="1">
        <v>87.84</v>
      </c>
      <c r="O39" s="1">
        <v>131.76</v>
      </c>
      <c r="P39" s="1">
        <v>292.8</v>
      </c>
      <c r="Q39" s="1">
        <v>1068.72</v>
      </c>
      <c r="R39" s="1">
        <v>409.92</v>
      </c>
      <c r="S39" s="1">
        <v>951.6</v>
      </c>
      <c r="T39" s="1">
        <v>322.08</v>
      </c>
      <c r="U39" s="1">
        <v>849.12</v>
      </c>
      <c r="V39" s="1">
        <v>863.76</v>
      </c>
      <c r="W39" s="1">
        <v>600.24</v>
      </c>
      <c r="X39" s="1">
        <v>966.24</v>
      </c>
      <c r="Y39" s="1">
        <v>58.56</v>
      </c>
      <c r="Z39" s="1">
        <v>117.12</v>
      </c>
      <c r="AA39" s="1">
        <v>351.36</v>
      </c>
      <c r="AB39" s="1">
        <v>717.36</v>
      </c>
      <c r="AC39" s="1">
        <v>409.92</v>
      </c>
      <c r="AD39" s="1">
        <v>263.52</v>
      </c>
      <c r="AE39" s="1"/>
      <c r="AF39" s="1"/>
      <c r="AG39" s="1"/>
      <c r="AH39" s="1">
        <v>204.96</v>
      </c>
      <c r="AI39" s="1">
        <v>87.84</v>
      </c>
      <c r="AJ39" s="1">
        <v>366</v>
      </c>
      <c r="AK39" s="1"/>
      <c r="AL39" s="1"/>
      <c r="AM39" s="1"/>
      <c r="AN39" s="1"/>
      <c r="AO39" s="1"/>
      <c r="AP39" s="1"/>
      <c r="AQ39" s="1"/>
      <c r="AR39" s="3">
        <f t="shared" si="9"/>
        <v>10877.520000000002</v>
      </c>
      <c r="AS39" s="25"/>
      <c r="AT39" s="8">
        <f>IF(AR39=0,0,+AR39/PassVol!AR233)</f>
        <v>14.640000000000002</v>
      </c>
      <c r="AU39" s="60">
        <f>1.84*8</f>
        <v>14.72</v>
      </c>
      <c r="AV39" s="3"/>
      <c r="AW39" s="81">
        <f t="shared" si="8"/>
        <v>0</v>
      </c>
      <c r="AX39" s="82"/>
      <c r="AY39" s="85"/>
    </row>
    <row r="40" spans="1:51" s="24" customFormat="1" x14ac:dyDescent="0.25">
      <c r="A40" s="2"/>
      <c r="B40" s="2"/>
      <c r="C40" t="s">
        <v>133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>
        <v>108.08</v>
      </c>
      <c r="S40" s="1">
        <v>30.88</v>
      </c>
      <c r="T40" s="1"/>
      <c r="U40" s="1">
        <v>15.44</v>
      </c>
      <c r="V40" s="1">
        <v>15.44</v>
      </c>
      <c r="W40" s="1"/>
      <c r="X40" s="1"/>
      <c r="Y40" s="1"/>
      <c r="Z40" s="1">
        <v>30.88</v>
      </c>
      <c r="AA40" s="1">
        <v>30.88</v>
      </c>
      <c r="AB40" s="1"/>
      <c r="AC40" s="1"/>
      <c r="AD40" s="1">
        <v>46.32</v>
      </c>
      <c r="AE40" s="1"/>
      <c r="AF40" s="1">
        <v>370.56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3">
        <f t="shared" si="9"/>
        <v>648.48</v>
      </c>
      <c r="AS40" s="25"/>
      <c r="AT40" s="8">
        <f>IF(AR40=0,0,+AR40/PassVol!AR234)</f>
        <v>15.440000000000001</v>
      </c>
      <c r="AU40" s="60">
        <f t="shared" ref="AU40:AU41" si="12">1.93*8</f>
        <v>15.44</v>
      </c>
      <c r="AV40" s="3"/>
      <c r="AW40" s="81">
        <f t="shared" si="8"/>
        <v>0</v>
      </c>
      <c r="AX40" s="82"/>
      <c r="AY40" s="85"/>
    </row>
    <row r="41" spans="1:51" s="24" customFormat="1" x14ac:dyDescent="0.25">
      <c r="A41" s="2"/>
      <c r="B41" s="2"/>
      <c r="C41" t="s">
        <v>41</v>
      </c>
      <c r="D41" s="1"/>
      <c r="E41" s="1"/>
      <c r="F41" s="1"/>
      <c r="G41" s="1"/>
      <c r="H41" s="1">
        <v>7642.8</v>
      </c>
      <c r="I41" s="1"/>
      <c r="J41" s="1"/>
      <c r="K41" s="1">
        <v>370.56</v>
      </c>
      <c r="L41" s="1">
        <v>7766.32</v>
      </c>
      <c r="M41" s="1">
        <v>663.92</v>
      </c>
      <c r="N41" s="1">
        <v>7472.96</v>
      </c>
      <c r="O41" s="1">
        <v>617.6</v>
      </c>
      <c r="P41" s="1">
        <v>8445.68</v>
      </c>
      <c r="Q41" s="1">
        <v>447.76</v>
      </c>
      <c r="R41" s="1">
        <v>7380.32</v>
      </c>
      <c r="S41" s="1">
        <v>2424.08</v>
      </c>
      <c r="T41" s="1">
        <v>6762.72</v>
      </c>
      <c r="U41" s="1">
        <v>4153.3599999999997</v>
      </c>
      <c r="V41" s="1">
        <v>8229.52</v>
      </c>
      <c r="W41" s="1">
        <v>1466.8</v>
      </c>
      <c r="X41" s="1">
        <v>8106</v>
      </c>
      <c r="Y41" s="1">
        <v>8584.64</v>
      </c>
      <c r="Z41" s="1">
        <v>1019.04</v>
      </c>
      <c r="AA41" s="1">
        <v>571.28</v>
      </c>
      <c r="AB41" s="1">
        <v>880.08</v>
      </c>
      <c r="AC41" s="1">
        <v>154.4</v>
      </c>
      <c r="AD41" s="1">
        <v>818.32</v>
      </c>
      <c r="AE41" s="1">
        <v>648.48</v>
      </c>
      <c r="AF41" s="1">
        <v>802.88</v>
      </c>
      <c r="AG41" s="1">
        <v>370.56</v>
      </c>
      <c r="AH41" s="1">
        <v>540.4</v>
      </c>
      <c r="AI41" s="1">
        <v>1188.8800000000001</v>
      </c>
      <c r="AJ41" s="1">
        <v>710.24</v>
      </c>
      <c r="AK41" s="1">
        <v>463.2</v>
      </c>
      <c r="AL41" s="1">
        <v>169.84</v>
      </c>
      <c r="AM41" s="1">
        <v>247.04</v>
      </c>
      <c r="AN41" s="1">
        <v>92.64</v>
      </c>
      <c r="AO41" s="1">
        <v>787.44</v>
      </c>
      <c r="AP41" s="1"/>
      <c r="AQ41" s="1"/>
      <c r="AR41" s="3">
        <f t="shared" si="9"/>
        <v>89999.76</v>
      </c>
      <c r="AS41" s="25"/>
      <c r="AT41" s="8">
        <f>IF(AR41=0,0,+AR41/PassVol!AR235)</f>
        <v>15.44</v>
      </c>
      <c r="AU41" s="60">
        <f t="shared" si="12"/>
        <v>15.44</v>
      </c>
      <c r="AV41" s="3"/>
      <c r="AW41" s="81">
        <f t="shared" si="8"/>
        <v>0</v>
      </c>
      <c r="AX41" s="82"/>
      <c r="AY41" s="85"/>
    </row>
    <row r="42" spans="1:51" s="24" customFormat="1" x14ac:dyDescent="0.25">
      <c r="A42" s="2"/>
      <c r="B42" s="2"/>
      <c r="C42" t="s">
        <v>193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3">
        <f t="shared" si="9"/>
        <v>0</v>
      </c>
      <c r="AS42" s="25"/>
      <c r="AT42" s="8">
        <f>IF(AR42=0,0,+AR42/PassVol!AR236)</f>
        <v>0</v>
      </c>
      <c r="AU42" s="60">
        <v>0</v>
      </c>
      <c r="AV42" s="3"/>
      <c r="AW42" s="81">
        <f t="shared" si="8"/>
        <v>0</v>
      </c>
      <c r="AX42" s="82"/>
      <c r="AY42" s="85"/>
    </row>
    <row r="43" spans="1:51" s="24" customFormat="1" x14ac:dyDescent="0.25">
      <c r="A43" s="2"/>
      <c r="B43" s="2"/>
      <c r="C43" t="s">
        <v>297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3">
        <f t="shared" si="9"/>
        <v>0</v>
      </c>
      <c r="AS43" s="25"/>
      <c r="AT43" s="8">
        <f>IF(AR43=0,0,+AR43/PassVol!AR237)</f>
        <v>0</v>
      </c>
      <c r="AU43" s="60">
        <v>0</v>
      </c>
      <c r="AV43" s="3"/>
      <c r="AW43" s="81">
        <f t="shared" si="8"/>
        <v>0</v>
      </c>
      <c r="AX43" s="82"/>
      <c r="AY43" s="85"/>
    </row>
    <row r="44" spans="1:51" s="24" customFormat="1" x14ac:dyDescent="0.25">
      <c r="A44" s="2"/>
      <c r="B44" s="2"/>
      <c r="C44" t="s">
        <v>296</v>
      </c>
      <c r="D44" s="1"/>
      <c r="E44" s="1"/>
      <c r="F44" s="1"/>
      <c r="G44" s="1">
        <v>370.56</v>
      </c>
      <c r="H44" s="1"/>
      <c r="I44" s="1"/>
      <c r="J44" s="1"/>
      <c r="K44" s="1"/>
      <c r="L44" s="1">
        <v>247.04</v>
      </c>
      <c r="M44" s="1">
        <v>108.08</v>
      </c>
      <c r="N44" s="1">
        <v>138.96</v>
      </c>
      <c r="O44" s="1">
        <v>138.96</v>
      </c>
      <c r="P44" s="1">
        <v>138.96</v>
      </c>
      <c r="Q44" s="1">
        <v>324.24</v>
      </c>
      <c r="R44" s="1">
        <v>216.16</v>
      </c>
      <c r="S44" s="1">
        <v>277.92</v>
      </c>
      <c r="T44" s="1">
        <v>401.44</v>
      </c>
      <c r="U44" s="1">
        <v>262.48</v>
      </c>
      <c r="V44" s="1">
        <v>231.6</v>
      </c>
      <c r="W44" s="1">
        <v>77.2</v>
      </c>
      <c r="X44" s="1">
        <v>108.08</v>
      </c>
      <c r="Y44" s="1">
        <v>200.72</v>
      </c>
      <c r="Z44" s="1">
        <v>154.4</v>
      </c>
      <c r="AA44" s="1">
        <v>293.36</v>
      </c>
      <c r="AB44" s="1">
        <v>277.92</v>
      </c>
      <c r="AC44" s="1">
        <v>92.64</v>
      </c>
      <c r="AD44" s="1"/>
      <c r="AE44" s="1">
        <v>308.8</v>
      </c>
      <c r="AF44" s="1"/>
      <c r="AG44" s="1"/>
      <c r="AH44" s="1">
        <v>61.76</v>
      </c>
      <c r="AI44" s="1"/>
      <c r="AJ44" s="1">
        <v>108.08</v>
      </c>
      <c r="AK44" s="1"/>
      <c r="AL44" s="1"/>
      <c r="AM44" s="1">
        <v>92.64</v>
      </c>
      <c r="AN44" s="1"/>
      <c r="AO44" s="1"/>
      <c r="AP44" s="1"/>
      <c r="AQ44" s="1"/>
      <c r="AR44" s="3">
        <f t="shared" si="9"/>
        <v>4632</v>
      </c>
      <c r="AS44" s="25"/>
      <c r="AT44" s="8">
        <f>IF(AR44=0,0,+AR44/PassVol!AR238)</f>
        <v>15.44</v>
      </c>
      <c r="AU44" s="60">
        <f t="shared" ref="AU44:AU45" si="13">1.93*8</f>
        <v>15.44</v>
      </c>
      <c r="AV44" s="3"/>
      <c r="AW44" s="81">
        <f t="shared" si="8"/>
        <v>0</v>
      </c>
      <c r="AX44" s="82"/>
      <c r="AY44" s="85"/>
    </row>
    <row r="45" spans="1:51" s="24" customFormat="1" x14ac:dyDescent="0.25">
      <c r="A45"/>
      <c r="B45" s="2"/>
      <c r="C45" t="s">
        <v>44</v>
      </c>
      <c r="D45" s="1"/>
      <c r="E45" s="1"/>
      <c r="F45" s="1"/>
      <c r="G45" s="1">
        <f>36212.4-33279</f>
        <v>2933.4000000000015</v>
      </c>
      <c r="H45" s="1">
        <f>11595.44-7766</f>
        <v>3829.4400000000005</v>
      </c>
      <c r="I45" s="1">
        <f>2052.16-616</f>
        <v>1436.1599999999999</v>
      </c>
      <c r="J45" s="1">
        <f>9896.32-8074</f>
        <v>1822.3199999999997</v>
      </c>
      <c r="K45" s="1">
        <f>27481.76-23189</f>
        <v>4292.7599999999984</v>
      </c>
      <c r="L45" s="1">
        <f>26293.84-18389</f>
        <v>7904.84</v>
      </c>
      <c r="M45" s="1">
        <f>26691.92-19250</f>
        <v>7441.9199999999983</v>
      </c>
      <c r="N45" s="1">
        <f>26344.8-18347</f>
        <v>7997.7999999999993</v>
      </c>
      <c r="O45" s="1">
        <f>20523.84-12541</f>
        <v>7982.84</v>
      </c>
      <c r="P45" s="1">
        <f>34615.52-19886</f>
        <v>14729.519999999997</v>
      </c>
      <c r="Q45" s="1">
        <f>33267.92-22414</f>
        <v>10853.919999999998</v>
      </c>
      <c r="R45" s="1">
        <f>28523.76-16311</f>
        <v>12212.759999999998</v>
      </c>
      <c r="S45" s="1">
        <f>40494-21256</f>
        <v>19238</v>
      </c>
      <c r="T45" s="1">
        <f>40293.92-24267</f>
        <v>16026.919999999998</v>
      </c>
      <c r="U45" s="1">
        <f>43304.32-26583</f>
        <v>16721.32</v>
      </c>
      <c r="V45" s="1">
        <f>32878.16-21175</f>
        <v>11703.160000000003</v>
      </c>
      <c r="W45" s="1">
        <f>32960.16-18076</f>
        <v>14884.160000000003</v>
      </c>
      <c r="X45" s="1">
        <f>39349.84-27708</f>
        <v>11641.839999999997</v>
      </c>
      <c r="Y45" s="1">
        <f>36079.84-25056</f>
        <v>11023.839999999997</v>
      </c>
      <c r="Z45" s="1">
        <f>22583.36-12609</f>
        <v>9974.36</v>
      </c>
      <c r="AA45" s="1">
        <f>24641.2-17446</f>
        <v>7195.2000000000007</v>
      </c>
      <c r="AB45" s="1">
        <f>17964.64-13533</f>
        <v>4431.6399999999994</v>
      </c>
      <c r="AC45" s="1">
        <f>13992.48-9484</f>
        <v>4508.4799999999996</v>
      </c>
      <c r="AD45" s="1">
        <f>14096.56-11672</f>
        <v>2424.5599999999995</v>
      </c>
      <c r="AE45" s="1">
        <f>9080.96-5978</f>
        <v>3102.9599999999991</v>
      </c>
      <c r="AF45" s="1">
        <f>5390.64-3461</f>
        <v>1929.6400000000003</v>
      </c>
      <c r="AG45" s="1">
        <f>6774.72-5354</f>
        <v>1420.7200000000003</v>
      </c>
      <c r="AH45" s="1">
        <f>10708.8-6911</f>
        <v>3797.7999999999993</v>
      </c>
      <c r="AI45" s="1">
        <f>8269.2-7482</f>
        <v>787.20000000000073</v>
      </c>
      <c r="AJ45" s="1">
        <f>20869.76-16253</f>
        <v>4616.7599999999984</v>
      </c>
      <c r="AK45" s="1">
        <f>4840.16-2632</f>
        <v>2208.16</v>
      </c>
      <c r="AL45" s="1">
        <f>4877.68-4075</f>
        <v>802.68000000000029</v>
      </c>
      <c r="AM45" s="1">
        <f>3396-2856</f>
        <v>540</v>
      </c>
      <c r="AN45" s="1">
        <f>3305.6-2549</f>
        <v>756.59999999999991</v>
      </c>
      <c r="AO45" s="1"/>
      <c r="AP45" s="1">
        <f>546.72-284</f>
        <v>262.72000000000003</v>
      </c>
      <c r="AQ45" s="1"/>
      <c r="AR45" s="3">
        <f t="shared" si="9"/>
        <v>233436.40000000002</v>
      </c>
      <c r="AS45" s="25"/>
      <c r="AT45" s="8">
        <f>IF(AR45=0,0,+AR45/PassVol!AR239)</f>
        <v>15.437894319158787</v>
      </c>
      <c r="AU45" s="60">
        <f t="shared" si="13"/>
        <v>15.44</v>
      </c>
      <c r="AV45" s="3"/>
      <c r="AW45" s="81">
        <f t="shared" si="8"/>
        <v>0</v>
      </c>
      <c r="AX45" s="82"/>
      <c r="AY45" s="85"/>
    </row>
    <row r="46" spans="1:51" s="24" customFormat="1" x14ac:dyDescent="0.25">
      <c r="A46" s="2"/>
      <c r="B46" s="2" t="s">
        <v>270</v>
      </c>
      <c r="C46" s="2"/>
      <c r="D46" s="3">
        <f t="shared" ref="D46:AR46" si="14">SUM(D27:D45)</f>
        <v>0</v>
      </c>
      <c r="E46" s="3">
        <f t="shared" ref="E46:J46" si="15">SUM(E27:E45)</f>
        <v>0</v>
      </c>
      <c r="F46" s="3">
        <f t="shared" si="15"/>
        <v>0</v>
      </c>
      <c r="G46" s="3">
        <f t="shared" si="15"/>
        <v>36212.199999999997</v>
      </c>
      <c r="H46" s="3">
        <f t="shared" si="15"/>
        <v>11595.760000000002</v>
      </c>
      <c r="I46" s="3">
        <f t="shared" si="15"/>
        <v>2052.3999999999996</v>
      </c>
      <c r="J46" s="3">
        <f t="shared" si="15"/>
        <v>9896.7199999999993</v>
      </c>
      <c r="K46" s="3">
        <f t="shared" si="14"/>
        <v>27482.2</v>
      </c>
      <c r="L46" s="3">
        <f t="shared" si="14"/>
        <v>26293.4</v>
      </c>
      <c r="M46" s="3">
        <f t="shared" si="14"/>
        <v>26691.759999999998</v>
      </c>
      <c r="N46" s="3">
        <f t="shared" si="14"/>
        <v>26344.68</v>
      </c>
      <c r="O46" s="3">
        <f t="shared" si="14"/>
        <v>20524.2</v>
      </c>
      <c r="P46" s="3">
        <f t="shared" si="14"/>
        <v>34615.279999999999</v>
      </c>
      <c r="Q46" s="3">
        <f t="shared" si="14"/>
        <v>33267.519999999997</v>
      </c>
      <c r="R46" s="3">
        <f t="shared" si="14"/>
        <v>28523.479999999996</v>
      </c>
      <c r="S46" s="3">
        <f t="shared" si="14"/>
        <v>40493.760000000002</v>
      </c>
      <c r="T46" s="3">
        <f t="shared" si="14"/>
        <v>40294.119999999995</v>
      </c>
      <c r="U46" s="3">
        <f t="shared" si="14"/>
        <v>43304.119999999995</v>
      </c>
      <c r="V46" s="3">
        <f t="shared" si="14"/>
        <v>32877.800000000003</v>
      </c>
      <c r="W46" s="3">
        <f t="shared" si="14"/>
        <v>32960.160000000003</v>
      </c>
      <c r="X46" s="3">
        <f t="shared" si="14"/>
        <v>39349.919999999998</v>
      </c>
      <c r="Y46" s="3">
        <f t="shared" si="14"/>
        <v>36064.564999999995</v>
      </c>
      <c r="Z46" s="3">
        <f t="shared" si="14"/>
        <v>22583.480000000003</v>
      </c>
      <c r="AA46" s="3">
        <f t="shared" si="14"/>
        <v>24641.360000000001</v>
      </c>
      <c r="AB46" s="3">
        <f>SUM(AB27:AB45)</f>
        <v>17965</v>
      </c>
      <c r="AC46" s="3">
        <f t="shared" si="14"/>
        <v>14071.199999999999</v>
      </c>
      <c r="AD46" s="3">
        <f t="shared" si="14"/>
        <v>14097.039999999999</v>
      </c>
      <c r="AE46" s="3">
        <f t="shared" si="14"/>
        <v>9080.48</v>
      </c>
      <c r="AF46" s="3">
        <f t="shared" si="14"/>
        <v>5390.2800000000007</v>
      </c>
      <c r="AG46" s="3">
        <f t="shared" si="14"/>
        <v>6774.9600000000009</v>
      </c>
      <c r="AH46" s="3">
        <f t="shared" si="14"/>
        <v>10708.359999999999</v>
      </c>
      <c r="AI46" s="3">
        <f t="shared" si="14"/>
        <v>8268.9600000000009</v>
      </c>
      <c r="AJ46" s="3">
        <f t="shared" si="14"/>
        <v>20869.96</v>
      </c>
      <c r="AK46" s="3">
        <f t="shared" si="14"/>
        <v>4840.3999999999996</v>
      </c>
      <c r="AL46" s="3">
        <f t="shared" si="14"/>
        <v>4877.4800000000014</v>
      </c>
      <c r="AM46" s="3">
        <f t="shared" si="14"/>
        <v>3395.6</v>
      </c>
      <c r="AN46" s="3">
        <f t="shared" si="14"/>
        <v>3305.6399999999994</v>
      </c>
      <c r="AO46" s="3">
        <f t="shared" si="14"/>
        <v>787.44</v>
      </c>
      <c r="AP46" s="3">
        <f t="shared" si="14"/>
        <v>546.96</v>
      </c>
      <c r="AQ46" s="3">
        <f t="shared" si="14"/>
        <v>0</v>
      </c>
      <c r="AR46" s="3">
        <f t="shared" si="14"/>
        <v>721048.64500000002</v>
      </c>
      <c r="AS46" s="25"/>
      <c r="AT46" s="9">
        <f>IF(AR46=0,0,+AR46/PassVol!AR240)</f>
        <v>14.505686106864086</v>
      </c>
      <c r="AU46" s="60"/>
      <c r="AV46" s="3">
        <f>SUM(AV27:AV45)</f>
        <v>0</v>
      </c>
      <c r="AW46" s="81">
        <f t="shared" si="8"/>
        <v>0</v>
      </c>
      <c r="AX46" s="83"/>
      <c r="AY46" s="86"/>
    </row>
    <row r="47" spans="1:51" s="24" customFormat="1" x14ac:dyDescent="0.25">
      <c r="A47" s="23"/>
      <c r="B47" s="23"/>
      <c r="C47" s="27" t="s">
        <v>102</v>
      </c>
      <c r="D47" s="25">
        <f>+D46</f>
        <v>0</v>
      </c>
      <c r="E47" s="25">
        <f>+D47+E46</f>
        <v>0</v>
      </c>
      <c r="F47" s="25">
        <f t="shared" ref="F47" si="16">+E47+F46</f>
        <v>0</v>
      </c>
      <c r="G47" s="25">
        <f t="shared" ref="G47" si="17">+F47+G46</f>
        <v>36212.199999999997</v>
      </c>
      <c r="H47" s="25">
        <f t="shared" ref="H47" si="18">+G47+H46</f>
        <v>47807.96</v>
      </c>
      <c r="I47" s="25">
        <f t="shared" ref="I47" si="19">+H47+I46</f>
        <v>49860.36</v>
      </c>
      <c r="J47" s="25">
        <f t="shared" ref="J47" si="20">+I47+J46</f>
        <v>59757.08</v>
      </c>
      <c r="K47" s="25">
        <f t="shared" ref="K47" si="21">+J47+K46</f>
        <v>87239.28</v>
      </c>
      <c r="L47" s="25">
        <f t="shared" ref="L47" si="22">+K47+L46</f>
        <v>113532.68</v>
      </c>
      <c r="M47" s="25">
        <f t="shared" ref="M47" si="23">+L47+M46</f>
        <v>140224.44</v>
      </c>
      <c r="N47" s="25">
        <f t="shared" ref="N47" si="24">+M47+N46</f>
        <v>166569.12</v>
      </c>
      <c r="O47" s="25">
        <f t="shared" ref="O47" si="25">+N47+O46</f>
        <v>187093.32</v>
      </c>
      <c r="P47" s="25">
        <f t="shared" ref="P47" si="26">+O47+P46</f>
        <v>221708.6</v>
      </c>
      <c r="Q47" s="25">
        <f t="shared" ref="Q47" si="27">+P47+Q46</f>
        <v>254976.12</v>
      </c>
      <c r="R47" s="25">
        <f t="shared" ref="R47" si="28">+Q47+R46</f>
        <v>283499.59999999998</v>
      </c>
      <c r="S47" s="25">
        <f t="shared" ref="S47" si="29">+R47+S46</f>
        <v>323993.36</v>
      </c>
      <c r="T47" s="25">
        <f t="shared" ref="T47" si="30">+S47+T46</f>
        <v>364287.48</v>
      </c>
      <c r="U47" s="25">
        <f t="shared" ref="U47" si="31">+T47+U46</f>
        <v>407591.6</v>
      </c>
      <c r="V47" s="25">
        <f t="shared" ref="V47" si="32">+U47+V46</f>
        <v>440469.39999999997</v>
      </c>
      <c r="W47" s="25">
        <f t="shared" ref="W47" si="33">+V47+W46</f>
        <v>473429.55999999994</v>
      </c>
      <c r="X47" s="25">
        <f t="shared" ref="X47" si="34">+W47+X46</f>
        <v>512779.47999999992</v>
      </c>
      <c r="Y47" s="25">
        <f t="shared" ref="Y47" si="35">+X47+Y46</f>
        <v>548844.04499999993</v>
      </c>
      <c r="Z47" s="25">
        <f t="shared" ref="Z47" si="36">+Y47+Z46</f>
        <v>571427.52499999991</v>
      </c>
      <c r="AA47" s="25">
        <f t="shared" ref="AA47" si="37">+Z47+AA46</f>
        <v>596068.88499999989</v>
      </c>
      <c r="AB47" s="25">
        <f t="shared" ref="AB47" si="38">+AA47+AB46</f>
        <v>614033.88499999989</v>
      </c>
      <c r="AC47" s="25">
        <f t="shared" ref="AC47" si="39">+AB47+AC46</f>
        <v>628105.08499999985</v>
      </c>
      <c r="AD47" s="25">
        <f t="shared" ref="AD47" si="40">+AC47+AD46</f>
        <v>642202.12499999988</v>
      </c>
      <c r="AE47" s="25">
        <f t="shared" ref="AE47" si="41">+AD47+AE46</f>
        <v>651282.60499999986</v>
      </c>
      <c r="AF47" s="25">
        <f t="shared" ref="AF47" si="42">+AE47+AF46</f>
        <v>656672.88499999989</v>
      </c>
      <c r="AG47" s="25">
        <f t="shared" ref="AG47" si="43">+AF47+AG46</f>
        <v>663447.84499999986</v>
      </c>
      <c r="AH47" s="25">
        <f t="shared" ref="AH47" si="44">+AG47+AH46</f>
        <v>674156.20499999984</v>
      </c>
      <c r="AI47" s="25">
        <f t="shared" ref="AI47" si="45">+AH47+AI46</f>
        <v>682425.1649999998</v>
      </c>
      <c r="AJ47" s="25">
        <f t="shared" ref="AJ47" si="46">+AI47+AJ46</f>
        <v>703295.12499999977</v>
      </c>
      <c r="AK47" s="25">
        <f t="shared" ref="AK47" si="47">+AJ47+AK46</f>
        <v>708135.52499999979</v>
      </c>
      <c r="AL47" s="25">
        <f t="shared" ref="AL47" si="48">+AK47+AL46</f>
        <v>713013.00499999977</v>
      </c>
      <c r="AM47" s="25">
        <f t="shared" ref="AM47" si="49">+AL47+AM46</f>
        <v>716408.60499999975</v>
      </c>
      <c r="AN47" s="25">
        <f t="shared" ref="AN47" si="50">+AM47+AN46</f>
        <v>719714.24499999976</v>
      </c>
      <c r="AO47" s="25">
        <f t="shared" ref="AO47" si="51">+AN47+AO46</f>
        <v>720501.68499999971</v>
      </c>
      <c r="AP47" s="25">
        <f t="shared" ref="AP47" si="52">+AO47+AP46</f>
        <v>721048.64499999967</v>
      </c>
      <c r="AQ47" s="25">
        <f t="shared" ref="AQ47" si="53">+AP47+AQ46</f>
        <v>721048.64499999967</v>
      </c>
      <c r="AR47" s="49"/>
      <c r="AS47" s="25"/>
      <c r="AT47" s="26"/>
      <c r="AU47" s="60"/>
    </row>
    <row r="48" spans="1:51" s="24" customFormat="1" x14ac:dyDescent="0.25">
      <c r="A48" s="23"/>
      <c r="B48" s="23"/>
      <c r="C48" s="27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49"/>
      <c r="AS48" s="25"/>
      <c r="AT48" s="26"/>
      <c r="AU48" s="60"/>
    </row>
    <row r="49" spans="1:46" x14ac:dyDescent="0.25">
      <c r="A49"/>
      <c r="B49" s="2" t="s">
        <v>489</v>
      </c>
      <c r="W49" s="11"/>
      <c r="X49" s="11"/>
      <c r="Z49" s="11"/>
    </row>
    <row r="50" spans="1:46" x14ac:dyDescent="0.25">
      <c r="A50"/>
      <c r="C50" t="s">
        <v>190</v>
      </c>
      <c r="D50" s="1">
        <f>+D27+D4</f>
        <v>0</v>
      </c>
      <c r="E50" s="1">
        <f t="shared" ref="E50:J50" si="54">+E27+E4</f>
        <v>0</v>
      </c>
      <c r="F50" s="1">
        <f t="shared" si="54"/>
        <v>0</v>
      </c>
      <c r="G50" s="1">
        <f t="shared" si="54"/>
        <v>10029.32</v>
      </c>
      <c r="H50" s="1">
        <f t="shared" si="54"/>
        <v>0</v>
      </c>
      <c r="I50" s="1">
        <f t="shared" si="54"/>
        <v>0</v>
      </c>
      <c r="J50" s="1">
        <f t="shared" si="54"/>
        <v>452.03999999999996</v>
      </c>
      <c r="K50" s="1">
        <f t="shared" ref="K50:AQ58" si="55">+K27+K4</f>
        <v>945.90000000000009</v>
      </c>
      <c r="L50" s="1">
        <f t="shared" si="55"/>
        <v>15801.240000000002</v>
      </c>
      <c r="M50" s="1">
        <f t="shared" si="55"/>
        <v>0</v>
      </c>
      <c r="N50" s="1">
        <f t="shared" si="55"/>
        <v>2056.54</v>
      </c>
      <c r="O50" s="1">
        <f t="shared" si="55"/>
        <v>1800.9</v>
      </c>
      <c r="P50" s="1">
        <f t="shared" si="55"/>
        <v>4498.4399999999996</v>
      </c>
      <c r="Q50" s="1">
        <f t="shared" si="55"/>
        <v>8728.64</v>
      </c>
      <c r="R50" s="1">
        <f t="shared" si="55"/>
        <v>10628.22</v>
      </c>
      <c r="S50" s="1">
        <f t="shared" si="55"/>
        <v>2684.84</v>
      </c>
      <c r="T50" s="1">
        <f t="shared" si="55"/>
        <v>9647.36</v>
      </c>
      <c r="U50" s="1">
        <f t="shared" si="55"/>
        <v>1923.82</v>
      </c>
      <c r="V50" s="1">
        <f t="shared" si="55"/>
        <v>4604.26</v>
      </c>
      <c r="W50" s="1">
        <f t="shared" si="55"/>
        <v>3992.56</v>
      </c>
      <c r="X50" s="1">
        <f t="shared" si="55"/>
        <v>12197.26</v>
      </c>
      <c r="Y50" s="1">
        <f t="shared" si="55"/>
        <v>1901.645</v>
      </c>
      <c r="Z50" s="1">
        <f t="shared" si="55"/>
        <v>2677.9</v>
      </c>
      <c r="AA50" s="1">
        <f t="shared" si="55"/>
        <v>1863.7199999999998</v>
      </c>
      <c r="AB50" s="1">
        <f t="shared" ref="AB50" si="56">+AB27+AB4</f>
        <v>2875.98</v>
      </c>
      <c r="AC50" s="1">
        <f t="shared" si="55"/>
        <v>2081.94</v>
      </c>
      <c r="AD50" s="1">
        <f t="shared" si="55"/>
        <v>1425.38</v>
      </c>
      <c r="AE50" s="1">
        <f t="shared" si="55"/>
        <v>1676.8000000000002</v>
      </c>
      <c r="AF50" s="1">
        <f t="shared" si="55"/>
        <v>2488.44</v>
      </c>
      <c r="AG50" s="1">
        <f t="shared" si="55"/>
        <v>1735.04</v>
      </c>
      <c r="AH50" s="1">
        <f t="shared" si="55"/>
        <v>5617.7</v>
      </c>
      <c r="AI50" s="1">
        <f t="shared" si="55"/>
        <v>4252.42</v>
      </c>
      <c r="AJ50" s="1">
        <f t="shared" si="55"/>
        <v>12870.68</v>
      </c>
      <c r="AK50" s="1">
        <f t="shared" si="55"/>
        <v>1818.5</v>
      </c>
      <c r="AL50" s="1">
        <f t="shared" si="55"/>
        <v>2031.5</v>
      </c>
      <c r="AM50" s="1">
        <f t="shared" si="55"/>
        <v>1171.42</v>
      </c>
      <c r="AN50" s="1">
        <f t="shared" si="55"/>
        <v>0</v>
      </c>
      <c r="AO50" s="1">
        <f t="shared" si="55"/>
        <v>0</v>
      </c>
      <c r="AP50" s="1">
        <f t="shared" si="55"/>
        <v>0</v>
      </c>
      <c r="AQ50" s="1">
        <f t="shared" si="55"/>
        <v>0</v>
      </c>
      <c r="AR50" s="3">
        <f>SUM(D50:AQ50)</f>
        <v>136480.405</v>
      </c>
      <c r="AT50" s="8">
        <f>IF(AR50=0,0,+AR50/(PassVol!AR197+PassVol!AR221))</f>
        <v>15.879046538685282</v>
      </c>
    </row>
    <row r="51" spans="1:46" x14ac:dyDescent="0.25">
      <c r="A51"/>
      <c r="C51" t="s">
        <v>424</v>
      </c>
      <c r="D51" s="1">
        <f t="shared" ref="D51:Y68" si="57">+D28+D5</f>
        <v>0</v>
      </c>
      <c r="E51" s="1">
        <f t="shared" ref="E51:J51" si="58">+E28+E5</f>
        <v>0</v>
      </c>
      <c r="F51" s="1">
        <f t="shared" si="58"/>
        <v>0</v>
      </c>
      <c r="G51" s="1">
        <f t="shared" si="58"/>
        <v>0</v>
      </c>
      <c r="H51" s="1">
        <f t="shared" si="58"/>
        <v>535.36</v>
      </c>
      <c r="I51" s="1">
        <f t="shared" si="58"/>
        <v>720.64</v>
      </c>
      <c r="J51" s="1">
        <f t="shared" si="58"/>
        <v>0</v>
      </c>
      <c r="K51" s="1">
        <f t="shared" si="57"/>
        <v>0</v>
      </c>
      <c r="L51" s="1">
        <f t="shared" si="57"/>
        <v>1038.8800000000001</v>
      </c>
      <c r="M51" s="1">
        <f t="shared" si="57"/>
        <v>2104.3999999999996</v>
      </c>
      <c r="N51" s="1">
        <f t="shared" si="57"/>
        <v>1161.44</v>
      </c>
      <c r="O51" s="1">
        <f t="shared" si="57"/>
        <v>2587.6799999999998</v>
      </c>
      <c r="P51" s="1">
        <f t="shared" si="57"/>
        <v>2919.04</v>
      </c>
      <c r="Q51" s="1">
        <f t="shared" si="57"/>
        <v>2665.44</v>
      </c>
      <c r="R51" s="1">
        <f t="shared" si="57"/>
        <v>2696.3199999999997</v>
      </c>
      <c r="S51" s="1">
        <f t="shared" si="57"/>
        <v>3877.84</v>
      </c>
      <c r="T51" s="1">
        <f t="shared" si="57"/>
        <v>3227.04</v>
      </c>
      <c r="U51" s="1">
        <f t="shared" si="57"/>
        <v>1407.52</v>
      </c>
      <c r="V51" s="1">
        <f t="shared" si="57"/>
        <v>2742.6400000000003</v>
      </c>
      <c r="W51" s="1">
        <f t="shared" si="57"/>
        <v>3944.8</v>
      </c>
      <c r="X51" s="1">
        <f t="shared" si="57"/>
        <v>1474.48</v>
      </c>
      <c r="Y51" s="1">
        <f t="shared" si="57"/>
        <v>1228.8000000000002</v>
      </c>
      <c r="Z51" s="1">
        <f t="shared" si="55"/>
        <v>2305.52</v>
      </c>
      <c r="AA51" s="1">
        <f t="shared" si="55"/>
        <v>742.64</v>
      </c>
      <c r="AB51" s="1">
        <f t="shared" ref="AB51" si="59">+AB28+AB5</f>
        <v>419.76</v>
      </c>
      <c r="AC51" s="1">
        <f t="shared" si="55"/>
        <v>751.12</v>
      </c>
      <c r="AD51" s="1">
        <f t="shared" si="55"/>
        <v>463.2</v>
      </c>
      <c r="AE51" s="1">
        <f t="shared" si="55"/>
        <v>652.31999999999994</v>
      </c>
      <c r="AF51" s="1">
        <f t="shared" si="55"/>
        <v>242.39999999999998</v>
      </c>
      <c r="AG51" s="1">
        <f t="shared" si="55"/>
        <v>0</v>
      </c>
      <c r="AH51" s="1">
        <f t="shared" si="55"/>
        <v>0</v>
      </c>
      <c r="AI51" s="1">
        <f t="shared" si="55"/>
        <v>0</v>
      </c>
      <c r="AJ51" s="1">
        <f t="shared" si="55"/>
        <v>409.91999999999996</v>
      </c>
      <c r="AK51" s="1">
        <f t="shared" si="55"/>
        <v>0</v>
      </c>
      <c r="AL51" s="1">
        <f t="shared" si="55"/>
        <v>657.5200000000001</v>
      </c>
      <c r="AM51" s="1">
        <f t="shared" si="55"/>
        <v>0</v>
      </c>
      <c r="AN51" s="1">
        <f t="shared" si="55"/>
        <v>0</v>
      </c>
      <c r="AO51" s="1">
        <f t="shared" si="55"/>
        <v>0</v>
      </c>
      <c r="AP51" s="1">
        <f t="shared" si="55"/>
        <v>0</v>
      </c>
      <c r="AQ51" s="1">
        <f t="shared" si="55"/>
        <v>0</v>
      </c>
      <c r="AR51" s="3">
        <f t="shared" ref="AR51:AR68" si="60">SUM(D51:AQ51)</f>
        <v>40976.719999999994</v>
      </c>
      <c r="AT51" s="8">
        <f>IF(AR51=0,0,+AR51/(PassVol!AR198+PassVol!AR222))</f>
        <v>17.130735785953174</v>
      </c>
    </row>
    <row r="52" spans="1:46" x14ac:dyDescent="0.25">
      <c r="A52"/>
      <c r="C52" t="s">
        <v>347</v>
      </c>
      <c r="D52" s="1">
        <f t="shared" si="57"/>
        <v>0</v>
      </c>
      <c r="E52" s="1">
        <f t="shared" ref="E52:J52" si="61">+E29+E6</f>
        <v>0</v>
      </c>
      <c r="F52" s="1">
        <f t="shared" si="61"/>
        <v>0</v>
      </c>
      <c r="G52" s="1">
        <f t="shared" si="61"/>
        <v>0</v>
      </c>
      <c r="H52" s="1">
        <f t="shared" si="61"/>
        <v>0</v>
      </c>
      <c r="I52" s="1">
        <f t="shared" si="61"/>
        <v>0</v>
      </c>
      <c r="J52" s="1">
        <f t="shared" si="61"/>
        <v>0</v>
      </c>
      <c r="K52" s="1">
        <f t="shared" si="55"/>
        <v>0</v>
      </c>
      <c r="L52" s="1">
        <f t="shared" si="55"/>
        <v>154.4</v>
      </c>
      <c r="M52" s="1">
        <f t="shared" si="55"/>
        <v>0</v>
      </c>
      <c r="N52" s="1">
        <f t="shared" si="55"/>
        <v>0</v>
      </c>
      <c r="O52" s="1">
        <f t="shared" si="55"/>
        <v>189.51999999999998</v>
      </c>
      <c r="P52" s="1">
        <f t="shared" si="55"/>
        <v>652.31999999999994</v>
      </c>
      <c r="Q52" s="1">
        <f t="shared" si="55"/>
        <v>226.95999999999998</v>
      </c>
      <c r="R52" s="1">
        <f t="shared" si="55"/>
        <v>684.16</v>
      </c>
      <c r="S52" s="1">
        <f t="shared" si="55"/>
        <v>617.20000000000005</v>
      </c>
      <c r="T52" s="1">
        <f t="shared" si="55"/>
        <v>1359.8400000000001</v>
      </c>
      <c r="U52" s="1">
        <f t="shared" si="55"/>
        <v>599.04</v>
      </c>
      <c r="V52" s="1">
        <f t="shared" si="55"/>
        <v>1435.2800000000002</v>
      </c>
      <c r="W52" s="1">
        <f t="shared" si="55"/>
        <v>1715.12</v>
      </c>
      <c r="X52" s="1">
        <f t="shared" si="55"/>
        <v>1675.76</v>
      </c>
      <c r="Y52" s="1">
        <f t="shared" si="55"/>
        <v>18.72</v>
      </c>
      <c r="Z52" s="1">
        <f t="shared" si="55"/>
        <v>374.4</v>
      </c>
      <c r="AA52" s="1">
        <f t="shared" si="55"/>
        <v>93.6</v>
      </c>
      <c r="AB52" s="1">
        <f t="shared" ref="AB52" si="62">+AB29+AB6</f>
        <v>204.95999999999998</v>
      </c>
      <c r="AC52" s="1">
        <f t="shared" si="55"/>
        <v>247.04</v>
      </c>
      <c r="AD52" s="1">
        <f t="shared" si="55"/>
        <v>315.36</v>
      </c>
      <c r="AE52" s="1">
        <f t="shared" si="55"/>
        <v>0</v>
      </c>
      <c r="AF52" s="1">
        <f t="shared" si="55"/>
        <v>112.32</v>
      </c>
      <c r="AG52" s="1">
        <f t="shared" si="55"/>
        <v>532.08000000000004</v>
      </c>
      <c r="AH52" s="1">
        <f t="shared" si="55"/>
        <v>0</v>
      </c>
      <c r="AI52" s="1">
        <f t="shared" si="55"/>
        <v>154.4</v>
      </c>
      <c r="AJ52" s="1">
        <f t="shared" si="55"/>
        <v>204.95999999999998</v>
      </c>
      <c r="AK52" s="1">
        <f t="shared" si="55"/>
        <v>385.59999999999997</v>
      </c>
      <c r="AL52" s="1">
        <f t="shared" si="55"/>
        <v>0</v>
      </c>
      <c r="AM52" s="1">
        <f t="shared" si="55"/>
        <v>0</v>
      </c>
      <c r="AN52" s="1">
        <f t="shared" si="55"/>
        <v>0</v>
      </c>
      <c r="AO52" s="1">
        <f t="shared" si="55"/>
        <v>0</v>
      </c>
      <c r="AP52" s="1">
        <f t="shared" si="55"/>
        <v>0</v>
      </c>
      <c r="AQ52" s="1">
        <f t="shared" si="55"/>
        <v>0</v>
      </c>
      <c r="AR52" s="3">
        <f t="shared" si="60"/>
        <v>11953.039999999997</v>
      </c>
      <c r="AT52" s="8">
        <f>IF(AR52=0,0,+AR52/(PassVol!AR199+PassVol!AR223))</f>
        <v>17.424256559766761</v>
      </c>
    </row>
    <row r="53" spans="1:46" x14ac:dyDescent="0.25">
      <c r="A53"/>
      <c r="C53" t="s">
        <v>0</v>
      </c>
      <c r="D53" s="1">
        <f t="shared" si="57"/>
        <v>0</v>
      </c>
      <c r="E53" s="1">
        <f t="shared" ref="E53:J53" si="63">+E30+E7</f>
        <v>0</v>
      </c>
      <c r="F53" s="1">
        <f t="shared" si="63"/>
        <v>0</v>
      </c>
      <c r="G53" s="1">
        <f t="shared" si="63"/>
        <v>63991.040000000001</v>
      </c>
      <c r="H53" s="1">
        <f t="shared" si="63"/>
        <v>0</v>
      </c>
      <c r="I53" s="1">
        <f t="shared" si="63"/>
        <v>0</v>
      </c>
      <c r="J53" s="1">
        <f t="shared" si="63"/>
        <v>17078</v>
      </c>
      <c r="K53" s="1">
        <f t="shared" si="55"/>
        <v>22903.200000000001</v>
      </c>
      <c r="L53" s="1">
        <f t="shared" si="55"/>
        <v>1204.56</v>
      </c>
      <c r="M53" s="1">
        <f t="shared" si="55"/>
        <v>24335.440000000002</v>
      </c>
      <c r="N53" s="1">
        <f t="shared" si="55"/>
        <v>22338.32</v>
      </c>
      <c r="O53" s="1">
        <f t="shared" si="55"/>
        <v>15036.16</v>
      </c>
      <c r="P53" s="1">
        <f t="shared" si="55"/>
        <v>10096</v>
      </c>
      <c r="Q53" s="1">
        <f t="shared" si="55"/>
        <v>17611.04</v>
      </c>
      <c r="R53" s="1">
        <f t="shared" si="55"/>
        <v>15107.119999999999</v>
      </c>
      <c r="S53" s="1">
        <f t="shared" si="55"/>
        <v>23246.16</v>
      </c>
      <c r="T53" s="1">
        <f t="shared" si="55"/>
        <v>17967.28</v>
      </c>
      <c r="U53" s="1">
        <f t="shared" si="55"/>
        <v>37170.479999999996</v>
      </c>
      <c r="V53" s="1">
        <f t="shared" si="55"/>
        <v>16749.760000000002</v>
      </c>
      <c r="W53" s="1">
        <f t="shared" si="55"/>
        <v>21457.919999999998</v>
      </c>
      <c r="X53" s="1">
        <f t="shared" si="55"/>
        <v>23167.040000000001</v>
      </c>
      <c r="Y53" s="1">
        <f t="shared" si="55"/>
        <v>19329.2</v>
      </c>
      <c r="Z53" s="1">
        <f t="shared" si="55"/>
        <v>15420.880000000001</v>
      </c>
      <c r="AA53" s="1">
        <f t="shared" si="55"/>
        <v>17080.96</v>
      </c>
      <c r="AB53" s="1">
        <f t="shared" ref="AB53" si="64">+AB30+AB7</f>
        <v>19035.599999999999</v>
      </c>
      <c r="AC53" s="1">
        <f t="shared" si="55"/>
        <v>9461.84</v>
      </c>
      <c r="AD53" s="1">
        <f t="shared" si="55"/>
        <v>17846.559999999998</v>
      </c>
      <c r="AE53" s="1">
        <f t="shared" si="55"/>
        <v>2638.3999999999996</v>
      </c>
      <c r="AF53" s="1">
        <f t="shared" si="55"/>
        <v>1481.6</v>
      </c>
      <c r="AG53" s="1">
        <f t="shared" si="55"/>
        <v>4503.12</v>
      </c>
      <c r="AH53" s="1">
        <f t="shared" si="55"/>
        <v>1716</v>
      </c>
      <c r="AI53" s="1">
        <f t="shared" si="55"/>
        <v>7209.2</v>
      </c>
      <c r="AJ53" s="1">
        <f t="shared" si="55"/>
        <v>6220</v>
      </c>
      <c r="AK53" s="1">
        <f t="shared" si="55"/>
        <v>6244.56</v>
      </c>
      <c r="AL53" s="1">
        <f t="shared" si="55"/>
        <v>3372.2400000000002</v>
      </c>
      <c r="AM53" s="1">
        <f t="shared" si="55"/>
        <v>1682.4</v>
      </c>
      <c r="AN53" s="1">
        <f t="shared" si="55"/>
        <v>2965.2</v>
      </c>
      <c r="AO53" s="1">
        <f t="shared" si="55"/>
        <v>0</v>
      </c>
      <c r="AP53" s="1">
        <f t="shared" si="55"/>
        <v>0</v>
      </c>
      <c r="AQ53" s="1">
        <f t="shared" si="55"/>
        <v>0</v>
      </c>
      <c r="AR53" s="3">
        <f t="shared" si="60"/>
        <v>485667.28</v>
      </c>
      <c r="AT53" s="8">
        <f>IF(AR53=0,0,+AR53/(PassVol!AR200+PassVol!AR224))</f>
        <v>14.130969187349065</v>
      </c>
    </row>
    <row r="54" spans="1:46" x14ac:dyDescent="0.25">
      <c r="A54"/>
      <c r="C54" t="s">
        <v>354</v>
      </c>
      <c r="D54" s="1">
        <f t="shared" si="57"/>
        <v>0</v>
      </c>
      <c r="E54" s="1">
        <f t="shared" ref="E54:J54" si="65">+E31+E8</f>
        <v>0</v>
      </c>
      <c r="F54" s="1">
        <f t="shared" si="65"/>
        <v>0</v>
      </c>
      <c r="G54" s="1">
        <f t="shared" si="65"/>
        <v>0</v>
      </c>
      <c r="H54" s="1">
        <f t="shared" si="65"/>
        <v>0</v>
      </c>
      <c r="I54" s="1">
        <f t="shared" si="65"/>
        <v>0</v>
      </c>
      <c r="J54" s="1">
        <f t="shared" si="65"/>
        <v>0</v>
      </c>
      <c r="K54" s="1">
        <f t="shared" si="55"/>
        <v>0</v>
      </c>
      <c r="L54" s="1">
        <f t="shared" si="55"/>
        <v>0</v>
      </c>
      <c r="M54" s="1">
        <f t="shared" si="55"/>
        <v>0</v>
      </c>
      <c r="N54" s="1">
        <f t="shared" si="55"/>
        <v>131.04</v>
      </c>
      <c r="O54" s="1">
        <f t="shared" si="55"/>
        <v>257.83999999999997</v>
      </c>
      <c r="P54" s="1">
        <f t="shared" si="55"/>
        <v>344.88</v>
      </c>
      <c r="Q54" s="1">
        <f t="shared" si="55"/>
        <v>87.039999999999992</v>
      </c>
      <c r="R54" s="1">
        <f t="shared" si="55"/>
        <v>90.32</v>
      </c>
      <c r="S54" s="1">
        <f t="shared" si="55"/>
        <v>668.16000000000008</v>
      </c>
      <c r="T54" s="1">
        <f t="shared" si="55"/>
        <v>248.95999999999998</v>
      </c>
      <c r="U54" s="1">
        <f t="shared" si="55"/>
        <v>77.2</v>
      </c>
      <c r="V54" s="1">
        <f t="shared" si="55"/>
        <v>34.159999999999997</v>
      </c>
      <c r="W54" s="1">
        <f t="shared" si="55"/>
        <v>18.72</v>
      </c>
      <c r="X54" s="1">
        <f t="shared" si="55"/>
        <v>121.19999999999999</v>
      </c>
      <c r="Y54" s="1">
        <f t="shared" si="55"/>
        <v>93.16</v>
      </c>
      <c r="Z54" s="1">
        <f t="shared" si="55"/>
        <v>260.15999999999997</v>
      </c>
      <c r="AA54" s="1">
        <f t="shared" si="55"/>
        <v>243.36</v>
      </c>
      <c r="AB54" s="1">
        <f t="shared" ref="AB54" si="66">+AB31+AB8</f>
        <v>0</v>
      </c>
      <c r="AC54" s="1">
        <f t="shared" si="55"/>
        <v>0</v>
      </c>
      <c r="AD54" s="1">
        <f t="shared" si="55"/>
        <v>0</v>
      </c>
      <c r="AE54" s="1">
        <f t="shared" si="55"/>
        <v>0</v>
      </c>
      <c r="AF54" s="1">
        <f t="shared" si="55"/>
        <v>0</v>
      </c>
      <c r="AG54" s="1">
        <f t="shared" si="55"/>
        <v>0</v>
      </c>
      <c r="AH54" s="1">
        <f t="shared" si="55"/>
        <v>0</v>
      </c>
      <c r="AI54" s="1">
        <f t="shared" si="55"/>
        <v>0</v>
      </c>
      <c r="AJ54" s="1">
        <f t="shared" si="55"/>
        <v>0</v>
      </c>
      <c r="AK54" s="1">
        <f t="shared" si="55"/>
        <v>0</v>
      </c>
      <c r="AL54" s="1">
        <f t="shared" si="55"/>
        <v>0</v>
      </c>
      <c r="AM54" s="1">
        <f t="shared" si="55"/>
        <v>0</v>
      </c>
      <c r="AN54" s="1">
        <f t="shared" si="55"/>
        <v>0</v>
      </c>
      <c r="AO54" s="1">
        <f t="shared" si="55"/>
        <v>0</v>
      </c>
      <c r="AP54" s="1">
        <f t="shared" si="55"/>
        <v>0</v>
      </c>
      <c r="AQ54" s="1">
        <f t="shared" si="55"/>
        <v>0</v>
      </c>
      <c r="AR54" s="3">
        <f t="shared" si="60"/>
        <v>2676.2</v>
      </c>
      <c r="AT54" s="8">
        <f>IF(AR54=0,0,+AR54/(PassVol!AR201+PassVol!AR225))</f>
        <v>17.045859872611462</v>
      </c>
    </row>
    <row r="55" spans="1:46" x14ac:dyDescent="0.25">
      <c r="A55"/>
      <c r="C55" t="s">
        <v>265</v>
      </c>
      <c r="D55" s="1">
        <f t="shared" si="57"/>
        <v>0</v>
      </c>
      <c r="E55" s="1">
        <f t="shared" ref="E55:J55" si="67">+E32+E9</f>
        <v>0</v>
      </c>
      <c r="F55" s="1">
        <f t="shared" si="67"/>
        <v>0</v>
      </c>
      <c r="G55" s="1">
        <f t="shared" si="67"/>
        <v>0</v>
      </c>
      <c r="H55" s="1">
        <f t="shared" si="67"/>
        <v>0</v>
      </c>
      <c r="I55" s="1">
        <f t="shared" si="67"/>
        <v>2700</v>
      </c>
      <c r="J55" s="1">
        <f t="shared" si="67"/>
        <v>0</v>
      </c>
      <c r="K55" s="1">
        <f t="shared" si="55"/>
        <v>0</v>
      </c>
      <c r="L55" s="1">
        <f t="shared" si="55"/>
        <v>837.54</v>
      </c>
      <c r="M55" s="1">
        <f t="shared" si="55"/>
        <v>1476.6</v>
      </c>
      <c r="N55" s="1">
        <f t="shared" si="55"/>
        <v>1024.68</v>
      </c>
      <c r="O55" s="1">
        <f t="shared" si="55"/>
        <v>1153.26</v>
      </c>
      <c r="P55" s="1">
        <f t="shared" si="55"/>
        <v>2953.26</v>
      </c>
      <c r="Q55" s="1">
        <f t="shared" si="55"/>
        <v>3978.6</v>
      </c>
      <c r="R55" s="1">
        <f t="shared" si="55"/>
        <v>2934.06</v>
      </c>
      <c r="S55" s="1">
        <f t="shared" si="55"/>
        <v>4990.62</v>
      </c>
      <c r="T55" s="1">
        <f t="shared" si="55"/>
        <v>2410.98</v>
      </c>
      <c r="U55" s="1">
        <f t="shared" si="55"/>
        <v>4284.18</v>
      </c>
      <c r="V55" s="1">
        <f t="shared" si="55"/>
        <v>3159.48</v>
      </c>
      <c r="W55" s="1">
        <f t="shared" si="55"/>
        <v>2691.66</v>
      </c>
      <c r="X55" s="1">
        <f t="shared" si="55"/>
        <v>1010.16</v>
      </c>
      <c r="Y55" s="1">
        <f t="shared" si="55"/>
        <v>1439.16</v>
      </c>
      <c r="Z55" s="1">
        <f t="shared" si="55"/>
        <v>0</v>
      </c>
      <c r="AA55" s="1">
        <f t="shared" si="55"/>
        <v>1316.94</v>
      </c>
      <c r="AB55" s="1">
        <f t="shared" ref="AB55" si="68">+AB32+AB9</f>
        <v>0</v>
      </c>
      <c r="AC55" s="1">
        <f t="shared" si="55"/>
        <v>0</v>
      </c>
      <c r="AD55" s="1">
        <f t="shared" si="55"/>
        <v>0</v>
      </c>
      <c r="AE55" s="1">
        <f t="shared" si="55"/>
        <v>0</v>
      </c>
      <c r="AF55" s="1">
        <f t="shared" si="55"/>
        <v>0</v>
      </c>
      <c r="AG55" s="1">
        <f t="shared" si="55"/>
        <v>0</v>
      </c>
      <c r="AH55" s="1">
        <f t="shared" si="55"/>
        <v>1493.28</v>
      </c>
      <c r="AI55" s="1">
        <f t="shared" si="55"/>
        <v>0</v>
      </c>
      <c r="AJ55" s="1">
        <f t="shared" si="55"/>
        <v>0</v>
      </c>
      <c r="AK55" s="1">
        <f t="shared" si="55"/>
        <v>512.4</v>
      </c>
      <c r="AL55" s="1">
        <f t="shared" si="55"/>
        <v>0</v>
      </c>
      <c r="AM55" s="1">
        <f t="shared" si="55"/>
        <v>0</v>
      </c>
      <c r="AN55" s="1">
        <f t="shared" si="55"/>
        <v>0</v>
      </c>
      <c r="AO55" s="1">
        <f t="shared" si="55"/>
        <v>0</v>
      </c>
      <c r="AP55" s="1">
        <f t="shared" si="55"/>
        <v>0</v>
      </c>
      <c r="AQ55" s="1">
        <f t="shared" si="55"/>
        <v>0</v>
      </c>
      <c r="AR55" s="3">
        <f t="shared" si="60"/>
        <v>40366.860000000008</v>
      </c>
      <c r="AT55" s="8">
        <f>IF(AR55=0,0,+AR55/(PassVol!AR202+PassVol!AR226))</f>
        <v>16.050441351888672</v>
      </c>
    </row>
    <row r="56" spans="1:46" x14ac:dyDescent="0.25">
      <c r="A56"/>
      <c r="C56" t="s">
        <v>191</v>
      </c>
      <c r="D56" s="1">
        <f t="shared" si="57"/>
        <v>0</v>
      </c>
      <c r="E56" s="1">
        <f t="shared" ref="E56:J56" si="69">+E33+E10</f>
        <v>0</v>
      </c>
      <c r="F56" s="1">
        <f t="shared" si="69"/>
        <v>0</v>
      </c>
      <c r="G56" s="1">
        <f t="shared" si="69"/>
        <v>0</v>
      </c>
      <c r="H56" s="1">
        <f t="shared" si="69"/>
        <v>11998.8</v>
      </c>
      <c r="I56" s="1">
        <f t="shared" si="69"/>
        <v>0</v>
      </c>
      <c r="J56" s="1">
        <f t="shared" si="69"/>
        <v>0</v>
      </c>
      <c r="K56" s="1">
        <f t="shared" si="55"/>
        <v>9873.6</v>
      </c>
      <c r="L56" s="1">
        <f t="shared" si="55"/>
        <v>0</v>
      </c>
      <c r="M56" s="1">
        <f t="shared" si="55"/>
        <v>4488</v>
      </c>
      <c r="N56" s="1">
        <f t="shared" si="55"/>
        <v>2271.16</v>
      </c>
      <c r="O56" s="1">
        <f t="shared" si="55"/>
        <v>1716.64</v>
      </c>
      <c r="P56" s="1">
        <f t="shared" si="55"/>
        <v>272.5</v>
      </c>
      <c r="Q56" s="1">
        <f t="shared" si="55"/>
        <v>4798.26</v>
      </c>
      <c r="R56" s="1">
        <f t="shared" si="55"/>
        <v>0</v>
      </c>
      <c r="S56" s="1">
        <f t="shared" si="55"/>
        <v>0</v>
      </c>
      <c r="T56" s="1">
        <f t="shared" si="55"/>
        <v>0</v>
      </c>
      <c r="U56" s="1">
        <f t="shared" si="55"/>
        <v>0</v>
      </c>
      <c r="V56" s="1">
        <f t="shared" si="55"/>
        <v>0</v>
      </c>
      <c r="W56" s="1">
        <f t="shared" si="55"/>
        <v>0</v>
      </c>
      <c r="X56" s="1">
        <f t="shared" si="55"/>
        <v>0</v>
      </c>
      <c r="Y56" s="1">
        <f t="shared" si="55"/>
        <v>843.26</v>
      </c>
      <c r="Z56" s="1">
        <f t="shared" si="55"/>
        <v>69.5</v>
      </c>
      <c r="AA56" s="1">
        <f t="shared" si="55"/>
        <v>4502.96</v>
      </c>
      <c r="AB56" s="1">
        <f t="shared" ref="AB56" si="70">+AB33+AB10</f>
        <v>269.27999999999997</v>
      </c>
      <c r="AC56" s="1">
        <f t="shared" si="55"/>
        <v>568.48</v>
      </c>
      <c r="AD56" s="1">
        <f t="shared" si="55"/>
        <v>0</v>
      </c>
      <c r="AE56" s="1">
        <f t="shared" si="55"/>
        <v>0</v>
      </c>
      <c r="AF56" s="1">
        <f t="shared" si="55"/>
        <v>0</v>
      </c>
      <c r="AG56" s="1">
        <f t="shared" si="55"/>
        <v>0</v>
      </c>
      <c r="AH56" s="1">
        <f t="shared" si="55"/>
        <v>0</v>
      </c>
      <c r="AI56" s="1">
        <f t="shared" si="55"/>
        <v>0</v>
      </c>
      <c r="AJ56" s="1">
        <f t="shared" si="55"/>
        <v>0</v>
      </c>
      <c r="AK56" s="1">
        <f t="shared" si="55"/>
        <v>0</v>
      </c>
      <c r="AL56" s="1">
        <f t="shared" si="55"/>
        <v>89.76</v>
      </c>
      <c r="AM56" s="1">
        <f t="shared" si="55"/>
        <v>620.94000000000005</v>
      </c>
      <c r="AN56" s="1">
        <f t="shared" si="55"/>
        <v>269.27999999999997</v>
      </c>
      <c r="AO56" s="1">
        <f t="shared" si="55"/>
        <v>0</v>
      </c>
      <c r="AP56" s="1">
        <f t="shared" si="55"/>
        <v>484.22</v>
      </c>
      <c r="AQ56" s="1">
        <f t="shared" si="55"/>
        <v>0</v>
      </c>
      <c r="AR56" s="3">
        <f t="shared" si="60"/>
        <v>43136.640000000007</v>
      </c>
      <c r="AT56" s="8">
        <f>IF(AR56=0,0,+AR56/(PassVol!AR203+PassVol!AR227))</f>
        <v>16.083758389261746</v>
      </c>
    </row>
    <row r="57" spans="1:46" x14ac:dyDescent="0.25">
      <c r="A57"/>
      <c r="C57" t="s">
        <v>549</v>
      </c>
      <c r="D57" s="1">
        <f t="shared" si="57"/>
        <v>0</v>
      </c>
      <c r="E57" s="1">
        <f t="shared" ref="E57:J57" si="71">+E34+E11</f>
        <v>0</v>
      </c>
      <c r="F57" s="1">
        <f t="shared" si="71"/>
        <v>0</v>
      </c>
      <c r="G57" s="1">
        <f t="shared" si="71"/>
        <v>0</v>
      </c>
      <c r="H57" s="1">
        <f t="shared" si="71"/>
        <v>0</v>
      </c>
      <c r="I57" s="1">
        <f t="shared" si="71"/>
        <v>0</v>
      </c>
      <c r="J57" s="1">
        <f t="shared" si="71"/>
        <v>0</v>
      </c>
      <c r="K57" s="1">
        <f t="shared" si="55"/>
        <v>0</v>
      </c>
      <c r="L57" s="1">
        <f t="shared" si="55"/>
        <v>0</v>
      </c>
      <c r="M57" s="1">
        <f t="shared" si="55"/>
        <v>0</v>
      </c>
      <c r="N57" s="1">
        <f t="shared" si="55"/>
        <v>0</v>
      </c>
      <c r="O57" s="1">
        <f t="shared" si="55"/>
        <v>0</v>
      </c>
      <c r="P57" s="1">
        <f t="shared" si="55"/>
        <v>0</v>
      </c>
      <c r="Q57" s="1">
        <f t="shared" si="55"/>
        <v>0</v>
      </c>
      <c r="R57" s="1">
        <f t="shared" si="55"/>
        <v>0</v>
      </c>
      <c r="S57" s="1">
        <f t="shared" si="55"/>
        <v>0</v>
      </c>
      <c r="T57" s="1">
        <f t="shared" si="55"/>
        <v>0</v>
      </c>
      <c r="U57" s="1">
        <f t="shared" si="55"/>
        <v>0</v>
      </c>
      <c r="V57" s="1">
        <f t="shared" si="55"/>
        <v>0</v>
      </c>
      <c r="W57" s="1">
        <f t="shared" si="55"/>
        <v>0</v>
      </c>
      <c r="X57" s="1">
        <f t="shared" si="55"/>
        <v>0</v>
      </c>
      <c r="Y57" s="1">
        <f t="shared" si="55"/>
        <v>0</v>
      </c>
      <c r="Z57" s="1">
        <f t="shared" si="55"/>
        <v>0</v>
      </c>
      <c r="AA57" s="1">
        <f t="shared" si="55"/>
        <v>0</v>
      </c>
      <c r="AB57" s="1">
        <f t="shared" ref="AB57" si="72">+AB34+AB11</f>
        <v>0</v>
      </c>
      <c r="AC57" s="1">
        <f t="shared" si="55"/>
        <v>0</v>
      </c>
      <c r="AD57" s="1">
        <f t="shared" si="55"/>
        <v>0</v>
      </c>
      <c r="AE57" s="1">
        <f t="shared" si="55"/>
        <v>0</v>
      </c>
      <c r="AF57" s="1">
        <f t="shared" si="55"/>
        <v>0</v>
      </c>
      <c r="AG57" s="1">
        <f t="shared" si="55"/>
        <v>0</v>
      </c>
      <c r="AH57" s="1">
        <f t="shared" si="55"/>
        <v>0</v>
      </c>
      <c r="AI57" s="1">
        <f t="shared" si="55"/>
        <v>0</v>
      </c>
      <c r="AJ57" s="1">
        <f t="shared" si="55"/>
        <v>0</v>
      </c>
      <c r="AK57" s="1">
        <f t="shared" si="55"/>
        <v>0</v>
      </c>
      <c r="AL57" s="1">
        <f t="shared" si="55"/>
        <v>0</v>
      </c>
      <c r="AM57" s="1">
        <f t="shared" si="55"/>
        <v>0</v>
      </c>
      <c r="AN57" s="1">
        <f t="shared" si="55"/>
        <v>0</v>
      </c>
      <c r="AO57" s="1">
        <f t="shared" si="55"/>
        <v>0</v>
      </c>
      <c r="AP57" s="1">
        <f t="shared" si="55"/>
        <v>0</v>
      </c>
      <c r="AQ57" s="1">
        <f t="shared" si="55"/>
        <v>0</v>
      </c>
      <c r="AR57" s="3">
        <f t="shared" si="60"/>
        <v>0</v>
      </c>
      <c r="AT57" s="8">
        <f>IF(AR57=0,0,+AR57/(PassVol!AR204+PassVol!AR228))</f>
        <v>0</v>
      </c>
    </row>
    <row r="58" spans="1:46" x14ac:dyDescent="0.25">
      <c r="A58"/>
      <c r="C58" t="s">
        <v>550</v>
      </c>
      <c r="D58" s="1">
        <f t="shared" si="57"/>
        <v>0</v>
      </c>
      <c r="E58" s="1">
        <f t="shared" ref="E58:J58" si="73">+E35+E12</f>
        <v>0</v>
      </c>
      <c r="F58" s="1">
        <f t="shared" si="73"/>
        <v>0</v>
      </c>
      <c r="G58" s="1">
        <f t="shared" si="73"/>
        <v>0</v>
      </c>
      <c r="H58" s="1">
        <f t="shared" si="73"/>
        <v>0</v>
      </c>
      <c r="I58" s="1">
        <f t="shared" si="73"/>
        <v>0</v>
      </c>
      <c r="J58" s="1">
        <f t="shared" si="73"/>
        <v>0</v>
      </c>
      <c r="K58" s="1">
        <f t="shared" si="55"/>
        <v>0</v>
      </c>
      <c r="L58" s="1">
        <f t="shared" si="55"/>
        <v>0</v>
      </c>
      <c r="M58" s="1">
        <f t="shared" si="55"/>
        <v>0</v>
      </c>
      <c r="N58" s="1">
        <f t="shared" si="55"/>
        <v>0</v>
      </c>
      <c r="O58" s="1">
        <f t="shared" si="55"/>
        <v>521.28</v>
      </c>
      <c r="P58" s="1">
        <f t="shared" si="55"/>
        <v>0</v>
      </c>
      <c r="Q58" s="1">
        <f t="shared" ref="K58:AQ65" si="74">+Q35+Q12</f>
        <v>968.24</v>
      </c>
      <c r="R58" s="1">
        <f t="shared" si="74"/>
        <v>0</v>
      </c>
      <c r="S58" s="1">
        <f t="shared" si="74"/>
        <v>0</v>
      </c>
      <c r="T58" s="1">
        <f t="shared" si="74"/>
        <v>4099.2</v>
      </c>
      <c r="U58" s="1">
        <f t="shared" si="74"/>
        <v>0</v>
      </c>
      <c r="V58" s="1">
        <f t="shared" si="74"/>
        <v>6796.16</v>
      </c>
      <c r="W58" s="1">
        <f t="shared" si="74"/>
        <v>2856.88</v>
      </c>
      <c r="X58" s="1">
        <f t="shared" si="74"/>
        <v>2235.44</v>
      </c>
      <c r="Y58" s="1">
        <f t="shared" si="74"/>
        <v>9252.9599999999991</v>
      </c>
      <c r="Z58" s="1">
        <f t="shared" si="74"/>
        <v>1662.08</v>
      </c>
      <c r="AA58" s="1">
        <f t="shared" si="74"/>
        <v>3533.92</v>
      </c>
      <c r="AB58" s="1">
        <f t="shared" ref="AB58" si="75">+AB35+AB12</f>
        <v>1494.72</v>
      </c>
      <c r="AC58" s="1">
        <f t="shared" si="74"/>
        <v>2010.64</v>
      </c>
      <c r="AD58" s="1">
        <f t="shared" si="74"/>
        <v>2042.08</v>
      </c>
      <c r="AE58" s="1">
        <f t="shared" si="74"/>
        <v>3195.44</v>
      </c>
      <c r="AF58" s="1">
        <f t="shared" si="74"/>
        <v>584</v>
      </c>
      <c r="AG58" s="1">
        <f t="shared" si="74"/>
        <v>1347.12</v>
      </c>
      <c r="AH58" s="1">
        <f t="shared" si="74"/>
        <v>1226.48</v>
      </c>
      <c r="AI58" s="1">
        <f t="shared" si="74"/>
        <v>860.56</v>
      </c>
      <c r="AJ58" s="1">
        <f t="shared" si="74"/>
        <v>1036.96</v>
      </c>
      <c r="AK58" s="1">
        <f t="shared" si="74"/>
        <v>1017.28</v>
      </c>
      <c r="AL58" s="1">
        <f t="shared" si="74"/>
        <v>898</v>
      </c>
      <c r="AM58" s="1">
        <f t="shared" si="74"/>
        <v>1478.72</v>
      </c>
      <c r="AN58" s="1">
        <f t="shared" si="74"/>
        <v>1206.8</v>
      </c>
      <c r="AO58" s="1">
        <f t="shared" si="74"/>
        <v>0</v>
      </c>
      <c r="AP58" s="1">
        <f t="shared" si="74"/>
        <v>0</v>
      </c>
      <c r="AQ58" s="1">
        <f t="shared" si="74"/>
        <v>0</v>
      </c>
      <c r="AR58" s="3">
        <f t="shared" si="60"/>
        <v>50324.960000000006</v>
      </c>
      <c r="AT58" s="8">
        <f>IF(AR58=0,0,+AR58/(PassVol!AR205+PassVol!AR229))</f>
        <v>17.146494037478707</v>
      </c>
    </row>
    <row r="59" spans="1:46" x14ac:dyDescent="0.25">
      <c r="C59" t="s">
        <v>6</v>
      </c>
      <c r="D59" s="1">
        <f t="shared" si="57"/>
        <v>0</v>
      </c>
      <c r="E59" s="1">
        <f t="shared" ref="E59:J59" si="76">+E36+E13</f>
        <v>0</v>
      </c>
      <c r="F59" s="1">
        <f t="shared" si="76"/>
        <v>0</v>
      </c>
      <c r="G59" s="1">
        <f t="shared" si="76"/>
        <v>0</v>
      </c>
      <c r="H59" s="1">
        <f t="shared" si="76"/>
        <v>0</v>
      </c>
      <c r="I59" s="1">
        <f t="shared" si="76"/>
        <v>0</v>
      </c>
      <c r="J59" s="1">
        <f t="shared" si="76"/>
        <v>0</v>
      </c>
      <c r="K59" s="1">
        <f t="shared" si="74"/>
        <v>0</v>
      </c>
      <c r="L59" s="1">
        <f t="shared" si="74"/>
        <v>0</v>
      </c>
      <c r="M59" s="1">
        <f t="shared" si="74"/>
        <v>0</v>
      </c>
      <c r="N59" s="1">
        <f t="shared" si="74"/>
        <v>0</v>
      </c>
      <c r="O59" s="1">
        <f t="shared" si="74"/>
        <v>0</v>
      </c>
      <c r="P59" s="1">
        <f t="shared" si="74"/>
        <v>0</v>
      </c>
      <c r="Q59" s="1">
        <f t="shared" si="74"/>
        <v>0</v>
      </c>
      <c r="R59" s="1">
        <f t="shared" si="74"/>
        <v>0</v>
      </c>
      <c r="S59" s="1">
        <f t="shared" si="74"/>
        <v>0</v>
      </c>
      <c r="T59" s="1">
        <f t="shared" si="74"/>
        <v>0</v>
      </c>
      <c r="U59" s="1">
        <f t="shared" si="74"/>
        <v>0</v>
      </c>
      <c r="V59" s="1">
        <f t="shared" si="74"/>
        <v>0</v>
      </c>
      <c r="W59" s="1">
        <f t="shared" si="74"/>
        <v>0</v>
      </c>
      <c r="X59" s="1">
        <f t="shared" si="74"/>
        <v>0</v>
      </c>
      <c r="Y59" s="1">
        <f t="shared" si="74"/>
        <v>0</v>
      </c>
      <c r="Z59" s="1">
        <f t="shared" si="74"/>
        <v>0</v>
      </c>
      <c r="AA59" s="1">
        <f t="shared" si="74"/>
        <v>0</v>
      </c>
      <c r="AB59" s="1">
        <f t="shared" ref="AB59" si="77">+AB36+AB13</f>
        <v>0</v>
      </c>
      <c r="AC59" s="1">
        <f t="shared" si="74"/>
        <v>0</v>
      </c>
      <c r="AD59" s="1">
        <f t="shared" si="74"/>
        <v>0</v>
      </c>
      <c r="AE59" s="1">
        <f t="shared" si="74"/>
        <v>0</v>
      </c>
      <c r="AF59" s="1">
        <f t="shared" si="74"/>
        <v>0</v>
      </c>
      <c r="AG59" s="1">
        <f t="shared" si="74"/>
        <v>0</v>
      </c>
      <c r="AH59" s="1">
        <f t="shared" si="74"/>
        <v>0</v>
      </c>
      <c r="AI59" s="1">
        <f t="shared" si="74"/>
        <v>0</v>
      </c>
      <c r="AJ59" s="1">
        <f t="shared" si="74"/>
        <v>0</v>
      </c>
      <c r="AK59" s="1">
        <f t="shared" si="74"/>
        <v>0</v>
      </c>
      <c r="AL59" s="1">
        <f t="shared" si="74"/>
        <v>0</v>
      </c>
      <c r="AM59" s="1">
        <f t="shared" si="74"/>
        <v>0</v>
      </c>
      <c r="AN59" s="1">
        <f t="shared" si="74"/>
        <v>0</v>
      </c>
      <c r="AO59" s="1">
        <f t="shared" si="74"/>
        <v>0</v>
      </c>
      <c r="AP59" s="1">
        <f t="shared" si="74"/>
        <v>0</v>
      </c>
      <c r="AQ59" s="1">
        <f t="shared" si="74"/>
        <v>0</v>
      </c>
      <c r="AR59" s="3">
        <f t="shared" si="60"/>
        <v>0</v>
      </c>
      <c r="AT59" s="8">
        <f>IF(AR59=0,0,+AR59/(PassVol!AR206+PassVol!AR230))</f>
        <v>0</v>
      </c>
    </row>
    <row r="60" spans="1:46" x14ac:dyDescent="0.25">
      <c r="C60" t="s">
        <v>262</v>
      </c>
      <c r="D60" s="1">
        <f t="shared" si="57"/>
        <v>0</v>
      </c>
      <c r="E60" s="1">
        <f t="shared" ref="E60:J60" si="78">+E37+E14</f>
        <v>0</v>
      </c>
      <c r="F60" s="1">
        <f t="shared" si="78"/>
        <v>0</v>
      </c>
      <c r="G60" s="1">
        <f t="shared" si="78"/>
        <v>0</v>
      </c>
      <c r="H60" s="1">
        <f t="shared" si="78"/>
        <v>0</v>
      </c>
      <c r="I60" s="1">
        <f t="shared" si="78"/>
        <v>0</v>
      </c>
      <c r="J60" s="1">
        <f t="shared" si="78"/>
        <v>0</v>
      </c>
      <c r="K60" s="1">
        <f t="shared" si="74"/>
        <v>0</v>
      </c>
      <c r="L60" s="1">
        <f t="shared" si="74"/>
        <v>0</v>
      </c>
      <c r="M60" s="1">
        <f t="shared" si="74"/>
        <v>0</v>
      </c>
      <c r="N60" s="1">
        <f t="shared" si="74"/>
        <v>0</v>
      </c>
      <c r="O60" s="1">
        <f t="shared" si="74"/>
        <v>0</v>
      </c>
      <c r="P60" s="1">
        <f t="shared" si="74"/>
        <v>0</v>
      </c>
      <c r="Q60" s="1">
        <f t="shared" si="74"/>
        <v>0</v>
      </c>
      <c r="R60" s="1">
        <f t="shared" si="74"/>
        <v>0</v>
      </c>
      <c r="S60" s="1">
        <f t="shared" si="74"/>
        <v>0</v>
      </c>
      <c r="T60" s="1">
        <f t="shared" si="74"/>
        <v>0</v>
      </c>
      <c r="U60" s="1">
        <f t="shared" si="74"/>
        <v>0</v>
      </c>
      <c r="V60" s="1">
        <f t="shared" si="74"/>
        <v>0</v>
      </c>
      <c r="W60" s="1">
        <f t="shared" si="74"/>
        <v>0</v>
      </c>
      <c r="X60" s="1">
        <f t="shared" si="74"/>
        <v>0</v>
      </c>
      <c r="Y60" s="1">
        <f t="shared" si="74"/>
        <v>0</v>
      </c>
      <c r="Z60" s="1">
        <f t="shared" si="74"/>
        <v>0</v>
      </c>
      <c r="AA60" s="1">
        <f t="shared" si="74"/>
        <v>0</v>
      </c>
      <c r="AB60" s="1">
        <f t="shared" ref="AB60" si="79">+AB37+AB14</f>
        <v>0</v>
      </c>
      <c r="AC60" s="1">
        <f t="shared" si="74"/>
        <v>0</v>
      </c>
      <c r="AD60" s="1">
        <f t="shared" si="74"/>
        <v>0</v>
      </c>
      <c r="AE60" s="1">
        <f t="shared" si="74"/>
        <v>0</v>
      </c>
      <c r="AF60" s="1">
        <f t="shared" si="74"/>
        <v>0</v>
      </c>
      <c r="AG60" s="1">
        <f t="shared" si="74"/>
        <v>0</v>
      </c>
      <c r="AH60" s="1">
        <f t="shared" si="74"/>
        <v>0</v>
      </c>
      <c r="AI60" s="1">
        <f t="shared" si="74"/>
        <v>0</v>
      </c>
      <c r="AJ60" s="1">
        <f t="shared" si="74"/>
        <v>0</v>
      </c>
      <c r="AK60" s="1">
        <f t="shared" si="74"/>
        <v>0</v>
      </c>
      <c r="AL60" s="1">
        <f t="shared" si="74"/>
        <v>0</v>
      </c>
      <c r="AM60" s="1">
        <f t="shared" si="74"/>
        <v>0</v>
      </c>
      <c r="AN60" s="1">
        <f t="shared" si="74"/>
        <v>0</v>
      </c>
      <c r="AO60" s="1">
        <f t="shared" si="74"/>
        <v>0</v>
      </c>
      <c r="AP60" s="1">
        <f t="shared" si="74"/>
        <v>0</v>
      </c>
      <c r="AQ60" s="1">
        <f t="shared" si="74"/>
        <v>0</v>
      </c>
      <c r="AR60" s="3">
        <f t="shared" si="60"/>
        <v>0</v>
      </c>
      <c r="AT60" s="8">
        <f>IF(AR60=0,0,+AR60/(PassVol!AR207+PassVol!AR231))</f>
        <v>0</v>
      </c>
    </row>
    <row r="61" spans="1:46" x14ac:dyDescent="0.25">
      <c r="C61" t="s">
        <v>42</v>
      </c>
      <c r="D61" s="1">
        <f t="shared" si="57"/>
        <v>0</v>
      </c>
      <c r="E61" s="1">
        <f t="shared" ref="E61:J61" si="80">+E38+E15</f>
        <v>0</v>
      </c>
      <c r="F61" s="1">
        <f t="shared" si="80"/>
        <v>0</v>
      </c>
      <c r="G61" s="1">
        <f t="shared" si="80"/>
        <v>0</v>
      </c>
      <c r="H61" s="1">
        <f t="shared" si="80"/>
        <v>0</v>
      </c>
      <c r="I61" s="1">
        <f t="shared" si="80"/>
        <v>0</v>
      </c>
      <c r="J61" s="1">
        <f t="shared" si="80"/>
        <v>0</v>
      </c>
      <c r="K61" s="1">
        <f t="shared" si="74"/>
        <v>454.9</v>
      </c>
      <c r="L61" s="1">
        <f t="shared" si="74"/>
        <v>7238.52</v>
      </c>
      <c r="M61" s="1">
        <f t="shared" si="74"/>
        <v>0</v>
      </c>
      <c r="N61" s="1">
        <f t="shared" si="74"/>
        <v>640.08000000000004</v>
      </c>
      <c r="O61" s="1">
        <f t="shared" si="74"/>
        <v>618.6</v>
      </c>
      <c r="P61" s="1">
        <f t="shared" si="74"/>
        <v>196.44</v>
      </c>
      <c r="Q61" s="1">
        <f t="shared" si="74"/>
        <v>2571.9</v>
      </c>
      <c r="R61" s="1">
        <f t="shared" si="74"/>
        <v>0</v>
      </c>
      <c r="S61" s="1">
        <f t="shared" si="74"/>
        <v>1527.8400000000001</v>
      </c>
      <c r="T61" s="1">
        <f t="shared" si="74"/>
        <v>2087.7200000000003</v>
      </c>
      <c r="U61" s="1">
        <f t="shared" si="74"/>
        <v>578.46</v>
      </c>
      <c r="V61" s="1">
        <f t="shared" si="74"/>
        <v>338.26</v>
      </c>
      <c r="W61" s="1">
        <f t="shared" si="74"/>
        <v>796.8599999999999</v>
      </c>
      <c r="X61" s="1">
        <f t="shared" si="74"/>
        <v>509.20000000000005</v>
      </c>
      <c r="Y61" s="1">
        <f t="shared" si="74"/>
        <v>0</v>
      </c>
      <c r="Z61" s="1">
        <f t="shared" si="74"/>
        <v>378.16</v>
      </c>
      <c r="AA61" s="1">
        <f t="shared" si="74"/>
        <v>480.48</v>
      </c>
      <c r="AB61" s="1">
        <f t="shared" ref="AB61" si="81">+AB38+AB15</f>
        <v>0</v>
      </c>
      <c r="AC61" s="1">
        <f t="shared" si="74"/>
        <v>130.96</v>
      </c>
      <c r="AD61" s="1">
        <f t="shared" si="74"/>
        <v>0</v>
      </c>
      <c r="AE61" s="1">
        <f t="shared" si="74"/>
        <v>200.06</v>
      </c>
      <c r="AF61" s="1">
        <f t="shared" si="74"/>
        <v>29.12</v>
      </c>
      <c r="AG61" s="1">
        <f t="shared" si="74"/>
        <v>436.8</v>
      </c>
      <c r="AH61" s="1">
        <f t="shared" si="74"/>
        <v>203.84</v>
      </c>
      <c r="AI61" s="1">
        <f t="shared" si="74"/>
        <v>189.2</v>
      </c>
      <c r="AJ61" s="1">
        <f t="shared" si="74"/>
        <v>541.93999999999994</v>
      </c>
      <c r="AK61" s="1">
        <f t="shared" si="74"/>
        <v>0</v>
      </c>
      <c r="AL61" s="1">
        <f t="shared" si="74"/>
        <v>0</v>
      </c>
      <c r="AM61" s="1">
        <f t="shared" si="74"/>
        <v>0</v>
      </c>
      <c r="AN61" s="1">
        <f t="shared" si="74"/>
        <v>145.6</v>
      </c>
      <c r="AO61" s="1">
        <f t="shared" si="74"/>
        <v>0</v>
      </c>
      <c r="AP61" s="1">
        <f t="shared" si="74"/>
        <v>0</v>
      </c>
      <c r="AQ61" s="1">
        <f t="shared" si="74"/>
        <v>0</v>
      </c>
      <c r="AR61" s="3">
        <f t="shared" si="60"/>
        <v>20294.939999999995</v>
      </c>
      <c r="AT61" s="8">
        <f>IF(AR61=0,0,+AR61/(PassVol!AR208+PassVol!AR232))</f>
        <v>16.406580436540011</v>
      </c>
    </row>
    <row r="62" spans="1:46" x14ac:dyDescent="0.25">
      <c r="C62" t="s">
        <v>192</v>
      </c>
      <c r="D62" s="1">
        <f t="shared" si="57"/>
        <v>0</v>
      </c>
      <c r="E62" s="1">
        <f t="shared" ref="E62:J62" si="82">+E39+E16</f>
        <v>0</v>
      </c>
      <c r="F62" s="1">
        <f t="shared" si="82"/>
        <v>0</v>
      </c>
      <c r="G62" s="1">
        <f t="shared" si="82"/>
        <v>1073.76</v>
      </c>
      <c r="H62" s="1">
        <f t="shared" si="82"/>
        <v>0</v>
      </c>
      <c r="I62" s="1">
        <f t="shared" si="82"/>
        <v>467.82</v>
      </c>
      <c r="J62" s="1">
        <f t="shared" si="82"/>
        <v>1266.5999999999999</v>
      </c>
      <c r="K62" s="1">
        <f t="shared" si="74"/>
        <v>15610.32</v>
      </c>
      <c r="L62" s="1">
        <f t="shared" si="74"/>
        <v>0</v>
      </c>
      <c r="M62" s="1">
        <f t="shared" si="74"/>
        <v>0</v>
      </c>
      <c r="N62" s="1">
        <f t="shared" si="74"/>
        <v>266.03999999999996</v>
      </c>
      <c r="O62" s="1">
        <f t="shared" si="74"/>
        <v>862.38</v>
      </c>
      <c r="P62" s="1">
        <f t="shared" si="74"/>
        <v>827.40000000000009</v>
      </c>
      <c r="Q62" s="1">
        <f t="shared" si="74"/>
        <v>2280.48</v>
      </c>
      <c r="R62" s="1">
        <f t="shared" si="74"/>
        <v>980.16000000000008</v>
      </c>
      <c r="S62" s="1">
        <f t="shared" si="74"/>
        <v>2555.4</v>
      </c>
      <c r="T62" s="1">
        <f t="shared" si="74"/>
        <v>1783.32</v>
      </c>
      <c r="U62" s="1">
        <f t="shared" si="74"/>
        <v>3094.44</v>
      </c>
      <c r="V62" s="1">
        <f t="shared" si="74"/>
        <v>1113.24</v>
      </c>
      <c r="W62" s="1">
        <f t="shared" si="74"/>
        <v>2685.1800000000003</v>
      </c>
      <c r="X62" s="1">
        <f t="shared" si="74"/>
        <v>3247.2</v>
      </c>
      <c r="Y62" s="1">
        <f t="shared" si="74"/>
        <v>913.92000000000007</v>
      </c>
      <c r="Z62" s="1">
        <f t="shared" si="74"/>
        <v>366.6</v>
      </c>
      <c r="AA62" s="1">
        <f t="shared" si="74"/>
        <v>1242.3600000000001</v>
      </c>
      <c r="AB62" s="1">
        <f t="shared" ref="AB62" si="83">+AB39+AB16</f>
        <v>1483.62</v>
      </c>
      <c r="AC62" s="1">
        <f t="shared" si="74"/>
        <v>552.48</v>
      </c>
      <c r="AD62" s="1">
        <f t="shared" si="74"/>
        <v>513</v>
      </c>
      <c r="AE62" s="1">
        <f t="shared" si="74"/>
        <v>0</v>
      </c>
      <c r="AF62" s="1">
        <f t="shared" si="74"/>
        <v>0</v>
      </c>
      <c r="AG62" s="1">
        <f t="shared" si="74"/>
        <v>0</v>
      </c>
      <c r="AH62" s="1">
        <f t="shared" si="74"/>
        <v>490.08000000000004</v>
      </c>
      <c r="AI62" s="1">
        <f t="shared" si="74"/>
        <v>372.96000000000004</v>
      </c>
      <c r="AJ62" s="1">
        <f t="shared" si="74"/>
        <v>1346.1</v>
      </c>
      <c r="AK62" s="1">
        <f t="shared" si="74"/>
        <v>0</v>
      </c>
      <c r="AL62" s="1">
        <f t="shared" si="74"/>
        <v>0</v>
      </c>
      <c r="AM62" s="1">
        <f t="shared" si="74"/>
        <v>0</v>
      </c>
      <c r="AN62" s="1">
        <f t="shared" si="74"/>
        <v>0</v>
      </c>
      <c r="AO62" s="1">
        <f t="shared" si="74"/>
        <v>0</v>
      </c>
      <c r="AP62" s="1">
        <f t="shared" si="74"/>
        <v>0</v>
      </c>
      <c r="AQ62" s="1">
        <f t="shared" si="74"/>
        <v>0</v>
      </c>
      <c r="AR62" s="3">
        <f t="shared" si="60"/>
        <v>45394.860000000008</v>
      </c>
      <c r="AT62" s="8">
        <f>IF(AR62=0,0,+AR62/(PassVol!AR209+PassVol!AR233))</f>
        <v>16.938380597014927</v>
      </c>
    </row>
    <row r="63" spans="1:46" x14ac:dyDescent="0.25">
      <c r="C63" t="s">
        <v>133</v>
      </c>
      <c r="D63" s="1">
        <f t="shared" si="57"/>
        <v>0</v>
      </c>
      <c r="E63" s="1">
        <f t="shared" ref="E63:J63" si="84">+E40+E17</f>
        <v>0</v>
      </c>
      <c r="F63" s="1">
        <f t="shared" si="84"/>
        <v>0</v>
      </c>
      <c r="G63" s="1">
        <f t="shared" si="84"/>
        <v>0</v>
      </c>
      <c r="H63" s="1">
        <f t="shared" si="84"/>
        <v>0</v>
      </c>
      <c r="I63" s="1">
        <f t="shared" si="84"/>
        <v>0</v>
      </c>
      <c r="J63" s="1">
        <f t="shared" si="84"/>
        <v>0</v>
      </c>
      <c r="K63" s="1">
        <f t="shared" si="74"/>
        <v>0</v>
      </c>
      <c r="L63" s="1">
        <f t="shared" si="74"/>
        <v>0</v>
      </c>
      <c r="M63" s="1">
        <f t="shared" si="74"/>
        <v>0</v>
      </c>
      <c r="N63" s="1">
        <f t="shared" si="74"/>
        <v>0</v>
      </c>
      <c r="O63" s="1">
        <f t="shared" si="74"/>
        <v>0</v>
      </c>
      <c r="P63" s="1">
        <f t="shared" si="74"/>
        <v>0</v>
      </c>
      <c r="Q63" s="1">
        <f t="shared" si="74"/>
        <v>56.16</v>
      </c>
      <c r="R63" s="1">
        <f t="shared" si="74"/>
        <v>126.8</v>
      </c>
      <c r="S63" s="1">
        <f t="shared" si="74"/>
        <v>105.75999999999999</v>
      </c>
      <c r="T63" s="1">
        <f t="shared" si="74"/>
        <v>56.16</v>
      </c>
      <c r="U63" s="1">
        <f t="shared" si="74"/>
        <v>34.159999999999997</v>
      </c>
      <c r="V63" s="1">
        <f t="shared" si="74"/>
        <v>34.159999999999997</v>
      </c>
      <c r="W63" s="1">
        <f t="shared" si="74"/>
        <v>0</v>
      </c>
      <c r="X63" s="1">
        <f t="shared" si="74"/>
        <v>0</v>
      </c>
      <c r="Y63" s="1">
        <f t="shared" si="74"/>
        <v>0</v>
      </c>
      <c r="Z63" s="1">
        <f t="shared" si="74"/>
        <v>292.95999999999998</v>
      </c>
      <c r="AA63" s="1">
        <f t="shared" si="74"/>
        <v>68.319999999999993</v>
      </c>
      <c r="AB63" s="1">
        <f t="shared" ref="AB63" si="85">+AB40+AB17</f>
        <v>0</v>
      </c>
      <c r="AC63" s="1">
        <f t="shared" si="74"/>
        <v>0</v>
      </c>
      <c r="AD63" s="1">
        <f t="shared" si="74"/>
        <v>102.47999999999999</v>
      </c>
      <c r="AE63" s="1">
        <f t="shared" si="74"/>
        <v>0</v>
      </c>
      <c r="AF63" s="1">
        <f t="shared" si="74"/>
        <v>482.88</v>
      </c>
      <c r="AG63" s="1">
        <f t="shared" si="74"/>
        <v>149.76</v>
      </c>
      <c r="AH63" s="1">
        <f t="shared" si="74"/>
        <v>0</v>
      </c>
      <c r="AI63" s="1">
        <f t="shared" si="74"/>
        <v>0</v>
      </c>
      <c r="AJ63" s="1">
        <f t="shared" si="74"/>
        <v>0</v>
      </c>
      <c r="AK63" s="1">
        <f t="shared" si="74"/>
        <v>0</v>
      </c>
      <c r="AL63" s="1">
        <f t="shared" si="74"/>
        <v>0</v>
      </c>
      <c r="AM63" s="1">
        <f t="shared" si="74"/>
        <v>0</v>
      </c>
      <c r="AN63" s="1">
        <f t="shared" si="74"/>
        <v>0</v>
      </c>
      <c r="AO63" s="1">
        <f t="shared" si="74"/>
        <v>0</v>
      </c>
      <c r="AP63" s="1">
        <f t="shared" si="74"/>
        <v>0</v>
      </c>
      <c r="AQ63" s="1">
        <f t="shared" si="74"/>
        <v>0</v>
      </c>
      <c r="AR63" s="3">
        <f t="shared" si="60"/>
        <v>1509.5999999999997</v>
      </c>
      <c r="AT63" s="8">
        <f>IF(AR63=0,0,+AR63/(PassVol!AR210+PassVol!AR234))</f>
        <v>17.154545454545453</v>
      </c>
    </row>
    <row r="64" spans="1:46" x14ac:dyDescent="0.25">
      <c r="C64" t="s">
        <v>41</v>
      </c>
      <c r="D64" s="1">
        <f t="shared" si="57"/>
        <v>0</v>
      </c>
      <c r="E64" s="1">
        <f t="shared" ref="E64:J64" si="86">+E41+E18</f>
        <v>0</v>
      </c>
      <c r="F64" s="1">
        <f t="shared" si="86"/>
        <v>0</v>
      </c>
      <c r="G64" s="1">
        <f t="shared" si="86"/>
        <v>0</v>
      </c>
      <c r="H64" s="1">
        <f t="shared" si="86"/>
        <v>13352.400000000001</v>
      </c>
      <c r="I64" s="1">
        <f t="shared" si="86"/>
        <v>0</v>
      </c>
      <c r="J64" s="1">
        <f t="shared" si="86"/>
        <v>0</v>
      </c>
      <c r="K64" s="1">
        <f t="shared" si="74"/>
        <v>482.88</v>
      </c>
      <c r="L64" s="1">
        <f t="shared" si="74"/>
        <v>14056.24</v>
      </c>
      <c r="M64" s="1">
        <f t="shared" si="74"/>
        <v>2610.8000000000002</v>
      </c>
      <c r="N64" s="1">
        <f t="shared" si="74"/>
        <v>14230.880000000001</v>
      </c>
      <c r="O64" s="1">
        <f t="shared" si="74"/>
        <v>1366.4</v>
      </c>
      <c r="P64" s="1">
        <f t="shared" si="74"/>
        <v>16757.36</v>
      </c>
      <c r="Q64" s="1">
        <f t="shared" si="74"/>
        <v>990.64</v>
      </c>
      <c r="R64" s="1">
        <f t="shared" si="74"/>
        <v>14250.56</v>
      </c>
      <c r="S64" s="1">
        <f t="shared" si="74"/>
        <v>5962.16</v>
      </c>
      <c r="T64" s="1">
        <f t="shared" si="74"/>
        <v>12865.44</v>
      </c>
      <c r="U64" s="1">
        <f t="shared" si="74"/>
        <v>10330.959999999999</v>
      </c>
      <c r="V64" s="1">
        <f t="shared" si="74"/>
        <v>15043.6</v>
      </c>
      <c r="W64" s="1">
        <f t="shared" si="74"/>
        <v>3076.7200000000003</v>
      </c>
      <c r="X64" s="1">
        <f t="shared" si="74"/>
        <v>15668.880000000001</v>
      </c>
      <c r="Y64" s="1">
        <f t="shared" si="74"/>
        <v>18487.519999999997</v>
      </c>
      <c r="Z64" s="1">
        <f t="shared" si="74"/>
        <v>1842.7199999999998</v>
      </c>
      <c r="AA64" s="1">
        <f t="shared" si="74"/>
        <v>1039.28</v>
      </c>
      <c r="AB64" s="1">
        <f t="shared" ref="AB64" si="87">+AB41+AB18</f>
        <v>1441.68</v>
      </c>
      <c r="AC64" s="1">
        <f t="shared" si="74"/>
        <v>566.24</v>
      </c>
      <c r="AD64" s="1">
        <f t="shared" si="74"/>
        <v>1548.4</v>
      </c>
      <c r="AE64" s="1">
        <f t="shared" si="74"/>
        <v>1397.28</v>
      </c>
      <c r="AF64" s="1">
        <f t="shared" si="74"/>
        <v>2824.64</v>
      </c>
      <c r="AG64" s="1">
        <f t="shared" si="74"/>
        <v>1793.28</v>
      </c>
      <c r="AH64" s="1">
        <f t="shared" si="74"/>
        <v>989.68</v>
      </c>
      <c r="AI64" s="1">
        <f t="shared" si="74"/>
        <v>2330.8000000000002</v>
      </c>
      <c r="AJ64" s="1">
        <f t="shared" si="74"/>
        <v>2994.08</v>
      </c>
      <c r="AK64" s="1">
        <f t="shared" si="74"/>
        <v>1623.8400000000001</v>
      </c>
      <c r="AL64" s="1">
        <f t="shared" si="74"/>
        <v>712.72</v>
      </c>
      <c r="AM64" s="1">
        <f t="shared" si="74"/>
        <v>958.4</v>
      </c>
      <c r="AN64" s="1">
        <f t="shared" si="74"/>
        <v>204.95999999999998</v>
      </c>
      <c r="AO64" s="1">
        <f t="shared" si="74"/>
        <v>1629.8400000000001</v>
      </c>
      <c r="AP64" s="1">
        <f t="shared" si="74"/>
        <v>0</v>
      </c>
      <c r="AQ64" s="1">
        <f t="shared" si="74"/>
        <v>0</v>
      </c>
      <c r="AR64" s="3">
        <f t="shared" si="60"/>
        <v>183431.27999999994</v>
      </c>
      <c r="AT64" s="8">
        <f>IF(AR64=0,0,+AR64/(PassVol!AR211+PassVol!AR235))</f>
        <v>16.952983364140476</v>
      </c>
    </row>
    <row r="65" spans="1:47" x14ac:dyDescent="0.25">
      <c r="C65" t="s">
        <v>193</v>
      </c>
      <c r="D65" s="1">
        <f t="shared" si="57"/>
        <v>0</v>
      </c>
      <c r="E65" s="1">
        <f t="shared" ref="E65:J65" si="88">+E42+E19</f>
        <v>0</v>
      </c>
      <c r="F65" s="1">
        <f t="shared" si="88"/>
        <v>0</v>
      </c>
      <c r="G65" s="1">
        <f t="shared" si="88"/>
        <v>0</v>
      </c>
      <c r="H65" s="1">
        <f t="shared" si="88"/>
        <v>0</v>
      </c>
      <c r="I65" s="1">
        <f t="shared" si="88"/>
        <v>0</v>
      </c>
      <c r="J65" s="1">
        <f t="shared" si="88"/>
        <v>0</v>
      </c>
      <c r="K65" s="1">
        <f t="shared" si="74"/>
        <v>0</v>
      </c>
      <c r="L65" s="1">
        <f t="shared" si="74"/>
        <v>0</v>
      </c>
      <c r="M65" s="1">
        <f t="shared" si="74"/>
        <v>0</v>
      </c>
      <c r="N65" s="1">
        <f t="shared" si="74"/>
        <v>0</v>
      </c>
      <c r="O65" s="1">
        <f t="shared" si="74"/>
        <v>0</v>
      </c>
      <c r="P65" s="1">
        <f t="shared" si="74"/>
        <v>0</v>
      </c>
      <c r="Q65" s="1">
        <f t="shared" si="74"/>
        <v>0</v>
      </c>
      <c r="R65" s="1">
        <f t="shared" si="74"/>
        <v>0</v>
      </c>
      <c r="S65" s="1">
        <f t="shared" si="74"/>
        <v>0</v>
      </c>
      <c r="T65" s="1">
        <f t="shared" si="74"/>
        <v>0</v>
      </c>
      <c r="U65" s="1">
        <f t="shared" si="74"/>
        <v>0</v>
      </c>
      <c r="V65" s="1">
        <f t="shared" si="74"/>
        <v>0</v>
      </c>
      <c r="W65" s="1">
        <f t="shared" si="74"/>
        <v>0</v>
      </c>
      <c r="X65" s="1">
        <f t="shared" si="74"/>
        <v>0</v>
      </c>
      <c r="Y65" s="1">
        <f t="shared" si="74"/>
        <v>0</v>
      </c>
      <c r="Z65" s="1">
        <f t="shared" si="74"/>
        <v>0</v>
      </c>
      <c r="AA65" s="1">
        <f t="shared" si="74"/>
        <v>0</v>
      </c>
      <c r="AB65" s="1">
        <f t="shared" si="74"/>
        <v>0</v>
      </c>
      <c r="AC65" s="1">
        <f t="shared" si="74"/>
        <v>0</v>
      </c>
      <c r="AD65" s="1">
        <f t="shared" si="74"/>
        <v>0</v>
      </c>
      <c r="AE65" s="1">
        <f t="shared" si="74"/>
        <v>0</v>
      </c>
      <c r="AF65" s="1">
        <f t="shared" si="74"/>
        <v>0</v>
      </c>
      <c r="AG65" s="1">
        <f t="shared" si="74"/>
        <v>0</v>
      </c>
      <c r="AH65" s="1">
        <f t="shared" si="74"/>
        <v>0</v>
      </c>
      <c r="AI65" s="1">
        <f t="shared" si="74"/>
        <v>0</v>
      </c>
      <c r="AJ65" s="1">
        <f t="shared" si="74"/>
        <v>0</v>
      </c>
      <c r="AK65" s="1">
        <f t="shared" si="74"/>
        <v>0</v>
      </c>
      <c r="AL65" s="1">
        <f t="shared" si="74"/>
        <v>0</v>
      </c>
      <c r="AM65" s="1">
        <f t="shared" si="74"/>
        <v>0</v>
      </c>
      <c r="AN65" s="1">
        <f t="shared" si="74"/>
        <v>0</v>
      </c>
      <c r="AO65" s="1">
        <f t="shared" ref="K65:AQ68" si="89">+AO42+AO19</f>
        <v>0</v>
      </c>
      <c r="AP65" s="1">
        <f t="shared" si="89"/>
        <v>0</v>
      </c>
      <c r="AQ65" s="1">
        <f t="shared" si="89"/>
        <v>0</v>
      </c>
      <c r="AR65" s="3">
        <f t="shared" si="60"/>
        <v>0</v>
      </c>
      <c r="AT65" s="8">
        <f>IF(AR65=0,0,+AR65/(PassVol!AR212+PassVol!AR236))</f>
        <v>0</v>
      </c>
    </row>
    <row r="66" spans="1:47" x14ac:dyDescent="0.25">
      <c r="C66" t="s">
        <v>297</v>
      </c>
      <c r="D66" s="1">
        <f t="shared" si="57"/>
        <v>0</v>
      </c>
      <c r="E66" s="1">
        <f t="shared" ref="E66:J66" si="90">+E43+E20</f>
        <v>0</v>
      </c>
      <c r="F66" s="1">
        <f t="shared" si="90"/>
        <v>0</v>
      </c>
      <c r="G66" s="1">
        <f t="shared" si="90"/>
        <v>0</v>
      </c>
      <c r="H66" s="1">
        <f t="shared" si="90"/>
        <v>0</v>
      </c>
      <c r="I66" s="1">
        <f t="shared" si="90"/>
        <v>0</v>
      </c>
      <c r="J66" s="1">
        <f t="shared" si="90"/>
        <v>0</v>
      </c>
      <c r="K66" s="1">
        <f t="shared" si="89"/>
        <v>0</v>
      </c>
      <c r="L66" s="1">
        <f t="shared" si="89"/>
        <v>0</v>
      </c>
      <c r="M66" s="1">
        <f t="shared" si="89"/>
        <v>0</v>
      </c>
      <c r="N66" s="1">
        <f t="shared" si="89"/>
        <v>0</v>
      </c>
      <c r="O66" s="1">
        <f t="shared" si="89"/>
        <v>0</v>
      </c>
      <c r="P66" s="1">
        <f t="shared" si="89"/>
        <v>0</v>
      </c>
      <c r="Q66" s="1">
        <f t="shared" si="89"/>
        <v>0</v>
      </c>
      <c r="R66" s="1">
        <f t="shared" si="89"/>
        <v>0</v>
      </c>
      <c r="S66" s="1">
        <f t="shared" si="89"/>
        <v>0</v>
      </c>
      <c r="T66" s="1">
        <f t="shared" si="89"/>
        <v>0</v>
      </c>
      <c r="U66" s="1">
        <f t="shared" si="89"/>
        <v>0</v>
      </c>
      <c r="V66" s="1">
        <f t="shared" si="89"/>
        <v>0</v>
      </c>
      <c r="W66" s="1">
        <f t="shared" si="89"/>
        <v>0</v>
      </c>
      <c r="X66" s="1">
        <f t="shared" si="89"/>
        <v>0</v>
      </c>
      <c r="Y66" s="1">
        <f t="shared" si="89"/>
        <v>0</v>
      </c>
      <c r="Z66" s="1">
        <f t="shared" si="89"/>
        <v>0</v>
      </c>
      <c r="AA66" s="1">
        <f t="shared" si="89"/>
        <v>0</v>
      </c>
      <c r="AB66" s="1">
        <f t="shared" si="89"/>
        <v>0</v>
      </c>
      <c r="AC66" s="1">
        <f t="shared" si="89"/>
        <v>0</v>
      </c>
      <c r="AD66" s="1">
        <f t="shared" si="89"/>
        <v>0</v>
      </c>
      <c r="AE66" s="1">
        <f t="shared" si="89"/>
        <v>0</v>
      </c>
      <c r="AF66" s="1">
        <f t="shared" si="89"/>
        <v>0</v>
      </c>
      <c r="AG66" s="1">
        <f t="shared" si="89"/>
        <v>0</v>
      </c>
      <c r="AH66" s="1">
        <f t="shared" si="89"/>
        <v>0</v>
      </c>
      <c r="AI66" s="1">
        <f t="shared" si="89"/>
        <v>0</v>
      </c>
      <c r="AJ66" s="1">
        <f t="shared" si="89"/>
        <v>0</v>
      </c>
      <c r="AK66" s="1">
        <f t="shared" si="89"/>
        <v>0</v>
      </c>
      <c r="AL66" s="1">
        <f t="shared" si="89"/>
        <v>0</v>
      </c>
      <c r="AM66" s="1">
        <f t="shared" si="89"/>
        <v>0</v>
      </c>
      <c r="AN66" s="1">
        <f t="shared" si="89"/>
        <v>0</v>
      </c>
      <c r="AO66" s="1">
        <f t="shared" si="89"/>
        <v>0</v>
      </c>
      <c r="AP66" s="1">
        <f t="shared" si="89"/>
        <v>0</v>
      </c>
      <c r="AQ66" s="1">
        <f t="shared" si="89"/>
        <v>0</v>
      </c>
      <c r="AR66" s="3">
        <f t="shared" si="60"/>
        <v>0</v>
      </c>
      <c r="AT66" s="8">
        <f>IF(AR66=0,0,+AR66/(PassVol!AR213+PassVol!AR237))</f>
        <v>0</v>
      </c>
    </row>
    <row r="67" spans="1:47" x14ac:dyDescent="0.25">
      <c r="C67" t="s">
        <v>296</v>
      </c>
      <c r="D67" s="1">
        <f t="shared" si="57"/>
        <v>0</v>
      </c>
      <c r="E67" s="1">
        <f t="shared" ref="E67:J67" si="91">+E44+E21</f>
        <v>0</v>
      </c>
      <c r="F67" s="1">
        <f t="shared" si="91"/>
        <v>0</v>
      </c>
      <c r="G67" s="1">
        <f t="shared" si="91"/>
        <v>932.16000000000008</v>
      </c>
      <c r="H67" s="1">
        <f t="shared" si="91"/>
        <v>0</v>
      </c>
      <c r="I67" s="1">
        <f t="shared" si="91"/>
        <v>0</v>
      </c>
      <c r="J67" s="1">
        <f t="shared" si="91"/>
        <v>0</v>
      </c>
      <c r="K67" s="1">
        <f t="shared" si="89"/>
        <v>0</v>
      </c>
      <c r="L67" s="1">
        <f t="shared" si="89"/>
        <v>509.12</v>
      </c>
      <c r="M67" s="1">
        <f t="shared" si="89"/>
        <v>164.24</v>
      </c>
      <c r="N67" s="1">
        <f t="shared" si="89"/>
        <v>550.79999999999995</v>
      </c>
      <c r="O67" s="1">
        <f t="shared" si="89"/>
        <v>307.44</v>
      </c>
      <c r="P67" s="1">
        <f t="shared" si="89"/>
        <v>569.52</v>
      </c>
      <c r="Q67" s="1">
        <f t="shared" si="89"/>
        <v>754.8</v>
      </c>
      <c r="R67" s="1">
        <f t="shared" si="89"/>
        <v>234.88</v>
      </c>
      <c r="S67" s="1">
        <f t="shared" si="89"/>
        <v>727.2</v>
      </c>
      <c r="T67" s="1">
        <f t="shared" si="89"/>
        <v>906.88</v>
      </c>
      <c r="U67" s="1">
        <f t="shared" si="89"/>
        <v>636.88</v>
      </c>
      <c r="V67" s="1">
        <f t="shared" si="89"/>
        <v>343.91999999999996</v>
      </c>
      <c r="W67" s="1">
        <f t="shared" si="89"/>
        <v>320.56</v>
      </c>
      <c r="X67" s="1">
        <f t="shared" si="89"/>
        <v>239.12</v>
      </c>
      <c r="Y67" s="1">
        <f t="shared" si="89"/>
        <v>762.32</v>
      </c>
      <c r="Z67" s="1">
        <f t="shared" si="89"/>
        <v>210.56</v>
      </c>
      <c r="AA67" s="1">
        <f t="shared" si="89"/>
        <v>386.96000000000004</v>
      </c>
      <c r="AB67" s="1">
        <f t="shared" si="89"/>
        <v>671.04</v>
      </c>
      <c r="AC67" s="1">
        <f t="shared" si="89"/>
        <v>167.51999999999998</v>
      </c>
      <c r="AD67" s="1">
        <f t="shared" si="89"/>
        <v>0</v>
      </c>
      <c r="AE67" s="1">
        <f t="shared" si="89"/>
        <v>439.84000000000003</v>
      </c>
      <c r="AF67" s="1">
        <f t="shared" si="89"/>
        <v>0</v>
      </c>
      <c r="AG67" s="1">
        <f t="shared" si="89"/>
        <v>0</v>
      </c>
      <c r="AH67" s="1">
        <f t="shared" si="89"/>
        <v>211.51999999999998</v>
      </c>
      <c r="AI67" s="1">
        <f t="shared" si="89"/>
        <v>0</v>
      </c>
      <c r="AJ67" s="1">
        <f t="shared" si="89"/>
        <v>164.24</v>
      </c>
      <c r="AK67" s="1">
        <f t="shared" si="89"/>
        <v>0</v>
      </c>
      <c r="AL67" s="1">
        <f t="shared" si="89"/>
        <v>0</v>
      </c>
      <c r="AM67" s="1">
        <f t="shared" si="89"/>
        <v>279.83999999999997</v>
      </c>
      <c r="AN67" s="1">
        <f t="shared" si="89"/>
        <v>0</v>
      </c>
      <c r="AO67" s="1">
        <f t="shared" si="89"/>
        <v>0</v>
      </c>
      <c r="AP67" s="1">
        <f t="shared" si="89"/>
        <v>0</v>
      </c>
      <c r="AQ67" s="1">
        <f t="shared" si="89"/>
        <v>0</v>
      </c>
      <c r="AR67" s="3">
        <f t="shared" si="60"/>
        <v>10491.360000000002</v>
      </c>
      <c r="AT67" s="8">
        <f>IF(AR67=0,0,+AR67/(PassVol!AR214+PassVol!AR238))</f>
        <v>17.114779771615012</v>
      </c>
    </row>
    <row r="68" spans="1:47" x14ac:dyDescent="0.25">
      <c r="A68"/>
      <c r="C68" t="s">
        <v>44</v>
      </c>
      <c r="D68" s="1">
        <f t="shared" si="57"/>
        <v>0</v>
      </c>
      <c r="E68" s="1">
        <f t="shared" ref="E68:J68" si="92">+E45+E22</f>
        <v>0</v>
      </c>
      <c r="F68" s="1">
        <f t="shared" si="92"/>
        <v>0</v>
      </c>
      <c r="G68" s="1">
        <f t="shared" si="92"/>
        <v>5479.8000000000029</v>
      </c>
      <c r="H68" s="1">
        <f t="shared" si="92"/>
        <v>12632.76</v>
      </c>
      <c r="I68" s="1">
        <f t="shared" si="92"/>
        <v>3514.3</v>
      </c>
      <c r="J68" s="1">
        <f t="shared" si="92"/>
        <v>4068.9599999999991</v>
      </c>
      <c r="K68" s="1">
        <f t="shared" si="89"/>
        <v>5528.6399999999994</v>
      </c>
      <c r="L68" s="1">
        <f t="shared" si="89"/>
        <v>15954.380000000001</v>
      </c>
      <c r="M68" s="1">
        <f t="shared" si="89"/>
        <v>14311.8</v>
      </c>
      <c r="N68" s="1">
        <f t="shared" si="89"/>
        <v>17283.02</v>
      </c>
      <c r="O68" s="1">
        <f t="shared" si="89"/>
        <v>19776.18</v>
      </c>
      <c r="P68" s="1">
        <f t="shared" si="89"/>
        <v>31334.559999999998</v>
      </c>
      <c r="Q68" s="1">
        <f t="shared" si="89"/>
        <v>28562.639999999999</v>
      </c>
      <c r="R68" s="1">
        <f t="shared" si="89"/>
        <v>32467.679999999997</v>
      </c>
      <c r="S68" s="1">
        <f t="shared" si="89"/>
        <v>40204.82</v>
      </c>
      <c r="T68" s="1">
        <f t="shared" si="89"/>
        <v>33717.299999999996</v>
      </c>
      <c r="U68" s="1">
        <f t="shared" si="89"/>
        <v>42454.46</v>
      </c>
      <c r="V68" s="1">
        <f t="shared" si="89"/>
        <v>29094.320000000007</v>
      </c>
      <c r="W68" s="1">
        <f t="shared" si="89"/>
        <v>35887.980000000003</v>
      </c>
      <c r="X68" s="1">
        <f t="shared" si="89"/>
        <v>29912.219999999994</v>
      </c>
      <c r="Y68" s="1">
        <f t="shared" si="89"/>
        <v>21994.14</v>
      </c>
      <c r="Z68" s="1">
        <f t="shared" si="89"/>
        <v>18548.440000000002</v>
      </c>
      <c r="AA68" s="1">
        <f t="shared" si="89"/>
        <v>15469.780000000002</v>
      </c>
      <c r="AB68" s="1">
        <f t="shared" si="89"/>
        <v>9448.880000000001</v>
      </c>
      <c r="AC68" s="1">
        <f t="shared" si="89"/>
        <v>11360.42</v>
      </c>
      <c r="AD68" s="1">
        <f t="shared" si="89"/>
        <v>5326.1399999999994</v>
      </c>
      <c r="AE68" s="1">
        <f t="shared" si="89"/>
        <v>5423.8599999999988</v>
      </c>
      <c r="AF68" s="1">
        <f t="shared" si="89"/>
        <v>5018.2000000000007</v>
      </c>
      <c r="AG68" s="1">
        <f t="shared" si="89"/>
        <v>3929.16</v>
      </c>
      <c r="AH68" s="1">
        <f t="shared" si="89"/>
        <v>4995.8999999999996</v>
      </c>
      <c r="AI68" s="1">
        <f t="shared" si="89"/>
        <v>2153.5400000000009</v>
      </c>
      <c r="AJ68" s="1">
        <f t="shared" si="89"/>
        <v>7817.5599999999977</v>
      </c>
      <c r="AK68" s="1">
        <f t="shared" si="89"/>
        <v>3574.66</v>
      </c>
      <c r="AL68" s="1">
        <f t="shared" si="89"/>
        <v>4284.54</v>
      </c>
      <c r="AM68" s="1">
        <f t="shared" si="89"/>
        <v>1195.3200000000002</v>
      </c>
      <c r="AN68" s="1">
        <f t="shared" si="89"/>
        <v>1935.7599999999998</v>
      </c>
      <c r="AO68" s="1">
        <f t="shared" si="89"/>
        <v>562</v>
      </c>
      <c r="AP68" s="1">
        <f t="shared" si="89"/>
        <v>506.06</v>
      </c>
      <c r="AQ68" s="1">
        <f t="shared" si="89"/>
        <v>0</v>
      </c>
      <c r="AR68" s="3">
        <f t="shared" si="60"/>
        <v>525730.17999999993</v>
      </c>
      <c r="AT68" s="8">
        <f>IF(AR68=0,0,+AR68/(PassVol!AR215+PassVol!AR239))</f>
        <v>17.058085009733936</v>
      </c>
    </row>
    <row r="69" spans="1:47" s="2" customFormat="1" x14ac:dyDescent="0.25">
      <c r="B69" s="2" t="s">
        <v>489</v>
      </c>
      <c r="D69" s="3">
        <f>SUM(D50:D68)</f>
        <v>0</v>
      </c>
      <c r="E69" s="3">
        <f t="shared" ref="E69:J69" si="93">SUM(E50:E68)</f>
        <v>0</v>
      </c>
      <c r="F69" s="3">
        <f t="shared" si="93"/>
        <v>0</v>
      </c>
      <c r="G69" s="3">
        <f t="shared" si="93"/>
        <v>81506.080000000002</v>
      </c>
      <c r="H69" s="3">
        <f t="shared" si="93"/>
        <v>38519.32</v>
      </c>
      <c r="I69" s="3">
        <f t="shared" si="93"/>
        <v>7402.76</v>
      </c>
      <c r="J69" s="3">
        <f t="shared" si="93"/>
        <v>22865.599999999999</v>
      </c>
      <c r="K69" s="3">
        <f>SUM(K50:K68)</f>
        <v>55799.44</v>
      </c>
      <c r="L69" s="3">
        <f>SUM(L50:L68)</f>
        <v>56794.880000000005</v>
      </c>
      <c r="M69" s="3">
        <f t="shared" ref="M69:AR69" si="94">SUM(M50:M68)</f>
        <v>49491.28</v>
      </c>
      <c r="N69" s="3">
        <f t="shared" si="94"/>
        <v>61954.000000000015</v>
      </c>
      <c r="O69" s="3">
        <f t="shared" si="94"/>
        <v>46194.28</v>
      </c>
      <c r="P69" s="3">
        <f t="shared" si="94"/>
        <v>71421.72</v>
      </c>
      <c r="Q69" s="3">
        <f t="shared" si="94"/>
        <v>74280.840000000011</v>
      </c>
      <c r="R69" s="3">
        <f t="shared" si="94"/>
        <v>80200.28</v>
      </c>
      <c r="S69" s="3">
        <f t="shared" si="94"/>
        <v>87168</v>
      </c>
      <c r="T69" s="3">
        <f t="shared" si="94"/>
        <v>90377.48</v>
      </c>
      <c r="U69" s="3">
        <f t="shared" si="94"/>
        <v>102591.59999999999</v>
      </c>
      <c r="V69" s="3">
        <f t="shared" si="94"/>
        <v>81489.24000000002</v>
      </c>
      <c r="W69" s="3">
        <f t="shared" si="94"/>
        <v>79444.959999999992</v>
      </c>
      <c r="X69" s="3">
        <f t="shared" si="94"/>
        <v>91457.959999999992</v>
      </c>
      <c r="Y69" s="3">
        <f t="shared" si="94"/>
        <v>76264.804999999993</v>
      </c>
      <c r="Z69" s="3">
        <f t="shared" si="94"/>
        <v>44409.880000000005</v>
      </c>
      <c r="AA69" s="3">
        <f t="shared" si="94"/>
        <v>48065.279999999999</v>
      </c>
      <c r="AB69" s="3">
        <f t="shared" si="94"/>
        <v>37345.520000000004</v>
      </c>
      <c r="AC69" s="3">
        <f t="shared" si="94"/>
        <v>27898.68</v>
      </c>
      <c r="AD69" s="3">
        <f t="shared" si="94"/>
        <v>29582.599999999995</v>
      </c>
      <c r="AE69" s="3">
        <f t="shared" si="94"/>
        <v>15623.999999999998</v>
      </c>
      <c r="AF69" s="3">
        <f t="shared" si="94"/>
        <v>13263.6</v>
      </c>
      <c r="AG69" s="3">
        <f t="shared" si="94"/>
        <v>14426.36</v>
      </c>
      <c r="AH69" s="3">
        <f t="shared" si="94"/>
        <v>16944.48</v>
      </c>
      <c r="AI69" s="3">
        <f t="shared" si="94"/>
        <v>17523.080000000002</v>
      </c>
      <c r="AJ69" s="3">
        <f t="shared" si="94"/>
        <v>33606.439999999988</v>
      </c>
      <c r="AK69" s="3">
        <f t="shared" si="94"/>
        <v>15176.84</v>
      </c>
      <c r="AL69" s="3">
        <f t="shared" si="94"/>
        <v>12046.28</v>
      </c>
      <c r="AM69" s="3">
        <f t="shared" si="94"/>
        <v>7387.0400000000009</v>
      </c>
      <c r="AN69" s="3">
        <f t="shared" si="94"/>
        <v>6727.6</v>
      </c>
      <c r="AO69" s="3">
        <f t="shared" si="94"/>
        <v>2191.84</v>
      </c>
      <c r="AP69" s="3">
        <f t="shared" si="94"/>
        <v>990.28</v>
      </c>
      <c r="AQ69" s="3">
        <f t="shared" si="94"/>
        <v>0</v>
      </c>
      <c r="AR69" s="3">
        <f t="shared" si="94"/>
        <v>1598434.325</v>
      </c>
      <c r="AS69" s="3"/>
      <c r="AT69" s="9">
        <f>IF(AR69=0,0,+AR69/(PassVol!AR216+PassVol!AR240))</f>
        <v>15.890746751632882</v>
      </c>
      <c r="AU69" s="61"/>
    </row>
    <row r="70" spans="1:47" s="24" customFormat="1" x14ac:dyDescent="0.25">
      <c r="A70" s="23"/>
      <c r="B70" s="23"/>
      <c r="C70" s="27" t="s">
        <v>102</v>
      </c>
      <c r="D70" s="25">
        <f>+D69</f>
        <v>0</v>
      </c>
      <c r="E70" s="25">
        <f>+D70+E69</f>
        <v>0</v>
      </c>
      <c r="F70" s="25">
        <f t="shared" ref="F70" si="95">+E70+F69</f>
        <v>0</v>
      </c>
      <c r="G70" s="25">
        <f t="shared" ref="G70" si="96">+F70+G69</f>
        <v>81506.080000000002</v>
      </c>
      <c r="H70" s="25">
        <f t="shared" ref="H70" si="97">+G70+H69</f>
        <v>120025.4</v>
      </c>
      <c r="I70" s="25">
        <f t="shared" ref="I70" si="98">+H70+I69</f>
        <v>127428.15999999999</v>
      </c>
      <c r="J70" s="25">
        <f t="shared" ref="J70" si="99">+I70+J69</f>
        <v>150293.75999999998</v>
      </c>
      <c r="K70" s="25">
        <f t="shared" ref="K70" si="100">+J70+K69</f>
        <v>206093.19999999998</v>
      </c>
      <c r="L70" s="25">
        <f t="shared" ref="L70" si="101">+K70+L69</f>
        <v>262888.07999999996</v>
      </c>
      <c r="M70" s="25">
        <f t="shared" ref="M70" si="102">+L70+M69</f>
        <v>312379.36</v>
      </c>
      <c r="N70" s="25">
        <f t="shared" ref="N70" si="103">+M70+N69</f>
        <v>374333.36</v>
      </c>
      <c r="O70" s="25">
        <f t="shared" ref="O70" si="104">+N70+O69</f>
        <v>420527.64</v>
      </c>
      <c r="P70" s="25">
        <f t="shared" ref="P70" si="105">+O70+P69</f>
        <v>491949.36</v>
      </c>
      <c r="Q70" s="25">
        <f t="shared" ref="Q70" si="106">+P70+Q69</f>
        <v>566230.19999999995</v>
      </c>
      <c r="R70" s="25">
        <f t="shared" ref="R70" si="107">+Q70+R69</f>
        <v>646430.48</v>
      </c>
      <c r="S70" s="25">
        <f t="shared" ref="S70" si="108">+R70+S69</f>
        <v>733598.48</v>
      </c>
      <c r="T70" s="25">
        <f t="shared" ref="T70" si="109">+S70+T69</f>
        <v>823975.96</v>
      </c>
      <c r="U70" s="25">
        <f t="shared" ref="U70" si="110">+T70+U69</f>
        <v>926567.55999999994</v>
      </c>
      <c r="V70" s="25">
        <f t="shared" ref="V70" si="111">+U70+V69</f>
        <v>1008056.7999999999</v>
      </c>
      <c r="W70" s="25">
        <f t="shared" ref="W70" si="112">+V70+W69</f>
        <v>1087501.76</v>
      </c>
      <c r="X70" s="25">
        <f t="shared" ref="X70" si="113">+W70+X69</f>
        <v>1178959.72</v>
      </c>
      <c r="Y70" s="25">
        <f t="shared" ref="Y70" si="114">+X70+Y69</f>
        <v>1255224.5249999999</v>
      </c>
      <c r="Z70" s="25">
        <f t="shared" ref="Z70" si="115">+Y70+Z69</f>
        <v>1299634.4049999998</v>
      </c>
      <c r="AA70" s="25">
        <f t="shared" ref="AA70" si="116">+Z70+AA69</f>
        <v>1347699.6849999998</v>
      </c>
      <c r="AB70" s="25">
        <f t="shared" ref="AB70" si="117">+AA70+AB69</f>
        <v>1385045.2049999998</v>
      </c>
      <c r="AC70" s="25">
        <f t="shared" ref="AC70" si="118">+AB70+AC69</f>
        <v>1412943.8849999998</v>
      </c>
      <c r="AD70" s="25">
        <f t="shared" ref="AD70" si="119">+AC70+AD69</f>
        <v>1442526.4849999999</v>
      </c>
      <c r="AE70" s="25">
        <f t="shared" ref="AE70" si="120">+AD70+AE69</f>
        <v>1458150.4849999999</v>
      </c>
      <c r="AF70" s="25">
        <f t="shared" ref="AF70" si="121">+AE70+AF69</f>
        <v>1471414.085</v>
      </c>
      <c r="AG70" s="25">
        <f t="shared" ref="AG70" si="122">+AF70+AG69</f>
        <v>1485840.4450000001</v>
      </c>
      <c r="AH70" s="25">
        <f t="shared" ref="AH70" si="123">+AG70+AH69</f>
        <v>1502784.925</v>
      </c>
      <c r="AI70" s="25">
        <f t="shared" ref="AI70" si="124">+AH70+AI69</f>
        <v>1520308.0050000001</v>
      </c>
      <c r="AJ70" s="25">
        <f t="shared" ref="AJ70" si="125">+AI70+AJ69</f>
        <v>1553914.4450000001</v>
      </c>
      <c r="AK70" s="25">
        <f t="shared" ref="AK70" si="126">+AJ70+AK69</f>
        <v>1569091.2850000001</v>
      </c>
      <c r="AL70" s="25">
        <f t="shared" ref="AL70" si="127">+AK70+AL69</f>
        <v>1581137.5650000002</v>
      </c>
      <c r="AM70" s="25">
        <f t="shared" ref="AM70" si="128">+AL70+AM69</f>
        <v>1588524.6050000002</v>
      </c>
      <c r="AN70" s="25">
        <f t="shared" ref="AN70" si="129">+AM70+AN69</f>
        <v>1595252.2050000003</v>
      </c>
      <c r="AO70" s="25">
        <f t="shared" ref="AO70" si="130">+AN70+AO69</f>
        <v>1597444.0450000004</v>
      </c>
      <c r="AP70" s="25">
        <f t="shared" ref="AP70" si="131">+AO70+AP69</f>
        <v>1598434.3250000004</v>
      </c>
      <c r="AQ70" s="25">
        <f t="shared" ref="AQ70" si="132">+AP70+AQ69</f>
        <v>1598434.3250000004</v>
      </c>
      <c r="AR70" s="49"/>
      <c r="AS70" s="25"/>
      <c r="AT70" s="26"/>
      <c r="AU70" s="60"/>
    </row>
    <row r="71" spans="1:47" s="24" customFormat="1" x14ac:dyDescent="0.25">
      <c r="A71" s="23"/>
      <c r="B71" s="23"/>
      <c r="C71" s="38" t="s">
        <v>762</v>
      </c>
      <c r="D71" s="148">
        <f>IF(D68=0,0,D68/D69)</f>
        <v>0</v>
      </c>
      <c r="E71" s="148">
        <f t="shared" ref="E71:AQ71" si="133">IF(E68=0,0,E68/E69)</f>
        <v>0</v>
      </c>
      <c r="F71" s="148">
        <f t="shared" si="133"/>
        <v>0</v>
      </c>
      <c r="G71" s="148">
        <f t="shared" si="133"/>
        <v>6.7231794241607537E-2</v>
      </c>
      <c r="H71" s="148">
        <f t="shared" si="133"/>
        <v>0.32795906054416329</v>
      </c>
      <c r="I71" s="148">
        <f t="shared" si="133"/>
        <v>0.47472834456337909</v>
      </c>
      <c r="J71" s="148">
        <f t="shared" si="133"/>
        <v>0.17795115807151352</v>
      </c>
      <c r="K71" s="148">
        <f t="shared" si="133"/>
        <v>9.9080564249390296E-2</v>
      </c>
      <c r="L71" s="148">
        <f t="shared" si="133"/>
        <v>0.2809122935025129</v>
      </c>
      <c r="M71" s="148">
        <f t="shared" si="133"/>
        <v>0.28917821482895573</v>
      </c>
      <c r="N71" s="148">
        <f t="shared" si="133"/>
        <v>0.2789653613971656</v>
      </c>
      <c r="O71" s="148">
        <f t="shared" si="133"/>
        <v>0.42810884810846711</v>
      </c>
      <c r="P71" s="148">
        <f t="shared" si="133"/>
        <v>0.43872592259049487</v>
      </c>
      <c r="Q71" s="148">
        <f t="shared" si="133"/>
        <v>0.38452230750217681</v>
      </c>
      <c r="R71" s="148">
        <f t="shared" si="133"/>
        <v>0.40483250183166442</v>
      </c>
      <c r="S71" s="148">
        <f t="shared" si="133"/>
        <v>0.46123370961820853</v>
      </c>
      <c r="T71" s="148">
        <f t="shared" si="133"/>
        <v>0.37307192012877544</v>
      </c>
      <c r="U71" s="148">
        <f t="shared" si="133"/>
        <v>0.41382003984731697</v>
      </c>
      <c r="V71" s="148">
        <f t="shared" si="133"/>
        <v>0.35703265854485822</v>
      </c>
      <c r="W71" s="148">
        <f t="shared" si="133"/>
        <v>0.4517338796570608</v>
      </c>
      <c r="X71" s="148">
        <f t="shared" si="133"/>
        <v>0.3270597769729392</v>
      </c>
      <c r="Y71" s="148">
        <f t="shared" si="133"/>
        <v>0.2883917424295519</v>
      </c>
      <c r="Z71" s="148">
        <f t="shared" si="133"/>
        <v>0.41766471785107279</v>
      </c>
      <c r="AA71" s="148">
        <f t="shared" si="133"/>
        <v>0.32184936819259147</v>
      </c>
      <c r="AB71" s="148">
        <f t="shared" si="133"/>
        <v>0.2530124095206065</v>
      </c>
      <c r="AC71" s="148">
        <f t="shared" si="133"/>
        <v>0.4072027780525817</v>
      </c>
      <c r="AD71" s="148">
        <f t="shared" si="133"/>
        <v>0.18004299824897069</v>
      </c>
      <c r="AE71" s="148">
        <f t="shared" si="133"/>
        <v>0.34714925755248333</v>
      </c>
      <c r="AF71" s="148">
        <f t="shared" si="133"/>
        <v>0.37834373774842428</v>
      </c>
      <c r="AG71" s="148">
        <f t="shared" si="133"/>
        <v>0.27235976365486508</v>
      </c>
      <c r="AH71" s="148">
        <f t="shared" si="133"/>
        <v>0.29483938132064247</v>
      </c>
      <c r="AI71" s="148">
        <f t="shared" si="133"/>
        <v>0.12289734453075604</v>
      </c>
      <c r="AJ71" s="148">
        <f t="shared" si="133"/>
        <v>0.23262089051979323</v>
      </c>
      <c r="AK71" s="148">
        <f t="shared" si="133"/>
        <v>0.23553387925286159</v>
      </c>
      <c r="AL71" s="148">
        <f t="shared" si="133"/>
        <v>0.35567328669099502</v>
      </c>
      <c r="AM71" s="148">
        <f t="shared" si="133"/>
        <v>0.1618131213584873</v>
      </c>
      <c r="AN71" s="148">
        <f t="shared" si="133"/>
        <v>0.28773411023247514</v>
      </c>
      <c r="AO71" s="148">
        <f t="shared" si="133"/>
        <v>0.25640557704941963</v>
      </c>
      <c r="AP71" s="148">
        <f t="shared" si="133"/>
        <v>0.51102718423072269</v>
      </c>
      <c r="AQ71" s="148">
        <f t="shared" si="133"/>
        <v>0</v>
      </c>
      <c r="AR71" s="148">
        <f>IF(AR68=0,0,AR68/AR69)</f>
        <v>0.32890320970803721</v>
      </c>
      <c r="AS71" s="25"/>
      <c r="AT71" s="26"/>
      <c r="AU71" s="60"/>
    </row>
    <row r="72" spans="1:47" x14ac:dyDescent="0.25">
      <c r="B72" s="2" t="s">
        <v>534</v>
      </c>
    </row>
    <row r="73" spans="1:47" x14ac:dyDescent="0.25">
      <c r="C73" t="s">
        <v>190</v>
      </c>
      <c r="D73" s="1">
        <f>+BD!D136</f>
        <v>0</v>
      </c>
      <c r="E73" s="1">
        <f>+BD!E136</f>
        <v>0</v>
      </c>
      <c r="F73" s="1">
        <f>+BD!F136</f>
        <v>0</v>
      </c>
      <c r="G73" s="1">
        <f>+BD!G136</f>
        <v>0</v>
      </c>
      <c r="H73" s="1">
        <f>+BD!H136</f>
        <v>-58.67</v>
      </c>
      <c r="I73" s="1">
        <f>+BD!I136</f>
        <v>0</v>
      </c>
      <c r="J73" s="1">
        <f>+BD!J136</f>
        <v>-48.760000000000005</v>
      </c>
      <c r="K73" s="1">
        <f>+BD!K136</f>
        <v>-44.72</v>
      </c>
      <c r="L73" s="1">
        <f>+BD!L136</f>
        <v>-117.16</v>
      </c>
      <c r="M73" s="1">
        <f>+BD!M136</f>
        <v>-51.300000000000004</v>
      </c>
      <c r="N73" s="1">
        <f>+BD!N136</f>
        <v>0</v>
      </c>
      <c r="O73" s="1">
        <f>+BD!O136</f>
        <v>-44.96</v>
      </c>
      <c r="P73" s="1">
        <f>+BD!P136</f>
        <v>-5.7</v>
      </c>
      <c r="Q73" s="1">
        <f>+BD!Q136</f>
        <v>-126.62</v>
      </c>
      <c r="R73" s="1">
        <f>+BD!R136</f>
        <v>-116.48</v>
      </c>
      <c r="S73" s="1">
        <f>+BD!S136</f>
        <v>-312.64</v>
      </c>
      <c r="T73" s="1">
        <f>+BD!T136</f>
        <v>-226.04000000000002</v>
      </c>
      <c r="U73" s="1">
        <f>+BD!U136</f>
        <v>-151.36000000000001</v>
      </c>
      <c r="V73" s="1">
        <f>+BD!V136</f>
        <v>-35.15</v>
      </c>
      <c r="W73" s="1">
        <f>+BD!W136</f>
        <v>-70.92</v>
      </c>
      <c r="X73" s="1">
        <f>+BD!X136</f>
        <v>-34.200000000000003</v>
      </c>
      <c r="Y73" s="1">
        <f>+BD!Y136</f>
        <v>-236.06000000000003</v>
      </c>
      <c r="Z73" s="1">
        <f>+BD!Z136</f>
        <v>-34.200000000000003</v>
      </c>
      <c r="AA73" s="1">
        <f>+BD!AA136</f>
        <v>-863.5200000000001</v>
      </c>
      <c r="AB73" s="1">
        <f>+BD!AB136</f>
        <v>-68.400000000000006</v>
      </c>
      <c r="AC73" s="1">
        <f>+BD!AC136</f>
        <v>0</v>
      </c>
      <c r="AD73" s="1">
        <f>+BD!AD136</f>
        <v>-15.2</v>
      </c>
      <c r="AE73" s="1">
        <f>+BD!AE136</f>
        <v>-34.200000000000003</v>
      </c>
      <c r="AF73" s="1">
        <f>+BD!AF136</f>
        <v>-135.11000000000001</v>
      </c>
      <c r="AG73" s="1">
        <f>+BD!AG136</f>
        <v>-153.22000000000003</v>
      </c>
      <c r="AH73" s="1">
        <f>+BD!AH136</f>
        <v>-895.95999999999981</v>
      </c>
      <c r="AI73" s="1">
        <f>+BD!AI136</f>
        <v>-48.760000000000005</v>
      </c>
      <c r="AJ73" s="1">
        <f>+BD!AJ136</f>
        <v>-1.75</v>
      </c>
      <c r="AK73" s="1">
        <f>+BD!AK136</f>
        <v>-91.32</v>
      </c>
      <c r="AL73" s="1">
        <f>+BD!AL136</f>
        <v>-77.900000000000006</v>
      </c>
      <c r="AM73" s="1">
        <f>+BD!AM136</f>
        <v>-60.78</v>
      </c>
      <c r="AN73" s="1">
        <f>+BD!AN136</f>
        <v>-42.3</v>
      </c>
      <c r="AO73" s="1">
        <f>+BD!AO136</f>
        <v>0</v>
      </c>
      <c r="AP73" s="1">
        <f>+BD!AP136</f>
        <v>0</v>
      </c>
      <c r="AQ73" s="1">
        <f>+BD!AQ136</f>
        <v>0</v>
      </c>
      <c r="AR73" s="3">
        <f t="shared" ref="AR73:AR92" si="134">SUM(D73:AQ73)</f>
        <v>-4203.3600000000006</v>
      </c>
    </row>
    <row r="74" spans="1:47" x14ac:dyDescent="0.25">
      <c r="C74" t="s">
        <v>424</v>
      </c>
      <c r="D74" s="1">
        <f>+Choice!D133</f>
        <v>0</v>
      </c>
      <c r="E74" s="1">
        <f>+Choice!E133</f>
        <v>0</v>
      </c>
      <c r="F74" s="1">
        <f>+Choice!F133</f>
        <v>0</v>
      </c>
      <c r="G74" s="1">
        <f>+Choice!G133</f>
        <v>0</v>
      </c>
      <c r="H74" s="1">
        <f>+Choice!H133</f>
        <v>0</v>
      </c>
      <c r="I74" s="1">
        <f>+Choice!I133</f>
        <v>0</v>
      </c>
      <c r="J74" s="1">
        <f>+Choice!J133</f>
        <v>0</v>
      </c>
      <c r="K74" s="1">
        <f>+Choice!K133</f>
        <v>0</v>
      </c>
      <c r="L74" s="1">
        <f>+Choice!L133</f>
        <v>0</v>
      </c>
      <c r="M74" s="1">
        <f>+Choice!M133</f>
        <v>0</v>
      </c>
      <c r="N74" s="1">
        <f>+Choice!N133</f>
        <v>0</v>
      </c>
      <c r="O74" s="1">
        <f>+Choice!O133</f>
        <v>0</v>
      </c>
      <c r="P74" s="1">
        <f>+Choice!P133</f>
        <v>-15.6</v>
      </c>
      <c r="Q74" s="1">
        <f>+Choice!Q133</f>
        <v>-89.08</v>
      </c>
      <c r="R74" s="1">
        <f>+Choice!R133</f>
        <v>0</v>
      </c>
      <c r="S74" s="1">
        <f>+Choice!S133</f>
        <v>0</v>
      </c>
      <c r="T74" s="1">
        <f>+Choice!T133</f>
        <v>-49.599999999999994</v>
      </c>
      <c r="U74" s="1">
        <f>+Choice!U133</f>
        <v>-90.32</v>
      </c>
      <c r="V74" s="1">
        <f>+Choice!V133</f>
        <v>-18.72</v>
      </c>
      <c r="W74" s="1">
        <f>+Choice!W133</f>
        <v>-30.88</v>
      </c>
      <c r="X74" s="1">
        <f>+Choice!X133</f>
        <v>-85.84</v>
      </c>
      <c r="Y74" s="1">
        <f>+Choice!Y133</f>
        <v>-52.42</v>
      </c>
      <c r="Z74" s="1">
        <f>+Choice!Z133</f>
        <v>0</v>
      </c>
      <c r="AA74" s="1">
        <f>+Choice!AA133</f>
        <v>0</v>
      </c>
      <c r="AB74" s="1">
        <f>+Choice!AB133</f>
        <v>0</v>
      </c>
      <c r="AC74" s="1">
        <f>+Choice!AC133</f>
        <v>0</v>
      </c>
      <c r="AD74" s="1">
        <f>+Choice!AD133</f>
        <v>0</v>
      </c>
      <c r="AE74" s="1">
        <f>+Choice!AE133</f>
        <v>0</v>
      </c>
      <c r="AF74" s="1">
        <f>+Choice!AF133</f>
        <v>0</v>
      </c>
      <c r="AG74" s="1">
        <f>+Choice!AG133</f>
        <v>0</v>
      </c>
      <c r="AH74" s="1">
        <f>+Choice!AH133</f>
        <v>0</v>
      </c>
      <c r="AI74" s="1">
        <f>+Choice!AI133</f>
        <v>0</v>
      </c>
      <c r="AJ74" s="1">
        <f>+Choice!AJ133</f>
        <v>0</v>
      </c>
      <c r="AK74" s="1">
        <f>+Choice!AK133</f>
        <v>0</v>
      </c>
      <c r="AL74" s="1">
        <f>+Choice!AL133</f>
        <v>0</v>
      </c>
      <c r="AM74" s="1">
        <f>+Choice!AM133</f>
        <v>0</v>
      </c>
      <c r="AN74" s="1">
        <f>+Choice!AN133</f>
        <v>0</v>
      </c>
      <c r="AO74" s="1">
        <f>+Choice!AO133</f>
        <v>0</v>
      </c>
      <c r="AP74" s="1">
        <f>+Choice!AP133</f>
        <v>0</v>
      </c>
      <c r="AQ74" s="1">
        <f>+Choice!AQ133</f>
        <v>0</v>
      </c>
      <c r="AR74" s="3">
        <f t="shared" si="134"/>
        <v>-432.46</v>
      </c>
    </row>
    <row r="75" spans="1:47" x14ac:dyDescent="0.25">
      <c r="C75" t="s">
        <v>347</v>
      </c>
      <c r="D75" s="1">
        <f>+Prosper!D49</f>
        <v>0</v>
      </c>
      <c r="E75" s="1">
        <f>+Prosper!E49</f>
        <v>0</v>
      </c>
      <c r="F75" s="1">
        <f>+Prosper!F49</f>
        <v>0</v>
      </c>
      <c r="G75" s="1">
        <f>+Prosper!G49</f>
        <v>0</v>
      </c>
      <c r="H75" s="1">
        <f>+Prosper!H49</f>
        <v>0</v>
      </c>
      <c r="I75" s="1">
        <f>+Prosper!I49</f>
        <v>0</v>
      </c>
      <c r="J75" s="1">
        <f>+Prosper!J49</f>
        <v>0</v>
      </c>
      <c r="K75" s="1">
        <f>+Prosper!K49</f>
        <v>0</v>
      </c>
      <c r="L75" s="1">
        <f>+Prosper!L49</f>
        <v>0</v>
      </c>
      <c r="M75" s="1">
        <f>+Prosper!M49</f>
        <v>0</v>
      </c>
      <c r="N75" s="1">
        <f>+Prosper!N49</f>
        <v>0</v>
      </c>
      <c r="O75" s="1">
        <f>+Prosper!O49</f>
        <v>0</v>
      </c>
      <c r="P75" s="1">
        <f>+Prosper!P49</f>
        <v>-46.32</v>
      </c>
      <c r="Q75" s="1">
        <f>+Prosper!Q49</f>
        <v>0</v>
      </c>
      <c r="R75" s="1">
        <f>+Prosper!R49</f>
        <v>0</v>
      </c>
      <c r="S75" s="1">
        <f>+Prosper!S49</f>
        <v>-46.32</v>
      </c>
      <c r="T75" s="1">
        <f>+Prosper!T49</f>
        <v>0</v>
      </c>
      <c r="U75" s="1">
        <f>+Prosper!U49</f>
        <v>0</v>
      </c>
      <c r="V75" s="1">
        <f>+Prosper!V49</f>
        <v>0</v>
      </c>
      <c r="W75" s="1">
        <f>+Prosper!W49</f>
        <v>0</v>
      </c>
      <c r="X75" s="1">
        <f>+Prosper!X49</f>
        <v>0</v>
      </c>
      <c r="Y75" s="1">
        <f>+Prosper!Y49</f>
        <v>0</v>
      </c>
      <c r="Z75" s="1">
        <f>+Prosper!Z49</f>
        <v>0</v>
      </c>
      <c r="AA75" s="1">
        <f>+Prosper!AA49</f>
        <v>0</v>
      </c>
      <c r="AB75" s="1">
        <f>+Prosper!AB49</f>
        <v>0</v>
      </c>
      <c r="AC75" s="1">
        <f>+Prosper!AC49</f>
        <v>0</v>
      </c>
      <c r="AD75" s="1">
        <f>+Prosper!AD49</f>
        <v>0</v>
      </c>
      <c r="AE75" s="1">
        <f>+Prosper!AE49</f>
        <v>0</v>
      </c>
      <c r="AF75" s="1">
        <f>+Prosper!AF49</f>
        <v>0</v>
      </c>
      <c r="AG75" s="1">
        <f>+Prosper!AG49</f>
        <v>0</v>
      </c>
      <c r="AH75" s="1">
        <f>+Prosper!AH49</f>
        <v>0</v>
      </c>
      <c r="AI75" s="1">
        <f>+Prosper!AI49</f>
        <v>0</v>
      </c>
      <c r="AJ75" s="1">
        <f>+Prosper!AJ49</f>
        <v>0</v>
      </c>
      <c r="AK75" s="1">
        <f>+Prosper!AK49</f>
        <v>0</v>
      </c>
      <c r="AL75" s="1">
        <f>+Prosper!AL49</f>
        <v>0</v>
      </c>
      <c r="AM75" s="1">
        <f>+Prosper!AM49</f>
        <v>0</v>
      </c>
      <c r="AN75" s="1">
        <f>+Prosper!AN49</f>
        <v>0</v>
      </c>
      <c r="AO75" s="1">
        <f>+Prosper!AO49</f>
        <v>0</v>
      </c>
      <c r="AP75" s="1">
        <f>+Prosper!AP49</f>
        <v>0</v>
      </c>
      <c r="AQ75" s="1">
        <f>+Prosper!AQ49</f>
        <v>0</v>
      </c>
      <c r="AR75" s="3">
        <f t="shared" si="134"/>
        <v>-92.64</v>
      </c>
    </row>
    <row r="76" spans="1:47" x14ac:dyDescent="0.25">
      <c r="C76" t="s">
        <v>0</v>
      </c>
      <c r="X76" s="1">
        <v>-3000</v>
      </c>
      <c r="AB76" s="1">
        <f>-716.68-493.08</f>
        <v>-1209.76</v>
      </c>
      <c r="AC76" s="1">
        <f>-85.28-15.12</f>
        <v>-100.4</v>
      </c>
      <c r="AH76" s="1">
        <f>-262.4-15.12</f>
        <v>-277.52</v>
      </c>
      <c r="AR76" s="3">
        <f t="shared" si="134"/>
        <v>-4587.68</v>
      </c>
    </row>
    <row r="77" spans="1:47" x14ac:dyDescent="0.25">
      <c r="C77" t="s">
        <v>354</v>
      </c>
      <c r="D77" s="1">
        <f>+Grovewell!D49</f>
        <v>0</v>
      </c>
      <c r="E77" s="1">
        <f>+Grovewell!E49</f>
        <v>0</v>
      </c>
      <c r="F77" s="1">
        <f>+Grovewell!F49</f>
        <v>0</v>
      </c>
      <c r="G77" s="1">
        <f>+Grovewell!G49</f>
        <v>0</v>
      </c>
      <c r="H77" s="1">
        <f>+Grovewell!H49</f>
        <v>0</v>
      </c>
      <c r="I77" s="1">
        <f>+Grovewell!I49</f>
        <v>0</v>
      </c>
      <c r="J77" s="1">
        <f>+Grovewell!J49</f>
        <v>0</v>
      </c>
      <c r="K77" s="1">
        <f>+Grovewell!K49</f>
        <v>0</v>
      </c>
      <c r="L77" s="1">
        <f>+Grovewell!L49</f>
        <v>0</v>
      </c>
      <c r="M77" s="1">
        <f>+Grovewell!M49</f>
        <v>0</v>
      </c>
      <c r="N77" s="1">
        <f>+Grovewell!N49</f>
        <v>0</v>
      </c>
      <c r="O77" s="1">
        <f>+Grovewell!O49</f>
        <v>0</v>
      </c>
      <c r="P77" s="1">
        <f>+Grovewell!P49</f>
        <v>0</v>
      </c>
      <c r="Q77" s="1">
        <f>+Grovewell!Q49</f>
        <v>0</v>
      </c>
      <c r="R77" s="1">
        <f>+Grovewell!R49</f>
        <v>0</v>
      </c>
      <c r="S77" s="1">
        <f>+Grovewell!S49</f>
        <v>0</v>
      </c>
      <c r="T77" s="1">
        <f>+Grovewell!T49</f>
        <v>0</v>
      </c>
      <c r="U77" s="1">
        <f>+Grovewell!U49</f>
        <v>0</v>
      </c>
      <c r="V77" s="1">
        <f>+Grovewell!V49</f>
        <v>-1.04</v>
      </c>
      <c r="W77" s="1">
        <f>+Grovewell!W49</f>
        <v>0</v>
      </c>
      <c r="X77" s="1">
        <f>+Grovewell!X49</f>
        <v>0</v>
      </c>
      <c r="Y77" s="1">
        <f>+Grovewell!Y49</f>
        <v>0</v>
      </c>
      <c r="Z77" s="1">
        <f>+Grovewell!Z49</f>
        <v>0</v>
      </c>
      <c r="AA77" s="1">
        <f>+Grovewell!AA49</f>
        <v>0</v>
      </c>
      <c r="AB77" s="1">
        <f>+Grovewell!AB49</f>
        <v>0</v>
      </c>
      <c r="AC77" s="1">
        <f>+Grovewell!AC49</f>
        <v>0</v>
      </c>
      <c r="AD77" s="1">
        <f>+Grovewell!AD49</f>
        <v>0</v>
      </c>
      <c r="AE77" s="1">
        <f>+Grovewell!AE49</f>
        <v>0</v>
      </c>
      <c r="AF77" s="1">
        <f>+Grovewell!AF49</f>
        <v>0</v>
      </c>
      <c r="AG77" s="1">
        <f>+Grovewell!AG49</f>
        <v>0</v>
      </c>
      <c r="AH77" s="1">
        <f>+Grovewell!AH49</f>
        <v>0</v>
      </c>
      <c r="AI77" s="1">
        <f>+Grovewell!AI49</f>
        <v>0</v>
      </c>
      <c r="AJ77" s="1">
        <f>+Grovewell!AJ49</f>
        <v>0</v>
      </c>
      <c r="AK77" s="1">
        <f>+Grovewell!AK49</f>
        <v>0</v>
      </c>
      <c r="AL77" s="1">
        <f>+Grovewell!AL49</f>
        <v>0</v>
      </c>
      <c r="AM77" s="1">
        <f>+Grovewell!AM49</f>
        <v>0</v>
      </c>
      <c r="AN77" s="1">
        <f>+Grovewell!AN49</f>
        <v>0</v>
      </c>
      <c r="AO77" s="1">
        <f>+Grovewell!AO49</f>
        <v>0</v>
      </c>
      <c r="AP77" s="1">
        <f>+Grovewell!AP49</f>
        <v>0</v>
      </c>
      <c r="AQ77" s="1">
        <f>+Grovewell!AQ49</f>
        <v>0</v>
      </c>
      <c r="AR77" s="3">
        <f t="shared" si="134"/>
        <v>-1.04</v>
      </c>
    </row>
    <row r="78" spans="1:47" x14ac:dyDescent="0.25">
      <c r="C78" t="s">
        <v>265</v>
      </c>
      <c r="J78" s="1">
        <v>-16.2</v>
      </c>
      <c r="N78" s="1">
        <v>-58.56</v>
      </c>
      <c r="O78" s="1">
        <v>-53.46</v>
      </c>
      <c r="P78" s="1">
        <v>-124.74</v>
      </c>
      <c r="Q78" s="1">
        <v>-17.82</v>
      </c>
      <c r="S78" s="1">
        <v>-36.54</v>
      </c>
      <c r="T78" s="1">
        <f>-106.92-117.12</f>
        <v>-224.04000000000002</v>
      </c>
      <c r="U78" s="1">
        <f>-14.64-47.52</f>
        <v>-62.160000000000004</v>
      </c>
      <c r="V78" s="1">
        <f>-58.56-53.46</f>
        <v>-112.02000000000001</v>
      </c>
      <c r="W78" s="1">
        <f>-43.92-35.64</f>
        <v>-79.56</v>
      </c>
      <c r="X78" s="1">
        <f>-29.28-35.64</f>
        <v>-64.92</v>
      </c>
      <c r="Y78" s="1">
        <f>-29.28-89.1</f>
        <v>-118.38</v>
      </c>
      <c r="Z78" s="1">
        <f>-102.48-35.64</f>
        <v>-138.12</v>
      </c>
      <c r="AA78" s="1">
        <v>-50.28</v>
      </c>
      <c r="AB78" s="1">
        <v>-17.82</v>
      </c>
      <c r="AH78" s="1">
        <v>-14.64</v>
      </c>
      <c r="AR78" s="3">
        <f t="shared" si="134"/>
        <v>-1189.26</v>
      </c>
    </row>
    <row r="79" spans="1:47" x14ac:dyDescent="0.25">
      <c r="C79" t="s">
        <v>191</v>
      </c>
      <c r="I79" s="1">
        <v>-79.790000000000006</v>
      </c>
      <c r="O79" s="1">
        <f>-14.96-36.36</f>
        <v>-51.32</v>
      </c>
      <c r="R79" s="1">
        <v>-28.05</v>
      </c>
      <c r="S79" s="1">
        <v>-74.8</v>
      </c>
      <c r="U79" s="1">
        <v>-29.92</v>
      </c>
      <c r="AA79" s="1">
        <v>-14.96</v>
      </c>
      <c r="AC79" s="1">
        <v>-89.76</v>
      </c>
      <c r="AE79" s="1">
        <v>-38.380000000000003</v>
      </c>
      <c r="AR79" s="3">
        <f t="shared" si="134"/>
        <v>-406.98</v>
      </c>
    </row>
    <row r="80" spans="1:47" x14ac:dyDescent="0.25">
      <c r="C80" t="s">
        <v>549</v>
      </c>
      <c r="AR80" s="3">
        <f t="shared" si="134"/>
        <v>0</v>
      </c>
    </row>
    <row r="81" spans="1:47" x14ac:dyDescent="0.25">
      <c r="C81" t="s">
        <v>550</v>
      </c>
      <c r="D81" s="1">
        <f>+BGC!D193</f>
        <v>0</v>
      </c>
      <c r="E81" s="1">
        <f>+BGC!E193</f>
        <v>0</v>
      </c>
      <c r="F81" s="1">
        <f>+BGC!F193</f>
        <v>0</v>
      </c>
      <c r="G81" s="1">
        <f>+BGC!G193</f>
        <v>0</v>
      </c>
      <c r="H81" s="1">
        <f>+BGC!H193</f>
        <v>0</v>
      </c>
      <c r="I81" s="1">
        <f>+BGC!I193</f>
        <v>0</v>
      </c>
      <c r="J81" s="1">
        <f>+BGC!J193</f>
        <v>0</v>
      </c>
      <c r="K81" s="1">
        <f>+BGC!K193</f>
        <v>0</v>
      </c>
      <c r="L81" s="1">
        <f>+BGC!L193</f>
        <v>0</v>
      </c>
      <c r="M81" s="1">
        <f>+BGC!M193</f>
        <v>0</v>
      </c>
      <c r="N81" s="1">
        <f>+BGC!N193</f>
        <v>0</v>
      </c>
      <c r="O81" s="1">
        <f>+BGC!O193</f>
        <v>0</v>
      </c>
      <c r="P81" s="1">
        <f>+BGC!P193</f>
        <v>-18.72</v>
      </c>
      <c r="Q81" s="1">
        <f>+BGC!Q193</f>
        <v>0</v>
      </c>
      <c r="R81" s="1">
        <f>+BGC!R193</f>
        <v>0</v>
      </c>
      <c r="S81" s="1">
        <f>+BGC!S193</f>
        <v>0</v>
      </c>
      <c r="T81" s="1">
        <f>+BGC!T193</f>
        <v>0</v>
      </c>
      <c r="U81" s="1">
        <f>+BGC!U193</f>
        <v>0</v>
      </c>
      <c r="V81" s="1">
        <f>+BGC!V193</f>
        <v>-18.72</v>
      </c>
      <c r="W81" s="1">
        <f>+BGC!W193</f>
        <v>-37.44</v>
      </c>
      <c r="X81" s="1">
        <f>+BGC!X193</f>
        <v>-18.72</v>
      </c>
      <c r="Y81" s="1">
        <f>+BGC!Y193</f>
        <v>0</v>
      </c>
      <c r="Z81" s="1">
        <f>+BGC!Z193</f>
        <v>-133.36000000000001</v>
      </c>
      <c r="AA81" s="1">
        <f>+BGC!AA193</f>
        <v>-19</v>
      </c>
      <c r="AB81" s="1">
        <f>+BGC!AB193</f>
        <v>0</v>
      </c>
      <c r="AC81" s="1">
        <f>+BGC!AC193</f>
        <v>-18.72</v>
      </c>
      <c r="AD81" s="1">
        <f>+BGC!AD193</f>
        <v>-18.72</v>
      </c>
      <c r="AE81" s="1">
        <f>+BGC!AE193</f>
        <v>0</v>
      </c>
      <c r="AF81" s="1">
        <f>+BGC!AF193</f>
        <v>0</v>
      </c>
      <c r="AG81" s="1">
        <f>+BGC!AG193</f>
        <v>-30.88</v>
      </c>
      <c r="AH81" s="1">
        <f>+BGC!AH193</f>
        <v>-15.44</v>
      </c>
      <c r="AI81" s="1">
        <f>+BGC!AI193</f>
        <v>-80.47999999999999</v>
      </c>
      <c r="AJ81" s="1">
        <f>+BGC!AJ193</f>
        <v>0</v>
      </c>
      <c r="AK81" s="1">
        <f>+BGC!AK193</f>
        <v>-15.44</v>
      </c>
      <c r="AL81" s="1">
        <f>+BGC!AL193</f>
        <v>0</v>
      </c>
      <c r="AM81" s="1">
        <f>+BGC!AM193</f>
        <v>0</v>
      </c>
      <c r="AN81" s="1">
        <f>+BGC!AN193</f>
        <v>0</v>
      </c>
      <c r="AO81" s="1">
        <f>+BGC!AO193</f>
        <v>-15.44</v>
      </c>
      <c r="AP81" s="1">
        <f>+BGC!AP193</f>
        <v>0</v>
      </c>
      <c r="AQ81" s="1">
        <f>+BGC!AQ193</f>
        <v>-154.4</v>
      </c>
      <c r="AR81" s="3">
        <f t="shared" si="134"/>
        <v>-595.4799999999999</v>
      </c>
    </row>
    <row r="82" spans="1:47" x14ac:dyDescent="0.25">
      <c r="C82" t="s">
        <v>6</v>
      </c>
      <c r="AR82" s="3">
        <f t="shared" si="134"/>
        <v>0</v>
      </c>
      <c r="AS82" s="58"/>
    </row>
    <row r="83" spans="1:47" x14ac:dyDescent="0.25">
      <c r="C83" t="s">
        <v>262</v>
      </c>
      <c r="AR83" s="3">
        <f t="shared" si="134"/>
        <v>0</v>
      </c>
    </row>
    <row r="84" spans="1:47" x14ac:dyDescent="0.25">
      <c r="C84" t="s">
        <v>42</v>
      </c>
      <c r="P84" s="1">
        <v>-36.36</v>
      </c>
      <c r="T84" s="1">
        <f>-29.12-18.18</f>
        <v>-47.3</v>
      </c>
      <c r="U84" s="1">
        <f>-14.56-54.54</f>
        <v>-69.099999999999994</v>
      </c>
      <c r="W84" s="1">
        <v>-29.12</v>
      </c>
      <c r="AH84" s="1">
        <v>-14.56</v>
      </c>
      <c r="AR84" s="3">
        <f t="shared" si="134"/>
        <v>-196.44</v>
      </c>
    </row>
    <row r="85" spans="1:47" x14ac:dyDescent="0.25">
      <c r="C85" t="s">
        <v>192</v>
      </c>
      <c r="I85" s="1">
        <v>-14.64</v>
      </c>
      <c r="S85" s="1">
        <v>-29.28</v>
      </c>
      <c r="T85" s="1">
        <v>-87.84</v>
      </c>
      <c r="U85" s="1">
        <f>-102.48-160.38</f>
        <v>-262.86</v>
      </c>
      <c r="X85" s="1">
        <f>-73.2-17.82</f>
        <v>-91.02000000000001</v>
      </c>
      <c r="AC85" s="1">
        <v>-14.64</v>
      </c>
      <c r="AD85" s="1">
        <v>-14.64</v>
      </c>
      <c r="AI85" s="1">
        <v>-14.64</v>
      </c>
      <c r="AR85" s="3">
        <f t="shared" si="134"/>
        <v>-529.55999999999995</v>
      </c>
    </row>
    <row r="86" spans="1:47" x14ac:dyDescent="0.25">
      <c r="C86" t="s">
        <v>133</v>
      </c>
      <c r="U86" s="1">
        <v>-18.72</v>
      </c>
      <c r="AR86" s="3">
        <f t="shared" si="134"/>
        <v>-18.72</v>
      </c>
    </row>
    <row r="87" spans="1:47" x14ac:dyDescent="0.25">
      <c r="C87" t="s">
        <v>41</v>
      </c>
      <c r="D87" s="1">
        <f>+Till!D70</f>
        <v>0</v>
      </c>
      <c r="E87" s="1">
        <f>+Till!E70</f>
        <v>0</v>
      </c>
      <c r="F87" s="1">
        <f>+Till!F70</f>
        <v>0</v>
      </c>
      <c r="G87" s="1">
        <f>+Till!G70</f>
        <v>0</v>
      </c>
      <c r="H87" s="1">
        <f>+Till!H70</f>
        <v>0</v>
      </c>
      <c r="I87" s="1">
        <f>+Till!I70</f>
        <v>0</v>
      </c>
      <c r="J87" s="1">
        <f>+Till!J70</f>
        <v>-15.44</v>
      </c>
      <c r="K87" s="1">
        <f>+Till!K70</f>
        <v>0</v>
      </c>
      <c r="L87" s="1">
        <f>+Till!L70</f>
        <v>0</v>
      </c>
      <c r="M87" s="1">
        <f>+Till!M70</f>
        <v>0</v>
      </c>
      <c r="N87" s="1">
        <f>+Till!N70</f>
        <v>-30.88</v>
      </c>
      <c r="O87" s="1">
        <f>+Till!O70</f>
        <v>-30.88</v>
      </c>
      <c r="P87" s="1">
        <f>+Till!P70</f>
        <v>0</v>
      </c>
      <c r="Q87" s="1">
        <f>+Till!Q70</f>
        <v>-56.16</v>
      </c>
      <c r="R87" s="1">
        <f>+Till!R70</f>
        <v>-50.18</v>
      </c>
      <c r="S87" s="1">
        <f>+Till!S70</f>
        <v>-292</v>
      </c>
      <c r="T87" s="1">
        <f>+Till!T70</f>
        <v>-83.759999999999991</v>
      </c>
      <c r="U87" s="1">
        <f>+Till!U70</f>
        <v>-389.59999999999997</v>
      </c>
      <c r="V87" s="1">
        <f>+Till!V70</f>
        <v>-29.25</v>
      </c>
      <c r="W87" s="1">
        <f>+Till!W70</f>
        <v>-182.95999999999998</v>
      </c>
      <c r="X87" s="1">
        <f>+Till!X70</f>
        <v>-15.44</v>
      </c>
      <c r="Y87" s="1">
        <f>+Till!Y70</f>
        <v>-49.599999999999994</v>
      </c>
      <c r="Z87" s="1">
        <f>+Till!Z70</f>
        <v>-341.6</v>
      </c>
      <c r="AA87" s="1">
        <f>+Till!AA70</f>
        <v>0</v>
      </c>
      <c r="AB87" s="1">
        <f>+Till!AB70</f>
        <v>0</v>
      </c>
      <c r="AC87" s="1">
        <f>+Till!AC70</f>
        <v>-99.199999999999989</v>
      </c>
      <c r="AD87" s="1">
        <f>+Till!AD70</f>
        <v>-30.88</v>
      </c>
      <c r="AE87" s="1">
        <f>+Till!AE70</f>
        <v>-56.16</v>
      </c>
      <c r="AF87" s="1">
        <f>+Till!AF70</f>
        <v>-37.44</v>
      </c>
      <c r="AG87" s="1">
        <f>+Till!AG70</f>
        <v>-15.44</v>
      </c>
      <c r="AH87" s="1">
        <f>+Till!AH70</f>
        <v>-18.72</v>
      </c>
      <c r="AI87" s="1">
        <f>+Till!AI70</f>
        <v>-46.32</v>
      </c>
      <c r="AJ87" s="1">
        <f>+Till!AJ70</f>
        <v>0</v>
      </c>
      <c r="AK87" s="1">
        <f>+Till!AK70</f>
        <v>0</v>
      </c>
      <c r="AL87" s="1">
        <f>+Till!AL70</f>
        <v>-152.07999999999998</v>
      </c>
      <c r="AM87" s="1">
        <f>+Till!AM70</f>
        <v>0</v>
      </c>
      <c r="AN87" s="1">
        <f>+Till!AN70</f>
        <v>-34.159999999999997</v>
      </c>
      <c r="AO87" s="1">
        <f>+Till!AO70</f>
        <v>0</v>
      </c>
      <c r="AP87" s="1">
        <f>+Till!AP70</f>
        <v>0</v>
      </c>
      <c r="AQ87" s="1">
        <f>+Till!AQ70</f>
        <v>0</v>
      </c>
      <c r="AR87" s="3">
        <f t="shared" si="134"/>
        <v>-2058.15</v>
      </c>
    </row>
    <row r="88" spans="1:47" x14ac:dyDescent="0.25">
      <c r="C88" t="s">
        <v>193</v>
      </c>
      <c r="AR88" s="3">
        <f t="shared" si="134"/>
        <v>0</v>
      </c>
    </row>
    <row r="89" spans="1:47" x14ac:dyDescent="0.25">
      <c r="C89" t="s">
        <v>297</v>
      </c>
      <c r="AR89" s="3">
        <f t="shared" si="134"/>
        <v>0</v>
      </c>
    </row>
    <row r="90" spans="1:47" x14ac:dyDescent="0.25">
      <c r="C90" t="s">
        <v>296</v>
      </c>
      <c r="D90" s="1">
        <f>+GW!D49</f>
        <v>0</v>
      </c>
      <c r="E90" s="1">
        <f>+GW!E49</f>
        <v>0</v>
      </c>
      <c r="F90" s="1">
        <f>+GW!F49</f>
        <v>0</v>
      </c>
      <c r="G90" s="1">
        <f>+GW!G49</f>
        <v>0</v>
      </c>
      <c r="H90" s="1">
        <f>+GW!H49</f>
        <v>-170.03</v>
      </c>
      <c r="I90" s="1">
        <f>+GW!I49</f>
        <v>-2.08</v>
      </c>
      <c r="J90" s="1">
        <f>+GW!J49</f>
        <v>-8.32</v>
      </c>
      <c r="K90" s="1">
        <f>+GW!K49</f>
        <v>0</v>
      </c>
      <c r="L90" s="1">
        <f>+GW!L49</f>
        <v>0</v>
      </c>
      <c r="M90" s="1">
        <f>+GW!M49</f>
        <v>0</v>
      </c>
      <c r="N90" s="1">
        <f>+GW!N49</f>
        <v>-18.72</v>
      </c>
      <c r="O90" s="1">
        <f>+GW!O49</f>
        <v>-18.72</v>
      </c>
      <c r="P90" s="1">
        <f>+GW!P49</f>
        <v>0</v>
      </c>
      <c r="Q90" s="1">
        <f>+GW!Q49</f>
        <v>0</v>
      </c>
      <c r="R90" s="1">
        <f>+GW!R49</f>
        <v>0</v>
      </c>
      <c r="S90" s="1">
        <f>+GW!S49</f>
        <v>-30.88</v>
      </c>
      <c r="T90" s="1">
        <f>+GW!T49</f>
        <v>-18.72</v>
      </c>
      <c r="U90" s="1">
        <f>+GW!U49</f>
        <v>-34.159999999999997</v>
      </c>
      <c r="V90" s="1">
        <f>+GW!V49</f>
        <v>0</v>
      </c>
      <c r="W90" s="1">
        <f>+GW!W49</f>
        <v>0</v>
      </c>
      <c r="X90" s="1">
        <f>+GW!X49</f>
        <v>0</v>
      </c>
      <c r="Y90" s="1">
        <f>+GW!Y49</f>
        <v>0</v>
      </c>
      <c r="Z90" s="1">
        <f>+GW!Z49</f>
        <v>0</v>
      </c>
      <c r="AA90" s="1">
        <f>+GW!AA49</f>
        <v>0</v>
      </c>
      <c r="AB90" s="1">
        <f>+GW!AB49</f>
        <v>0</v>
      </c>
      <c r="AC90" s="1">
        <f>+GW!AC49</f>
        <v>-18.72</v>
      </c>
      <c r="AD90" s="1">
        <f>+GW!AD49</f>
        <v>0</v>
      </c>
      <c r="AE90" s="1">
        <f>+GW!AE49</f>
        <v>0</v>
      </c>
      <c r="AF90" s="1">
        <f>+GW!AF49</f>
        <v>0</v>
      </c>
      <c r="AG90" s="1">
        <f>+GW!AG49</f>
        <v>0</v>
      </c>
      <c r="AH90" s="1">
        <f>+GW!AH49</f>
        <v>-18.72</v>
      </c>
      <c r="AI90" s="1">
        <f>+GW!AI49</f>
        <v>0</v>
      </c>
      <c r="AJ90" s="1">
        <f>+GW!AJ49</f>
        <v>0</v>
      </c>
      <c r="AK90" s="1">
        <f>+GW!AK49</f>
        <v>0</v>
      </c>
      <c r="AL90" s="1">
        <f>+GW!AL49</f>
        <v>0</v>
      </c>
      <c r="AM90" s="1">
        <f>+GW!AM49</f>
        <v>0</v>
      </c>
      <c r="AN90" s="1">
        <f>+GW!AN49</f>
        <v>0</v>
      </c>
      <c r="AO90" s="1">
        <f>+GW!AO49</f>
        <v>0</v>
      </c>
      <c r="AP90" s="1">
        <f>+GW!AP49</f>
        <v>0</v>
      </c>
      <c r="AQ90" s="1">
        <f>+GW!AQ49</f>
        <v>0</v>
      </c>
      <c r="AR90" s="3">
        <f t="shared" si="134"/>
        <v>-339.07000000000005</v>
      </c>
    </row>
    <row r="91" spans="1:47" x14ac:dyDescent="0.25">
      <c r="C91" t="s">
        <v>44</v>
      </c>
      <c r="H91" s="1">
        <v>0</v>
      </c>
      <c r="I91" s="1">
        <v>0</v>
      </c>
      <c r="J91" s="1">
        <f>-99.12+89</f>
        <v>-10.120000000000005</v>
      </c>
      <c r="K91" s="1">
        <v>0</v>
      </c>
      <c r="L91" s="1">
        <v>0</v>
      </c>
      <c r="M91" s="1">
        <f>-108.02+51</f>
        <v>-57.019999999999996</v>
      </c>
      <c r="N91" s="1">
        <f>-191.92+108</f>
        <v>-83.919999999999987</v>
      </c>
      <c r="O91" s="1">
        <f>-331.98+199</f>
        <v>-132.98000000000002</v>
      </c>
      <c r="P91" s="1">
        <f>-576.88+247</f>
        <v>-329.88</v>
      </c>
      <c r="Q91" s="1">
        <f>-539.61+290</f>
        <v>-249.61</v>
      </c>
      <c r="R91" s="1">
        <f>-213.43+195</f>
        <v>-18.430000000000007</v>
      </c>
      <c r="S91" s="1">
        <f>-1091.04+822</f>
        <v>-269.03999999999996</v>
      </c>
      <c r="T91" s="1">
        <f>-2069.97+737</f>
        <v>-1332.9699999999998</v>
      </c>
      <c r="U91" s="1">
        <f>-2057.35+1108</f>
        <v>-949.34999999999991</v>
      </c>
      <c r="V91" s="1">
        <f>-606.02+215</f>
        <v>-391.02</v>
      </c>
      <c r="W91" s="1">
        <f>-710.56+431</f>
        <v>-279.55999999999995</v>
      </c>
      <c r="X91" s="1">
        <f>-930.22+310</f>
        <v>-620.22</v>
      </c>
      <c r="Y91" s="1">
        <f>-700.69+456</f>
        <v>-244.69000000000005</v>
      </c>
      <c r="Z91" s="1">
        <f>-1463.44+647</f>
        <v>-816.44</v>
      </c>
      <c r="AA91" s="1">
        <f>-1832.77+947</f>
        <v>-885.77</v>
      </c>
      <c r="AB91" s="1">
        <f>-1345.58+1296</f>
        <v>-49.579999999999927</v>
      </c>
      <c r="AC91" s="1">
        <f>-372.32+341</f>
        <v>-31.319999999999993</v>
      </c>
      <c r="AD91" s="1">
        <f>-191.76+79</f>
        <v>-112.75999999999999</v>
      </c>
      <c r="AE91" s="1">
        <f>-409.54+129</f>
        <v>-280.54000000000002</v>
      </c>
      <c r="AF91" s="1">
        <v>0</v>
      </c>
      <c r="AG91" s="1">
        <f>-229.54+200</f>
        <v>-29.539999999999992</v>
      </c>
      <c r="AH91" s="1">
        <f>-1271+1256</f>
        <v>-15</v>
      </c>
      <c r="AI91" s="1">
        <f>-325.96+190</f>
        <v>-135.95999999999998</v>
      </c>
      <c r="AJ91" s="1">
        <f>-20.47+2</f>
        <v>-18.47</v>
      </c>
      <c r="AK91" s="1">
        <f>-221.98+107</f>
        <v>-114.97999999999999</v>
      </c>
      <c r="AL91" s="1">
        <f>-244.54+230</f>
        <v>-14.539999999999992</v>
      </c>
      <c r="AM91" s="1">
        <f>-60.78+60.78</f>
        <v>0</v>
      </c>
      <c r="AN91" s="1">
        <f>-154.01+76</f>
        <v>-78.009999999999991</v>
      </c>
      <c r="AO91" s="1">
        <v>0</v>
      </c>
      <c r="AP91" s="1">
        <v>0</v>
      </c>
      <c r="AQ91" s="1">
        <v>0</v>
      </c>
      <c r="AR91" s="3">
        <f t="shared" si="134"/>
        <v>-7551.72</v>
      </c>
    </row>
    <row r="92" spans="1:47" x14ac:dyDescent="0.25">
      <c r="C92" t="s">
        <v>104</v>
      </c>
      <c r="AR92" s="3">
        <f t="shared" si="134"/>
        <v>0</v>
      </c>
    </row>
    <row r="93" spans="1:47" s="2" customFormat="1" x14ac:dyDescent="0.25">
      <c r="B93" s="2" t="s">
        <v>534</v>
      </c>
      <c r="D93" s="3">
        <f>SUM(D73:D92)</f>
        <v>0</v>
      </c>
      <c r="E93" s="3">
        <f t="shared" ref="E93:J93" si="135">SUM(E73:E92)</f>
        <v>0</v>
      </c>
      <c r="F93" s="3">
        <f t="shared" si="135"/>
        <v>0</v>
      </c>
      <c r="G93" s="3">
        <f t="shared" si="135"/>
        <v>0</v>
      </c>
      <c r="H93" s="3">
        <f t="shared" si="135"/>
        <v>-228.7</v>
      </c>
      <c r="I93" s="3">
        <f t="shared" si="135"/>
        <v>-96.51</v>
      </c>
      <c r="J93" s="3">
        <f t="shared" si="135"/>
        <v>-98.84</v>
      </c>
      <c r="K93" s="3">
        <f t="shared" ref="K93:AQ93" si="136">SUM(K73:K92)</f>
        <v>-44.72</v>
      </c>
      <c r="L93" s="3">
        <f t="shared" si="136"/>
        <v>-117.16</v>
      </c>
      <c r="M93" s="3">
        <f t="shared" si="136"/>
        <v>-108.32</v>
      </c>
      <c r="N93" s="3">
        <f t="shared" si="136"/>
        <v>-192.07999999999998</v>
      </c>
      <c r="O93" s="3">
        <f t="shared" si="136"/>
        <v>-332.32000000000005</v>
      </c>
      <c r="P93" s="3">
        <f t="shared" si="136"/>
        <v>-577.31999999999994</v>
      </c>
      <c r="Q93" s="3">
        <f t="shared" si="136"/>
        <v>-539.29</v>
      </c>
      <c r="R93" s="3">
        <f t="shared" si="136"/>
        <v>-213.14000000000001</v>
      </c>
      <c r="S93" s="3">
        <f t="shared" si="136"/>
        <v>-1091.5</v>
      </c>
      <c r="T93" s="3">
        <f t="shared" si="136"/>
        <v>-2070.27</v>
      </c>
      <c r="U93" s="3">
        <f t="shared" si="136"/>
        <v>-2057.5500000000002</v>
      </c>
      <c r="V93" s="3">
        <f t="shared" si="136"/>
        <v>-605.91999999999996</v>
      </c>
      <c r="W93" s="3">
        <f t="shared" si="136"/>
        <v>-710.43999999999994</v>
      </c>
      <c r="X93" s="3">
        <f t="shared" si="136"/>
        <v>-3930.3599999999997</v>
      </c>
      <c r="Y93" s="3">
        <f t="shared" si="136"/>
        <v>-701.15000000000009</v>
      </c>
      <c r="Z93" s="3">
        <f t="shared" si="136"/>
        <v>-1463.72</v>
      </c>
      <c r="AA93" s="3">
        <f t="shared" si="136"/>
        <v>-1833.5300000000002</v>
      </c>
      <c r="AB93" s="3">
        <f t="shared" si="136"/>
        <v>-1345.56</v>
      </c>
      <c r="AC93" s="3">
        <f t="shared" si="136"/>
        <v>-372.76000000000005</v>
      </c>
      <c r="AD93" s="3">
        <f t="shared" si="136"/>
        <v>-192.2</v>
      </c>
      <c r="AE93" s="3">
        <f t="shared" si="136"/>
        <v>-409.28000000000003</v>
      </c>
      <c r="AF93" s="3">
        <f t="shared" si="136"/>
        <v>-172.55</v>
      </c>
      <c r="AG93" s="3">
        <f t="shared" si="136"/>
        <v>-229.08</v>
      </c>
      <c r="AH93" s="3">
        <f t="shared" si="136"/>
        <v>-1270.56</v>
      </c>
      <c r="AI93" s="3">
        <f t="shared" si="136"/>
        <v>-326.15999999999997</v>
      </c>
      <c r="AJ93" s="3">
        <f t="shared" si="136"/>
        <v>-20.22</v>
      </c>
      <c r="AK93" s="3">
        <f t="shared" si="136"/>
        <v>-221.73999999999998</v>
      </c>
      <c r="AL93" s="3">
        <f t="shared" si="136"/>
        <v>-244.51999999999998</v>
      </c>
      <c r="AM93" s="3">
        <f t="shared" si="136"/>
        <v>-60.78</v>
      </c>
      <c r="AN93" s="3">
        <f t="shared" si="136"/>
        <v>-154.46999999999997</v>
      </c>
      <c r="AO93" s="3">
        <f t="shared" si="136"/>
        <v>-15.44</v>
      </c>
      <c r="AP93" s="3">
        <f t="shared" si="136"/>
        <v>0</v>
      </c>
      <c r="AQ93" s="3">
        <f t="shared" si="136"/>
        <v>-154.4</v>
      </c>
      <c r="AR93" s="3">
        <f>SUM(AR73:AR92)</f>
        <v>-22202.560000000001</v>
      </c>
      <c r="AS93" s="3"/>
      <c r="AT93" s="9"/>
      <c r="AU93" s="61"/>
    </row>
    <row r="94" spans="1:47" s="24" customFormat="1" x14ac:dyDescent="0.25">
      <c r="A94" s="23"/>
      <c r="B94" s="23"/>
      <c r="C94" s="27" t="s">
        <v>102</v>
      </c>
      <c r="D94" s="25">
        <f>+D93</f>
        <v>0</v>
      </c>
      <c r="E94" s="25">
        <f>+D94+E93</f>
        <v>0</v>
      </c>
      <c r="F94" s="25">
        <f t="shared" ref="F94" si="137">+E94+F93</f>
        <v>0</v>
      </c>
      <c r="G94" s="25">
        <f t="shared" ref="G94" si="138">+F94+G93</f>
        <v>0</v>
      </c>
      <c r="H94" s="25">
        <f t="shared" ref="H94" si="139">+G94+H93</f>
        <v>-228.7</v>
      </c>
      <c r="I94" s="25">
        <f t="shared" ref="I94" si="140">+H94+I93</f>
        <v>-325.20999999999998</v>
      </c>
      <c r="J94" s="25">
        <f t="shared" ref="J94" si="141">+I94+J93</f>
        <v>-424.04999999999995</v>
      </c>
      <c r="K94" s="25">
        <f t="shared" ref="K94" si="142">+J94+K93</f>
        <v>-468.77</v>
      </c>
      <c r="L94" s="25">
        <f t="shared" ref="L94" si="143">+K94+L93</f>
        <v>-585.92999999999995</v>
      </c>
      <c r="M94" s="25">
        <f t="shared" ref="M94" si="144">+L94+M93</f>
        <v>-694.25</v>
      </c>
      <c r="N94" s="25">
        <f t="shared" ref="N94" si="145">+M94+N93</f>
        <v>-886.32999999999993</v>
      </c>
      <c r="O94" s="25">
        <f t="shared" ref="O94" si="146">+N94+O93</f>
        <v>-1218.6500000000001</v>
      </c>
      <c r="P94" s="25">
        <f t="shared" ref="P94" si="147">+O94+P93</f>
        <v>-1795.97</v>
      </c>
      <c r="Q94" s="25">
        <f t="shared" ref="Q94" si="148">+P94+Q93</f>
        <v>-2335.2600000000002</v>
      </c>
      <c r="R94" s="25">
        <f t="shared" ref="R94" si="149">+Q94+R93</f>
        <v>-2548.4</v>
      </c>
      <c r="S94" s="25">
        <f t="shared" ref="S94" si="150">+R94+S93</f>
        <v>-3639.9</v>
      </c>
      <c r="T94" s="25">
        <f t="shared" ref="T94" si="151">+S94+T93</f>
        <v>-5710.17</v>
      </c>
      <c r="U94" s="25">
        <f t="shared" ref="U94" si="152">+T94+U93</f>
        <v>-7767.72</v>
      </c>
      <c r="V94" s="25">
        <f t="shared" ref="V94" si="153">+U94+V93</f>
        <v>-8373.64</v>
      </c>
      <c r="W94" s="25">
        <f t="shared" ref="W94" si="154">+V94+W93</f>
        <v>-9084.08</v>
      </c>
      <c r="X94" s="25">
        <f t="shared" ref="X94" si="155">+W94+X93</f>
        <v>-13014.439999999999</v>
      </c>
      <c r="Y94" s="25">
        <f t="shared" ref="Y94" si="156">+X94+Y93</f>
        <v>-13715.589999999998</v>
      </c>
      <c r="Z94" s="25">
        <f t="shared" ref="Z94" si="157">+Y94+Z93</f>
        <v>-15179.309999999998</v>
      </c>
      <c r="AA94" s="25">
        <f t="shared" ref="AA94" si="158">+Z94+AA93</f>
        <v>-17012.839999999997</v>
      </c>
      <c r="AB94" s="25">
        <f t="shared" ref="AB94" si="159">+AA94+AB93</f>
        <v>-18358.399999999998</v>
      </c>
      <c r="AC94" s="25">
        <f t="shared" ref="AC94" si="160">+AB94+AC93</f>
        <v>-18731.159999999996</v>
      </c>
      <c r="AD94" s="25">
        <f t="shared" ref="AD94" si="161">+AC94+AD93</f>
        <v>-18923.359999999997</v>
      </c>
      <c r="AE94" s="25">
        <f t="shared" ref="AE94" si="162">+AD94+AE93</f>
        <v>-19332.639999999996</v>
      </c>
      <c r="AF94" s="25">
        <f t="shared" ref="AF94" si="163">+AE94+AF93</f>
        <v>-19505.189999999995</v>
      </c>
      <c r="AG94" s="25">
        <f t="shared" ref="AG94" si="164">+AF94+AG93</f>
        <v>-19734.269999999997</v>
      </c>
      <c r="AH94" s="25">
        <f t="shared" ref="AH94" si="165">+AG94+AH93</f>
        <v>-21004.829999999998</v>
      </c>
      <c r="AI94" s="25">
        <f t="shared" ref="AI94" si="166">+AH94+AI93</f>
        <v>-21330.989999999998</v>
      </c>
      <c r="AJ94" s="25">
        <f t="shared" ref="AJ94" si="167">+AI94+AJ93</f>
        <v>-21351.21</v>
      </c>
      <c r="AK94" s="25">
        <f t="shared" ref="AK94" si="168">+AJ94+AK93</f>
        <v>-21572.95</v>
      </c>
      <c r="AL94" s="25">
        <f t="shared" ref="AL94" si="169">+AK94+AL93</f>
        <v>-21817.47</v>
      </c>
      <c r="AM94" s="25">
        <f t="shared" ref="AM94" si="170">+AL94+AM93</f>
        <v>-21878.25</v>
      </c>
      <c r="AN94" s="25">
        <f t="shared" ref="AN94" si="171">+AM94+AN93</f>
        <v>-22032.720000000001</v>
      </c>
      <c r="AO94" s="25">
        <f t="shared" ref="AO94" si="172">+AN94+AO93</f>
        <v>-22048.16</v>
      </c>
      <c r="AP94" s="25">
        <f t="shared" ref="AP94" si="173">+AO94+AP93</f>
        <v>-22048.16</v>
      </c>
      <c r="AQ94" s="25">
        <f t="shared" ref="AQ94" si="174">+AP94+AQ93</f>
        <v>-22202.560000000001</v>
      </c>
      <c r="AR94" s="118">
        <f>+AR93/AR69</f>
        <v>-1.3890192204174546E-2</v>
      </c>
      <c r="AS94" s="25"/>
      <c r="AT94" s="26"/>
      <c r="AU94" s="60"/>
    </row>
    <row r="95" spans="1:47" s="24" customFormat="1" x14ac:dyDescent="0.25">
      <c r="A95" s="23"/>
      <c r="B95" s="23"/>
      <c r="C95" s="38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>
        <v>-3000</v>
      </c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  <c r="AL95" s="110"/>
      <c r="AM95" s="110"/>
      <c r="AN95" s="110"/>
      <c r="AO95" s="110"/>
      <c r="AP95" s="110"/>
      <c r="AQ95" s="110"/>
      <c r="AR95" s="111">
        <f>SUM(D95:AQ95)</f>
        <v>-3000</v>
      </c>
      <c r="AS95" s="25"/>
      <c r="AT95" s="26"/>
      <c r="AU95" s="60"/>
    </row>
    <row r="96" spans="1:47" x14ac:dyDescent="0.25">
      <c r="A96" s="2" t="s">
        <v>488</v>
      </c>
      <c r="AR96" s="113">
        <f>+AR93-AR95</f>
        <v>-19202.560000000001</v>
      </c>
    </row>
    <row r="97" spans="3:46" x14ac:dyDescent="0.25">
      <c r="C97" t="s">
        <v>190</v>
      </c>
      <c r="D97" s="1">
        <f t="shared" ref="D97:AR97" si="175">+D50+D73</f>
        <v>0</v>
      </c>
      <c r="E97" s="1">
        <f t="shared" ref="E97:J97" si="176">+E50+E73</f>
        <v>0</v>
      </c>
      <c r="F97" s="1">
        <f t="shared" si="176"/>
        <v>0</v>
      </c>
      <c r="G97" s="1">
        <f t="shared" si="176"/>
        <v>10029.32</v>
      </c>
      <c r="H97" s="1">
        <f t="shared" si="176"/>
        <v>-58.67</v>
      </c>
      <c r="I97" s="1">
        <f t="shared" si="176"/>
        <v>0</v>
      </c>
      <c r="J97" s="1">
        <f t="shared" si="176"/>
        <v>403.28</v>
      </c>
      <c r="K97" s="1">
        <f t="shared" si="175"/>
        <v>901.18000000000006</v>
      </c>
      <c r="L97" s="1">
        <f t="shared" si="175"/>
        <v>15684.080000000002</v>
      </c>
      <c r="M97" s="1">
        <f t="shared" si="175"/>
        <v>-51.300000000000004</v>
      </c>
      <c r="N97" s="1">
        <f t="shared" si="175"/>
        <v>2056.54</v>
      </c>
      <c r="O97" s="1">
        <f t="shared" si="175"/>
        <v>1755.94</v>
      </c>
      <c r="P97" s="1">
        <f t="shared" si="175"/>
        <v>4492.74</v>
      </c>
      <c r="Q97" s="1">
        <f t="shared" si="175"/>
        <v>8602.0199999999986</v>
      </c>
      <c r="R97" s="1">
        <f t="shared" si="175"/>
        <v>10511.74</v>
      </c>
      <c r="S97" s="1">
        <f t="shared" si="175"/>
        <v>2372.2000000000003</v>
      </c>
      <c r="T97" s="1">
        <f t="shared" si="175"/>
        <v>9421.32</v>
      </c>
      <c r="U97" s="1">
        <f t="shared" si="175"/>
        <v>1772.46</v>
      </c>
      <c r="V97" s="1">
        <f t="shared" si="175"/>
        <v>4569.1100000000006</v>
      </c>
      <c r="W97" s="1">
        <f t="shared" si="175"/>
        <v>3921.64</v>
      </c>
      <c r="X97" s="1">
        <f t="shared" si="175"/>
        <v>12163.06</v>
      </c>
      <c r="Y97" s="1">
        <f t="shared" si="175"/>
        <v>1665.585</v>
      </c>
      <c r="Z97" s="1">
        <f t="shared" si="175"/>
        <v>2643.7000000000003</v>
      </c>
      <c r="AA97" s="1">
        <f t="shared" si="175"/>
        <v>1000.1999999999997</v>
      </c>
      <c r="AB97" s="1">
        <f t="shared" si="175"/>
        <v>2807.58</v>
      </c>
      <c r="AC97" s="1">
        <f t="shared" si="175"/>
        <v>2081.94</v>
      </c>
      <c r="AD97" s="1">
        <f t="shared" si="175"/>
        <v>1410.18</v>
      </c>
      <c r="AE97" s="1">
        <f t="shared" si="175"/>
        <v>1642.6000000000001</v>
      </c>
      <c r="AF97" s="1">
        <f t="shared" si="175"/>
        <v>2353.33</v>
      </c>
      <c r="AG97" s="1">
        <f t="shared" si="175"/>
        <v>1581.82</v>
      </c>
      <c r="AH97" s="1">
        <f t="shared" si="175"/>
        <v>4721.74</v>
      </c>
      <c r="AI97" s="1">
        <f t="shared" si="175"/>
        <v>4203.66</v>
      </c>
      <c r="AJ97" s="1">
        <f t="shared" si="175"/>
        <v>12868.93</v>
      </c>
      <c r="AK97" s="1">
        <f t="shared" si="175"/>
        <v>1727.18</v>
      </c>
      <c r="AL97" s="1">
        <f t="shared" si="175"/>
        <v>1953.6</v>
      </c>
      <c r="AM97" s="1">
        <f t="shared" si="175"/>
        <v>1110.6400000000001</v>
      </c>
      <c r="AN97" s="1">
        <f t="shared" si="175"/>
        <v>-42.3</v>
      </c>
      <c r="AO97" s="1">
        <f t="shared" si="175"/>
        <v>0</v>
      </c>
      <c r="AP97" s="1">
        <f t="shared" si="175"/>
        <v>0</v>
      </c>
      <c r="AQ97" s="1">
        <f t="shared" si="175"/>
        <v>0</v>
      </c>
      <c r="AR97" s="3">
        <f t="shared" si="175"/>
        <v>132277.04499999998</v>
      </c>
      <c r="AT97" s="8">
        <f>IF(AR97=0,0,+AR97/PassVol!AR533)</f>
        <v>8.827296963630296</v>
      </c>
    </row>
    <row r="98" spans="3:46" x14ac:dyDescent="0.25">
      <c r="C98" t="s">
        <v>424</v>
      </c>
      <c r="D98" s="1">
        <f t="shared" ref="D98:AR98" si="177">+D51+D74</f>
        <v>0</v>
      </c>
      <c r="E98" s="1">
        <f t="shared" ref="E98:J98" si="178">+E51+E74</f>
        <v>0</v>
      </c>
      <c r="F98" s="1">
        <f t="shared" si="178"/>
        <v>0</v>
      </c>
      <c r="G98" s="1">
        <f t="shared" si="178"/>
        <v>0</v>
      </c>
      <c r="H98" s="1">
        <f t="shared" si="178"/>
        <v>535.36</v>
      </c>
      <c r="I98" s="1">
        <f t="shared" si="178"/>
        <v>720.64</v>
      </c>
      <c r="J98" s="1">
        <f t="shared" si="178"/>
        <v>0</v>
      </c>
      <c r="K98" s="1">
        <f t="shared" si="177"/>
        <v>0</v>
      </c>
      <c r="L98" s="1">
        <f t="shared" si="177"/>
        <v>1038.8800000000001</v>
      </c>
      <c r="M98" s="1">
        <f t="shared" si="177"/>
        <v>2104.3999999999996</v>
      </c>
      <c r="N98" s="1">
        <f t="shared" si="177"/>
        <v>1161.44</v>
      </c>
      <c r="O98" s="1">
        <f t="shared" si="177"/>
        <v>2587.6799999999998</v>
      </c>
      <c r="P98" s="1">
        <f t="shared" si="177"/>
        <v>2903.44</v>
      </c>
      <c r="Q98" s="1">
        <f t="shared" si="177"/>
        <v>2576.36</v>
      </c>
      <c r="R98" s="1">
        <f t="shared" si="177"/>
        <v>2696.3199999999997</v>
      </c>
      <c r="S98" s="1">
        <f t="shared" si="177"/>
        <v>3877.84</v>
      </c>
      <c r="T98" s="1">
        <f t="shared" si="177"/>
        <v>3177.44</v>
      </c>
      <c r="U98" s="1">
        <f t="shared" si="177"/>
        <v>1317.2</v>
      </c>
      <c r="V98" s="1">
        <f t="shared" si="177"/>
        <v>2723.9200000000005</v>
      </c>
      <c r="W98" s="1">
        <f t="shared" si="177"/>
        <v>3913.92</v>
      </c>
      <c r="X98" s="1">
        <f t="shared" si="177"/>
        <v>1388.64</v>
      </c>
      <c r="Y98" s="1">
        <f t="shared" si="177"/>
        <v>1176.3800000000001</v>
      </c>
      <c r="Z98" s="1">
        <f t="shared" si="177"/>
        <v>2305.52</v>
      </c>
      <c r="AA98" s="1">
        <f t="shared" si="177"/>
        <v>742.64</v>
      </c>
      <c r="AB98" s="1">
        <f t="shared" si="177"/>
        <v>419.76</v>
      </c>
      <c r="AC98" s="1">
        <f t="shared" si="177"/>
        <v>751.12</v>
      </c>
      <c r="AD98" s="1">
        <f t="shared" si="177"/>
        <v>463.2</v>
      </c>
      <c r="AE98" s="1">
        <f t="shared" si="177"/>
        <v>652.31999999999994</v>
      </c>
      <c r="AF98" s="1">
        <f t="shared" si="177"/>
        <v>242.39999999999998</v>
      </c>
      <c r="AG98" s="1">
        <f t="shared" si="177"/>
        <v>0</v>
      </c>
      <c r="AH98" s="1">
        <f t="shared" si="177"/>
        <v>0</v>
      </c>
      <c r="AI98" s="1">
        <f t="shared" si="177"/>
        <v>0</v>
      </c>
      <c r="AJ98" s="1">
        <f t="shared" si="177"/>
        <v>409.91999999999996</v>
      </c>
      <c r="AK98" s="1">
        <f t="shared" si="177"/>
        <v>0</v>
      </c>
      <c r="AL98" s="1">
        <f t="shared" si="177"/>
        <v>657.5200000000001</v>
      </c>
      <c r="AM98" s="1">
        <f t="shared" si="177"/>
        <v>0</v>
      </c>
      <c r="AN98" s="1">
        <f t="shared" si="177"/>
        <v>0</v>
      </c>
      <c r="AO98" s="1">
        <f t="shared" si="177"/>
        <v>0</v>
      </c>
      <c r="AP98" s="1">
        <f t="shared" si="177"/>
        <v>0</v>
      </c>
      <c r="AQ98" s="1">
        <f t="shared" si="177"/>
        <v>0</v>
      </c>
      <c r="AR98" s="3">
        <f t="shared" si="177"/>
        <v>40544.259999999995</v>
      </c>
      <c r="AT98" s="8">
        <f>IF(AR98=0,0,+AR98/PassVol!AR534)</f>
        <v>4.830723221732395</v>
      </c>
    </row>
    <row r="99" spans="3:46" x14ac:dyDescent="0.25">
      <c r="C99" t="s">
        <v>347</v>
      </c>
      <c r="D99" s="1">
        <f t="shared" ref="D99:AR99" si="179">+D52+D75</f>
        <v>0</v>
      </c>
      <c r="E99" s="1">
        <f t="shared" ref="E99:J99" si="180">+E52+E75</f>
        <v>0</v>
      </c>
      <c r="F99" s="1">
        <f t="shared" si="180"/>
        <v>0</v>
      </c>
      <c r="G99" s="1">
        <f t="shared" si="180"/>
        <v>0</v>
      </c>
      <c r="H99" s="1">
        <f t="shared" si="180"/>
        <v>0</v>
      </c>
      <c r="I99" s="1">
        <f t="shared" si="180"/>
        <v>0</v>
      </c>
      <c r="J99" s="1">
        <f t="shared" si="180"/>
        <v>0</v>
      </c>
      <c r="K99" s="1">
        <f t="shared" si="179"/>
        <v>0</v>
      </c>
      <c r="L99" s="1">
        <f t="shared" si="179"/>
        <v>154.4</v>
      </c>
      <c r="M99" s="1">
        <f t="shared" si="179"/>
        <v>0</v>
      </c>
      <c r="N99" s="1">
        <f t="shared" si="179"/>
        <v>0</v>
      </c>
      <c r="O99" s="1">
        <f t="shared" si="179"/>
        <v>189.51999999999998</v>
      </c>
      <c r="P99" s="1">
        <f t="shared" si="179"/>
        <v>605.99999999999989</v>
      </c>
      <c r="Q99" s="1">
        <f t="shared" si="179"/>
        <v>226.95999999999998</v>
      </c>
      <c r="R99" s="1">
        <f t="shared" si="179"/>
        <v>684.16</v>
      </c>
      <c r="S99" s="1">
        <f t="shared" si="179"/>
        <v>570.88</v>
      </c>
      <c r="T99" s="1">
        <f t="shared" si="179"/>
        <v>1359.8400000000001</v>
      </c>
      <c r="U99" s="1">
        <f t="shared" si="179"/>
        <v>599.04</v>
      </c>
      <c r="V99" s="1">
        <f t="shared" si="179"/>
        <v>1435.2800000000002</v>
      </c>
      <c r="W99" s="1">
        <f t="shared" si="179"/>
        <v>1715.12</v>
      </c>
      <c r="X99" s="1">
        <f t="shared" si="179"/>
        <v>1675.76</v>
      </c>
      <c r="Y99" s="1">
        <f t="shared" si="179"/>
        <v>18.72</v>
      </c>
      <c r="Z99" s="1">
        <f t="shared" si="179"/>
        <v>374.4</v>
      </c>
      <c r="AA99" s="1">
        <f t="shared" si="179"/>
        <v>93.6</v>
      </c>
      <c r="AB99" s="1">
        <f t="shared" si="179"/>
        <v>204.95999999999998</v>
      </c>
      <c r="AC99" s="1">
        <f t="shared" si="179"/>
        <v>247.04</v>
      </c>
      <c r="AD99" s="1">
        <f t="shared" si="179"/>
        <v>315.36</v>
      </c>
      <c r="AE99" s="1">
        <f t="shared" si="179"/>
        <v>0</v>
      </c>
      <c r="AF99" s="1">
        <f t="shared" si="179"/>
        <v>112.32</v>
      </c>
      <c r="AG99" s="1">
        <f t="shared" si="179"/>
        <v>532.08000000000004</v>
      </c>
      <c r="AH99" s="1">
        <f t="shared" si="179"/>
        <v>0</v>
      </c>
      <c r="AI99" s="1">
        <f t="shared" si="179"/>
        <v>154.4</v>
      </c>
      <c r="AJ99" s="1">
        <f t="shared" si="179"/>
        <v>204.95999999999998</v>
      </c>
      <c r="AK99" s="1">
        <f t="shared" si="179"/>
        <v>385.59999999999997</v>
      </c>
      <c r="AL99" s="1">
        <f t="shared" si="179"/>
        <v>0</v>
      </c>
      <c r="AM99" s="1">
        <f t="shared" si="179"/>
        <v>0</v>
      </c>
      <c r="AN99" s="1">
        <f t="shared" si="179"/>
        <v>0</v>
      </c>
      <c r="AO99" s="1">
        <f t="shared" si="179"/>
        <v>0</v>
      </c>
      <c r="AP99" s="1">
        <f t="shared" si="179"/>
        <v>0</v>
      </c>
      <c r="AQ99" s="1">
        <f t="shared" si="179"/>
        <v>0</v>
      </c>
      <c r="AR99" s="3">
        <f t="shared" si="179"/>
        <v>11860.399999999998</v>
      </c>
      <c r="AT99" s="8">
        <f>IF(AR99=0,0,+AR99/PassVol!AR535)</f>
        <v>1.5461347933776559</v>
      </c>
    </row>
    <row r="100" spans="3:46" x14ac:dyDescent="0.25">
      <c r="C100" t="s">
        <v>0</v>
      </c>
      <c r="D100" s="1">
        <f t="shared" ref="D100:AR100" si="181">+D53+D76</f>
        <v>0</v>
      </c>
      <c r="E100" s="1">
        <f t="shared" ref="E100:J100" si="182">+E53+E76</f>
        <v>0</v>
      </c>
      <c r="F100" s="1">
        <f t="shared" si="182"/>
        <v>0</v>
      </c>
      <c r="G100" s="1">
        <f t="shared" si="182"/>
        <v>63991.040000000001</v>
      </c>
      <c r="H100" s="1">
        <f t="shared" si="182"/>
        <v>0</v>
      </c>
      <c r="I100" s="1">
        <f t="shared" si="182"/>
        <v>0</v>
      </c>
      <c r="J100" s="1">
        <f t="shared" si="182"/>
        <v>17078</v>
      </c>
      <c r="K100" s="1">
        <f t="shared" si="181"/>
        <v>22903.200000000001</v>
      </c>
      <c r="L100" s="1">
        <f t="shared" si="181"/>
        <v>1204.56</v>
      </c>
      <c r="M100" s="1">
        <f t="shared" si="181"/>
        <v>24335.440000000002</v>
      </c>
      <c r="N100" s="1">
        <f t="shared" si="181"/>
        <v>22338.32</v>
      </c>
      <c r="O100" s="1">
        <f t="shared" si="181"/>
        <v>15036.16</v>
      </c>
      <c r="P100" s="1">
        <f t="shared" si="181"/>
        <v>10096</v>
      </c>
      <c r="Q100" s="1">
        <f t="shared" si="181"/>
        <v>17611.04</v>
      </c>
      <c r="R100" s="1">
        <f t="shared" si="181"/>
        <v>15107.119999999999</v>
      </c>
      <c r="S100" s="1">
        <f t="shared" si="181"/>
        <v>23246.16</v>
      </c>
      <c r="T100" s="1">
        <f t="shared" si="181"/>
        <v>17967.28</v>
      </c>
      <c r="U100" s="1">
        <f t="shared" si="181"/>
        <v>37170.479999999996</v>
      </c>
      <c r="V100" s="1">
        <f t="shared" si="181"/>
        <v>16749.760000000002</v>
      </c>
      <c r="W100" s="1">
        <f t="shared" si="181"/>
        <v>21457.919999999998</v>
      </c>
      <c r="X100" s="1">
        <f t="shared" si="181"/>
        <v>20167.04</v>
      </c>
      <c r="Y100" s="1">
        <f t="shared" si="181"/>
        <v>19329.2</v>
      </c>
      <c r="Z100" s="1">
        <f t="shared" si="181"/>
        <v>15420.880000000001</v>
      </c>
      <c r="AA100" s="1">
        <f t="shared" si="181"/>
        <v>17080.96</v>
      </c>
      <c r="AB100" s="1">
        <f t="shared" si="181"/>
        <v>17825.84</v>
      </c>
      <c r="AC100" s="1">
        <f t="shared" si="181"/>
        <v>9361.44</v>
      </c>
      <c r="AD100" s="1">
        <f t="shared" si="181"/>
        <v>17846.559999999998</v>
      </c>
      <c r="AE100" s="1">
        <f t="shared" si="181"/>
        <v>2638.3999999999996</v>
      </c>
      <c r="AF100" s="1">
        <f t="shared" si="181"/>
        <v>1481.6</v>
      </c>
      <c r="AG100" s="1">
        <f t="shared" si="181"/>
        <v>4503.12</v>
      </c>
      <c r="AH100" s="1">
        <f t="shared" si="181"/>
        <v>1438.48</v>
      </c>
      <c r="AI100" s="1">
        <f t="shared" si="181"/>
        <v>7209.2</v>
      </c>
      <c r="AJ100" s="1">
        <f t="shared" si="181"/>
        <v>6220</v>
      </c>
      <c r="AK100" s="1">
        <f t="shared" si="181"/>
        <v>6244.56</v>
      </c>
      <c r="AL100" s="1">
        <f t="shared" si="181"/>
        <v>3372.2400000000002</v>
      </c>
      <c r="AM100" s="1">
        <f t="shared" si="181"/>
        <v>1682.4</v>
      </c>
      <c r="AN100" s="1">
        <f t="shared" si="181"/>
        <v>2965.2</v>
      </c>
      <c r="AO100" s="1">
        <f t="shared" si="181"/>
        <v>0</v>
      </c>
      <c r="AP100" s="1">
        <f t="shared" si="181"/>
        <v>0</v>
      </c>
      <c r="AQ100" s="1">
        <f t="shared" si="181"/>
        <v>0</v>
      </c>
      <c r="AR100" s="3">
        <f t="shared" si="181"/>
        <v>481079.60000000003</v>
      </c>
      <c r="AT100" s="8">
        <f>IF(AR100=0,0,+AR100/PassVol!AR536)</f>
        <v>6.5832776835075819</v>
      </c>
    </row>
    <row r="101" spans="3:46" x14ac:dyDescent="0.25">
      <c r="C101" t="s">
        <v>354</v>
      </c>
      <c r="D101" s="1">
        <f t="shared" ref="D101:AR101" si="183">+D54+D77</f>
        <v>0</v>
      </c>
      <c r="E101" s="1">
        <f t="shared" ref="E101:J101" si="184">+E54+E77</f>
        <v>0</v>
      </c>
      <c r="F101" s="1">
        <f t="shared" si="184"/>
        <v>0</v>
      </c>
      <c r="G101" s="1">
        <f t="shared" si="184"/>
        <v>0</v>
      </c>
      <c r="H101" s="1">
        <f t="shared" si="184"/>
        <v>0</v>
      </c>
      <c r="I101" s="1">
        <f t="shared" si="184"/>
        <v>0</v>
      </c>
      <c r="J101" s="1">
        <f t="shared" si="184"/>
        <v>0</v>
      </c>
      <c r="K101" s="1">
        <f t="shared" si="183"/>
        <v>0</v>
      </c>
      <c r="L101" s="1">
        <f t="shared" si="183"/>
        <v>0</v>
      </c>
      <c r="M101" s="1">
        <f t="shared" si="183"/>
        <v>0</v>
      </c>
      <c r="N101" s="1">
        <f t="shared" si="183"/>
        <v>131.04</v>
      </c>
      <c r="O101" s="1">
        <f t="shared" si="183"/>
        <v>257.83999999999997</v>
      </c>
      <c r="P101" s="1">
        <f t="shared" si="183"/>
        <v>344.88</v>
      </c>
      <c r="Q101" s="1">
        <f t="shared" si="183"/>
        <v>87.039999999999992</v>
      </c>
      <c r="R101" s="1">
        <f t="shared" si="183"/>
        <v>90.32</v>
      </c>
      <c r="S101" s="1">
        <f t="shared" si="183"/>
        <v>668.16000000000008</v>
      </c>
      <c r="T101" s="1">
        <f t="shared" si="183"/>
        <v>248.95999999999998</v>
      </c>
      <c r="U101" s="1">
        <f t="shared" si="183"/>
        <v>77.2</v>
      </c>
      <c r="V101" s="1">
        <f t="shared" si="183"/>
        <v>33.119999999999997</v>
      </c>
      <c r="W101" s="1">
        <f t="shared" si="183"/>
        <v>18.72</v>
      </c>
      <c r="X101" s="1">
        <f t="shared" si="183"/>
        <v>121.19999999999999</v>
      </c>
      <c r="Y101" s="1">
        <f t="shared" si="183"/>
        <v>93.16</v>
      </c>
      <c r="Z101" s="1">
        <f t="shared" si="183"/>
        <v>260.15999999999997</v>
      </c>
      <c r="AA101" s="1">
        <f t="shared" si="183"/>
        <v>243.36</v>
      </c>
      <c r="AB101" s="1">
        <f t="shared" si="183"/>
        <v>0</v>
      </c>
      <c r="AC101" s="1">
        <f t="shared" si="183"/>
        <v>0</v>
      </c>
      <c r="AD101" s="1">
        <f t="shared" si="183"/>
        <v>0</v>
      </c>
      <c r="AE101" s="1">
        <f t="shared" si="183"/>
        <v>0</v>
      </c>
      <c r="AF101" s="1">
        <f t="shared" si="183"/>
        <v>0</v>
      </c>
      <c r="AG101" s="1">
        <f t="shared" si="183"/>
        <v>0</v>
      </c>
      <c r="AH101" s="1">
        <f t="shared" si="183"/>
        <v>0</v>
      </c>
      <c r="AI101" s="1">
        <f t="shared" si="183"/>
        <v>0</v>
      </c>
      <c r="AJ101" s="1">
        <f t="shared" si="183"/>
        <v>0</v>
      </c>
      <c r="AK101" s="1">
        <f t="shared" si="183"/>
        <v>0</v>
      </c>
      <c r="AL101" s="1">
        <f t="shared" si="183"/>
        <v>0</v>
      </c>
      <c r="AM101" s="1">
        <f t="shared" si="183"/>
        <v>0</v>
      </c>
      <c r="AN101" s="1">
        <f t="shared" si="183"/>
        <v>0</v>
      </c>
      <c r="AO101" s="1">
        <f t="shared" si="183"/>
        <v>0</v>
      </c>
      <c r="AP101" s="1">
        <f t="shared" si="183"/>
        <v>0</v>
      </c>
      <c r="AQ101" s="1">
        <f t="shared" si="183"/>
        <v>0</v>
      </c>
      <c r="AR101" s="3">
        <f t="shared" si="183"/>
        <v>2675.16</v>
      </c>
      <c r="AT101" s="8">
        <f>IF(AR101=0,0,+AR101/PassVol!AR537)</f>
        <v>1.5113898305084745</v>
      </c>
    </row>
    <row r="102" spans="3:46" x14ac:dyDescent="0.25">
      <c r="C102" t="s">
        <v>265</v>
      </c>
      <c r="D102" s="1">
        <f t="shared" ref="D102:AR102" si="185">+D55+D78</f>
        <v>0</v>
      </c>
      <c r="E102" s="1">
        <f t="shared" ref="E102:J102" si="186">+E55+E78</f>
        <v>0</v>
      </c>
      <c r="F102" s="1">
        <f t="shared" si="186"/>
        <v>0</v>
      </c>
      <c r="G102" s="1">
        <f t="shared" si="186"/>
        <v>0</v>
      </c>
      <c r="H102" s="1">
        <f t="shared" si="186"/>
        <v>0</v>
      </c>
      <c r="I102" s="1">
        <f t="shared" si="186"/>
        <v>2700</v>
      </c>
      <c r="J102" s="1">
        <f t="shared" si="186"/>
        <v>-16.2</v>
      </c>
      <c r="K102" s="1">
        <f t="shared" si="185"/>
        <v>0</v>
      </c>
      <c r="L102" s="1">
        <f t="shared" si="185"/>
        <v>837.54</v>
      </c>
      <c r="M102" s="1">
        <f t="shared" si="185"/>
        <v>1476.6</v>
      </c>
      <c r="N102" s="1">
        <f t="shared" si="185"/>
        <v>966.12000000000012</v>
      </c>
      <c r="O102" s="1">
        <f t="shared" si="185"/>
        <v>1099.8</v>
      </c>
      <c r="P102" s="1">
        <f t="shared" si="185"/>
        <v>2828.5200000000004</v>
      </c>
      <c r="Q102" s="1">
        <f t="shared" si="185"/>
        <v>3960.7799999999997</v>
      </c>
      <c r="R102" s="1">
        <f t="shared" si="185"/>
        <v>2934.06</v>
      </c>
      <c r="S102" s="1">
        <f t="shared" si="185"/>
        <v>4954.08</v>
      </c>
      <c r="T102" s="1">
        <f t="shared" si="185"/>
        <v>2186.94</v>
      </c>
      <c r="U102" s="1">
        <f t="shared" si="185"/>
        <v>4222.0200000000004</v>
      </c>
      <c r="V102" s="1">
        <f t="shared" si="185"/>
        <v>3047.46</v>
      </c>
      <c r="W102" s="1">
        <f t="shared" si="185"/>
        <v>2612.1</v>
      </c>
      <c r="X102" s="1">
        <f t="shared" si="185"/>
        <v>945.24</v>
      </c>
      <c r="Y102" s="1">
        <f t="shared" si="185"/>
        <v>1320.7800000000002</v>
      </c>
      <c r="Z102" s="1">
        <f t="shared" si="185"/>
        <v>-138.12</v>
      </c>
      <c r="AA102" s="1">
        <f t="shared" si="185"/>
        <v>1266.6600000000001</v>
      </c>
      <c r="AB102" s="1">
        <f t="shared" si="185"/>
        <v>-17.82</v>
      </c>
      <c r="AC102" s="1">
        <f t="shared" si="185"/>
        <v>0</v>
      </c>
      <c r="AD102" s="1">
        <f t="shared" si="185"/>
        <v>0</v>
      </c>
      <c r="AE102" s="1">
        <f t="shared" si="185"/>
        <v>0</v>
      </c>
      <c r="AF102" s="1">
        <f t="shared" si="185"/>
        <v>0</v>
      </c>
      <c r="AG102" s="1">
        <f t="shared" si="185"/>
        <v>0</v>
      </c>
      <c r="AH102" s="1">
        <f t="shared" si="185"/>
        <v>1478.6399999999999</v>
      </c>
      <c r="AI102" s="1">
        <f t="shared" si="185"/>
        <v>0</v>
      </c>
      <c r="AJ102" s="1">
        <f t="shared" si="185"/>
        <v>0</v>
      </c>
      <c r="AK102" s="1">
        <f t="shared" si="185"/>
        <v>512.4</v>
      </c>
      <c r="AL102" s="1">
        <f t="shared" si="185"/>
        <v>0</v>
      </c>
      <c r="AM102" s="1">
        <f t="shared" si="185"/>
        <v>0</v>
      </c>
      <c r="AN102" s="1">
        <f t="shared" si="185"/>
        <v>0</v>
      </c>
      <c r="AO102" s="1">
        <f t="shared" si="185"/>
        <v>0</v>
      </c>
      <c r="AP102" s="1">
        <f t="shared" si="185"/>
        <v>0</v>
      </c>
      <c r="AQ102" s="1">
        <f t="shared" si="185"/>
        <v>0</v>
      </c>
      <c r="AR102" s="3">
        <f t="shared" si="185"/>
        <v>39177.600000000006</v>
      </c>
      <c r="AT102" s="8">
        <f>IF(AR102=0,0,+AR102/PassVol!AR538)</f>
        <v>5.6468146439896234</v>
      </c>
    </row>
    <row r="103" spans="3:46" x14ac:dyDescent="0.25">
      <c r="C103" t="s">
        <v>191</v>
      </c>
      <c r="D103" s="1">
        <f t="shared" ref="D103:AR103" si="187">+D56+D79</f>
        <v>0</v>
      </c>
      <c r="E103" s="1">
        <f t="shared" ref="E103:J103" si="188">+E56+E79</f>
        <v>0</v>
      </c>
      <c r="F103" s="1">
        <f t="shared" si="188"/>
        <v>0</v>
      </c>
      <c r="G103" s="1">
        <f t="shared" si="188"/>
        <v>0</v>
      </c>
      <c r="H103" s="1">
        <f t="shared" si="188"/>
        <v>11998.8</v>
      </c>
      <c r="I103" s="1">
        <f t="shared" si="188"/>
        <v>-79.790000000000006</v>
      </c>
      <c r="J103" s="1">
        <f t="shared" si="188"/>
        <v>0</v>
      </c>
      <c r="K103" s="1">
        <f t="shared" si="187"/>
        <v>9873.6</v>
      </c>
      <c r="L103" s="1">
        <f t="shared" si="187"/>
        <v>0</v>
      </c>
      <c r="M103" s="1">
        <f t="shared" si="187"/>
        <v>4488</v>
      </c>
      <c r="N103" s="1">
        <f t="shared" si="187"/>
        <v>2271.16</v>
      </c>
      <c r="O103" s="1">
        <f t="shared" si="187"/>
        <v>1665.3200000000002</v>
      </c>
      <c r="P103" s="1">
        <f t="shared" si="187"/>
        <v>272.5</v>
      </c>
      <c r="Q103" s="1">
        <f t="shared" si="187"/>
        <v>4798.26</v>
      </c>
      <c r="R103" s="1">
        <f t="shared" si="187"/>
        <v>-28.05</v>
      </c>
      <c r="S103" s="1">
        <f t="shared" si="187"/>
        <v>-74.8</v>
      </c>
      <c r="T103" s="1">
        <f t="shared" si="187"/>
        <v>0</v>
      </c>
      <c r="U103" s="1">
        <f t="shared" si="187"/>
        <v>-29.92</v>
      </c>
      <c r="V103" s="1">
        <f t="shared" si="187"/>
        <v>0</v>
      </c>
      <c r="W103" s="1">
        <f t="shared" si="187"/>
        <v>0</v>
      </c>
      <c r="X103" s="1">
        <f t="shared" si="187"/>
        <v>0</v>
      </c>
      <c r="Y103" s="1">
        <f t="shared" si="187"/>
        <v>843.26</v>
      </c>
      <c r="Z103" s="1">
        <f t="shared" si="187"/>
        <v>69.5</v>
      </c>
      <c r="AA103" s="1">
        <f t="shared" si="187"/>
        <v>4488</v>
      </c>
      <c r="AB103" s="1">
        <f t="shared" si="187"/>
        <v>269.27999999999997</v>
      </c>
      <c r="AC103" s="1">
        <f t="shared" si="187"/>
        <v>478.72</v>
      </c>
      <c r="AD103" s="1">
        <f t="shared" si="187"/>
        <v>0</v>
      </c>
      <c r="AE103" s="1">
        <f t="shared" si="187"/>
        <v>-38.380000000000003</v>
      </c>
      <c r="AF103" s="1">
        <f t="shared" si="187"/>
        <v>0</v>
      </c>
      <c r="AG103" s="1">
        <f t="shared" si="187"/>
        <v>0</v>
      </c>
      <c r="AH103" s="1">
        <f t="shared" si="187"/>
        <v>0</v>
      </c>
      <c r="AI103" s="1">
        <f t="shared" si="187"/>
        <v>0</v>
      </c>
      <c r="AJ103" s="1">
        <f t="shared" si="187"/>
        <v>0</v>
      </c>
      <c r="AK103" s="1">
        <f t="shared" si="187"/>
        <v>0</v>
      </c>
      <c r="AL103" s="1">
        <f t="shared" si="187"/>
        <v>89.76</v>
      </c>
      <c r="AM103" s="1">
        <f t="shared" si="187"/>
        <v>620.94000000000005</v>
      </c>
      <c r="AN103" s="1">
        <f t="shared" si="187"/>
        <v>269.27999999999997</v>
      </c>
      <c r="AO103" s="1">
        <f t="shared" si="187"/>
        <v>0</v>
      </c>
      <c r="AP103" s="1">
        <f t="shared" si="187"/>
        <v>484.22</v>
      </c>
      <c r="AQ103" s="1">
        <f t="shared" si="187"/>
        <v>0</v>
      </c>
      <c r="AR103" s="3">
        <f t="shared" si="187"/>
        <v>42729.66</v>
      </c>
      <c r="AT103" s="8">
        <f>IF(AR103=0,0,+AR103/PassVol!AR539)</f>
        <v>3.4506710813211665</v>
      </c>
    </row>
    <row r="104" spans="3:46" x14ac:dyDescent="0.25">
      <c r="C104" t="s">
        <v>549</v>
      </c>
      <c r="D104" s="1">
        <f t="shared" ref="D104:AR104" si="189">+D57+D80</f>
        <v>0</v>
      </c>
      <c r="E104" s="1">
        <f t="shared" ref="E104:J104" si="190">+E57+E80</f>
        <v>0</v>
      </c>
      <c r="F104" s="1">
        <f t="shared" si="190"/>
        <v>0</v>
      </c>
      <c r="G104" s="1">
        <f t="shared" si="190"/>
        <v>0</v>
      </c>
      <c r="H104" s="1">
        <f t="shared" si="190"/>
        <v>0</v>
      </c>
      <c r="I104" s="1">
        <f t="shared" si="190"/>
        <v>0</v>
      </c>
      <c r="J104" s="1">
        <f t="shared" si="190"/>
        <v>0</v>
      </c>
      <c r="K104" s="1">
        <f t="shared" si="189"/>
        <v>0</v>
      </c>
      <c r="L104" s="1">
        <f t="shared" si="189"/>
        <v>0</v>
      </c>
      <c r="M104" s="1">
        <f t="shared" si="189"/>
        <v>0</v>
      </c>
      <c r="N104" s="1">
        <f t="shared" si="189"/>
        <v>0</v>
      </c>
      <c r="O104" s="1">
        <f t="shared" si="189"/>
        <v>0</v>
      </c>
      <c r="P104" s="1">
        <f t="shared" si="189"/>
        <v>0</v>
      </c>
      <c r="Q104" s="1">
        <f t="shared" si="189"/>
        <v>0</v>
      </c>
      <c r="R104" s="1">
        <f t="shared" si="189"/>
        <v>0</v>
      </c>
      <c r="S104" s="1">
        <f t="shared" si="189"/>
        <v>0</v>
      </c>
      <c r="T104" s="1">
        <f t="shared" si="189"/>
        <v>0</v>
      </c>
      <c r="U104" s="1">
        <f t="shared" si="189"/>
        <v>0</v>
      </c>
      <c r="V104" s="1">
        <f t="shared" si="189"/>
        <v>0</v>
      </c>
      <c r="W104" s="1">
        <f t="shared" si="189"/>
        <v>0</v>
      </c>
      <c r="X104" s="1">
        <f t="shared" si="189"/>
        <v>0</v>
      </c>
      <c r="Y104" s="1">
        <f t="shared" si="189"/>
        <v>0</v>
      </c>
      <c r="Z104" s="1">
        <f t="shared" si="189"/>
        <v>0</v>
      </c>
      <c r="AA104" s="1">
        <f t="shared" si="189"/>
        <v>0</v>
      </c>
      <c r="AB104" s="1">
        <f t="shared" si="189"/>
        <v>0</v>
      </c>
      <c r="AC104" s="1">
        <f t="shared" si="189"/>
        <v>0</v>
      </c>
      <c r="AD104" s="1">
        <f t="shared" si="189"/>
        <v>0</v>
      </c>
      <c r="AE104" s="1">
        <f t="shared" si="189"/>
        <v>0</v>
      </c>
      <c r="AF104" s="1">
        <f t="shared" si="189"/>
        <v>0</v>
      </c>
      <c r="AG104" s="1">
        <f t="shared" si="189"/>
        <v>0</v>
      </c>
      <c r="AH104" s="1">
        <f t="shared" si="189"/>
        <v>0</v>
      </c>
      <c r="AI104" s="1">
        <f t="shared" si="189"/>
        <v>0</v>
      </c>
      <c r="AJ104" s="1">
        <f t="shared" si="189"/>
        <v>0</v>
      </c>
      <c r="AK104" s="1">
        <f t="shared" si="189"/>
        <v>0</v>
      </c>
      <c r="AL104" s="1">
        <f t="shared" si="189"/>
        <v>0</v>
      </c>
      <c r="AM104" s="1">
        <f t="shared" si="189"/>
        <v>0</v>
      </c>
      <c r="AN104" s="1">
        <f t="shared" si="189"/>
        <v>0</v>
      </c>
      <c r="AO104" s="1">
        <f t="shared" si="189"/>
        <v>0</v>
      </c>
      <c r="AP104" s="1">
        <f t="shared" si="189"/>
        <v>0</v>
      </c>
      <c r="AQ104" s="1">
        <f t="shared" si="189"/>
        <v>0</v>
      </c>
      <c r="AR104" s="3">
        <f t="shared" si="189"/>
        <v>0</v>
      </c>
      <c r="AT104" s="8">
        <f>IF(AR104=0,0,+AR104/PassVol!AR540)</f>
        <v>0</v>
      </c>
    </row>
    <row r="105" spans="3:46" x14ac:dyDescent="0.25">
      <c r="C105" t="s">
        <v>550</v>
      </c>
      <c r="D105" s="1">
        <f t="shared" ref="D105:AR105" si="191">+D58+D81</f>
        <v>0</v>
      </c>
      <c r="E105" s="1">
        <f t="shared" ref="E105:J105" si="192">+E58+E81</f>
        <v>0</v>
      </c>
      <c r="F105" s="1">
        <f t="shared" si="192"/>
        <v>0</v>
      </c>
      <c r="G105" s="1">
        <f t="shared" si="192"/>
        <v>0</v>
      </c>
      <c r="H105" s="1">
        <f t="shared" si="192"/>
        <v>0</v>
      </c>
      <c r="I105" s="1">
        <f t="shared" si="192"/>
        <v>0</v>
      </c>
      <c r="J105" s="1">
        <f t="shared" si="192"/>
        <v>0</v>
      </c>
      <c r="K105" s="1">
        <f t="shared" si="191"/>
        <v>0</v>
      </c>
      <c r="L105" s="1">
        <f t="shared" si="191"/>
        <v>0</v>
      </c>
      <c r="M105" s="1">
        <f t="shared" si="191"/>
        <v>0</v>
      </c>
      <c r="N105" s="1">
        <f t="shared" si="191"/>
        <v>0</v>
      </c>
      <c r="O105" s="1">
        <f t="shared" si="191"/>
        <v>521.28</v>
      </c>
      <c r="P105" s="1">
        <f t="shared" si="191"/>
        <v>-18.72</v>
      </c>
      <c r="Q105" s="1">
        <f t="shared" si="191"/>
        <v>968.24</v>
      </c>
      <c r="R105" s="1">
        <f t="shared" si="191"/>
        <v>0</v>
      </c>
      <c r="S105" s="1">
        <f t="shared" si="191"/>
        <v>0</v>
      </c>
      <c r="T105" s="1">
        <f t="shared" si="191"/>
        <v>4099.2</v>
      </c>
      <c r="U105" s="1">
        <f t="shared" si="191"/>
        <v>0</v>
      </c>
      <c r="V105" s="1">
        <f t="shared" si="191"/>
        <v>6777.44</v>
      </c>
      <c r="W105" s="1">
        <f t="shared" si="191"/>
        <v>2819.44</v>
      </c>
      <c r="X105" s="1">
        <f t="shared" si="191"/>
        <v>2216.7200000000003</v>
      </c>
      <c r="Y105" s="1">
        <f t="shared" si="191"/>
        <v>9252.9599999999991</v>
      </c>
      <c r="Z105" s="1">
        <f t="shared" si="191"/>
        <v>1528.7199999999998</v>
      </c>
      <c r="AA105" s="1">
        <f t="shared" si="191"/>
        <v>3514.92</v>
      </c>
      <c r="AB105" s="1">
        <f t="shared" si="191"/>
        <v>1494.72</v>
      </c>
      <c r="AC105" s="1">
        <f t="shared" si="191"/>
        <v>1991.92</v>
      </c>
      <c r="AD105" s="1">
        <f t="shared" si="191"/>
        <v>2023.36</v>
      </c>
      <c r="AE105" s="1">
        <f t="shared" si="191"/>
        <v>3195.44</v>
      </c>
      <c r="AF105" s="1">
        <f t="shared" si="191"/>
        <v>584</v>
      </c>
      <c r="AG105" s="1">
        <f t="shared" si="191"/>
        <v>1316.2399999999998</v>
      </c>
      <c r="AH105" s="1">
        <f t="shared" si="191"/>
        <v>1211.04</v>
      </c>
      <c r="AI105" s="1">
        <f t="shared" si="191"/>
        <v>780.07999999999993</v>
      </c>
      <c r="AJ105" s="1">
        <f t="shared" si="191"/>
        <v>1036.96</v>
      </c>
      <c r="AK105" s="1">
        <f t="shared" si="191"/>
        <v>1001.8399999999999</v>
      </c>
      <c r="AL105" s="1">
        <f t="shared" si="191"/>
        <v>898</v>
      </c>
      <c r="AM105" s="1">
        <f t="shared" si="191"/>
        <v>1478.72</v>
      </c>
      <c r="AN105" s="1">
        <f t="shared" si="191"/>
        <v>1206.8</v>
      </c>
      <c r="AO105" s="1">
        <f t="shared" si="191"/>
        <v>-15.44</v>
      </c>
      <c r="AP105" s="1">
        <f t="shared" si="191"/>
        <v>0</v>
      </c>
      <c r="AQ105" s="1">
        <f t="shared" si="191"/>
        <v>-154.4</v>
      </c>
      <c r="AR105" s="3">
        <f t="shared" si="191"/>
        <v>49729.48</v>
      </c>
      <c r="AT105" s="8">
        <f>IF(AR105=0,0,+AR105/PassVol!AR541)</f>
        <v>5.8970093679592086</v>
      </c>
    </row>
    <row r="106" spans="3:46" x14ac:dyDescent="0.25">
      <c r="C106" t="s">
        <v>6</v>
      </c>
      <c r="D106" s="1">
        <f t="shared" ref="D106:AR106" si="193">+D59+D82</f>
        <v>0</v>
      </c>
      <c r="E106" s="1">
        <f t="shared" ref="E106:J106" si="194">+E59+E82</f>
        <v>0</v>
      </c>
      <c r="F106" s="1">
        <f t="shared" si="194"/>
        <v>0</v>
      </c>
      <c r="G106" s="1">
        <f t="shared" si="194"/>
        <v>0</v>
      </c>
      <c r="H106" s="1">
        <f t="shared" si="194"/>
        <v>0</v>
      </c>
      <c r="I106" s="1">
        <f t="shared" si="194"/>
        <v>0</v>
      </c>
      <c r="J106" s="1">
        <f t="shared" si="194"/>
        <v>0</v>
      </c>
      <c r="K106" s="1">
        <f t="shared" si="193"/>
        <v>0</v>
      </c>
      <c r="L106" s="1">
        <f t="shared" si="193"/>
        <v>0</v>
      </c>
      <c r="M106" s="1">
        <f t="shared" si="193"/>
        <v>0</v>
      </c>
      <c r="N106" s="1">
        <f t="shared" si="193"/>
        <v>0</v>
      </c>
      <c r="O106" s="1">
        <f t="shared" si="193"/>
        <v>0</v>
      </c>
      <c r="P106" s="1">
        <f t="shared" si="193"/>
        <v>0</v>
      </c>
      <c r="Q106" s="1">
        <f t="shared" si="193"/>
        <v>0</v>
      </c>
      <c r="R106" s="1">
        <f t="shared" si="193"/>
        <v>0</v>
      </c>
      <c r="S106" s="1">
        <f t="shared" si="193"/>
        <v>0</v>
      </c>
      <c r="T106" s="1">
        <f t="shared" si="193"/>
        <v>0</v>
      </c>
      <c r="U106" s="1">
        <f t="shared" si="193"/>
        <v>0</v>
      </c>
      <c r="V106" s="1">
        <f t="shared" si="193"/>
        <v>0</v>
      </c>
      <c r="W106" s="1">
        <f t="shared" si="193"/>
        <v>0</v>
      </c>
      <c r="X106" s="1">
        <f t="shared" si="193"/>
        <v>0</v>
      </c>
      <c r="Y106" s="1">
        <f t="shared" si="193"/>
        <v>0</v>
      </c>
      <c r="Z106" s="1">
        <f t="shared" si="193"/>
        <v>0</v>
      </c>
      <c r="AA106" s="1">
        <f t="shared" si="193"/>
        <v>0</v>
      </c>
      <c r="AB106" s="1">
        <f t="shared" si="193"/>
        <v>0</v>
      </c>
      <c r="AC106" s="1">
        <f t="shared" si="193"/>
        <v>0</v>
      </c>
      <c r="AD106" s="1">
        <f t="shared" si="193"/>
        <v>0</v>
      </c>
      <c r="AE106" s="1">
        <f t="shared" si="193"/>
        <v>0</v>
      </c>
      <c r="AF106" s="1">
        <f t="shared" si="193"/>
        <v>0</v>
      </c>
      <c r="AG106" s="1">
        <f t="shared" si="193"/>
        <v>0</v>
      </c>
      <c r="AH106" s="1">
        <f t="shared" si="193"/>
        <v>0</v>
      </c>
      <c r="AI106" s="1">
        <f t="shared" si="193"/>
        <v>0</v>
      </c>
      <c r="AJ106" s="1">
        <f t="shared" si="193"/>
        <v>0</v>
      </c>
      <c r="AK106" s="1">
        <f t="shared" si="193"/>
        <v>0</v>
      </c>
      <c r="AL106" s="1">
        <f t="shared" si="193"/>
        <v>0</v>
      </c>
      <c r="AM106" s="1">
        <f t="shared" si="193"/>
        <v>0</v>
      </c>
      <c r="AN106" s="1">
        <f t="shared" si="193"/>
        <v>0</v>
      </c>
      <c r="AO106" s="1">
        <f t="shared" si="193"/>
        <v>0</v>
      </c>
      <c r="AP106" s="1">
        <f t="shared" si="193"/>
        <v>0</v>
      </c>
      <c r="AQ106" s="1">
        <f t="shared" si="193"/>
        <v>0</v>
      </c>
      <c r="AR106" s="3">
        <f t="shared" si="193"/>
        <v>0</v>
      </c>
      <c r="AT106" s="8">
        <f>IF(AR106=0,0,+AR106/PassVol!AR542)</f>
        <v>0</v>
      </c>
    </row>
    <row r="107" spans="3:46" x14ac:dyDescent="0.25">
      <c r="C107" t="s">
        <v>262</v>
      </c>
      <c r="D107" s="1">
        <f t="shared" ref="D107:AR107" si="195">+D60+D83</f>
        <v>0</v>
      </c>
      <c r="E107" s="1">
        <f t="shared" ref="E107:J107" si="196">+E60+E83</f>
        <v>0</v>
      </c>
      <c r="F107" s="1">
        <f t="shared" si="196"/>
        <v>0</v>
      </c>
      <c r="G107" s="1">
        <f t="shared" si="196"/>
        <v>0</v>
      </c>
      <c r="H107" s="1">
        <f t="shared" si="196"/>
        <v>0</v>
      </c>
      <c r="I107" s="1">
        <f t="shared" si="196"/>
        <v>0</v>
      </c>
      <c r="J107" s="1">
        <f t="shared" si="196"/>
        <v>0</v>
      </c>
      <c r="K107" s="1">
        <f t="shared" si="195"/>
        <v>0</v>
      </c>
      <c r="L107" s="1">
        <f t="shared" si="195"/>
        <v>0</v>
      </c>
      <c r="M107" s="1">
        <f t="shared" si="195"/>
        <v>0</v>
      </c>
      <c r="N107" s="1">
        <f t="shared" si="195"/>
        <v>0</v>
      </c>
      <c r="O107" s="1">
        <f t="shared" si="195"/>
        <v>0</v>
      </c>
      <c r="P107" s="1">
        <f t="shared" si="195"/>
        <v>0</v>
      </c>
      <c r="Q107" s="1">
        <f t="shared" si="195"/>
        <v>0</v>
      </c>
      <c r="R107" s="1">
        <f t="shared" si="195"/>
        <v>0</v>
      </c>
      <c r="S107" s="1">
        <f t="shared" si="195"/>
        <v>0</v>
      </c>
      <c r="T107" s="1">
        <f t="shared" si="195"/>
        <v>0</v>
      </c>
      <c r="U107" s="1">
        <f t="shared" si="195"/>
        <v>0</v>
      </c>
      <c r="V107" s="1">
        <f t="shared" si="195"/>
        <v>0</v>
      </c>
      <c r="W107" s="1">
        <f t="shared" si="195"/>
        <v>0</v>
      </c>
      <c r="X107" s="1">
        <f t="shared" si="195"/>
        <v>0</v>
      </c>
      <c r="Y107" s="1">
        <f t="shared" si="195"/>
        <v>0</v>
      </c>
      <c r="Z107" s="1">
        <f t="shared" si="195"/>
        <v>0</v>
      </c>
      <c r="AA107" s="1">
        <f t="shared" si="195"/>
        <v>0</v>
      </c>
      <c r="AB107" s="1">
        <f t="shared" si="195"/>
        <v>0</v>
      </c>
      <c r="AC107" s="1">
        <f t="shared" si="195"/>
        <v>0</v>
      </c>
      <c r="AD107" s="1">
        <f t="shared" si="195"/>
        <v>0</v>
      </c>
      <c r="AE107" s="1">
        <f t="shared" si="195"/>
        <v>0</v>
      </c>
      <c r="AF107" s="1">
        <f t="shared" si="195"/>
        <v>0</v>
      </c>
      <c r="AG107" s="1">
        <f t="shared" si="195"/>
        <v>0</v>
      </c>
      <c r="AH107" s="1">
        <f t="shared" si="195"/>
        <v>0</v>
      </c>
      <c r="AI107" s="1">
        <f t="shared" si="195"/>
        <v>0</v>
      </c>
      <c r="AJ107" s="1">
        <f t="shared" si="195"/>
        <v>0</v>
      </c>
      <c r="AK107" s="1">
        <f t="shared" si="195"/>
        <v>0</v>
      </c>
      <c r="AL107" s="1">
        <f t="shared" si="195"/>
        <v>0</v>
      </c>
      <c r="AM107" s="1">
        <f t="shared" si="195"/>
        <v>0</v>
      </c>
      <c r="AN107" s="1">
        <f t="shared" si="195"/>
        <v>0</v>
      </c>
      <c r="AO107" s="1">
        <f t="shared" si="195"/>
        <v>0</v>
      </c>
      <c r="AP107" s="1">
        <f t="shared" si="195"/>
        <v>0</v>
      </c>
      <c r="AQ107" s="1">
        <f t="shared" si="195"/>
        <v>0</v>
      </c>
      <c r="AR107" s="3">
        <f t="shared" si="195"/>
        <v>0</v>
      </c>
      <c r="AT107" s="8">
        <f>IF(AR107=0,0,+AR107/PassVol!AR543)</f>
        <v>0</v>
      </c>
    </row>
    <row r="108" spans="3:46" x14ac:dyDescent="0.25">
      <c r="C108" t="s">
        <v>42</v>
      </c>
      <c r="D108" s="1">
        <f t="shared" ref="D108:AR108" si="197">+D61+D84</f>
        <v>0</v>
      </c>
      <c r="E108" s="1">
        <f t="shared" ref="E108:J108" si="198">+E61+E84</f>
        <v>0</v>
      </c>
      <c r="F108" s="1">
        <f t="shared" si="198"/>
        <v>0</v>
      </c>
      <c r="G108" s="1">
        <f t="shared" si="198"/>
        <v>0</v>
      </c>
      <c r="H108" s="1">
        <f t="shared" si="198"/>
        <v>0</v>
      </c>
      <c r="I108" s="1">
        <f t="shared" si="198"/>
        <v>0</v>
      </c>
      <c r="J108" s="1">
        <f t="shared" si="198"/>
        <v>0</v>
      </c>
      <c r="K108" s="1">
        <f t="shared" si="197"/>
        <v>454.9</v>
      </c>
      <c r="L108" s="1">
        <f t="shared" si="197"/>
        <v>7238.52</v>
      </c>
      <c r="M108" s="1">
        <f t="shared" si="197"/>
        <v>0</v>
      </c>
      <c r="N108" s="1">
        <f t="shared" si="197"/>
        <v>640.08000000000004</v>
      </c>
      <c r="O108" s="1">
        <f t="shared" si="197"/>
        <v>618.6</v>
      </c>
      <c r="P108" s="1">
        <f t="shared" si="197"/>
        <v>160.07999999999998</v>
      </c>
      <c r="Q108" s="1">
        <f t="shared" si="197"/>
        <v>2571.9</v>
      </c>
      <c r="R108" s="1">
        <f t="shared" si="197"/>
        <v>0</v>
      </c>
      <c r="S108" s="1">
        <f t="shared" si="197"/>
        <v>1527.8400000000001</v>
      </c>
      <c r="T108" s="1">
        <f t="shared" si="197"/>
        <v>2040.4200000000003</v>
      </c>
      <c r="U108" s="1">
        <f t="shared" si="197"/>
        <v>509.36</v>
      </c>
      <c r="V108" s="1">
        <f t="shared" si="197"/>
        <v>338.26</v>
      </c>
      <c r="W108" s="1">
        <f t="shared" si="197"/>
        <v>767.7399999999999</v>
      </c>
      <c r="X108" s="1">
        <f t="shared" si="197"/>
        <v>509.20000000000005</v>
      </c>
      <c r="Y108" s="1">
        <f t="shared" si="197"/>
        <v>0</v>
      </c>
      <c r="Z108" s="1">
        <f t="shared" si="197"/>
        <v>378.16</v>
      </c>
      <c r="AA108" s="1">
        <f t="shared" si="197"/>
        <v>480.48</v>
      </c>
      <c r="AB108" s="1">
        <f t="shared" si="197"/>
        <v>0</v>
      </c>
      <c r="AC108" s="1">
        <f t="shared" si="197"/>
        <v>130.96</v>
      </c>
      <c r="AD108" s="1">
        <f t="shared" si="197"/>
        <v>0</v>
      </c>
      <c r="AE108" s="1">
        <f t="shared" si="197"/>
        <v>200.06</v>
      </c>
      <c r="AF108" s="1">
        <f t="shared" si="197"/>
        <v>29.12</v>
      </c>
      <c r="AG108" s="1">
        <f t="shared" si="197"/>
        <v>436.8</v>
      </c>
      <c r="AH108" s="1">
        <f t="shared" si="197"/>
        <v>189.28</v>
      </c>
      <c r="AI108" s="1">
        <f t="shared" si="197"/>
        <v>189.2</v>
      </c>
      <c r="AJ108" s="1">
        <f t="shared" si="197"/>
        <v>541.93999999999994</v>
      </c>
      <c r="AK108" s="1">
        <f t="shared" si="197"/>
        <v>0</v>
      </c>
      <c r="AL108" s="1">
        <f t="shared" si="197"/>
        <v>0</v>
      </c>
      <c r="AM108" s="1">
        <f t="shared" si="197"/>
        <v>0</v>
      </c>
      <c r="AN108" s="1">
        <f t="shared" si="197"/>
        <v>145.6</v>
      </c>
      <c r="AO108" s="1">
        <f t="shared" si="197"/>
        <v>0</v>
      </c>
      <c r="AP108" s="1">
        <f t="shared" si="197"/>
        <v>0</v>
      </c>
      <c r="AQ108" s="1">
        <f t="shared" si="197"/>
        <v>0</v>
      </c>
      <c r="AR108" s="3">
        <f t="shared" si="197"/>
        <v>20098.499999999996</v>
      </c>
      <c r="AT108" s="8">
        <f>IF(AR108=0,0,+AR108/PassVol!AR544)</f>
        <v>2.3670356848427745</v>
      </c>
    </row>
    <row r="109" spans="3:46" x14ac:dyDescent="0.25">
      <c r="C109" t="s">
        <v>192</v>
      </c>
      <c r="D109" s="1">
        <f t="shared" ref="D109:AR109" si="199">+D62+D85</f>
        <v>0</v>
      </c>
      <c r="E109" s="1">
        <f t="shared" ref="E109:J109" si="200">+E62+E85</f>
        <v>0</v>
      </c>
      <c r="F109" s="1">
        <f t="shared" si="200"/>
        <v>0</v>
      </c>
      <c r="G109" s="1">
        <f t="shared" si="200"/>
        <v>1073.76</v>
      </c>
      <c r="H109" s="1">
        <f t="shared" si="200"/>
        <v>0</v>
      </c>
      <c r="I109" s="1">
        <f t="shared" si="200"/>
        <v>453.18</v>
      </c>
      <c r="J109" s="1">
        <f t="shared" si="200"/>
        <v>1266.5999999999999</v>
      </c>
      <c r="K109" s="1">
        <f t="shared" si="199"/>
        <v>15610.32</v>
      </c>
      <c r="L109" s="1">
        <f t="shared" si="199"/>
        <v>0</v>
      </c>
      <c r="M109" s="1">
        <f t="shared" si="199"/>
        <v>0</v>
      </c>
      <c r="N109" s="1">
        <f t="shared" si="199"/>
        <v>266.03999999999996</v>
      </c>
      <c r="O109" s="1">
        <f t="shared" si="199"/>
        <v>862.38</v>
      </c>
      <c r="P109" s="1">
        <f t="shared" si="199"/>
        <v>827.40000000000009</v>
      </c>
      <c r="Q109" s="1">
        <f t="shared" si="199"/>
        <v>2280.48</v>
      </c>
      <c r="R109" s="1">
        <f t="shared" si="199"/>
        <v>980.16000000000008</v>
      </c>
      <c r="S109" s="1">
        <f t="shared" si="199"/>
        <v>2526.12</v>
      </c>
      <c r="T109" s="1">
        <f t="shared" si="199"/>
        <v>1695.48</v>
      </c>
      <c r="U109" s="1">
        <f t="shared" si="199"/>
        <v>2831.58</v>
      </c>
      <c r="V109" s="1">
        <f t="shared" si="199"/>
        <v>1113.24</v>
      </c>
      <c r="W109" s="1">
        <f t="shared" si="199"/>
        <v>2685.1800000000003</v>
      </c>
      <c r="X109" s="1">
        <f t="shared" si="199"/>
        <v>3156.18</v>
      </c>
      <c r="Y109" s="1">
        <f t="shared" si="199"/>
        <v>913.92000000000007</v>
      </c>
      <c r="Z109" s="1">
        <f t="shared" si="199"/>
        <v>366.6</v>
      </c>
      <c r="AA109" s="1">
        <f t="shared" si="199"/>
        <v>1242.3600000000001</v>
      </c>
      <c r="AB109" s="1">
        <f t="shared" si="199"/>
        <v>1483.62</v>
      </c>
      <c r="AC109" s="1">
        <f t="shared" si="199"/>
        <v>537.84</v>
      </c>
      <c r="AD109" s="1">
        <f t="shared" si="199"/>
        <v>498.36</v>
      </c>
      <c r="AE109" s="1">
        <f t="shared" si="199"/>
        <v>0</v>
      </c>
      <c r="AF109" s="1">
        <f t="shared" si="199"/>
        <v>0</v>
      </c>
      <c r="AG109" s="1">
        <f t="shared" si="199"/>
        <v>0</v>
      </c>
      <c r="AH109" s="1">
        <f t="shared" si="199"/>
        <v>490.08000000000004</v>
      </c>
      <c r="AI109" s="1">
        <f t="shared" si="199"/>
        <v>358.32000000000005</v>
      </c>
      <c r="AJ109" s="1">
        <f t="shared" si="199"/>
        <v>1346.1</v>
      </c>
      <c r="AK109" s="1">
        <f t="shared" si="199"/>
        <v>0</v>
      </c>
      <c r="AL109" s="1">
        <f t="shared" si="199"/>
        <v>0</v>
      </c>
      <c r="AM109" s="1">
        <f t="shared" si="199"/>
        <v>0</v>
      </c>
      <c r="AN109" s="1">
        <f t="shared" si="199"/>
        <v>0</v>
      </c>
      <c r="AO109" s="1">
        <f t="shared" si="199"/>
        <v>0</v>
      </c>
      <c r="AP109" s="1">
        <f t="shared" si="199"/>
        <v>0</v>
      </c>
      <c r="AQ109" s="1">
        <f t="shared" si="199"/>
        <v>0</v>
      </c>
      <c r="AR109" s="3">
        <f t="shared" si="199"/>
        <v>44865.30000000001</v>
      </c>
      <c r="AT109" s="8">
        <f>IF(AR109=0,0,+AR109/PassVol!AR545)</f>
        <v>3.9358978857794553</v>
      </c>
    </row>
    <row r="110" spans="3:46" x14ac:dyDescent="0.25">
      <c r="C110" t="s">
        <v>133</v>
      </c>
      <c r="D110" s="1">
        <f t="shared" ref="D110:AR110" si="201">+D63+D86</f>
        <v>0</v>
      </c>
      <c r="E110" s="1">
        <f t="shared" ref="E110:J110" si="202">+E63+E86</f>
        <v>0</v>
      </c>
      <c r="F110" s="1">
        <f t="shared" si="202"/>
        <v>0</v>
      </c>
      <c r="G110" s="1">
        <f t="shared" si="202"/>
        <v>0</v>
      </c>
      <c r="H110" s="1">
        <f t="shared" si="202"/>
        <v>0</v>
      </c>
      <c r="I110" s="1">
        <f t="shared" si="202"/>
        <v>0</v>
      </c>
      <c r="J110" s="1">
        <f t="shared" si="202"/>
        <v>0</v>
      </c>
      <c r="K110" s="1">
        <f t="shared" si="201"/>
        <v>0</v>
      </c>
      <c r="L110" s="1">
        <f t="shared" si="201"/>
        <v>0</v>
      </c>
      <c r="M110" s="1">
        <f t="shared" si="201"/>
        <v>0</v>
      </c>
      <c r="N110" s="1">
        <f t="shared" si="201"/>
        <v>0</v>
      </c>
      <c r="O110" s="1">
        <f t="shared" si="201"/>
        <v>0</v>
      </c>
      <c r="P110" s="1">
        <f t="shared" si="201"/>
        <v>0</v>
      </c>
      <c r="Q110" s="1">
        <f t="shared" si="201"/>
        <v>56.16</v>
      </c>
      <c r="R110" s="1">
        <f t="shared" si="201"/>
        <v>126.8</v>
      </c>
      <c r="S110" s="1">
        <f t="shared" si="201"/>
        <v>105.75999999999999</v>
      </c>
      <c r="T110" s="1">
        <f t="shared" si="201"/>
        <v>56.16</v>
      </c>
      <c r="U110" s="1">
        <f t="shared" si="201"/>
        <v>15.439999999999998</v>
      </c>
      <c r="V110" s="1">
        <f t="shared" si="201"/>
        <v>34.159999999999997</v>
      </c>
      <c r="W110" s="1">
        <f t="shared" si="201"/>
        <v>0</v>
      </c>
      <c r="X110" s="1">
        <f t="shared" si="201"/>
        <v>0</v>
      </c>
      <c r="Y110" s="1">
        <f t="shared" si="201"/>
        <v>0</v>
      </c>
      <c r="Z110" s="1">
        <f t="shared" si="201"/>
        <v>292.95999999999998</v>
      </c>
      <c r="AA110" s="1">
        <f t="shared" si="201"/>
        <v>68.319999999999993</v>
      </c>
      <c r="AB110" s="1">
        <f t="shared" si="201"/>
        <v>0</v>
      </c>
      <c r="AC110" s="1">
        <f t="shared" si="201"/>
        <v>0</v>
      </c>
      <c r="AD110" s="1">
        <f t="shared" si="201"/>
        <v>102.47999999999999</v>
      </c>
      <c r="AE110" s="1">
        <f t="shared" si="201"/>
        <v>0</v>
      </c>
      <c r="AF110" s="1">
        <f t="shared" si="201"/>
        <v>482.88</v>
      </c>
      <c r="AG110" s="1">
        <f t="shared" si="201"/>
        <v>149.76</v>
      </c>
      <c r="AH110" s="1">
        <f t="shared" si="201"/>
        <v>0</v>
      </c>
      <c r="AI110" s="1">
        <f t="shared" si="201"/>
        <v>0</v>
      </c>
      <c r="AJ110" s="1">
        <f t="shared" si="201"/>
        <v>0</v>
      </c>
      <c r="AK110" s="1">
        <f t="shared" si="201"/>
        <v>0</v>
      </c>
      <c r="AL110" s="1">
        <f t="shared" si="201"/>
        <v>0</v>
      </c>
      <c r="AM110" s="1">
        <f t="shared" si="201"/>
        <v>0</v>
      </c>
      <c r="AN110" s="1">
        <f t="shared" si="201"/>
        <v>0</v>
      </c>
      <c r="AO110" s="1">
        <f t="shared" si="201"/>
        <v>0</v>
      </c>
      <c r="AP110" s="1">
        <f t="shared" si="201"/>
        <v>0</v>
      </c>
      <c r="AQ110" s="1">
        <f t="shared" si="201"/>
        <v>0</v>
      </c>
      <c r="AR110" s="3">
        <f t="shared" si="201"/>
        <v>1490.8799999999997</v>
      </c>
      <c r="AT110" s="8">
        <f>IF(AR110=0,0,+AR110/PassVol!AR546)</f>
        <v>0.44690647482014378</v>
      </c>
    </row>
    <row r="111" spans="3:46" x14ac:dyDescent="0.25">
      <c r="C111" t="s">
        <v>41</v>
      </c>
      <c r="D111" s="1">
        <f t="shared" ref="D111:AR111" si="203">+D64+D87</f>
        <v>0</v>
      </c>
      <c r="E111" s="1">
        <f t="shared" ref="E111:J111" si="204">+E64+E87</f>
        <v>0</v>
      </c>
      <c r="F111" s="1">
        <f t="shared" si="204"/>
        <v>0</v>
      </c>
      <c r="G111" s="1">
        <f t="shared" si="204"/>
        <v>0</v>
      </c>
      <c r="H111" s="1">
        <f t="shared" si="204"/>
        <v>13352.400000000001</v>
      </c>
      <c r="I111" s="1">
        <f t="shared" si="204"/>
        <v>0</v>
      </c>
      <c r="J111" s="1">
        <f t="shared" si="204"/>
        <v>-15.44</v>
      </c>
      <c r="K111" s="1">
        <f t="shared" si="203"/>
        <v>482.88</v>
      </c>
      <c r="L111" s="1">
        <f t="shared" si="203"/>
        <v>14056.24</v>
      </c>
      <c r="M111" s="1">
        <f t="shared" si="203"/>
        <v>2610.8000000000002</v>
      </c>
      <c r="N111" s="1">
        <f t="shared" si="203"/>
        <v>14200.000000000002</v>
      </c>
      <c r="O111" s="1">
        <f t="shared" si="203"/>
        <v>1335.52</v>
      </c>
      <c r="P111" s="1">
        <f t="shared" si="203"/>
        <v>16757.36</v>
      </c>
      <c r="Q111" s="1">
        <f t="shared" si="203"/>
        <v>934.48</v>
      </c>
      <c r="R111" s="1">
        <f t="shared" si="203"/>
        <v>14200.38</v>
      </c>
      <c r="S111" s="1">
        <f t="shared" si="203"/>
        <v>5670.16</v>
      </c>
      <c r="T111" s="1">
        <f t="shared" si="203"/>
        <v>12781.68</v>
      </c>
      <c r="U111" s="1">
        <f t="shared" si="203"/>
        <v>9941.3599999999988</v>
      </c>
      <c r="V111" s="1">
        <f t="shared" si="203"/>
        <v>15014.35</v>
      </c>
      <c r="W111" s="1">
        <f t="shared" si="203"/>
        <v>2893.76</v>
      </c>
      <c r="X111" s="1">
        <f t="shared" si="203"/>
        <v>15653.44</v>
      </c>
      <c r="Y111" s="1">
        <f t="shared" si="203"/>
        <v>18437.919999999998</v>
      </c>
      <c r="Z111" s="1">
        <f t="shared" si="203"/>
        <v>1501.12</v>
      </c>
      <c r="AA111" s="1">
        <f t="shared" si="203"/>
        <v>1039.28</v>
      </c>
      <c r="AB111" s="1">
        <f t="shared" si="203"/>
        <v>1441.68</v>
      </c>
      <c r="AC111" s="1">
        <f t="shared" si="203"/>
        <v>467.04</v>
      </c>
      <c r="AD111" s="1">
        <f t="shared" si="203"/>
        <v>1517.52</v>
      </c>
      <c r="AE111" s="1">
        <f t="shared" si="203"/>
        <v>1341.12</v>
      </c>
      <c r="AF111" s="1">
        <f t="shared" si="203"/>
        <v>2787.2</v>
      </c>
      <c r="AG111" s="1">
        <f t="shared" si="203"/>
        <v>1777.84</v>
      </c>
      <c r="AH111" s="1">
        <f t="shared" si="203"/>
        <v>970.95999999999992</v>
      </c>
      <c r="AI111" s="1">
        <f t="shared" si="203"/>
        <v>2284.48</v>
      </c>
      <c r="AJ111" s="1">
        <f t="shared" si="203"/>
        <v>2994.08</v>
      </c>
      <c r="AK111" s="1">
        <f t="shared" si="203"/>
        <v>1623.8400000000001</v>
      </c>
      <c r="AL111" s="1">
        <f t="shared" si="203"/>
        <v>560.6400000000001</v>
      </c>
      <c r="AM111" s="1">
        <f t="shared" si="203"/>
        <v>958.4</v>
      </c>
      <c r="AN111" s="1">
        <f t="shared" si="203"/>
        <v>170.79999999999998</v>
      </c>
      <c r="AO111" s="1">
        <f t="shared" si="203"/>
        <v>1629.8400000000001</v>
      </c>
      <c r="AP111" s="1">
        <f t="shared" si="203"/>
        <v>0</v>
      </c>
      <c r="AQ111" s="1">
        <f t="shared" si="203"/>
        <v>0</v>
      </c>
      <c r="AR111" s="3">
        <f t="shared" si="203"/>
        <v>181373.12999999995</v>
      </c>
      <c r="AT111" s="8">
        <f>IF(AR111=0,0,+AR111/PassVol!AR547)</f>
        <v>6.124987505065512</v>
      </c>
    </row>
    <row r="112" spans="3:46" x14ac:dyDescent="0.25">
      <c r="C112" t="s">
        <v>193</v>
      </c>
      <c r="D112" s="1">
        <f t="shared" ref="D112:AR112" si="205">+D65+D88</f>
        <v>0</v>
      </c>
      <c r="E112" s="1">
        <f t="shared" ref="E112:J112" si="206">+E65+E88</f>
        <v>0</v>
      </c>
      <c r="F112" s="1">
        <f t="shared" si="206"/>
        <v>0</v>
      </c>
      <c r="G112" s="1">
        <f t="shared" si="206"/>
        <v>0</v>
      </c>
      <c r="H112" s="1">
        <f t="shared" si="206"/>
        <v>0</v>
      </c>
      <c r="I112" s="1">
        <f t="shared" si="206"/>
        <v>0</v>
      </c>
      <c r="J112" s="1">
        <f t="shared" si="206"/>
        <v>0</v>
      </c>
      <c r="K112" s="1">
        <f t="shared" si="205"/>
        <v>0</v>
      </c>
      <c r="L112" s="1">
        <f t="shared" si="205"/>
        <v>0</v>
      </c>
      <c r="M112" s="1">
        <f t="shared" si="205"/>
        <v>0</v>
      </c>
      <c r="N112" s="1">
        <f t="shared" si="205"/>
        <v>0</v>
      </c>
      <c r="O112" s="1">
        <f t="shared" si="205"/>
        <v>0</v>
      </c>
      <c r="P112" s="1">
        <f t="shared" si="205"/>
        <v>0</v>
      </c>
      <c r="Q112" s="1">
        <f t="shared" si="205"/>
        <v>0</v>
      </c>
      <c r="R112" s="1">
        <f t="shared" si="205"/>
        <v>0</v>
      </c>
      <c r="S112" s="1">
        <f t="shared" si="205"/>
        <v>0</v>
      </c>
      <c r="T112" s="1">
        <f t="shared" si="205"/>
        <v>0</v>
      </c>
      <c r="U112" s="1">
        <f t="shared" si="205"/>
        <v>0</v>
      </c>
      <c r="V112" s="1">
        <f t="shared" si="205"/>
        <v>0</v>
      </c>
      <c r="W112" s="1">
        <f t="shared" si="205"/>
        <v>0</v>
      </c>
      <c r="X112" s="1">
        <f t="shared" si="205"/>
        <v>0</v>
      </c>
      <c r="Y112" s="1">
        <f t="shared" si="205"/>
        <v>0</v>
      </c>
      <c r="Z112" s="1">
        <f t="shared" si="205"/>
        <v>0</v>
      </c>
      <c r="AA112" s="1">
        <f t="shared" si="205"/>
        <v>0</v>
      </c>
      <c r="AB112" s="1">
        <f t="shared" si="205"/>
        <v>0</v>
      </c>
      <c r="AC112" s="1">
        <f t="shared" si="205"/>
        <v>0</v>
      </c>
      <c r="AD112" s="1">
        <f t="shared" si="205"/>
        <v>0</v>
      </c>
      <c r="AE112" s="1">
        <f t="shared" si="205"/>
        <v>0</v>
      </c>
      <c r="AF112" s="1">
        <f t="shared" si="205"/>
        <v>0</v>
      </c>
      <c r="AG112" s="1">
        <f t="shared" si="205"/>
        <v>0</v>
      </c>
      <c r="AH112" s="1">
        <f t="shared" si="205"/>
        <v>0</v>
      </c>
      <c r="AI112" s="1">
        <f t="shared" si="205"/>
        <v>0</v>
      </c>
      <c r="AJ112" s="1">
        <f t="shared" si="205"/>
        <v>0</v>
      </c>
      <c r="AK112" s="1">
        <f t="shared" si="205"/>
        <v>0</v>
      </c>
      <c r="AL112" s="1">
        <f t="shared" si="205"/>
        <v>0</v>
      </c>
      <c r="AM112" s="1">
        <f t="shared" si="205"/>
        <v>0</v>
      </c>
      <c r="AN112" s="1">
        <f t="shared" si="205"/>
        <v>0</v>
      </c>
      <c r="AO112" s="1">
        <f t="shared" si="205"/>
        <v>0</v>
      </c>
      <c r="AP112" s="1">
        <f t="shared" si="205"/>
        <v>0</v>
      </c>
      <c r="AQ112" s="1">
        <f t="shared" si="205"/>
        <v>0</v>
      </c>
      <c r="AR112" s="3">
        <f t="shared" si="205"/>
        <v>0</v>
      </c>
      <c r="AT112" s="8">
        <f>IF(AR112=0,0,+AR112/PassVol!AR548)</f>
        <v>0</v>
      </c>
    </row>
    <row r="113" spans="1:47" x14ac:dyDescent="0.25">
      <c r="C113" t="s">
        <v>297</v>
      </c>
      <c r="D113" s="1">
        <f t="shared" ref="D113:AR113" si="207">+D66+D89</f>
        <v>0</v>
      </c>
      <c r="E113" s="1">
        <f t="shared" ref="E113:J113" si="208">+E66+E89</f>
        <v>0</v>
      </c>
      <c r="F113" s="1">
        <f t="shared" si="208"/>
        <v>0</v>
      </c>
      <c r="G113" s="1">
        <f t="shared" si="208"/>
        <v>0</v>
      </c>
      <c r="H113" s="1">
        <f t="shared" si="208"/>
        <v>0</v>
      </c>
      <c r="I113" s="1">
        <f t="shared" si="208"/>
        <v>0</v>
      </c>
      <c r="J113" s="1">
        <f t="shared" si="208"/>
        <v>0</v>
      </c>
      <c r="K113" s="1">
        <f t="shared" si="207"/>
        <v>0</v>
      </c>
      <c r="L113" s="1">
        <f t="shared" si="207"/>
        <v>0</v>
      </c>
      <c r="M113" s="1">
        <f t="shared" si="207"/>
        <v>0</v>
      </c>
      <c r="N113" s="1">
        <f t="shared" si="207"/>
        <v>0</v>
      </c>
      <c r="O113" s="1">
        <f t="shared" si="207"/>
        <v>0</v>
      </c>
      <c r="P113" s="1">
        <f t="shared" si="207"/>
        <v>0</v>
      </c>
      <c r="Q113" s="1">
        <f t="shared" si="207"/>
        <v>0</v>
      </c>
      <c r="R113" s="1">
        <f t="shared" si="207"/>
        <v>0</v>
      </c>
      <c r="S113" s="1">
        <f t="shared" si="207"/>
        <v>0</v>
      </c>
      <c r="T113" s="1">
        <f t="shared" si="207"/>
        <v>0</v>
      </c>
      <c r="U113" s="1">
        <f t="shared" si="207"/>
        <v>0</v>
      </c>
      <c r="V113" s="1">
        <f t="shared" si="207"/>
        <v>0</v>
      </c>
      <c r="W113" s="1">
        <f t="shared" si="207"/>
        <v>0</v>
      </c>
      <c r="X113" s="1">
        <f t="shared" si="207"/>
        <v>0</v>
      </c>
      <c r="Y113" s="1">
        <f t="shared" si="207"/>
        <v>0</v>
      </c>
      <c r="Z113" s="1">
        <f t="shared" si="207"/>
        <v>0</v>
      </c>
      <c r="AA113" s="1">
        <f t="shared" si="207"/>
        <v>0</v>
      </c>
      <c r="AB113" s="1">
        <f t="shared" si="207"/>
        <v>0</v>
      </c>
      <c r="AC113" s="1">
        <f t="shared" si="207"/>
        <v>0</v>
      </c>
      <c r="AD113" s="1">
        <f t="shared" si="207"/>
        <v>0</v>
      </c>
      <c r="AE113" s="1">
        <f t="shared" si="207"/>
        <v>0</v>
      </c>
      <c r="AF113" s="1">
        <f t="shared" si="207"/>
        <v>0</v>
      </c>
      <c r="AG113" s="1">
        <f t="shared" si="207"/>
        <v>0</v>
      </c>
      <c r="AH113" s="1">
        <f t="shared" si="207"/>
        <v>0</v>
      </c>
      <c r="AI113" s="1">
        <f t="shared" si="207"/>
        <v>0</v>
      </c>
      <c r="AJ113" s="1">
        <f t="shared" si="207"/>
        <v>0</v>
      </c>
      <c r="AK113" s="1">
        <f t="shared" si="207"/>
        <v>0</v>
      </c>
      <c r="AL113" s="1">
        <f t="shared" si="207"/>
        <v>0</v>
      </c>
      <c r="AM113" s="1">
        <f t="shared" si="207"/>
        <v>0</v>
      </c>
      <c r="AN113" s="1">
        <f t="shared" si="207"/>
        <v>0</v>
      </c>
      <c r="AO113" s="1">
        <f t="shared" si="207"/>
        <v>0</v>
      </c>
      <c r="AP113" s="1">
        <f t="shared" si="207"/>
        <v>0</v>
      </c>
      <c r="AQ113" s="1">
        <f t="shared" si="207"/>
        <v>0</v>
      </c>
      <c r="AR113" s="3">
        <f t="shared" si="207"/>
        <v>0</v>
      </c>
      <c r="AT113" s="8">
        <f>IF(AR113=0,0,+AR113/PassVol!AR549)</f>
        <v>0</v>
      </c>
    </row>
    <row r="114" spans="1:47" x14ac:dyDescent="0.25">
      <c r="C114" t="s">
        <v>296</v>
      </c>
      <c r="D114" s="1">
        <f t="shared" ref="D114:AR114" si="209">+D67+D90</f>
        <v>0</v>
      </c>
      <c r="E114" s="1">
        <f t="shared" ref="E114:J114" si="210">+E67+E90</f>
        <v>0</v>
      </c>
      <c r="F114" s="1">
        <f t="shared" si="210"/>
        <v>0</v>
      </c>
      <c r="G114" s="1">
        <f t="shared" si="210"/>
        <v>932.16000000000008</v>
      </c>
      <c r="H114" s="1">
        <f t="shared" si="210"/>
        <v>-170.03</v>
      </c>
      <c r="I114" s="1">
        <f t="shared" si="210"/>
        <v>-2.08</v>
      </c>
      <c r="J114" s="1">
        <f t="shared" si="210"/>
        <v>-8.32</v>
      </c>
      <c r="K114" s="1">
        <f t="shared" si="209"/>
        <v>0</v>
      </c>
      <c r="L114" s="1">
        <f t="shared" si="209"/>
        <v>509.12</v>
      </c>
      <c r="M114" s="1">
        <f t="shared" si="209"/>
        <v>164.24</v>
      </c>
      <c r="N114" s="1">
        <f t="shared" si="209"/>
        <v>532.07999999999993</v>
      </c>
      <c r="O114" s="1">
        <f t="shared" si="209"/>
        <v>288.72000000000003</v>
      </c>
      <c r="P114" s="1">
        <f t="shared" si="209"/>
        <v>569.52</v>
      </c>
      <c r="Q114" s="1">
        <f t="shared" si="209"/>
        <v>754.8</v>
      </c>
      <c r="R114" s="1">
        <f t="shared" si="209"/>
        <v>234.88</v>
      </c>
      <c r="S114" s="1">
        <f t="shared" si="209"/>
        <v>696.32</v>
      </c>
      <c r="T114" s="1">
        <f t="shared" si="209"/>
        <v>888.16</v>
      </c>
      <c r="U114" s="1">
        <f t="shared" si="209"/>
        <v>602.72</v>
      </c>
      <c r="V114" s="1">
        <f t="shared" si="209"/>
        <v>343.91999999999996</v>
      </c>
      <c r="W114" s="1">
        <f t="shared" si="209"/>
        <v>320.56</v>
      </c>
      <c r="X114" s="1">
        <f t="shared" si="209"/>
        <v>239.12</v>
      </c>
      <c r="Y114" s="1">
        <f t="shared" si="209"/>
        <v>762.32</v>
      </c>
      <c r="Z114" s="1">
        <f t="shared" si="209"/>
        <v>210.56</v>
      </c>
      <c r="AA114" s="1">
        <f t="shared" si="209"/>
        <v>386.96000000000004</v>
      </c>
      <c r="AB114" s="1">
        <f t="shared" si="209"/>
        <v>671.04</v>
      </c>
      <c r="AC114" s="1">
        <f t="shared" si="209"/>
        <v>148.79999999999998</v>
      </c>
      <c r="AD114" s="1">
        <f t="shared" si="209"/>
        <v>0</v>
      </c>
      <c r="AE114" s="1">
        <f t="shared" si="209"/>
        <v>439.84000000000003</v>
      </c>
      <c r="AF114" s="1">
        <f t="shared" si="209"/>
        <v>0</v>
      </c>
      <c r="AG114" s="1">
        <f t="shared" si="209"/>
        <v>0</v>
      </c>
      <c r="AH114" s="1">
        <f t="shared" si="209"/>
        <v>192.79999999999998</v>
      </c>
      <c r="AI114" s="1">
        <f t="shared" si="209"/>
        <v>0</v>
      </c>
      <c r="AJ114" s="1">
        <f t="shared" si="209"/>
        <v>164.24</v>
      </c>
      <c r="AK114" s="1">
        <f t="shared" si="209"/>
        <v>0</v>
      </c>
      <c r="AL114" s="1">
        <f t="shared" si="209"/>
        <v>0</v>
      </c>
      <c r="AM114" s="1">
        <f t="shared" si="209"/>
        <v>279.83999999999997</v>
      </c>
      <c r="AN114" s="1">
        <f t="shared" si="209"/>
        <v>0</v>
      </c>
      <c r="AO114" s="1">
        <f t="shared" si="209"/>
        <v>0</v>
      </c>
      <c r="AP114" s="1">
        <f t="shared" si="209"/>
        <v>0</v>
      </c>
      <c r="AQ114" s="1">
        <f t="shared" si="209"/>
        <v>0</v>
      </c>
      <c r="AR114" s="3">
        <f t="shared" si="209"/>
        <v>10152.290000000003</v>
      </c>
      <c r="AT114" s="8">
        <f>IF(AR114=0,0,+AR114/PassVol!AR550)</f>
        <v>4.7044902687673789</v>
      </c>
    </row>
    <row r="115" spans="1:47" x14ac:dyDescent="0.25">
      <c r="C115" t="s">
        <v>44</v>
      </c>
      <c r="D115" s="1">
        <f t="shared" ref="D115:W115" si="211">+D68+D91</f>
        <v>0</v>
      </c>
      <c r="E115" s="1">
        <f t="shared" ref="E115:J115" si="212">+E68+E91</f>
        <v>0</v>
      </c>
      <c r="F115" s="1">
        <f t="shared" si="212"/>
        <v>0</v>
      </c>
      <c r="G115" s="1">
        <f t="shared" si="212"/>
        <v>5479.8000000000029</v>
      </c>
      <c r="H115" s="1">
        <f t="shared" si="212"/>
        <v>12632.76</v>
      </c>
      <c r="I115" s="1">
        <f t="shared" si="212"/>
        <v>3514.3</v>
      </c>
      <c r="J115" s="1">
        <f t="shared" si="212"/>
        <v>4058.8399999999992</v>
      </c>
      <c r="K115" s="1">
        <f t="shared" si="211"/>
        <v>5528.6399999999994</v>
      </c>
      <c r="L115" s="1">
        <f t="shared" si="211"/>
        <v>15954.380000000001</v>
      </c>
      <c r="M115" s="1">
        <f t="shared" si="211"/>
        <v>14254.779999999999</v>
      </c>
      <c r="N115" s="1">
        <f t="shared" si="211"/>
        <v>17199.100000000002</v>
      </c>
      <c r="O115" s="1">
        <f t="shared" si="211"/>
        <v>19643.2</v>
      </c>
      <c r="P115" s="1">
        <f t="shared" si="211"/>
        <v>31004.679999999997</v>
      </c>
      <c r="Q115" s="1">
        <f t="shared" si="211"/>
        <v>28313.03</v>
      </c>
      <c r="R115" s="1">
        <f t="shared" si="211"/>
        <v>32449.249999999996</v>
      </c>
      <c r="S115" s="1">
        <f t="shared" si="211"/>
        <v>39935.78</v>
      </c>
      <c r="T115" s="1">
        <f t="shared" si="211"/>
        <v>32384.329999999994</v>
      </c>
      <c r="U115" s="1">
        <f t="shared" si="211"/>
        <v>41505.11</v>
      </c>
      <c r="V115" s="1">
        <f t="shared" si="211"/>
        <v>28703.300000000007</v>
      </c>
      <c r="W115" s="1">
        <f t="shared" si="211"/>
        <v>35608.420000000006</v>
      </c>
      <c r="X115" s="1">
        <f>+X68+X91+X92</f>
        <v>29291.999999999993</v>
      </c>
      <c r="Y115" s="1">
        <f t="shared" ref="Y115:AQ115" si="213">+Y68+Y91</f>
        <v>21749.45</v>
      </c>
      <c r="Z115" s="1">
        <f t="shared" si="213"/>
        <v>17732.000000000004</v>
      </c>
      <c r="AA115" s="1">
        <f t="shared" si="213"/>
        <v>14584.010000000002</v>
      </c>
      <c r="AB115" s="1">
        <f t="shared" si="213"/>
        <v>9399.3000000000011</v>
      </c>
      <c r="AC115" s="1">
        <f t="shared" si="213"/>
        <v>11329.1</v>
      </c>
      <c r="AD115" s="1">
        <f t="shared" si="213"/>
        <v>5213.3799999999992</v>
      </c>
      <c r="AE115" s="1">
        <f t="shared" si="213"/>
        <v>5143.3199999999988</v>
      </c>
      <c r="AF115" s="1">
        <f t="shared" si="213"/>
        <v>5018.2000000000007</v>
      </c>
      <c r="AG115" s="1">
        <f t="shared" si="213"/>
        <v>3899.62</v>
      </c>
      <c r="AH115" s="1">
        <f t="shared" si="213"/>
        <v>4980.8999999999996</v>
      </c>
      <c r="AI115" s="1">
        <f t="shared" si="213"/>
        <v>2017.5800000000008</v>
      </c>
      <c r="AJ115" s="1">
        <f t="shared" si="213"/>
        <v>7799.0899999999974</v>
      </c>
      <c r="AK115" s="1">
        <f t="shared" si="213"/>
        <v>3459.68</v>
      </c>
      <c r="AL115" s="1">
        <f t="shared" si="213"/>
        <v>4270</v>
      </c>
      <c r="AM115" s="1">
        <f t="shared" si="213"/>
        <v>1195.3200000000002</v>
      </c>
      <c r="AN115" s="1">
        <f t="shared" si="213"/>
        <v>1857.7499999999998</v>
      </c>
      <c r="AO115" s="1">
        <f t="shared" si="213"/>
        <v>562</v>
      </c>
      <c r="AP115" s="1">
        <f t="shared" si="213"/>
        <v>506.06</v>
      </c>
      <c r="AQ115" s="1">
        <f t="shared" si="213"/>
        <v>0</v>
      </c>
      <c r="AR115" s="3">
        <f>+AR68+AR91+AR92</f>
        <v>518178.45999999996</v>
      </c>
      <c r="AT115" s="8">
        <f>IF(AR115=0,0,+AR115/PassVol!AR551)</f>
        <v>4.801016019493936</v>
      </c>
    </row>
    <row r="116" spans="1:47" s="2" customFormat="1" x14ac:dyDescent="0.25">
      <c r="A116" s="2" t="s">
        <v>153</v>
      </c>
      <c r="D116" s="3">
        <f t="shared" ref="D116:AR116" si="214">SUM(D97:D115)</f>
        <v>0</v>
      </c>
      <c r="E116" s="3">
        <f t="shared" ref="E116:J116" si="215">SUM(E97:E115)</f>
        <v>0</v>
      </c>
      <c r="F116" s="3">
        <f t="shared" si="215"/>
        <v>0</v>
      </c>
      <c r="G116" s="3">
        <f t="shared" si="215"/>
        <v>81506.080000000002</v>
      </c>
      <c r="H116" s="3">
        <f t="shared" si="215"/>
        <v>38290.620000000003</v>
      </c>
      <c r="I116" s="3">
        <f t="shared" si="215"/>
        <v>7306.25</v>
      </c>
      <c r="J116" s="3">
        <f t="shared" si="215"/>
        <v>22766.76</v>
      </c>
      <c r="K116" s="3">
        <f t="shared" si="214"/>
        <v>55754.720000000001</v>
      </c>
      <c r="L116" s="3">
        <f t="shared" si="214"/>
        <v>56677.720000000016</v>
      </c>
      <c r="M116" s="3">
        <f t="shared" si="214"/>
        <v>49382.96</v>
      </c>
      <c r="N116" s="3">
        <f t="shared" si="214"/>
        <v>61761.920000000013</v>
      </c>
      <c r="O116" s="3">
        <f t="shared" si="214"/>
        <v>45861.96</v>
      </c>
      <c r="P116" s="3">
        <f t="shared" si="214"/>
        <v>70844.399999999994</v>
      </c>
      <c r="Q116" s="3">
        <f t="shared" si="214"/>
        <v>73741.550000000017</v>
      </c>
      <c r="R116" s="3">
        <f t="shared" si="214"/>
        <v>79987.14</v>
      </c>
      <c r="S116" s="3">
        <f t="shared" si="214"/>
        <v>86076.5</v>
      </c>
      <c r="T116" s="3">
        <f t="shared" si="214"/>
        <v>88307.209999999992</v>
      </c>
      <c r="U116" s="3">
        <f t="shared" si="214"/>
        <v>100534.05</v>
      </c>
      <c r="V116" s="3">
        <f t="shared" si="214"/>
        <v>80883.320000000007</v>
      </c>
      <c r="W116" s="3">
        <f t="shared" si="214"/>
        <v>78734.52</v>
      </c>
      <c r="X116" s="3">
        <f t="shared" si="214"/>
        <v>87527.599999999991</v>
      </c>
      <c r="Y116" s="3">
        <f t="shared" si="214"/>
        <v>75563.654999999999</v>
      </c>
      <c r="Z116" s="3">
        <f t="shared" si="214"/>
        <v>42946.16</v>
      </c>
      <c r="AA116" s="3">
        <f t="shared" si="214"/>
        <v>46231.75</v>
      </c>
      <c r="AB116" s="3">
        <f t="shared" si="214"/>
        <v>35999.96</v>
      </c>
      <c r="AC116" s="3">
        <f t="shared" si="214"/>
        <v>27525.919999999998</v>
      </c>
      <c r="AD116" s="3">
        <f t="shared" si="214"/>
        <v>29390.400000000001</v>
      </c>
      <c r="AE116" s="3">
        <f t="shared" si="214"/>
        <v>15214.719999999998</v>
      </c>
      <c r="AF116" s="3">
        <f t="shared" si="214"/>
        <v>13091.05</v>
      </c>
      <c r="AG116" s="3">
        <f t="shared" si="214"/>
        <v>14197.279999999999</v>
      </c>
      <c r="AH116" s="3">
        <f t="shared" si="214"/>
        <v>15673.919999999996</v>
      </c>
      <c r="AI116" s="3">
        <f t="shared" si="214"/>
        <v>17196.919999999998</v>
      </c>
      <c r="AJ116" s="3">
        <f t="shared" si="214"/>
        <v>33586.219999999994</v>
      </c>
      <c r="AK116" s="3">
        <f t="shared" si="214"/>
        <v>14955.1</v>
      </c>
      <c r="AL116" s="3">
        <f t="shared" si="214"/>
        <v>11801.760000000002</v>
      </c>
      <c r="AM116" s="3">
        <f t="shared" si="214"/>
        <v>7326.26</v>
      </c>
      <c r="AN116" s="3">
        <f t="shared" si="214"/>
        <v>6573.13</v>
      </c>
      <c r="AO116" s="3">
        <f t="shared" si="214"/>
        <v>2176.4</v>
      </c>
      <c r="AP116" s="3">
        <f t="shared" si="214"/>
        <v>990.28</v>
      </c>
      <c r="AQ116" s="3">
        <f t="shared" si="214"/>
        <v>-154.4</v>
      </c>
      <c r="AR116" s="3">
        <f t="shared" si="214"/>
        <v>1576231.7650000001</v>
      </c>
      <c r="AS116" s="3"/>
      <c r="AT116" s="9">
        <f>IF(AR116=0,0,+AR116/PassVol!AR552)</f>
        <v>5.1530713314284595</v>
      </c>
      <c r="AU116" s="61"/>
    </row>
    <row r="117" spans="1:47" s="24" customFormat="1" x14ac:dyDescent="0.25">
      <c r="A117" s="23"/>
      <c r="B117" s="23"/>
      <c r="C117" s="27" t="s">
        <v>102</v>
      </c>
      <c r="D117" s="25">
        <f>+D116</f>
        <v>0</v>
      </c>
      <c r="E117" s="25">
        <f>+D117+E116</f>
        <v>0</v>
      </c>
      <c r="F117" s="25">
        <f t="shared" ref="F117" si="216">+E117+F116</f>
        <v>0</v>
      </c>
      <c r="G117" s="25">
        <f t="shared" ref="G117" si="217">+F117+G116</f>
        <v>81506.080000000002</v>
      </c>
      <c r="H117" s="25">
        <f t="shared" ref="H117" si="218">+G117+H116</f>
        <v>119796.70000000001</v>
      </c>
      <c r="I117" s="25">
        <f t="shared" ref="I117" si="219">+H117+I116</f>
        <v>127102.95000000001</v>
      </c>
      <c r="J117" s="25">
        <f t="shared" ref="J117" si="220">+I117+J116</f>
        <v>149869.71000000002</v>
      </c>
      <c r="K117" s="25">
        <f t="shared" ref="K117" si="221">+J117+K116</f>
        <v>205624.43000000002</v>
      </c>
      <c r="L117" s="25">
        <f t="shared" ref="L117" si="222">+K117+L116</f>
        <v>262302.15000000002</v>
      </c>
      <c r="M117" s="25">
        <f t="shared" ref="M117" si="223">+L117+M116</f>
        <v>311685.11000000004</v>
      </c>
      <c r="N117" s="25">
        <f t="shared" ref="N117" si="224">+M117+N116</f>
        <v>373447.03</v>
      </c>
      <c r="O117" s="25">
        <f t="shared" ref="O117" si="225">+N117+O116</f>
        <v>419308.99000000005</v>
      </c>
      <c r="P117" s="25">
        <f t="shared" ref="P117" si="226">+O117+P116</f>
        <v>490153.39</v>
      </c>
      <c r="Q117" s="25">
        <f t="shared" ref="Q117" si="227">+P117+Q116</f>
        <v>563894.94000000006</v>
      </c>
      <c r="R117" s="25">
        <f t="shared" ref="R117" si="228">+Q117+R116</f>
        <v>643882.08000000007</v>
      </c>
      <c r="S117" s="25">
        <f t="shared" ref="S117" si="229">+R117+S116</f>
        <v>729958.58000000007</v>
      </c>
      <c r="T117" s="25">
        <f t="shared" ref="T117" si="230">+S117+T116</f>
        <v>818265.79</v>
      </c>
      <c r="U117" s="25">
        <f t="shared" ref="U117" si="231">+T117+U116</f>
        <v>918799.84000000008</v>
      </c>
      <c r="V117" s="25">
        <f t="shared" ref="V117" si="232">+U117+V116</f>
        <v>999683.16000000015</v>
      </c>
      <c r="W117" s="25">
        <f t="shared" ref="W117" si="233">+V117+W116</f>
        <v>1078417.6800000002</v>
      </c>
      <c r="X117" s="25">
        <f t="shared" ref="X117" si="234">+W117+X116</f>
        <v>1165945.2800000003</v>
      </c>
      <c r="Y117" s="25">
        <f t="shared" ref="Y117" si="235">+X117+Y116</f>
        <v>1241508.9350000003</v>
      </c>
      <c r="Z117" s="25">
        <f t="shared" ref="Z117" si="236">+Y117+Z116</f>
        <v>1284455.0950000002</v>
      </c>
      <c r="AA117" s="25">
        <f t="shared" ref="AA117" si="237">+Z117+AA116</f>
        <v>1330686.8450000002</v>
      </c>
      <c r="AB117" s="25">
        <f t="shared" ref="AB117" si="238">+AA117+AB116</f>
        <v>1366686.8050000002</v>
      </c>
      <c r="AC117" s="25">
        <f t="shared" ref="AC117" si="239">+AB117+AC116</f>
        <v>1394212.7250000001</v>
      </c>
      <c r="AD117" s="25">
        <f t="shared" ref="AD117" si="240">+AC117+AD116</f>
        <v>1423603.125</v>
      </c>
      <c r="AE117" s="25">
        <f t="shared" ref="AE117" si="241">+AD117+AE116</f>
        <v>1438817.845</v>
      </c>
      <c r="AF117" s="25">
        <f t="shared" ref="AF117" si="242">+AE117+AF116</f>
        <v>1451908.895</v>
      </c>
      <c r="AG117" s="25">
        <f t="shared" ref="AG117" si="243">+AF117+AG116</f>
        <v>1466106.175</v>
      </c>
      <c r="AH117" s="25">
        <f t="shared" ref="AH117" si="244">+AG117+AH116</f>
        <v>1481780.095</v>
      </c>
      <c r="AI117" s="25">
        <f t="shared" ref="AI117" si="245">+AH117+AI116</f>
        <v>1498977.0149999999</v>
      </c>
      <c r="AJ117" s="25">
        <f t="shared" ref="AJ117" si="246">+AI117+AJ116</f>
        <v>1532563.2349999999</v>
      </c>
      <c r="AK117" s="25">
        <f t="shared" ref="AK117" si="247">+AJ117+AK116</f>
        <v>1547518.335</v>
      </c>
      <c r="AL117" s="25">
        <f t="shared" ref="AL117" si="248">+AK117+AL116</f>
        <v>1559320.095</v>
      </c>
      <c r="AM117" s="25">
        <f t="shared" ref="AM117" si="249">+AL117+AM116</f>
        <v>1566646.355</v>
      </c>
      <c r="AN117" s="25">
        <f t="shared" ref="AN117" si="250">+AM117+AN116</f>
        <v>1573219.4849999999</v>
      </c>
      <c r="AO117" s="25">
        <f t="shared" ref="AO117" si="251">+AN117+AO116</f>
        <v>1575395.8849999998</v>
      </c>
      <c r="AP117" s="25">
        <f t="shared" ref="AP117" si="252">+AO117+AP116</f>
        <v>1576386.1649999998</v>
      </c>
      <c r="AQ117" s="25">
        <f t="shared" ref="AQ117" si="253">+AP117+AQ116</f>
        <v>1576231.7649999999</v>
      </c>
      <c r="AR117" s="49"/>
      <c r="AS117" s="25"/>
      <c r="AT117" s="26"/>
      <c r="AU117" s="60"/>
    </row>
    <row r="118" spans="1:47" s="24" customFormat="1" x14ac:dyDescent="0.25">
      <c r="A118" s="23"/>
      <c r="B118" s="23"/>
      <c r="C118" s="38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49"/>
      <c r="AS118" s="25"/>
      <c r="AT118" s="26"/>
      <c r="AU118" s="60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136"/>
  <sheetViews>
    <sheetView workbookViewId="0">
      <pane xSplit="3" ySplit="2" topLeftCell="X59" activePane="bottomRight" state="frozen"/>
      <selection pane="topRight" activeCell="D1" sqref="D1"/>
      <selection pane="bottomLeft" activeCell="A3" sqref="A3"/>
      <selection pane="bottomRight" activeCell="AP80" sqref="AP80"/>
    </sheetView>
  </sheetViews>
  <sheetFormatPr defaultRowHeight="15" x14ac:dyDescent="0.25"/>
  <cols>
    <col min="1" max="2" width="3.42578125" style="2" customWidth="1"/>
    <col min="3" max="3" width="28.85546875" customWidth="1"/>
    <col min="4" max="43" width="9.140625" style="1" customWidth="1"/>
    <col min="44" max="44" width="9.140625" style="3"/>
    <col min="45" max="45" width="4.42578125" style="1" customWidth="1"/>
    <col min="46" max="46" width="9.140625" style="8"/>
  </cols>
  <sheetData>
    <row r="1" spans="1:45" x14ac:dyDescent="0.25">
      <c r="A1" s="2" t="s">
        <v>43</v>
      </c>
      <c r="D1" s="142">
        <v>45292</v>
      </c>
      <c r="E1" s="142">
        <v>45292</v>
      </c>
      <c r="F1" s="142">
        <v>45292</v>
      </c>
      <c r="G1" s="142">
        <v>45292</v>
      </c>
      <c r="H1" s="142">
        <v>45292</v>
      </c>
      <c r="I1" s="142">
        <v>45323</v>
      </c>
      <c r="J1" s="142">
        <v>45323</v>
      </c>
      <c r="K1" s="142">
        <v>45323</v>
      </c>
      <c r="L1" s="142">
        <v>45323</v>
      </c>
      <c r="M1" s="142">
        <v>45352</v>
      </c>
      <c r="N1" s="142">
        <v>45352</v>
      </c>
      <c r="O1" s="142">
        <v>45352</v>
      </c>
      <c r="P1" s="142">
        <v>45352</v>
      </c>
      <c r="Q1" s="142">
        <v>45383</v>
      </c>
      <c r="R1" s="142">
        <v>45383</v>
      </c>
      <c r="S1" s="142">
        <v>45383</v>
      </c>
      <c r="T1" s="142">
        <v>45383</v>
      </c>
      <c r="U1" s="142">
        <v>45413</v>
      </c>
      <c r="V1" s="142">
        <v>45413</v>
      </c>
      <c r="W1" s="142">
        <v>45413</v>
      </c>
      <c r="X1" s="142">
        <v>45413</v>
      </c>
      <c r="Y1" s="142">
        <v>45413</v>
      </c>
      <c r="Z1" s="142">
        <v>45444</v>
      </c>
      <c r="AA1" s="142">
        <v>45444</v>
      </c>
      <c r="AB1" s="142">
        <v>45444</v>
      </c>
      <c r="AC1" s="142">
        <v>45444</v>
      </c>
      <c r="AD1" s="142">
        <v>45474</v>
      </c>
      <c r="AE1" s="142">
        <v>45474</v>
      </c>
      <c r="AF1" s="142">
        <v>45474</v>
      </c>
      <c r="AG1" s="142">
        <v>45474</v>
      </c>
      <c r="AH1" s="142">
        <v>45474</v>
      </c>
      <c r="AI1" s="142">
        <v>45505</v>
      </c>
      <c r="AJ1" s="142">
        <v>45505</v>
      </c>
      <c r="AK1" s="142">
        <v>45505</v>
      </c>
      <c r="AL1" s="142">
        <v>45505</v>
      </c>
      <c r="AM1" s="142">
        <v>45536</v>
      </c>
      <c r="AN1" s="142">
        <v>45536</v>
      </c>
      <c r="AO1" s="142">
        <v>45536</v>
      </c>
      <c r="AP1" s="142">
        <v>45536</v>
      </c>
      <c r="AQ1" s="13" t="s">
        <v>282</v>
      </c>
    </row>
    <row r="2" spans="1:45" x14ac:dyDescent="0.25">
      <c r="A2" s="2" t="s">
        <v>202</v>
      </c>
      <c r="D2" s="13" t="s">
        <v>491</v>
      </c>
      <c r="E2" s="13" t="s">
        <v>492</v>
      </c>
      <c r="F2" s="13" t="s">
        <v>493</v>
      </c>
      <c r="G2" s="13" t="s">
        <v>494</v>
      </c>
      <c r="H2" s="13" t="s">
        <v>495</v>
      </c>
      <c r="I2" s="13" t="s">
        <v>496</v>
      </c>
      <c r="J2" s="13" t="s">
        <v>263</v>
      </c>
      <c r="K2" s="13" t="s">
        <v>264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3" t="s">
        <v>54</v>
      </c>
      <c r="V2" s="13" t="s">
        <v>20</v>
      </c>
      <c r="W2" s="13" t="s">
        <v>21</v>
      </c>
      <c r="X2" s="13" t="s">
        <v>22</v>
      </c>
      <c r="Y2" s="13" t="s">
        <v>23</v>
      </c>
      <c r="Z2" s="13" t="s">
        <v>24</v>
      </c>
      <c r="AA2" s="13" t="s">
        <v>25</v>
      </c>
      <c r="AB2" s="13" t="s">
        <v>26</v>
      </c>
      <c r="AC2" s="13" t="s">
        <v>27</v>
      </c>
      <c r="AD2" s="13" t="s">
        <v>28</v>
      </c>
      <c r="AE2" s="13" t="s">
        <v>29</v>
      </c>
      <c r="AF2" s="13" t="s">
        <v>30</v>
      </c>
      <c r="AG2" s="13" t="s">
        <v>31</v>
      </c>
      <c r="AH2" s="13" t="s">
        <v>32</v>
      </c>
      <c r="AI2" s="13" t="s">
        <v>33</v>
      </c>
      <c r="AJ2" s="13" t="s">
        <v>34</v>
      </c>
      <c r="AK2" s="13" t="s">
        <v>55</v>
      </c>
      <c r="AL2" s="13" t="s">
        <v>56</v>
      </c>
      <c r="AM2" s="13" t="s">
        <v>57</v>
      </c>
      <c r="AN2" s="13" t="s">
        <v>58</v>
      </c>
      <c r="AO2" s="13" t="s">
        <v>59</v>
      </c>
      <c r="AP2" s="13" t="s">
        <v>60</v>
      </c>
      <c r="AQ2" s="4" t="s">
        <v>61</v>
      </c>
      <c r="AR2" s="52" t="s">
        <v>2</v>
      </c>
    </row>
    <row r="3" spans="1:45" x14ac:dyDescent="0.25">
      <c r="A3"/>
      <c r="B3" s="2" t="s">
        <v>135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AR3" s="9"/>
      <c r="AS3"/>
    </row>
    <row r="4" spans="1:45" x14ac:dyDescent="0.25">
      <c r="A4" s="2" t="s">
        <v>275</v>
      </c>
      <c r="C4" t="s">
        <v>203</v>
      </c>
      <c r="Q4" s="1">
        <v>-8.4600000000000009</v>
      </c>
      <c r="AR4" s="3">
        <f>SUM(D4:AQ4)</f>
        <v>-8.4600000000000009</v>
      </c>
      <c r="AS4"/>
    </row>
    <row r="5" spans="1:45" x14ac:dyDescent="0.25">
      <c r="A5" s="2" t="s">
        <v>275</v>
      </c>
      <c r="C5" t="s">
        <v>721</v>
      </c>
      <c r="AR5" s="3">
        <f>SUM(D5:AQ5)</f>
        <v>0</v>
      </c>
    </row>
    <row r="6" spans="1:45" x14ac:dyDescent="0.25">
      <c r="A6" s="2" t="s">
        <v>275</v>
      </c>
      <c r="C6" t="s">
        <v>399</v>
      </c>
      <c r="O6" s="1">
        <v>-8.4600000000000009</v>
      </c>
      <c r="AB6" s="1">
        <v>-8.4600000000000009</v>
      </c>
      <c r="AR6" s="3">
        <f t="shared" ref="AR6:AR13" si="0">SUM(D6:AQ6)</f>
        <v>-16.920000000000002</v>
      </c>
      <c r="AS6"/>
    </row>
    <row r="7" spans="1:45" x14ac:dyDescent="0.25">
      <c r="A7" s="2" t="s">
        <v>275</v>
      </c>
      <c r="C7" t="s">
        <v>702</v>
      </c>
      <c r="AR7" s="3">
        <f t="shared" si="0"/>
        <v>0</v>
      </c>
      <c r="AS7"/>
    </row>
    <row r="8" spans="1:45" x14ac:dyDescent="0.25">
      <c r="A8" s="2" t="s">
        <v>275</v>
      </c>
      <c r="C8" t="s">
        <v>222</v>
      </c>
      <c r="Q8" s="1">
        <v>-8.4600000000000009</v>
      </c>
      <c r="Y8" s="1">
        <v>-8.4600000000000009</v>
      </c>
      <c r="AB8" s="1">
        <v>-42.3</v>
      </c>
      <c r="AR8" s="3">
        <f t="shared" si="0"/>
        <v>-59.22</v>
      </c>
      <c r="AS8"/>
    </row>
    <row r="9" spans="1:45" x14ac:dyDescent="0.25">
      <c r="A9" s="2" t="s">
        <v>275</v>
      </c>
      <c r="C9" t="s">
        <v>447</v>
      </c>
      <c r="M9" s="1">
        <v>-2.82</v>
      </c>
      <c r="Q9" s="1">
        <v>-16.920000000000002</v>
      </c>
      <c r="S9" s="1">
        <v>-8.4600000000000009</v>
      </c>
      <c r="T9" s="1">
        <v>-8.4600000000000009</v>
      </c>
      <c r="AR9" s="3">
        <f t="shared" si="0"/>
        <v>-36.660000000000004</v>
      </c>
      <c r="AS9"/>
    </row>
    <row r="10" spans="1:45" x14ac:dyDescent="0.25">
      <c r="A10" s="2" t="s">
        <v>275</v>
      </c>
      <c r="C10" t="s">
        <v>400</v>
      </c>
      <c r="X10" s="1">
        <v>-16.920000000000002</v>
      </c>
      <c r="AK10" s="1">
        <v>-8.4600000000000009</v>
      </c>
      <c r="AR10" s="3">
        <f t="shared" si="0"/>
        <v>-25.380000000000003</v>
      </c>
      <c r="AS10"/>
    </row>
    <row r="11" spans="1:45" x14ac:dyDescent="0.25">
      <c r="A11" s="2" t="s">
        <v>275</v>
      </c>
      <c r="C11" t="s">
        <v>448</v>
      </c>
      <c r="M11" s="1">
        <v>-8.4600000000000009</v>
      </c>
      <c r="P11" s="1">
        <v>-5.64</v>
      </c>
      <c r="Q11" s="1">
        <v>-16.920000000000002</v>
      </c>
      <c r="AB11" s="1">
        <v>-16.920000000000002</v>
      </c>
      <c r="AR11" s="3">
        <f t="shared" si="0"/>
        <v>-47.940000000000005</v>
      </c>
      <c r="AS11"/>
    </row>
    <row r="12" spans="1:45" x14ac:dyDescent="0.25">
      <c r="A12" s="2" t="s">
        <v>275</v>
      </c>
      <c r="C12" t="s">
        <v>401</v>
      </c>
      <c r="M12" s="1">
        <v>-16.920000000000002</v>
      </c>
      <c r="AA12" s="1">
        <v>-8.4600000000000009</v>
      </c>
      <c r="AG12" s="1">
        <v>-16.920000000000002</v>
      </c>
      <c r="AR12" s="3">
        <f t="shared" si="0"/>
        <v>-42.300000000000004</v>
      </c>
      <c r="AS12"/>
    </row>
    <row r="13" spans="1:45" x14ac:dyDescent="0.25">
      <c r="A13" s="2" t="s">
        <v>275</v>
      </c>
      <c r="C13" t="s">
        <v>204</v>
      </c>
      <c r="R13" s="1">
        <v>-8.4600000000000009</v>
      </c>
      <c r="AR13" s="3">
        <f t="shared" si="0"/>
        <v>-8.4600000000000009</v>
      </c>
      <c r="AS13"/>
    </row>
    <row r="14" spans="1:45" x14ac:dyDescent="0.25">
      <c r="A14" s="2" t="s">
        <v>275</v>
      </c>
      <c r="C14" t="s">
        <v>292</v>
      </c>
      <c r="Y14" s="1">
        <v>-67.680000000000007</v>
      </c>
      <c r="AR14" s="3">
        <f t="shared" ref="AR14:AR42" si="1">SUM(D14:AQ14)</f>
        <v>-67.680000000000007</v>
      </c>
      <c r="AS14"/>
    </row>
    <row r="15" spans="1:45" x14ac:dyDescent="0.25">
      <c r="A15" s="2" t="s">
        <v>275</v>
      </c>
      <c r="C15" t="s">
        <v>205</v>
      </c>
      <c r="R15" s="1">
        <v>-2.82</v>
      </c>
      <c r="W15" s="1">
        <v>-76.14</v>
      </c>
      <c r="AB15" s="1">
        <v>-16.920000000000002</v>
      </c>
      <c r="AE15" s="1">
        <v>-8.4600000000000009</v>
      </c>
      <c r="AI15" s="1">
        <v>-4.2300000000000004</v>
      </c>
      <c r="AR15" s="3">
        <f t="shared" si="1"/>
        <v>-108.57000000000001</v>
      </c>
      <c r="AS15"/>
    </row>
    <row r="16" spans="1:45" x14ac:dyDescent="0.25">
      <c r="A16" s="2" t="s">
        <v>275</v>
      </c>
      <c r="C16" t="s">
        <v>363</v>
      </c>
      <c r="M16" s="1">
        <v>-8.4600000000000009</v>
      </c>
      <c r="AG16" s="1">
        <v>-50.76</v>
      </c>
      <c r="AR16" s="3">
        <f t="shared" si="1"/>
        <v>-59.22</v>
      </c>
      <c r="AS16"/>
    </row>
    <row r="17" spans="1:45" x14ac:dyDescent="0.25">
      <c r="A17" s="2" t="s">
        <v>275</v>
      </c>
      <c r="C17" t="s">
        <v>402</v>
      </c>
      <c r="Q17" s="1">
        <v>-25.38</v>
      </c>
      <c r="X17" s="1">
        <v>-8.4600000000000009</v>
      </c>
      <c r="AE17" s="1">
        <v>-16.920000000000002</v>
      </c>
      <c r="AM17" s="1">
        <v>-25.38</v>
      </c>
      <c r="AR17" s="3">
        <f t="shared" si="1"/>
        <v>-76.14</v>
      </c>
      <c r="AS17"/>
    </row>
    <row r="18" spans="1:45" x14ac:dyDescent="0.25">
      <c r="A18" s="2" t="s">
        <v>275</v>
      </c>
      <c r="C18" t="s">
        <v>206</v>
      </c>
      <c r="T18" s="1">
        <v>-33.840000000000003</v>
      </c>
      <c r="AR18" s="3">
        <f t="shared" si="1"/>
        <v>-33.840000000000003</v>
      </c>
      <c r="AS18"/>
    </row>
    <row r="19" spans="1:45" x14ac:dyDescent="0.25">
      <c r="A19" s="2" t="s">
        <v>275</v>
      </c>
      <c r="C19" t="s">
        <v>207</v>
      </c>
      <c r="Q19" s="1">
        <v>-16.920000000000002</v>
      </c>
      <c r="Y19" s="1">
        <v>-16.920000000000002</v>
      </c>
      <c r="Z19" s="1">
        <v>-16.920000000000002</v>
      </c>
      <c r="AR19" s="3">
        <f t="shared" si="1"/>
        <v>-50.760000000000005</v>
      </c>
      <c r="AS19"/>
    </row>
    <row r="20" spans="1:45" x14ac:dyDescent="0.25">
      <c r="A20" s="2" t="s">
        <v>275</v>
      </c>
      <c r="C20" t="s">
        <v>403</v>
      </c>
      <c r="AR20" s="3">
        <f t="shared" si="1"/>
        <v>0</v>
      </c>
      <c r="AS20"/>
    </row>
    <row r="21" spans="1:45" x14ac:dyDescent="0.25">
      <c r="A21" s="2" t="s">
        <v>275</v>
      </c>
      <c r="C21" t="s">
        <v>208</v>
      </c>
      <c r="S21" s="1">
        <v>-8.4600000000000009</v>
      </c>
      <c r="AR21" s="3">
        <f t="shared" si="1"/>
        <v>-8.4600000000000009</v>
      </c>
      <c r="AS21"/>
    </row>
    <row r="22" spans="1:45" x14ac:dyDescent="0.25">
      <c r="A22" s="2" t="s">
        <v>275</v>
      </c>
      <c r="C22" t="s">
        <v>209</v>
      </c>
      <c r="R22" s="1">
        <v>-16.920000000000002</v>
      </c>
      <c r="S22" s="1">
        <v>-11.28</v>
      </c>
      <c r="X22" s="1">
        <v>-8.4600000000000009</v>
      </c>
      <c r="AB22" s="1">
        <v>-8.4600000000000009</v>
      </c>
      <c r="AF22" s="1">
        <v>-8.4600000000000009</v>
      </c>
      <c r="AH22" s="1">
        <v>-126.9</v>
      </c>
      <c r="AM22" s="1">
        <v>-8.4600000000000009</v>
      </c>
      <c r="AR22" s="3">
        <f t="shared" si="1"/>
        <v>-188.94000000000003</v>
      </c>
      <c r="AS22"/>
    </row>
    <row r="23" spans="1:45" x14ac:dyDescent="0.25">
      <c r="A23" s="2" t="s">
        <v>275</v>
      </c>
      <c r="C23" t="s">
        <v>287</v>
      </c>
      <c r="AR23" s="3">
        <f t="shared" si="1"/>
        <v>0</v>
      </c>
      <c r="AS23"/>
    </row>
    <row r="24" spans="1:45" x14ac:dyDescent="0.25">
      <c r="A24" s="2" t="s">
        <v>275</v>
      </c>
      <c r="C24" t="s">
        <v>449</v>
      </c>
      <c r="AL24" s="1">
        <v>-8.4600000000000009</v>
      </c>
      <c r="AR24" s="3">
        <f t="shared" si="1"/>
        <v>-8.4600000000000009</v>
      </c>
      <c r="AS24"/>
    </row>
    <row r="25" spans="1:45" x14ac:dyDescent="0.25">
      <c r="A25" s="2" t="s">
        <v>275</v>
      </c>
      <c r="C25" t="s">
        <v>210</v>
      </c>
      <c r="AA25" s="1">
        <v>-143.82</v>
      </c>
      <c r="AR25" s="3">
        <f t="shared" si="1"/>
        <v>-143.82</v>
      </c>
      <c r="AS25"/>
    </row>
    <row r="26" spans="1:45" x14ac:dyDescent="0.25">
      <c r="A26" s="2" t="s">
        <v>275</v>
      </c>
      <c r="C26" t="s">
        <v>450</v>
      </c>
      <c r="X26" s="1">
        <v>-16.920000000000002</v>
      </c>
      <c r="Z26" s="1">
        <v>-8.4600000000000009</v>
      </c>
      <c r="AJ26" s="1">
        <v>-8.4600000000000009</v>
      </c>
      <c r="AM26" s="1">
        <v>-25.38</v>
      </c>
      <c r="AR26" s="3">
        <f t="shared" si="1"/>
        <v>-59.22</v>
      </c>
      <c r="AS26"/>
    </row>
    <row r="27" spans="1:45" x14ac:dyDescent="0.25">
      <c r="A27" s="2" t="s">
        <v>275</v>
      </c>
      <c r="C27" t="s">
        <v>211</v>
      </c>
      <c r="AR27" s="3">
        <f t="shared" si="1"/>
        <v>0</v>
      </c>
      <c r="AS27"/>
    </row>
    <row r="28" spans="1:45" x14ac:dyDescent="0.25">
      <c r="A28" s="2" t="s">
        <v>275</v>
      </c>
      <c r="C28" t="s">
        <v>404</v>
      </c>
      <c r="Y28" s="1">
        <v>-16.920000000000002</v>
      </c>
      <c r="Z28" s="1">
        <v>-8.4600000000000009</v>
      </c>
      <c r="AJ28" s="1">
        <v>-12.69</v>
      </c>
      <c r="AM28" s="1">
        <v>-8.4600000000000009</v>
      </c>
      <c r="AR28" s="3">
        <f t="shared" si="1"/>
        <v>-46.53</v>
      </c>
      <c r="AS28"/>
    </row>
    <row r="29" spans="1:45" x14ac:dyDescent="0.25">
      <c r="A29" s="2" t="s">
        <v>275</v>
      </c>
      <c r="C29" t="s">
        <v>703</v>
      </c>
      <c r="AR29" s="3">
        <f t="shared" si="1"/>
        <v>0</v>
      </c>
      <c r="AS29"/>
    </row>
    <row r="30" spans="1:45" x14ac:dyDescent="0.25">
      <c r="A30" s="2" t="s">
        <v>275</v>
      </c>
      <c r="C30" t="s">
        <v>408</v>
      </c>
      <c r="AR30" s="3">
        <f t="shared" si="1"/>
        <v>0</v>
      </c>
      <c r="AS30"/>
    </row>
    <row r="31" spans="1:45" x14ac:dyDescent="0.25">
      <c r="A31" s="2" t="s">
        <v>275</v>
      </c>
      <c r="C31" t="s">
        <v>216</v>
      </c>
      <c r="O31" s="1">
        <v>-25.38</v>
      </c>
      <c r="Q31" s="1">
        <v>-33.840000000000003</v>
      </c>
      <c r="AB31" s="1">
        <v>-25.38</v>
      </c>
      <c r="AD31" s="1">
        <v>-4.2300000000000004</v>
      </c>
      <c r="AR31" s="3">
        <f t="shared" si="1"/>
        <v>-88.83</v>
      </c>
      <c r="AS31"/>
    </row>
    <row r="32" spans="1:45" x14ac:dyDescent="0.25">
      <c r="A32" s="2" t="s">
        <v>275</v>
      </c>
      <c r="C32" t="s">
        <v>366</v>
      </c>
      <c r="U32" s="1">
        <v>-29.61</v>
      </c>
      <c r="AJ32" s="1">
        <v>-16.920000000000002</v>
      </c>
      <c r="AR32" s="3">
        <f t="shared" si="1"/>
        <v>-46.53</v>
      </c>
      <c r="AS32"/>
    </row>
    <row r="33" spans="1:46" x14ac:dyDescent="0.25">
      <c r="A33" s="2" t="s">
        <v>275</v>
      </c>
      <c r="C33" t="s">
        <v>405</v>
      </c>
      <c r="M33" s="1">
        <v>-16.920000000000002</v>
      </c>
      <c r="O33" s="1">
        <v>-40.89</v>
      </c>
      <c r="P33" s="1">
        <v>-33.840000000000003</v>
      </c>
      <c r="Y33" s="1">
        <v>-8.4600000000000009</v>
      </c>
      <c r="AB33" s="1">
        <v>-59.22</v>
      </c>
      <c r="AD33" s="1">
        <v>-1.41</v>
      </c>
      <c r="AE33" s="1">
        <v>-8.4600000000000009</v>
      </c>
      <c r="AL33" s="1">
        <v>-27.38</v>
      </c>
      <c r="AR33" s="3">
        <f t="shared" si="1"/>
        <v>-196.58</v>
      </c>
      <c r="AS33"/>
    </row>
    <row r="34" spans="1:46" x14ac:dyDescent="0.25">
      <c r="A34" s="2" t="s">
        <v>275</v>
      </c>
      <c r="C34" t="s">
        <v>451</v>
      </c>
      <c r="T34" s="1">
        <v>-8.4600000000000009</v>
      </c>
      <c r="AH34" s="1">
        <v>-4.2300000000000004</v>
      </c>
      <c r="AR34" s="3">
        <f t="shared" si="1"/>
        <v>-12.690000000000001</v>
      </c>
      <c r="AS34"/>
    </row>
    <row r="35" spans="1:46" x14ac:dyDescent="0.25">
      <c r="A35" s="2" t="s">
        <v>275</v>
      </c>
      <c r="C35" t="s">
        <v>212</v>
      </c>
      <c r="L35" s="1">
        <v>-29.61</v>
      </c>
      <c r="V35" s="1">
        <v>-8.4600000000000009</v>
      </c>
      <c r="W35" s="1">
        <v>-25.38</v>
      </c>
      <c r="Y35" s="1">
        <v>-42.3</v>
      </c>
      <c r="AG35" s="1">
        <v>-1.41</v>
      </c>
      <c r="AR35" s="3">
        <f t="shared" si="1"/>
        <v>-107.16</v>
      </c>
      <c r="AS35"/>
    </row>
    <row r="36" spans="1:46" x14ac:dyDescent="0.25">
      <c r="A36" s="2" t="s">
        <v>275</v>
      </c>
      <c r="C36" t="s">
        <v>406</v>
      </c>
      <c r="M36" s="1">
        <v>-25.38</v>
      </c>
      <c r="Q36" s="1">
        <v>-8.4600000000000009</v>
      </c>
      <c r="AC36" s="1">
        <v>-16.920000000000002</v>
      </c>
      <c r="AH36" s="1">
        <v>-8.4600000000000009</v>
      </c>
      <c r="AR36" s="3">
        <f t="shared" si="1"/>
        <v>-59.220000000000006</v>
      </c>
      <c r="AS36"/>
    </row>
    <row r="37" spans="1:46" x14ac:dyDescent="0.25">
      <c r="A37" s="2" t="s">
        <v>275</v>
      </c>
      <c r="C37" t="s">
        <v>673</v>
      </c>
      <c r="S37" s="1">
        <v>-12.69</v>
      </c>
      <c r="W37" s="1">
        <v>-50.76</v>
      </c>
      <c r="AG37" s="1">
        <v>-8.4600000000000009</v>
      </c>
      <c r="AR37" s="3">
        <f t="shared" si="1"/>
        <v>-71.91</v>
      </c>
      <c r="AS37"/>
    </row>
    <row r="38" spans="1:46" x14ac:dyDescent="0.25">
      <c r="A38" s="2" t="s">
        <v>275</v>
      </c>
      <c r="C38" t="s">
        <v>213</v>
      </c>
      <c r="L38" s="1">
        <v>-16.920000000000002</v>
      </c>
      <c r="Q38" s="1">
        <v>-8.4600000000000009</v>
      </c>
      <c r="X38" s="1">
        <v>-42.3</v>
      </c>
      <c r="AB38" s="1">
        <v>-59.22</v>
      </c>
      <c r="AE38" s="1">
        <v>-8.4600000000000009</v>
      </c>
      <c r="AJ38" s="1">
        <v>-8.4600000000000009</v>
      </c>
      <c r="AR38" s="3">
        <f t="shared" si="1"/>
        <v>-143.82000000000002</v>
      </c>
      <c r="AS38"/>
    </row>
    <row r="39" spans="1:46" x14ac:dyDescent="0.25">
      <c r="A39" s="2" t="s">
        <v>275</v>
      </c>
      <c r="C39" t="s">
        <v>214</v>
      </c>
      <c r="AK39" s="1">
        <v>-8.4600000000000009</v>
      </c>
      <c r="AR39" s="3">
        <f t="shared" si="1"/>
        <v>-8.4600000000000009</v>
      </c>
    </row>
    <row r="40" spans="1:46" x14ac:dyDescent="0.25">
      <c r="A40" s="2" t="s">
        <v>275</v>
      </c>
      <c r="C40" t="s">
        <v>452</v>
      </c>
      <c r="T40" s="1">
        <v>-8.4600000000000009</v>
      </c>
      <c r="AC40" s="1">
        <v>-22.56</v>
      </c>
      <c r="AR40" s="3">
        <f t="shared" si="1"/>
        <v>-31.02</v>
      </c>
    </row>
    <row r="41" spans="1:46" x14ac:dyDescent="0.25">
      <c r="A41" s="2" t="s">
        <v>275</v>
      </c>
      <c r="C41" t="s">
        <v>50</v>
      </c>
      <c r="M41" s="1">
        <v>-25.38</v>
      </c>
      <c r="Q41" s="1">
        <v>-16.920000000000002</v>
      </c>
      <c r="Y41" s="1">
        <v>-25.38</v>
      </c>
      <c r="AA41" s="1">
        <v>-67.680000000000007</v>
      </c>
      <c r="AB41" s="1">
        <v>-8.4600000000000009</v>
      </c>
      <c r="AR41" s="3">
        <f t="shared" si="1"/>
        <v>-143.82000000000002</v>
      </c>
    </row>
    <row r="42" spans="1:46" x14ac:dyDescent="0.25">
      <c r="A42" s="2" t="s">
        <v>275</v>
      </c>
      <c r="C42" t="s">
        <v>407</v>
      </c>
      <c r="Q42" s="1">
        <v>-1.41</v>
      </c>
      <c r="R42" s="1">
        <v>-8.4600000000000009</v>
      </c>
      <c r="S42" s="1">
        <v>-8.4600000000000009</v>
      </c>
      <c r="AR42" s="3">
        <f t="shared" si="1"/>
        <v>-18.330000000000002</v>
      </c>
    </row>
    <row r="43" spans="1:46" x14ac:dyDescent="0.25">
      <c r="A43" s="2" t="s">
        <v>275</v>
      </c>
      <c r="C43" t="s">
        <v>215</v>
      </c>
      <c r="L43" s="1">
        <v>-6.96</v>
      </c>
      <c r="S43" s="1">
        <f>-31.32-33.84</f>
        <v>-65.16</v>
      </c>
      <c r="X43" s="1">
        <v>-8.4600000000000009</v>
      </c>
      <c r="Y43" s="1">
        <v>-8.4600000000000009</v>
      </c>
      <c r="AE43" s="1">
        <v>-59.22</v>
      </c>
      <c r="AG43" s="1">
        <v>-22.56</v>
      </c>
      <c r="AR43" s="3">
        <f>SUM(D43:AQ43)</f>
        <v>-170.82</v>
      </c>
    </row>
    <row r="44" spans="1:46" x14ac:dyDescent="0.25">
      <c r="A44" s="2" t="s">
        <v>275</v>
      </c>
      <c r="C44" t="s">
        <v>453</v>
      </c>
      <c r="S44" s="1">
        <v>-8.4600000000000009</v>
      </c>
      <c r="AR44" s="3">
        <f>SUM(D44:AQ44)</f>
        <v>-8.4600000000000009</v>
      </c>
    </row>
    <row r="45" spans="1:46" x14ac:dyDescent="0.25">
      <c r="A45" s="2" t="s">
        <v>275</v>
      </c>
      <c r="C45" t="s">
        <v>194</v>
      </c>
      <c r="AR45" s="3">
        <f>SUM(D45:AQ45)</f>
        <v>0</v>
      </c>
    </row>
    <row r="46" spans="1:46" s="2" customFormat="1" x14ac:dyDescent="0.25">
      <c r="B46" s="2" t="s">
        <v>136</v>
      </c>
      <c r="D46" s="3">
        <f t="shared" ref="D46:AR46" si="2">SUM(D4:D45)</f>
        <v>0</v>
      </c>
      <c r="E46" s="3">
        <f t="shared" si="2"/>
        <v>0</v>
      </c>
      <c r="F46" s="3">
        <f t="shared" si="2"/>
        <v>0</v>
      </c>
      <c r="G46" s="3">
        <f t="shared" si="2"/>
        <v>0</v>
      </c>
      <c r="H46" s="3">
        <f t="shared" si="2"/>
        <v>0</v>
      </c>
      <c r="I46" s="3">
        <f t="shared" si="2"/>
        <v>0</v>
      </c>
      <c r="J46" s="3">
        <f t="shared" si="2"/>
        <v>0</v>
      </c>
      <c r="K46" s="3">
        <f t="shared" si="2"/>
        <v>0</v>
      </c>
      <c r="L46" s="3">
        <f t="shared" si="2"/>
        <v>-53.49</v>
      </c>
      <c r="M46" s="3">
        <f t="shared" si="2"/>
        <v>-104.34</v>
      </c>
      <c r="N46" s="3">
        <f t="shared" si="2"/>
        <v>0</v>
      </c>
      <c r="O46" s="3">
        <f t="shared" si="2"/>
        <v>-74.73</v>
      </c>
      <c r="P46" s="3">
        <f t="shared" si="2"/>
        <v>-39.480000000000004</v>
      </c>
      <c r="Q46" s="3">
        <f t="shared" si="2"/>
        <v>-162.15</v>
      </c>
      <c r="R46" s="3">
        <f t="shared" si="2"/>
        <v>-36.660000000000004</v>
      </c>
      <c r="S46" s="3">
        <f t="shared" si="2"/>
        <v>-122.97</v>
      </c>
      <c r="T46" s="3">
        <f t="shared" si="2"/>
        <v>-59.220000000000006</v>
      </c>
      <c r="U46" s="3">
        <f t="shared" si="2"/>
        <v>-29.61</v>
      </c>
      <c r="V46" s="3">
        <f t="shared" si="2"/>
        <v>-8.4600000000000009</v>
      </c>
      <c r="W46" s="3">
        <f t="shared" si="2"/>
        <v>-152.28</v>
      </c>
      <c r="X46" s="3">
        <f t="shared" si="2"/>
        <v>-101.52000000000001</v>
      </c>
      <c r="Y46" s="3">
        <f t="shared" si="2"/>
        <v>-194.58</v>
      </c>
      <c r="Z46" s="3">
        <f t="shared" si="2"/>
        <v>-33.840000000000003</v>
      </c>
      <c r="AA46" s="3">
        <f t="shared" si="2"/>
        <v>-219.96</v>
      </c>
      <c r="AB46" s="3">
        <f t="shared" si="2"/>
        <v>-245.34</v>
      </c>
      <c r="AC46" s="3">
        <f t="shared" si="2"/>
        <v>-39.480000000000004</v>
      </c>
      <c r="AD46" s="3">
        <f t="shared" si="2"/>
        <v>-5.6400000000000006</v>
      </c>
      <c r="AE46" s="3">
        <f t="shared" si="2"/>
        <v>-101.52000000000001</v>
      </c>
      <c r="AF46" s="3">
        <f t="shared" si="2"/>
        <v>-8.4600000000000009</v>
      </c>
      <c r="AG46" s="3">
        <f t="shared" si="2"/>
        <v>-100.11000000000001</v>
      </c>
      <c r="AH46" s="3">
        <f t="shared" si="2"/>
        <v>-139.59</v>
      </c>
      <c r="AI46" s="3">
        <f t="shared" si="2"/>
        <v>-4.2300000000000004</v>
      </c>
      <c r="AJ46" s="3">
        <f t="shared" si="2"/>
        <v>-46.53</v>
      </c>
      <c r="AK46" s="3">
        <f t="shared" si="2"/>
        <v>-16.920000000000002</v>
      </c>
      <c r="AL46" s="3">
        <f t="shared" si="2"/>
        <v>-35.840000000000003</v>
      </c>
      <c r="AM46" s="3">
        <f t="shared" si="2"/>
        <v>-67.680000000000007</v>
      </c>
      <c r="AN46" s="3">
        <f t="shared" si="2"/>
        <v>0</v>
      </c>
      <c r="AO46" s="3">
        <f t="shared" si="2"/>
        <v>0</v>
      </c>
      <c r="AP46" s="3">
        <f t="shared" si="2"/>
        <v>0</v>
      </c>
      <c r="AQ46" s="3">
        <f t="shared" si="2"/>
        <v>0</v>
      </c>
      <c r="AR46" s="3">
        <f t="shared" si="2"/>
        <v>-2204.63</v>
      </c>
      <c r="AT46" s="9"/>
    </row>
    <row r="47" spans="1:46" s="2" customFormat="1" x14ac:dyDescent="0.25"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T47" s="9"/>
    </row>
    <row r="48" spans="1:46" x14ac:dyDescent="0.25">
      <c r="A48"/>
      <c r="B48" s="2" t="s">
        <v>137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R48" s="9"/>
      <c r="AS48"/>
    </row>
    <row r="49" spans="1:45" x14ac:dyDescent="0.25">
      <c r="A49" s="2" t="s">
        <v>275</v>
      </c>
      <c r="C49" t="s">
        <v>203</v>
      </c>
      <c r="AR49" s="3">
        <f>SUM(D49:AQ49)</f>
        <v>0</v>
      </c>
      <c r="AS49"/>
    </row>
    <row r="50" spans="1:45" x14ac:dyDescent="0.25">
      <c r="A50" s="2" t="s">
        <v>275</v>
      </c>
      <c r="C50" t="s">
        <v>721</v>
      </c>
      <c r="AR50" s="3">
        <f t="shared" ref="AR50:AR57" si="3">SUM(D50:AQ50)</f>
        <v>0</v>
      </c>
      <c r="AS50"/>
    </row>
    <row r="51" spans="1:45" x14ac:dyDescent="0.25">
      <c r="A51" s="2" t="s">
        <v>275</v>
      </c>
      <c r="C51" t="s">
        <v>399</v>
      </c>
      <c r="S51" s="1">
        <v>-0.71</v>
      </c>
      <c r="T51" s="1">
        <v>-5.58</v>
      </c>
      <c r="AR51" s="3">
        <f t="shared" si="3"/>
        <v>-6.29</v>
      </c>
      <c r="AS51"/>
    </row>
    <row r="52" spans="1:45" x14ac:dyDescent="0.25">
      <c r="A52" s="2" t="s">
        <v>275</v>
      </c>
      <c r="C52" t="s">
        <v>702</v>
      </c>
      <c r="AR52" s="3">
        <f t="shared" si="3"/>
        <v>0</v>
      </c>
      <c r="AS52"/>
    </row>
    <row r="53" spans="1:45" x14ac:dyDescent="0.25">
      <c r="A53" s="2" t="s">
        <v>275</v>
      </c>
      <c r="C53" t="s">
        <v>222</v>
      </c>
      <c r="S53" s="1">
        <f>-8.52-0.8</f>
        <v>-9.32</v>
      </c>
      <c r="AR53" s="3">
        <f t="shared" si="3"/>
        <v>-9.32</v>
      </c>
      <c r="AS53"/>
    </row>
    <row r="54" spans="1:45" x14ac:dyDescent="0.25">
      <c r="A54" s="2" t="s">
        <v>275</v>
      </c>
      <c r="C54" t="s">
        <v>447</v>
      </c>
      <c r="AR54" s="3">
        <f t="shared" si="3"/>
        <v>0</v>
      </c>
      <c r="AS54"/>
    </row>
    <row r="55" spans="1:45" x14ac:dyDescent="0.25">
      <c r="A55" s="2" t="s">
        <v>275</v>
      </c>
      <c r="C55" t="s">
        <v>400</v>
      </c>
      <c r="X55" s="1">
        <v>-12.78</v>
      </c>
      <c r="AR55" s="3">
        <f t="shared" si="3"/>
        <v>-12.78</v>
      </c>
      <c r="AS55"/>
    </row>
    <row r="56" spans="1:45" x14ac:dyDescent="0.25">
      <c r="A56" s="2" t="s">
        <v>275</v>
      </c>
      <c r="C56" t="s">
        <v>448</v>
      </c>
      <c r="AR56" s="3">
        <f t="shared" si="3"/>
        <v>0</v>
      </c>
      <c r="AS56"/>
    </row>
    <row r="57" spans="1:45" x14ac:dyDescent="0.25">
      <c r="A57" s="2" t="s">
        <v>275</v>
      </c>
      <c r="C57" t="s">
        <v>401</v>
      </c>
      <c r="AR57" s="3">
        <f t="shared" si="3"/>
        <v>0</v>
      </c>
      <c r="AS57"/>
    </row>
    <row r="58" spans="1:45" x14ac:dyDescent="0.25">
      <c r="A58" s="2" t="s">
        <v>275</v>
      </c>
      <c r="C58" t="s">
        <v>204</v>
      </c>
      <c r="AR58" s="3">
        <f t="shared" ref="AR58:AR90" si="4">SUM(D58:AQ58)</f>
        <v>0</v>
      </c>
      <c r="AS58"/>
    </row>
    <row r="59" spans="1:45" x14ac:dyDescent="0.25">
      <c r="A59" s="2" t="s">
        <v>275</v>
      </c>
      <c r="C59" t="s">
        <v>292</v>
      </c>
      <c r="Y59" s="1">
        <v>-4.26</v>
      </c>
      <c r="AM59" s="1">
        <v>-8.52</v>
      </c>
      <c r="AR59" s="3">
        <f t="shared" si="4"/>
        <v>-12.78</v>
      </c>
      <c r="AS59"/>
    </row>
    <row r="60" spans="1:45" x14ac:dyDescent="0.25">
      <c r="A60" s="2" t="s">
        <v>275</v>
      </c>
      <c r="C60" t="s">
        <v>205</v>
      </c>
      <c r="AR60" s="3">
        <f t="shared" si="4"/>
        <v>0</v>
      </c>
      <c r="AS60"/>
    </row>
    <row r="61" spans="1:45" x14ac:dyDescent="0.25">
      <c r="A61" s="2" t="s">
        <v>275</v>
      </c>
      <c r="C61" t="s">
        <v>363</v>
      </c>
      <c r="O61" s="1">
        <v>-13.49</v>
      </c>
      <c r="S61" s="1">
        <v>-25.56</v>
      </c>
      <c r="AG61" s="1">
        <f>-9.23-8</f>
        <v>-17.23</v>
      </c>
      <c r="AR61" s="3">
        <f t="shared" si="4"/>
        <v>-56.28</v>
      </c>
      <c r="AS61"/>
    </row>
    <row r="62" spans="1:45" x14ac:dyDescent="0.25">
      <c r="A62" s="2" t="s">
        <v>275</v>
      </c>
      <c r="C62" t="s">
        <v>402</v>
      </c>
      <c r="AR62" s="3">
        <f t="shared" si="4"/>
        <v>0</v>
      </c>
      <c r="AS62"/>
    </row>
    <row r="63" spans="1:45" x14ac:dyDescent="0.25">
      <c r="A63" s="2" t="s">
        <v>275</v>
      </c>
      <c r="C63" t="s">
        <v>206</v>
      </c>
      <c r="AR63" s="3">
        <f t="shared" si="4"/>
        <v>0</v>
      </c>
      <c r="AS63"/>
    </row>
    <row r="64" spans="1:45" x14ac:dyDescent="0.25">
      <c r="A64" s="2" t="s">
        <v>275</v>
      </c>
      <c r="C64" t="s">
        <v>207</v>
      </c>
      <c r="AR64" s="3">
        <f t="shared" si="4"/>
        <v>0</v>
      </c>
      <c r="AS64"/>
    </row>
    <row r="65" spans="1:45" x14ac:dyDescent="0.25">
      <c r="A65" s="2" t="s">
        <v>275</v>
      </c>
      <c r="C65" t="s">
        <v>403</v>
      </c>
      <c r="AR65" s="3">
        <f t="shared" si="4"/>
        <v>0</v>
      </c>
      <c r="AS65"/>
    </row>
    <row r="66" spans="1:45" x14ac:dyDescent="0.25">
      <c r="A66" s="2" t="s">
        <v>275</v>
      </c>
      <c r="C66" t="s">
        <v>208</v>
      </c>
      <c r="AR66" s="3">
        <f t="shared" si="4"/>
        <v>0</v>
      </c>
      <c r="AS66"/>
    </row>
    <row r="67" spans="1:45" x14ac:dyDescent="0.25">
      <c r="A67" s="2" t="s">
        <v>275</v>
      </c>
      <c r="C67" t="s">
        <v>209</v>
      </c>
      <c r="AR67" s="3">
        <f t="shared" si="4"/>
        <v>0</v>
      </c>
      <c r="AS67"/>
    </row>
    <row r="68" spans="1:45" x14ac:dyDescent="0.25">
      <c r="A68" s="2" t="s">
        <v>275</v>
      </c>
      <c r="C68" t="s">
        <v>287</v>
      </c>
      <c r="AR68" s="3">
        <f t="shared" si="4"/>
        <v>0</v>
      </c>
      <c r="AS68"/>
    </row>
    <row r="69" spans="1:45" x14ac:dyDescent="0.25">
      <c r="A69" s="2" t="s">
        <v>275</v>
      </c>
      <c r="C69" t="s">
        <v>449</v>
      </c>
      <c r="AR69" s="3">
        <f t="shared" si="4"/>
        <v>0</v>
      </c>
      <c r="AS69"/>
    </row>
    <row r="70" spans="1:45" x14ac:dyDescent="0.25">
      <c r="A70" s="2" t="s">
        <v>275</v>
      </c>
      <c r="C70" t="s">
        <v>210</v>
      </c>
      <c r="AA70" s="1">
        <v>-328.8</v>
      </c>
      <c r="AR70" s="3">
        <f t="shared" si="4"/>
        <v>-328.8</v>
      </c>
      <c r="AS70"/>
    </row>
    <row r="71" spans="1:45" x14ac:dyDescent="0.25">
      <c r="A71" s="2" t="s">
        <v>275</v>
      </c>
      <c r="C71" t="s">
        <v>450</v>
      </c>
      <c r="W71" s="1">
        <v>-270.18</v>
      </c>
      <c r="AR71" s="3">
        <f t="shared" si="4"/>
        <v>-270.18</v>
      </c>
      <c r="AS71"/>
    </row>
    <row r="72" spans="1:45" x14ac:dyDescent="0.25">
      <c r="A72" s="2" t="s">
        <v>275</v>
      </c>
      <c r="C72" t="s">
        <v>211</v>
      </c>
      <c r="AR72" s="3">
        <f t="shared" si="4"/>
        <v>0</v>
      </c>
      <c r="AS72"/>
    </row>
    <row r="73" spans="1:45" x14ac:dyDescent="0.25">
      <c r="A73" s="2" t="s">
        <v>275</v>
      </c>
      <c r="C73" t="s">
        <v>404</v>
      </c>
      <c r="AR73" s="3">
        <f t="shared" si="4"/>
        <v>0</v>
      </c>
      <c r="AS73"/>
    </row>
    <row r="74" spans="1:45" x14ac:dyDescent="0.25">
      <c r="A74" s="2" t="s">
        <v>275</v>
      </c>
      <c r="C74" t="s">
        <v>703</v>
      </c>
      <c r="AR74" s="3">
        <f t="shared" si="4"/>
        <v>0</v>
      </c>
      <c r="AS74"/>
    </row>
    <row r="75" spans="1:45" x14ac:dyDescent="0.25">
      <c r="A75" s="2" t="s">
        <v>275</v>
      </c>
      <c r="C75" t="s">
        <v>408</v>
      </c>
      <c r="AR75" s="3">
        <f t="shared" si="4"/>
        <v>0</v>
      </c>
      <c r="AS75"/>
    </row>
    <row r="76" spans="1:45" x14ac:dyDescent="0.25">
      <c r="A76" s="2" t="s">
        <v>275</v>
      </c>
      <c r="C76" t="s">
        <v>216</v>
      </c>
      <c r="P76" s="1">
        <v>-7.02</v>
      </c>
      <c r="AR76" s="3">
        <f t="shared" si="4"/>
        <v>-7.02</v>
      </c>
      <c r="AS76"/>
    </row>
    <row r="77" spans="1:45" x14ac:dyDescent="0.25">
      <c r="A77" s="2" t="s">
        <v>275</v>
      </c>
      <c r="C77" t="s">
        <v>366</v>
      </c>
      <c r="AR77" s="3">
        <f t="shared" si="4"/>
        <v>0</v>
      </c>
      <c r="AS77"/>
    </row>
    <row r="78" spans="1:45" x14ac:dyDescent="0.25">
      <c r="A78" s="2" t="s">
        <v>275</v>
      </c>
      <c r="C78" t="s">
        <v>405</v>
      </c>
      <c r="AR78" s="3">
        <f t="shared" si="4"/>
        <v>0</v>
      </c>
      <c r="AS78"/>
    </row>
    <row r="79" spans="1:45" x14ac:dyDescent="0.25">
      <c r="A79" s="2" t="s">
        <v>275</v>
      </c>
      <c r="C79" t="s">
        <v>451</v>
      </c>
      <c r="AP79" s="1">
        <v>-10.65</v>
      </c>
      <c r="AR79" s="3">
        <f t="shared" si="4"/>
        <v>-10.65</v>
      </c>
      <c r="AS79"/>
    </row>
    <row r="80" spans="1:45" x14ac:dyDescent="0.25">
      <c r="A80" s="2" t="s">
        <v>275</v>
      </c>
      <c r="C80" t="s">
        <v>212</v>
      </c>
      <c r="V80" s="1">
        <v>-13.95</v>
      </c>
      <c r="AR80" s="3">
        <f t="shared" si="4"/>
        <v>-13.95</v>
      </c>
      <c r="AS80"/>
    </row>
    <row r="81" spans="1:46" x14ac:dyDescent="0.25">
      <c r="A81" s="2" t="s">
        <v>275</v>
      </c>
      <c r="C81" t="s">
        <v>406</v>
      </c>
      <c r="Q81" s="1">
        <f>-25.56-14.4</f>
        <v>-39.96</v>
      </c>
      <c r="W81" s="1">
        <v>-14.4</v>
      </c>
      <c r="AR81" s="3">
        <f t="shared" si="4"/>
        <v>-54.36</v>
      </c>
      <c r="AS81"/>
    </row>
    <row r="82" spans="1:46" x14ac:dyDescent="0.25">
      <c r="A82" s="2" t="s">
        <v>275</v>
      </c>
      <c r="C82" t="s">
        <v>673</v>
      </c>
      <c r="S82" s="1">
        <v>-2.84</v>
      </c>
      <c r="AR82" s="3">
        <f t="shared" si="4"/>
        <v>-2.84</v>
      </c>
      <c r="AS82"/>
    </row>
    <row r="83" spans="1:46" x14ac:dyDescent="0.25">
      <c r="A83" s="2" t="s">
        <v>275</v>
      </c>
      <c r="C83" t="s">
        <v>213</v>
      </c>
      <c r="AR83" s="3">
        <f t="shared" si="4"/>
        <v>0</v>
      </c>
      <c r="AS83"/>
    </row>
    <row r="84" spans="1:46" x14ac:dyDescent="0.25">
      <c r="A84" s="2" t="s">
        <v>275</v>
      </c>
      <c r="C84" t="s">
        <v>214</v>
      </c>
      <c r="Q84" s="1">
        <f>-3.55-9.6</f>
        <v>-13.149999999999999</v>
      </c>
      <c r="S84" s="1">
        <v>-27.9</v>
      </c>
      <c r="AA84" s="1">
        <v>-558</v>
      </c>
      <c r="AR84" s="3">
        <f t="shared" si="4"/>
        <v>-599.04999999999995</v>
      </c>
      <c r="AS84"/>
    </row>
    <row r="85" spans="1:46" x14ac:dyDescent="0.25">
      <c r="A85" s="2" t="s">
        <v>275</v>
      </c>
      <c r="C85" t="s">
        <v>452</v>
      </c>
      <c r="V85" s="1">
        <v>-0.71</v>
      </c>
      <c r="AR85" s="3">
        <f t="shared" si="4"/>
        <v>-0.71</v>
      </c>
      <c r="AS85"/>
    </row>
    <row r="86" spans="1:46" x14ac:dyDescent="0.25">
      <c r="A86" s="2" t="s">
        <v>275</v>
      </c>
      <c r="C86" t="s">
        <v>50</v>
      </c>
      <c r="S86" s="1">
        <v>-25.56</v>
      </c>
      <c r="T86" s="1">
        <v>-14.4</v>
      </c>
      <c r="W86" s="1">
        <v>-41.58</v>
      </c>
      <c r="Y86" s="1">
        <f>-12.78-14.4</f>
        <v>-27.18</v>
      </c>
      <c r="AR86" s="3">
        <f t="shared" si="4"/>
        <v>-108.72</v>
      </c>
      <c r="AS86"/>
    </row>
    <row r="87" spans="1:46" x14ac:dyDescent="0.25">
      <c r="A87" s="2" t="s">
        <v>275</v>
      </c>
      <c r="C87" t="s">
        <v>407</v>
      </c>
      <c r="AR87" s="3">
        <f t="shared" si="4"/>
        <v>0</v>
      </c>
    </row>
    <row r="88" spans="1:46" x14ac:dyDescent="0.25">
      <c r="A88" s="2" t="s">
        <v>275</v>
      </c>
      <c r="C88" t="s">
        <v>215</v>
      </c>
      <c r="Q88" s="1">
        <v>-12.78</v>
      </c>
      <c r="S88" s="1">
        <f>-0.71-0.8</f>
        <v>-1.51</v>
      </c>
      <c r="T88" s="1">
        <f>-85.91-3.2</f>
        <v>-89.11</v>
      </c>
      <c r="AR88" s="3">
        <f t="shared" si="4"/>
        <v>-103.4</v>
      </c>
    </row>
    <row r="89" spans="1:46" x14ac:dyDescent="0.25">
      <c r="A89" s="2" t="s">
        <v>275</v>
      </c>
      <c r="C89" t="s">
        <v>453</v>
      </c>
      <c r="AR89" s="3">
        <f t="shared" si="4"/>
        <v>0</v>
      </c>
    </row>
    <row r="90" spans="1:46" x14ac:dyDescent="0.25">
      <c r="A90" s="2" t="s">
        <v>275</v>
      </c>
      <c r="C90" t="s">
        <v>194</v>
      </c>
      <c r="AR90" s="3">
        <f t="shared" si="4"/>
        <v>0</v>
      </c>
      <c r="AS90"/>
    </row>
    <row r="91" spans="1:46" s="2" customFormat="1" x14ac:dyDescent="0.25">
      <c r="B91" s="2" t="s">
        <v>138</v>
      </c>
      <c r="D91" s="3">
        <f t="shared" ref="D91:AR91" si="5">SUM(D49:D90)</f>
        <v>0</v>
      </c>
      <c r="E91" s="3">
        <f t="shared" ref="E91:J91" si="6">SUM(E49:E90)</f>
        <v>0</v>
      </c>
      <c r="F91" s="3">
        <f t="shared" si="6"/>
        <v>0</v>
      </c>
      <c r="G91" s="3">
        <f t="shared" si="6"/>
        <v>0</v>
      </c>
      <c r="H91" s="3">
        <f t="shared" si="6"/>
        <v>0</v>
      </c>
      <c r="I91" s="3">
        <f t="shared" si="6"/>
        <v>0</v>
      </c>
      <c r="J91" s="3">
        <f t="shared" si="6"/>
        <v>0</v>
      </c>
      <c r="K91" s="3">
        <f t="shared" si="5"/>
        <v>0</v>
      </c>
      <c r="L91" s="3">
        <f t="shared" si="5"/>
        <v>0</v>
      </c>
      <c r="M91" s="3">
        <f t="shared" si="5"/>
        <v>0</v>
      </c>
      <c r="N91" s="3">
        <f t="shared" si="5"/>
        <v>0</v>
      </c>
      <c r="O91" s="3">
        <f t="shared" si="5"/>
        <v>-13.49</v>
      </c>
      <c r="P91" s="3">
        <f t="shared" si="5"/>
        <v>-7.02</v>
      </c>
      <c r="Q91" s="3">
        <f t="shared" si="5"/>
        <v>-65.89</v>
      </c>
      <c r="R91" s="3">
        <f t="shared" si="5"/>
        <v>0</v>
      </c>
      <c r="S91" s="3">
        <f t="shared" si="5"/>
        <v>-93.40000000000002</v>
      </c>
      <c r="T91" s="3">
        <f t="shared" si="5"/>
        <v>-109.09</v>
      </c>
      <c r="U91" s="3">
        <f t="shared" si="5"/>
        <v>0</v>
      </c>
      <c r="V91" s="3">
        <f t="shared" si="5"/>
        <v>-14.66</v>
      </c>
      <c r="W91" s="3">
        <f t="shared" si="5"/>
        <v>-326.15999999999997</v>
      </c>
      <c r="X91" s="3">
        <f t="shared" si="5"/>
        <v>-12.78</v>
      </c>
      <c r="Y91" s="3">
        <f t="shared" si="5"/>
        <v>-31.439999999999998</v>
      </c>
      <c r="Z91" s="3">
        <f t="shared" si="5"/>
        <v>0</v>
      </c>
      <c r="AA91" s="3">
        <f t="shared" si="5"/>
        <v>-886.8</v>
      </c>
      <c r="AB91" s="3">
        <f t="shared" si="5"/>
        <v>0</v>
      </c>
      <c r="AC91" s="3">
        <f t="shared" si="5"/>
        <v>0</v>
      </c>
      <c r="AD91" s="3">
        <f t="shared" si="5"/>
        <v>0</v>
      </c>
      <c r="AE91" s="3">
        <f t="shared" si="5"/>
        <v>0</v>
      </c>
      <c r="AF91" s="3">
        <f t="shared" si="5"/>
        <v>0</v>
      </c>
      <c r="AG91" s="3">
        <f t="shared" si="5"/>
        <v>-17.23</v>
      </c>
      <c r="AH91" s="3">
        <f t="shared" si="5"/>
        <v>0</v>
      </c>
      <c r="AI91" s="3">
        <f t="shared" si="5"/>
        <v>0</v>
      </c>
      <c r="AJ91" s="3">
        <f t="shared" si="5"/>
        <v>0</v>
      </c>
      <c r="AK91" s="3">
        <f t="shared" si="5"/>
        <v>0</v>
      </c>
      <c r="AL91" s="3">
        <f t="shared" si="5"/>
        <v>0</v>
      </c>
      <c r="AM91" s="3">
        <f t="shared" si="5"/>
        <v>-8.52</v>
      </c>
      <c r="AN91" s="3">
        <f t="shared" si="5"/>
        <v>0</v>
      </c>
      <c r="AO91" s="3">
        <f t="shared" si="5"/>
        <v>0</v>
      </c>
      <c r="AP91" s="3">
        <f t="shared" si="5"/>
        <v>-10.65</v>
      </c>
      <c r="AQ91" s="3">
        <f t="shared" si="5"/>
        <v>0</v>
      </c>
      <c r="AR91" s="3">
        <f t="shared" si="5"/>
        <v>-1597.1300000000003</v>
      </c>
      <c r="AS91"/>
      <c r="AT91" s="8"/>
    </row>
    <row r="92" spans="1:46" x14ac:dyDescent="0.25"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</row>
    <row r="93" spans="1:46" x14ac:dyDescent="0.25">
      <c r="A93"/>
      <c r="B93" s="2" t="s">
        <v>533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R93" s="9"/>
    </row>
    <row r="94" spans="1:46" x14ac:dyDescent="0.25">
      <c r="A94" s="2" t="s">
        <v>275</v>
      </c>
      <c r="C94" t="s">
        <v>203</v>
      </c>
      <c r="AR94" s="3">
        <f>SUM(D94:AQ94)</f>
        <v>0</v>
      </c>
    </row>
    <row r="95" spans="1:46" x14ac:dyDescent="0.25">
      <c r="A95" s="2" t="s">
        <v>275</v>
      </c>
      <c r="C95" t="s">
        <v>721</v>
      </c>
      <c r="H95" s="1">
        <f>-21.23-37.44</f>
        <v>-58.67</v>
      </c>
      <c r="K95" s="1">
        <f>-12.32-32.4</f>
        <v>-44.72</v>
      </c>
      <c r="AR95" s="3">
        <f t="shared" ref="AR95:AR102" si="7">SUM(D95:AQ95)</f>
        <v>-103.39</v>
      </c>
    </row>
    <row r="96" spans="1:46" x14ac:dyDescent="0.25">
      <c r="A96" s="2" t="s">
        <v>275</v>
      </c>
      <c r="C96" t="s">
        <v>399</v>
      </c>
      <c r="AR96" s="3">
        <f t="shared" si="7"/>
        <v>0</v>
      </c>
    </row>
    <row r="97" spans="1:44" x14ac:dyDescent="0.25">
      <c r="A97" s="2" t="s">
        <v>275</v>
      </c>
      <c r="C97" t="s">
        <v>702</v>
      </c>
      <c r="AR97" s="3">
        <f t="shared" si="7"/>
        <v>0</v>
      </c>
    </row>
    <row r="98" spans="1:44" x14ac:dyDescent="0.25">
      <c r="A98" s="2" t="s">
        <v>275</v>
      </c>
      <c r="C98" t="s">
        <v>222</v>
      </c>
      <c r="AR98" s="3">
        <f t="shared" si="7"/>
        <v>0</v>
      </c>
    </row>
    <row r="99" spans="1:44" x14ac:dyDescent="0.25">
      <c r="A99" s="2" t="s">
        <v>275</v>
      </c>
      <c r="C99" t="s">
        <v>447</v>
      </c>
      <c r="L99" s="1">
        <v>-17.100000000000001</v>
      </c>
      <c r="M99" s="1">
        <v>-17.100000000000001</v>
      </c>
      <c r="Q99" s="1">
        <f>-29.12-7.6</f>
        <v>-36.72</v>
      </c>
      <c r="T99" s="1">
        <v>-43.7</v>
      </c>
      <c r="Y99" s="1">
        <v>-68.400000000000006</v>
      </c>
      <c r="AE99" s="1">
        <v>-17.100000000000001</v>
      </c>
      <c r="AR99" s="3">
        <f t="shared" si="7"/>
        <v>-200.12</v>
      </c>
    </row>
    <row r="100" spans="1:44" x14ac:dyDescent="0.25">
      <c r="A100" s="2" t="s">
        <v>275</v>
      </c>
      <c r="C100" t="s">
        <v>400</v>
      </c>
      <c r="AH100" s="1">
        <f>-43.68-34.2</f>
        <v>-77.88</v>
      </c>
      <c r="AR100" s="3">
        <f t="shared" si="7"/>
        <v>-77.88</v>
      </c>
    </row>
    <row r="101" spans="1:44" x14ac:dyDescent="0.25">
      <c r="A101" s="2" t="s">
        <v>275</v>
      </c>
      <c r="C101" t="s">
        <v>448</v>
      </c>
      <c r="AE101" s="1">
        <v>-17.100000000000001</v>
      </c>
      <c r="AF101" s="1">
        <f>-60.06-75.05</f>
        <v>-135.11000000000001</v>
      </c>
      <c r="AK101" s="1">
        <v>-28</v>
      </c>
      <c r="AR101" s="3">
        <f t="shared" si="7"/>
        <v>-180.21</v>
      </c>
    </row>
    <row r="102" spans="1:44" x14ac:dyDescent="0.25">
      <c r="A102" s="2" t="s">
        <v>275</v>
      </c>
      <c r="C102" t="s">
        <v>401</v>
      </c>
      <c r="M102" s="1">
        <v>-17.100000000000001</v>
      </c>
      <c r="Y102" s="1">
        <v>-9.36</v>
      </c>
      <c r="AK102" s="1">
        <v>-29.12</v>
      </c>
      <c r="AR102" s="3">
        <f t="shared" si="7"/>
        <v>-55.58</v>
      </c>
    </row>
    <row r="103" spans="1:44" x14ac:dyDescent="0.25">
      <c r="A103" s="2" t="s">
        <v>275</v>
      </c>
      <c r="C103" t="s">
        <v>204</v>
      </c>
      <c r="R103" s="1">
        <v>-29.12</v>
      </c>
      <c r="U103" s="1">
        <v>-51.3</v>
      </c>
      <c r="Y103" s="1">
        <f>-43.68-68.4</f>
        <v>-112.08000000000001</v>
      </c>
      <c r="AR103" s="3">
        <f t="shared" ref="AR103:AR135" si="8">SUM(D103:AQ103)</f>
        <v>-192.5</v>
      </c>
    </row>
    <row r="104" spans="1:44" x14ac:dyDescent="0.25">
      <c r="A104" s="2" t="s">
        <v>275</v>
      </c>
      <c r="C104" t="s">
        <v>292</v>
      </c>
      <c r="T104" s="1">
        <v>-17.100000000000001</v>
      </c>
      <c r="AH104" s="1">
        <f>-43.68-34.2</f>
        <v>-77.88</v>
      </c>
      <c r="AR104" s="3">
        <f t="shared" si="8"/>
        <v>-94.97999999999999</v>
      </c>
    </row>
    <row r="105" spans="1:44" x14ac:dyDescent="0.25">
      <c r="A105" s="2" t="s">
        <v>275</v>
      </c>
      <c r="C105" t="s">
        <v>205</v>
      </c>
      <c r="L105" s="1">
        <v>-17.100000000000001</v>
      </c>
      <c r="Q105" s="1">
        <v>-29.12</v>
      </c>
      <c r="S105" s="1">
        <v>-17.100000000000001</v>
      </c>
      <c r="T105" s="1">
        <v>-58.24</v>
      </c>
      <c r="Y105" s="1">
        <f>-14.56-17.1</f>
        <v>-31.660000000000004</v>
      </c>
      <c r="AA105" s="1">
        <v>-91.16</v>
      </c>
      <c r="AJ105" s="1">
        <v>-1.75</v>
      </c>
      <c r="AN105" s="1">
        <v>-16.920000000000002</v>
      </c>
      <c r="AR105" s="3">
        <f t="shared" si="8"/>
        <v>-263.05</v>
      </c>
    </row>
    <row r="106" spans="1:44" x14ac:dyDescent="0.25">
      <c r="A106" s="2" t="s">
        <v>275</v>
      </c>
      <c r="C106" t="s">
        <v>363</v>
      </c>
      <c r="M106" s="1">
        <v>-17.100000000000001</v>
      </c>
      <c r="S106" s="1">
        <v>-14.56</v>
      </c>
      <c r="AG106" s="1">
        <v>-34.200000000000003</v>
      </c>
      <c r="AR106" s="3">
        <f t="shared" si="8"/>
        <v>-65.860000000000014</v>
      </c>
    </row>
    <row r="107" spans="1:44" x14ac:dyDescent="0.25">
      <c r="A107" s="2" t="s">
        <v>275</v>
      </c>
      <c r="C107" t="s">
        <v>402</v>
      </c>
      <c r="L107" s="1">
        <v>-14.56</v>
      </c>
      <c r="Q107" s="1">
        <v>-17.100000000000001</v>
      </c>
      <c r="S107" s="1">
        <v>-26.6</v>
      </c>
      <c r="AB107" s="1">
        <v>-34.200000000000003</v>
      </c>
      <c r="AM107" s="1">
        <v>-17.100000000000001</v>
      </c>
      <c r="AR107" s="3">
        <f t="shared" si="8"/>
        <v>-109.56</v>
      </c>
    </row>
    <row r="108" spans="1:44" x14ac:dyDescent="0.25">
      <c r="A108" s="2" t="s">
        <v>275</v>
      </c>
      <c r="C108" t="s">
        <v>206</v>
      </c>
      <c r="AR108" s="3">
        <f t="shared" si="8"/>
        <v>0</v>
      </c>
    </row>
    <row r="109" spans="1:44" x14ac:dyDescent="0.25">
      <c r="A109" s="2" t="s">
        <v>275</v>
      </c>
      <c r="C109" t="s">
        <v>207</v>
      </c>
      <c r="Z109" s="1">
        <v>-17.100000000000001</v>
      </c>
      <c r="AM109" s="1">
        <v>-29.12</v>
      </c>
      <c r="AR109" s="3">
        <f t="shared" si="8"/>
        <v>-46.22</v>
      </c>
    </row>
    <row r="110" spans="1:44" x14ac:dyDescent="0.25">
      <c r="A110" s="2" t="s">
        <v>275</v>
      </c>
      <c r="C110" t="s">
        <v>403</v>
      </c>
      <c r="AR110" s="3">
        <f t="shared" si="8"/>
        <v>0</v>
      </c>
    </row>
    <row r="111" spans="1:44" x14ac:dyDescent="0.25">
      <c r="A111" s="2" t="s">
        <v>275</v>
      </c>
      <c r="C111" t="s">
        <v>208</v>
      </c>
      <c r="L111" s="1">
        <v>-17.100000000000001</v>
      </c>
      <c r="S111" s="1">
        <v>-32.76</v>
      </c>
      <c r="AI111" s="1">
        <f>-14.56-17.1</f>
        <v>-31.660000000000004</v>
      </c>
      <c r="AR111" s="3">
        <f t="shared" si="8"/>
        <v>-81.52000000000001</v>
      </c>
    </row>
    <row r="112" spans="1:44" x14ac:dyDescent="0.25">
      <c r="A112" s="2" t="s">
        <v>275</v>
      </c>
      <c r="C112" t="s">
        <v>209</v>
      </c>
      <c r="L112" s="1">
        <v>-17.100000000000001</v>
      </c>
      <c r="R112" s="1">
        <v>-29.12</v>
      </c>
      <c r="S112" s="1">
        <f>-14.56-51.3</f>
        <v>-65.86</v>
      </c>
      <c r="U112" s="1">
        <f>-14.56-34.2</f>
        <v>-48.760000000000005</v>
      </c>
      <c r="AH112" s="1">
        <f>-189.28-324.9</f>
        <v>-514.17999999999995</v>
      </c>
      <c r="AI112" s="1">
        <v>-17.100000000000001</v>
      </c>
      <c r="AN112" s="1">
        <v>-25.38</v>
      </c>
      <c r="AR112" s="3">
        <f t="shared" si="8"/>
        <v>-717.5</v>
      </c>
    </row>
    <row r="113" spans="1:44" x14ac:dyDescent="0.25">
      <c r="A113" s="2" t="s">
        <v>275</v>
      </c>
      <c r="C113" t="s">
        <v>287</v>
      </c>
      <c r="AR113" s="3">
        <f t="shared" si="8"/>
        <v>0</v>
      </c>
    </row>
    <row r="114" spans="1:44" x14ac:dyDescent="0.25">
      <c r="A114" s="2" t="s">
        <v>275</v>
      </c>
      <c r="C114" t="s">
        <v>449</v>
      </c>
      <c r="AL114" s="1">
        <v>-17.100000000000001</v>
      </c>
      <c r="AR114" s="3">
        <f t="shared" si="8"/>
        <v>-17.100000000000001</v>
      </c>
    </row>
    <row r="115" spans="1:44" x14ac:dyDescent="0.25">
      <c r="A115" s="2" t="s">
        <v>275</v>
      </c>
      <c r="C115" t="s">
        <v>210</v>
      </c>
      <c r="AA115" s="1">
        <v>-318.45999999999998</v>
      </c>
      <c r="AR115" s="3">
        <f t="shared" si="8"/>
        <v>-318.45999999999998</v>
      </c>
    </row>
    <row r="116" spans="1:44" x14ac:dyDescent="0.25">
      <c r="A116" s="2" t="s">
        <v>275</v>
      </c>
      <c r="C116" t="s">
        <v>450</v>
      </c>
      <c r="W116" s="1">
        <v>-17.100000000000001</v>
      </c>
      <c r="AA116" s="1">
        <v>-436.8</v>
      </c>
      <c r="AR116" s="3">
        <f t="shared" si="8"/>
        <v>-453.90000000000003</v>
      </c>
    </row>
    <row r="117" spans="1:44" x14ac:dyDescent="0.25">
      <c r="A117" s="2" t="s">
        <v>275</v>
      </c>
      <c r="C117" t="s">
        <v>211</v>
      </c>
      <c r="Q117" s="1">
        <v>-43.68</v>
      </c>
      <c r="U117" s="1">
        <v>-51.3</v>
      </c>
      <c r="AG117" s="1">
        <v>-14.56</v>
      </c>
      <c r="AR117" s="3">
        <f t="shared" si="8"/>
        <v>-109.53999999999999</v>
      </c>
    </row>
    <row r="118" spans="1:44" x14ac:dyDescent="0.25">
      <c r="A118" s="2" t="s">
        <v>275</v>
      </c>
      <c r="C118" t="s">
        <v>404</v>
      </c>
      <c r="L118" s="1">
        <v>-17.100000000000001</v>
      </c>
      <c r="W118" s="1">
        <f>-14.56-24.7</f>
        <v>-39.26</v>
      </c>
      <c r="Y118" s="1">
        <v>-14.56</v>
      </c>
      <c r="AD118" s="1">
        <v>-15.2</v>
      </c>
      <c r="AL118" s="1">
        <v>-26.6</v>
      </c>
      <c r="AR118" s="3">
        <f t="shared" si="8"/>
        <v>-112.72</v>
      </c>
    </row>
    <row r="119" spans="1:44" x14ac:dyDescent="0.25">
      <c r="A119" s="2" t="s">
        <v>275</v>
      </c>
      <c r="C119" t="s">
        <v>703</v>
      </c>
      <c r="AG119" s="1">
        <f>-72.8-17.1</f>
        <v>-89.9</v>
      </c>
      <c r="AR119" s="3">
        <f t="shared" si="8"/>
        <v>-89.9</v>
      </c>
    </row>
    <row r="120" spans="1:44" x14ac:dyDescent="0.25">
      <c r="A120" s="2" t="s">
        <v>275</v>
      </c>
      <c r="C120" t="s">
        <v>408</v>
      </c>
      <c r="AK120" s="1">
        <v>-17.100000000000001</v>
      </c>
      <c r="AR120" s="3">
        <f t="shared" si="8"/>
        <v>-17.100000000000001</v>
      </c>
    </row>
    <row r="121" spans="1:44" x14ac:dyDescent="0.25">
      <c r="A121" s="2" t="s">
        <v>275</v>
      </c>
      <c r="C121" t="s">
        <v>216</v>
      </c>
      <c r="AR121" s="3">
        <f t="shared" si="8"/>
        <v>0</v>
      </c>
    </row>
    <row r="122" spans="1:44" x14ac:dyDescent="0.25">
      <c r="A122" s="2" t="s">
        <v>275</v>
      </c>
      <c r="C122" t="s">
        <v>366</v>
      </c>
      <c r="AH122" s="1">
        <v>-43.68</v>
      </c>
      <c r="AM122" s="1">
        <v>-14.56</v>
      </c>
      <c r="AR122" s="3">
        <f t="shared" si="8"/>
        <v>-58.24</v>
      </c>
    </row>
    <row r="123" spans="1:44" x14ac:dyDescent="0.25">
      <c r="A123" s="2" t="s">
        <v>275</v>
      </c>
      <c r="C123" t="s">
        <v>405</v>
      </c>
      <c r="O123" s="1">
        <f>-14.56-13.3</f>
        <v>-27.86</v>
      </c>
      <c r="R123" s="1">
        <v>-58.24</v>
      </c>
      <c r="S123" s="1">
        <v>-51.3</v>
      </c>
      <c r="V123" s="1">
        <v>-35.15</v>
      </c>
      <c r="Z123" s="1">
        <v>-17.100000000000001</v>
      </c>
      <c r="AH123" s="1">
        <f>-29.12-17.1</f>
        <v>-46.22</v>
      </c>
      <c r="AL123" s="1">
        <v>-34.200000000000003</v>
      </c>
      <c r="AR123" s="3">
        <f t="shared" si="8"/>
        <v>-270.07</v>
      </c>
    </row>
    <row r="124" spans="1:44" x14ac:dyDescent="0.25">
      <c r="A124" s="2" t="s">
        <v>275</v>
      </c>
      <c r="C124" t="s">
        <v>451</v>
      </c>
      <c r="AR124" s="3">
        <f t="shared" si="8"/>
        <v>0</v>
      </c>
    </row>
    <row r="125" spans="1:44" x14ac:dyDescent="0.25">
      <c r="A125" s="2" t="s">
        <v>275</v>
      </c>
      <c r="C125" t="s">
        <v>212</v>
      </c>
      <c r="AR125" s="3">
        <f t="shared" si="8"/>
        <v>0</v>
      </c>
    </row>
    <row r="126" spans="1:44" x14ac:dyDescent="0.25">
      <c r="A126" s="2" t="s">
        <v>275</v>
      </c>
      <c r="C126" t="s">
        <v>406</v>
      </c>
      <c r="AH126" s="1">
        <v>-14.56</v>
      </c>
      <c r="AR126" s="3">
        <f t="shared" si="8"/>
        <v>-14.56</v>
      </c>
    </row>
    <row r="127" spans="1:44" x14ac:dyDescent="0.25">
      <c r="A127" s="2" t="s">
        <v>275</v>
      </c>
      <c r="C127" t="s">
        <v>673</v>
      </c>
      <c r="O127" s="1">
        <v>-17.100000000000001</v>
      </c>
      <c r="S127" s="1">
        <f>-87.36-17.1</f>
        <v>-104.46000000000001</v>
      </c>
      <c r="AB127" s="1">
        <v>-34.200000000000003</v>
      </c>
      <c r="AR127" s="3">
        <f t="shared" si="8"/>
        <v>-155.76</v>
      </c>
    </row>
    <row r="128" spans="1:44" x14ac:dyDescent="0.25">
      <c r="A128" s="2" t="s">
        <v>275</v>
      </c>
      <c r="C128" t="s">
        <v>213</v>
      </c>
      <c r="P128" s="1">
        <v>-5.7</v>
      </c>
      <c r="AH128" s="1">
        <f>-72.8-34.2</f>
        <v>-107</v>
      </c>
      <c r="AR128" s="3">
        <f t="shared" si="8"/>
        <v>-112.7</v>
      </c>
    </row>
    <row r="129" spans="1:44" x14ac:dyDescent="0.25">
      <c r="A129" s="2" t="s">
        <v>275</v>
      </c>
      <c r="C129" t="s">
        <v>214</v>
      </c>
      <c r="L129" s="1">
        <v>-17.100000000000001</v>
      </c>
      <c r="AR129" s="3">
        <f t="shared" si="8"/>
        <v>-17.100000000000001</v>
      </c>
    </row>
    <row r="130" spans="1:44" x14ac:dyDescent="0.25">
      <c r="A130" s="2" t="s">
        <v>275</v>
      </c>
      <c r="C130" t="s">
        <v>452</v>
      </c>
      <c r="AR130" s="3">
        <f t="shared" si="8"/>
        <v>0</v>
      </c>
    </row>
    <row r="131" spans="1:44" x14ac:dyDescent="0.25">
      <c r="A131" s="2" t="s">
        <v>275</v>
      </c>
      <c r="C131" t="s">
        <v>50</v>
      </c>
      <c r="T131" s="1">
        <f>-29.12-34.2</f>
        <v>-63.320000000000007</v>
      </c>
      <c r="W131" s="1">
        <v>-14.56</v>
      </c>
      <c r="X131" s="1">
        <v>-34.200000000000003</v>
      </c>
      <c r="AG131" s="1">
        <v>-14.56</v>
      </c>
      <c r="AK131" s="1">
        <v>-17.100000000000001</v>
      </c>
      <c r="AR131" s="3">
        <f t="shared" si="8"/>
        <v>-143.74</v>
      </c>
    </row>
    <row r="132" spans="1:44" x14ac:dyDescent="0.25">
      <c r="A132" s="2" t="s">
        <v>275</v>
      </c>
      <c r="C132" t="s">
        <v>407</v>
      </c>
      <c r="AA132" s="1">
        <v>-17.100000000000001</v>
      </c>
      <c r="AR132" s="3">
        <f t="shared" si="8"/>
        <v>-17.100000000000001</v>
      </c>
    </row>
    <row r="133" spans="1:44" x14ac:dyDescent="0.25">
      <c r="A133" s="2" t="s">
        <v>275</v>
      </c>
      <c r="C133" t="s">
        <v>215</v>
      </c>
      <c r="T133" s="1">
        <v>-43.68</v>
      </c>
      <c r="AH133" s="1">
        <v>-14.56</v>
      </c>
      <c r="AR133" s="3">
        <f t="shared" si="8"/>
        <v>-58.24</v>
      </c>
    </row>
    <row r="134" spans="1:44" x14ac:dyDescent="0.25">
      <c r="A134" s="2" t="s">
        <v>275</v>
      </c>
      <c r="C134" t="s">
        <v>453</v>
      </c>
      <c r="J134" s="1">
        <f>-14.56-34.2</f>
        <v>-48.760000000000005</v>
      </c>
      <c r="AR134" s="3">
        <f t="shared" si="8"/>
        <v>-48.760000000000005</v>
      </c>
    </row>
    <row r="135" spans="1:44" x14ac:dyDescent="0.25">
      <c r="A135" s="2" t="s">
        <v>275</v>
      </c>
      <c r="C135" t="s">
        <v>194</v>
      </c>
      <c r="AR135" s="3">
        <f t="shared" si="8"/>
        <v>0</v>
      </c>
    </row>
    <row r="136" spans="1:44" x14ac:dyDescent="0.25">
      <c r="B136" s="2" t="s">
        <v>534</v>
      </c>
      <c r="C136" s="2"/>
      <c r="D136" s="3">
        <f t="shared" ref="D136" si="9">SUM(D94:D135)</f>
        <v>0</v>
      </c>
      <c r="E136" s="3">
        <f t="shared" ref="E136:J136" si="10">SUM(E94:E135)</f>
        <v>0</v>
      </c>
      <c r="F136" s="3">
        <f t="shared" si="10"/>
        <v>0</v>
      </c>
      <c r="G136" s="3">
        <f t="shared" si="10"/>
        <v>0</v>
      </c>
      <c r="H136" s="3">
        <f t="shared" si="10"/>
        <v>-58.67</v>
      </c>
      <c r="I136" s="3">
        <f t="shared" si="10"/>
        <v>0</v>
      </c>
      <c r="J136" s="3">
        <f t="shared" si="10"/>
        <v>-48.760000000000005</v>
      </c>
      <c r="K136" s="3">
        <f t="shared" ref="K136:AR136" si="11">SUM(K94:K135)</f>
        <v>-44.72</v>
      </c>
      <c r="L136" s="3">
        <f t="shared" si="11"/>
        <v>-117.16</v>
      </c>
      <c r="M136" s="3">
        <f t="shared" si="11"/>
        <v>-51.300000000000004</v>
      </c>
      <c r="N136" s="3">
        <f t="shared" si="11"/>
        <v>0</v>
      </c>
      <c r="O136" s="3">
        <f t="shared" si="11"/>
        <v>-44.96</v>
      </c>
      <c r="P136" s="3">
        <f t="shared" si="11"/>
        <v>-5.7</v>
      </c>
      <c r="Q136" s="3">
        <f t="shared" si="11"/>
        <v>-126.62</v>
      </c>
      <c r="R136" s="3">
        <f t="shared" si="11"/>
        <v>-116.48</v>
      </c>
      <c r="S136" s="3">
        <f t="shared" si="11"/>
        <v>-312.64</v>
      </c>
      <c r="T136" s="3">
        <f t="shared" si="11"/>
        <v>-226.04000000000002</v>
      </c>
      <c r="U136" s="3">
        <f t="shared" si="11"/>
        <v>-151.36000000000001</v>
      </c>
      <c r="V136" s="3">
        <f t="shared" si="11"/>
        <v>-35.15</v>
      </c>
      <c r="W136" s="3">
        <f t="shared" si="11"/>
        <v>-70.92</v>
      </c>
      <c r="X136" s="3">
        <f t="shared" si="11"/>
        <v>-34.200000000000003</v>
      </c>
      <c r="Y136" s="3">
        <f t="shared" si="11"/>
        <v>-236.06000000000003</v>
      </c>
      <c r="Z136" s="3">
        <f t="shared" si="11"/>
        <v>-34.200000000000003</v>
      </c>
      <c r="AA136" s="3">
        <f t="shared" si="11"/>
        <v>-863.5200000000001</v>
      </c>
      <c r="AB136" s="3">
        <f t="shared" si="11"/>
        <v>-68.400000000000006</v>
      </c>
      <c r="AC136" s="3">
        <f t="shared" si="11"/>
        <v>0</v>
      </c>
      <c r="AD136" s="3">
        <f t="shared" si="11"/>
        <v>-15.2</v>
      </c>
      <c r="AE136" s="3">
        <f t="shared" si="11"/>
        <v>-34.200000000000003</v>
      </c>
      <c r="AF136" s="3">
        <f t="shared" si="11"/>
        <v>-135.11000000000001</v>
      </c>
      <c r="AG136" s="3">
        <f t="shared" si="11"/>
        <v>-153.22000000000003</v>
      </c>
      <c r="AH136" s="3">
        <f t="shared" si="11"/>
        <v>-895.95999999999981</v>
      </c>
      <c r="AI136" s="3">
        <f t="shared" si="11"/>
        <v>-48.760000000000005</v>
      </c>
      <c r="AJ136" s="3">
        <f t="shared" si="11"/>
        <v>-1.75</v>
      </c>
      <c r="AK136" s="3">
        <f t="shared" si="11"/>
        <v>-91.32</v>
      </c>
      <c r="AL136" s="3">
        <f t="shared" si="11"/>
        <v>-77.900000000000006</v>
      </c>
      <c r="AM136" s="3">
        <f t="shared" si="11"/>
        <v>-60.78</v>
      </c>
      <c r="AN136" s="3">
        <f t="shared" si="11"/>
        <v>-42.3</v>
      </c>
      <c r="AO136" s="3">
        <f t="shared" si="11"/>
        <v>0</v>
      </c>
      <c r="AP136" s="3">
        <f t="shared" si="11"/>
        <v>0</v>
      </c>
      <c r="AQ136" s="3">
        <f t="shared" si="11"/>
        <v>0</v>
      </c>
      <c r="AR136" s="3">
        <f t="shared" si="11"/>
        <v>-4203.3599999999997</v>
      </c>
    </row>
  </sheetData>
  <sortState xmlns:xlrd2="http://schemas.microsoft.com/office/spreadsheetml/2017/richdata2" ref="C4:C22">
    <sortCondition ref="C4:C22"/>
  </sortState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ed305fa-8234-4711-9c10-e4950bf2aa84">
      <Terms xmlns="http://schemas.microsoft.com/office/infopath/2007/PartnerControls"/>
    </lcf76f155ced4ddcb4097134ff3c332f>
    <TaxCatchAll xmlns="539b1ff6-3ba7-41b5-97f9-f78a04fcafe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4DE3AE5C0BDC468B127917DDF96D52" ma:contentTypeVersion="15" ma:contentTypeDescription="Create a new document." ma:contentTypeScope="" ma:versionID="1bebabddf37afa01a79538ba29b7c7c4">
  <xsd:schema xmlns:xsd="http://www.w3.org/2001/XMLSchema" xmlns:xs="http://www.w3.org/2001/XMLSchema" xmlns:p="http://schemas.microsoft.com/office/2006/metadata/properties" xmlns:ns2="4ed305fa-8234-4711-9c10-e4950bf2aa84" xmlns:ns3="539b1ff6-3ba7-41b5-97f9-f78a04fcafe0" targetNamespace="http://schemas.microsoft.com/office/2006/metadata/properties" ma:root="true" ma:fieldsID="d3fe01e3ef7ac9cfe98cc7012b8578a8" ns2:_="" ns3:_="">
    <xsd:import namespace="4ed305fa-8234-4711-9c10-e4950bf2aa84"/>
    <xsd:import namespace="539b1ff6-3ba7-41b5-97f9-f78a04fcaf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d305fa-8234-4711-9c10-e4950bf2aa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0e5e683-6eb3-4642-b2c1-cc7eea082b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b1ff6-3ba7-41b5-97f9-f78a04fcafe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577f821-c54d-46fc-bf8d-f78671a48a88}" ma:internalName="TaxCatchAll" ma:showField="CatchAllData" ma:web="539b1ff6-3ba7-41b5-97f9-f78a04fcaf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A18155-0702-45A5-8AA8-404845DF59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81E145-1517-4DA6-AADF-CC4AAD64490F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  <ds:schemaRef ds:uri="4ed305fa-8234-4711-9c10-e4950bf2aa84"/>
    <ds:schemaRef ds:uri="http://schemas.microsoft.com/office/infopath/2007/PartnerControls"/>
    <ds:schemaRef ds:uri="http://schemas.openxmlformats.org/package/2006/metadata/core-properties"/>
    <ds:schemaRef ds:uri="539b1ff6-3ba7-41b5-97f9-f78a04fcafe0"/>
  </ds:schemaRefs>
</ds:datastoreItem>
</file>

<file path=customXml/itemProps3.xml><?xml version="1.0" encoding="utf-8"?>
<ds:datastoreItem xmlns:ds="http://schemas.openxmlformats.org/officeDocument/2006/customXml" ds:itemID="{ED660663-30B0-4130-8260-7E30252E7F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d305fa-8234-4711-9c10-e4950bf2aa84"/>
    <ds:schemaRef ds:uri="539b1ff6-3ba7-41b5-97f9-f78a04fcaf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20</vt:i4>
      </vt:variant>
    </vt:vector>
  </HeadingPairs>
  <TitlesOfParts>
    <vt:vector size="44" baseType="lpstr">
      <vt:lpstr>sum</vt:lpstr>
      <vt:lpstr>Accrualstrip</vt:lpstr>
      <vt:lpstr>Accrualpot</vt:lpstr>
      <vt:lpstr>Accrualherb</vt:lpstr>
      <vt:lpstr>PassVol</vt:lpstr>
      <vt:lpstr>PassRev Strip</vt:lpstr>
      <vt:lpstr>PassRev Pot</vt:lpstr>
      <vt:lpstr>PassRev Herb</vt:lpstr>
      <vt:lpstr>BD</vt:lpstr>
      <vt:lpstr>Prosper</vt:lpstr>
      <vt:lpstr>Till</vt:lpstr>
      <vt:lpstr>GW</vt:lpstr>
      <vt:lpstr>Grovewell</vt:lpstr>
      <vt:lpstr>Choice</vt:lpstr>
      <vt:lpstr>BGC</vt:lpstr>
      <vt:lpstr>Daily</vt:lpstr>
      <vt:lpstr>Analysis</vt:lpstr>
      <vt:lpstr>Transport</vt:lpstr>
      <vt:lpstr>Trolley</vt:lpstr>
      <vt:lpstr>Stock Calculations</vt:lpstr>
      <vt:lpstr>Calculations</vt:lpstr>
      <vt:lpstr>October 8.5cm stock</vt:lpstr>
      <vt:lpstr>Budget</vt:lpstr>
      <vt:lpstr>Sheet1</vt:lpstr>
      <vt:lpstr>Accrualherb!Print_Area</vt:lpstr>
      <vt:lpstr>Accrualpot!Print_Area</vt:lpstr>
      <vt:lpstr>Accrualstrip!Print_Area</vt:lpstr>
      <vt:lpstr>Analysis!Print_Area</vt:lpstr>
      <vt:lpstr>Accrualherb!Print_Titles</vt:lpstr>
      <vt:lpstr>Accrualpot!Print_Titles</vt:lpstr>
      <vt:lpstr>Accrualstrip!Print_Titles</vt:lpstr>
      <vt:lpstr>Analysis!Print_Titles</vt:lpstr>
      <vt:lpstr>BD!Print_Titles</vt:lpstr>
      <vt:lpstr>BGC!Print_Titles</vt:lpstr>
      <vt:lpstr>Choice!Print_Titles</vt:lpstr>
      <vt:lpstr>Daily!Print_Titles</vt:lpstr>
      <vt:lpstr>'PassRev Pot'!Print_Titles</vt:lpstr>
      <vt:lpstr>'PassRev Strip'!Print_Titles</vt:lpstr>
      <vt:lpstr>PassVol!Print_Titles</vt:lpstr>
      <vt:lpstr>Prosper!Print_Titles</vt:lpstr>
      <vt:lpstr>Sheet1!Print_Titles</vt:lpstr>
      <vt:lpstr>sum!Print_Titles</vt:lpstr>
      <vt:lpstr>Till!Print_Titles</vt:lpstr>
      <vt:lpstr>Transport!Print_Titles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Hill</dc:creator>
  <cp:lastModifiedBy>Paul Morrissey</cp:lastModifiedBy>
  <cp:lastPrinted>2024-09-12T14:31:45Z</cp:lastPrinted>
  <dcterms:created xsi:type="dcterms:W3CDTF">2013-02-28T07:53:00Z</dcterms:created>
  <dcterms:modified xsi:type="dcterms:W3CDTF">2024-12-17T15:01:08Z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0x0101005D4DE3AE5C0BDC468B127917DDF96D52</vt:lpwstr>
  </property>
  <property fmtid="{D5CDD505-2E9C-101B-9397-08002B2CF9AE}" pid="3" name="MediaServiceImageTags">
    <vt:lpwstr/>
  </property>
</Properties>
</file>