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nozo0116_student_ubc_ca/Documents/Quantitative_Ecology_Lab/Nozomu_Hirama_Undergraduate_Honours/Mammalian_Sperm_Abnormality/Data/"/>
    </mc:Choice>
  </mc:AlternateContent>
  <xr:revisionPtr revIDLastSave="4133" documentId="13_ncr:40009_{C98D4E93-821D-E148-A12B-B8C11E3090D6}" xr6:coauthVersionLast="47" xr6:coauthVersionMax="47" xr10:uidLastSave="{CD71A3D2-0275-F143-BFF0-CCD52482A164}"/>
  <bookViews>
    <workbookView xWindow="0" yWindow="500" windowWidth="28800" windowHeight="15720" activeTab="1" xr2:uid="{00000000-000D-0000-FFFF-FFFF00000000}"/>
  </bookViews>
  <sheets>
    <sheet name="Sperm_Abnormality_Databas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9" i="1" l="1"/>
  <c r="T359" i="1"/>
  <c r="R359" i="1"/>
  <c r="S358" i="1"/>
  <c r="R358" i="1"/>
  <c r="Y358" i="1"/>
  <c r="X358" i="1"/>
  <c r="W358" i="1"/>
  <c r="U358" i="1"/>
  <c r="V357" i="1"/>
  <c r="Y357" i="1"/>
  <c r="X357" i="1"/>
  <c r="W357" i="1"/>
  <c r="U357" i="1"/>
  <c r="Y356" i="1"/>
  <c r="Y355" i="1"/>
  <c r="W356" i="1"/>
  <c r="W355" i="1"/>
  <c r="X356" i="1"/>
  <c r="X355" i="1"/>
  <c r="U356" i="1"/>
  <c r="U355" i="1"/>
  <c r="Y354" i="1"/>
  <c r="X354" i="1"/>
  <c r="W354" i="1"/>
  <c r="V354" i="1"/>
  <c r="U354" i="1"/>
  <c r="X353" i="1"/>
  <c r="W353" i="1"/>
  <c r="U353" i="1"/>
  <c r="T353" i="1"/>
  <c r="S353" i="1"/>
  <c r="R353" i="1"/>
  <c r="V351" i="1"/>
  <c r="U351" i="1"/>
  <c r="S351" i="1"/>
  <c r="T351" i="1"/>
  <c r="R351" i="1"/>
  <c r="Y350" i="1"/>
  <c r="X350" i="1"/>
  <c r="W350" i="1"/>
  <c r="S350" i="1"/>
  <c r="Y349" i="1"/>
  <c r="W349" i="1"/>
  <c r="U349" i="1"/>
  <c r="Y348" i="1"/>
  <c r="W348" i="1"/>
  <c r="U347" i="1"/>
  <c r="T347" i="1"/>
  <c r="R347" i="1"/>
  <c r="Y336" i="1"/>
  <c r="X336" i="1"/>
  <c r="W336" i="1"/>
  <c r="U336" i="1"/>
  <c r="T336" i="1"/>
  <c r="S336" i="1"/>
  <c r="R336" i="1"/>
  <c r="Y324" i="1"/>
  <c r="X324" i="1"/>
  <c r="W324" i="1"/>
  <c r="V324" i="1"/>
  <c r="S324" i="1"/>
  <c r="U296" i="1"/>
  <c r="R296" i="1"/>
  <c r="R295" i="1"/>
  <c r="R294" i="1"/>
  <c r="Y290" i="1"/>
  <c r="Y289" i="1"/>
  <c r="X290" i="1"/>
  <c r="X289" i="1"/>
  <c r="W290" i="1"/>
  <c r="W289" i="1"/>
  <c r="V288" i="1"/>
  <c r="U288" i="1"/>
  <c r="T288" i="1"/>
  <c r="S288" i="1"/>
  <c r="R288" i="1"/>
  <c r="T286" i="1"/>
  <c r="V284" i="1"/>
  <c r="U284" i="1"/>
  <c r="T285" i="1"/>
  <c r="T284" i="1"/>
  <c r="T283" i="1"/>
  <c r="T282" i="1"/>
  <c r="T281" i="1"/>
  <c r="Y279" i="1"/>
  <c r="Y278" i="1"/>
  <c r="X280" i="1"/>
  <c r="X279" i="1"/>
  <c r="X278" i="1"/>
  <c r="U276" i="1"/>
  <c r="U275" i="1"/>
  <c r="U274" i="1"/>
  <c r="S276" i="1"/>
  <c r="S275" i="1"/>
  <c r="S274" i="1"/>
  <c r="T276" i="1"/>
  <c r="T275" i="1"/>
  <c r="T274" i="1"/>
  <c r="U253" i="1"/>
  <c r="W250" i="1"/>
  <c r="U251" i="1"/>
  <c r="U250" i="1"/>
  <c r="U249" i="1"/>
  <c r="S249" i="1"/>
  <c r="T249" i="1"/>
  <c r="R249" i="1"/>
  <c r="T247" i="1"/>
  <c r="S247" i="1"/>
  <c r="R247" i="1"/>
  <c r="Y189" i="1"/>
  <c r="X189" i="1"/>
  <c r="W189" i="1"/>
  <c r="O189" i="1"/>
  <c r="U189" i="1"/>
  <c r="S189" i="1"/>
  <c r="T189" i="1"/>
  <c r="R189" i="1"/>
  <c r="R130" i="1"/>
  <c r="L189" i="1"/>
  <c r="V181" i="1"/>
  <c r="G72" i="2"/>
  <c r="G73" i="2"/>
  <c r="G71" i="2"/>
  <c r="G68" i="2"/>
  <c r="G69" i="2"/>
  <c r="G70" i="2"/>
  <c r="G67" i="2"/>
</calcChain>
</file>

<file path=xl/sharedStrings.xml><?xml version="1.0" encoding="utf-8"?>
<sst xmlns="http://schemas.openxmlformats.org/spreadsheetml/2006/main" count="2015" uniqueCount="778">
  <si>
    <t>Binomial</t>
  </si>
  <si>
    <t>Lat</t>
  </si>
  <si>
    <t>Long</t>
  </si>
  <si>
    <t>Age_Min</t>
  </si>
  <si>
    <t>Age_Max</t>
  </si>
  <si>
    <t>Reference</t>
  </si>
  <si>
    <t>Comments</t>
  </si>
  <si>
    <t>Tapirus bairdii</t>
  </si>
  <si>
    <t>EEJ</t>
  </si>
  <si>
    <t>captive</t>
  </si>
  <si>
    <t>Caracals</t>
  </si>
  <si>
    <t>Caracal caracal</t>
  </si>
  <si>
    <t>https://libstore.ugent.be/fulltxt/RUG01/002/274/171/RUG01-002274171_2016_0001_AC.pdf</t>
  </si>
  <si>
    <t>Cheetah</t>
  </si>
  <si>
    <t>10.1371/journal.pone.0135847</t>
  </si>
  <si>
    <t>10.1095/biolreprod38.2.245</t>
  </si>
  <si>
    <t>10.2164/jandrol.108.006239</t>
  </si>
  <si>
    <t>10.1095/biolreprod.110.085639</t>
  </si>
  <si>
    <t>10.1016/j.cryobiol.2005.10.011</t>
  </si>
  <si>
    <t>wild born</t>
  </si>
  <si>
    <t>USA</t>
  </si>
  <si>
    <t>https://doi.org/10.1095/biolreprod46.6.1047</t>
  </si>
  <si>
    <t>RM</t>
  </si>
  <si>
    <t>AV</t>
  </si>
  <si>
    <t>UC</t>
  </si>
  <si>
    <t>wild</t>
  </si>
  <si>
    <t>10.1016/j.anireprosci.2017.12.019</t>
  </si>
  <si>
    <t>Leopard</t>
  </si>
  <si>
    <t>Lion</t>
  </si>
  <si>
    <t>Panthera leo</t>
  </si>
  <si>
    <t>https://doi.org/10.1016/j.theriogenology.2016.10.024</t>
  </si>
  <si>
    <t>https://doi.org/10.1016/j.theriogenology.2012.02.026</t>
  </si>
  <si>
    <t>Malayan Tapir</t>
  </si>
  <si>
    <t>Puma</t>
  </si>
  <si>
    <t>10.1016/j.theriogenology.2008.07.030</t>
  </si>
  <si>
    <t>10.1016/j.theriogenology.2016.04.080</t>
  </si>
  <si>
    <t>10.1016/j.theriogenology.2018.05.007</t>
  </si>
  <si>
    <t>https://doi.org/10.1530/RAF-20-0042</t>
  </si>
  <si>
    <t>https://doi.org/10.1530/jrf.0.1140095</t>
  </si>
  <si>
    <t>https://europepmc.org/article/med/8229937</t>
  </si>
  <si>
    <t>Tiger</t>
  </si>
  <si>
    <t>https://www.ingentaconnect.com/content/cryo/cryo/2016/00000037/00000004/art00005#</t>
  </si>
  <si>
    <t>only acrosome and apoptosis cosidered for morphology</t>
  </si>
  <si>
    <t>Giant Panda</t>
  </si>
  <si>
    <t>Giant Anteater</t>
  </si>
  <si>
    <t>MT</t>
  </si>
  <si>
    <t>Iberian Lynx</t>
  </si>
  <si>
    <t>https://doi.org/10.1002/zoo.10053</t>
  </si>
  <si>
    <t>Giraffe</t>
  </si>
  <si>
    <t>EPD</t>
  </si>
  <si>
    <t>Bobcat</t>
  </si>
  <si>
    <t>Coyote</t>
  </si>
  <si>
    <t>Domestic Cat</t>
  </si>
  <si>
    <t>Felis catus</t>
  </si>
  <si>
    <t>https://doi.org/10.1016/j.theriogenology.2015.08.005</t>
  </si>
  <si>
    <t>Sample_Size</t>
  </si>
  <si>
    <t>Acinonyx jubatus</t>
  </si>
  <si>
    <t>multiple</t>
  </si>
  <si>
    <t>Housing_Conditons</t>
  </si>
  <si>
    <t>alone</t>
  </si>
  <si>
    <t>Species</t>
  </si>
  <si>
    <t>ID</t>
  </si>
  <si>
    <t>Collection_Method</t>
  </si>
  <si>
    <t>bachelor group</t>
  </si>
  <si>
    <t>pair</t>
  </si>
  <si>
    <t>breeding group</t>
  </si>
  <si>
    <t>https://doi.org/10.1002/zoo.1430120107</t>
  </si>
  <si>
    <t>Elephas maximus</t>
  </si>
  <si>
    <t>Loxodonta africana</t>
  </si>
  <si>
    <t>https://doi.org/10.1371/journal.pone.0057616</t>
  </si>
  <si>
    <t>https://doi.org/10.1530/jrf.0.0720187</t>
  </si>
  <si>
    <t>https://doi.org/10.4102/koedoe.v18i1.919</t>
  </si>
  <si>
    <t>https://doi.org/10.1111/j.2047-2927.2013.00080.x</t>
  </si>
  <si>
    <t>https://doi.org/10.2164/jandrol.110.011460</t>
  </si>
  <si>
    <t>10.1016/j.theriogenology.2003.11.021</t>
  </si>
  <si>
    <t>https://doi.org/10.1016/S0093-691X(00)00237-5</t>
  </si>
  <si>
    <t>https://doi.org/10.1186/1477-7827-6-9</t>
  </si>
  <si>
    <t>Panthera onca</t>
  </si>
  <si>
    <t>https://doi.org/10.1071/RD19182</t>
  </si>
  <si>
    <t>Original_Data</t>
  </si>
  <si>
    <t>Yes</t>
  </si>
  <si>
    <t>No</t>
  </si>
  <si>
    <t>Location_Sample_Size</t>
  </si>
  <si>
    <t>https://doi.org/10.2164/jandrol.110.011833</t>
  </si>
  <si>
    <t>https://doi.org/10.1016/j.anireprosci.2003.07.001</t>
  </si>
  <si>
    <t>https://doi.org/10.1016/0093-691X(96)84714-5</t>
  </si>
  <si>
    <t>https://doi.org/10.1590/S1413-95961998000400007</t>
  </si>
  <si>
    <t>Jaguar</t>
  </si>
  <si>
    <t>https://doi.org/10.1095/biolreprod38.2.245</t>
  </si>
  <si>
    <t>Panthera pardus</t>
  </si>
  <si>
    <t>Panthera tigris</t>
  </si>
  <si>
    <t>Felus concolor</t>
  </si>
  <si>
    <t>http://hdl.handle.net/11660/5464</t>
  </si>
  <si>
    <t>https://doi.org/10.11606/issn.1678-4456.bjvras.2007.26592</t>
  </si>
  <si>
    <t>10.56808/2985-1130.2343</t>
  </si>
  <si>
    <t>Tapirus indicus</t>
  </si>
  <si>
    <t>Wild Horse</t>
  </si>
  <si>
    <t>Equus ferus</t>
  </si>
  <si>
    <t>https://espace.library.uq.edu.au/view/UQ:271321</t>
  </si>
  <si>
    <t>Understanding the reproductive biology of the Przewalski's horse (equus ferus przewalskii)</t>
  </si>
  <si>
    <t>Canis rufus</t>
  </si>
  <si>
    <t>family</t>
  </si>
  <si>
    <t>https://doi.org/10.1371/journal.pone.0200154</t>
  </si>
  <si>
    <t>Rhinoceros</t>
  </si>
  <si>
    <t>Ceratotherium simum</t>
  </si>
  <si>
    <t>Rhinoceros unicornis</t>
  </si>
  <si>
    <t>Diceros bicornis</t>
  </si>
  <si>
    <t>Species_Sample_Size</t>
  </si>
  <si>
    <t>https://doi.org/10.1638/05-019.1</t>
  </si>
  <si>
    <t>https://doi.org/10.3390/biology11020154</t>
  </si>
  <si>
    <t>Country</t>
  </si>
  <si>
    <t>White Rhinoceros</t>
  </si>
  <si>
    <t>Red Wolf</t>
  </si>
  <si>
    <t>Silver Fox</t>
  </si>
  <si>
    <t>Asian Elephant</t>
  </si>
  <si>
    <t>African Elephant</t>
  </si>
  <si>
    <t>Vulpes vulpes</t>
  </si>
  <si>
    <t>Sperm abnormalities in silver fox (Vulpes vulpes) semen selected for artificial insemination</t>
  </si>
  <si>
    <t>Characteristics and Fertility of Sumatran Tiger Spermatozoa Cryopreserved With Different Sugars</t>
  </si>
  <si>
    <t>https://doi.org/10.1016/j.anireprosci.2006.03.048</t>
  </si>
  <si>
    <t>https://doi.org/10.1016/j.theriogenology.2015.06.017</t>
  </si>
  <si>
    <t>Ursus arctos</t>
  </si>
  <si>
    <t>https://doi.org/10.1016/j.theriogenology.2015.11.021</t>
  </si>
  <si>
    <t>10.1292/jvms.60.965</t>
  </si>
  <si>
    <t>https://doi.org/10.1530/rep.1.00034</t>
  </si>
  <si>
    <t>Ailuropoda melanoleuca</t>
  </si>
  <si>
    <t>https://doi.org/10.1111/and.12468</t>
  </si>
  <si>
    <t>https://doi.org/10.1530/jrf.0.0670009</t>
  </si>
  <si>
    <t>https://doi.org/10.1002/zoo.10107open_in_new</t>
  </si>
  <si>
    <t>https://doi.org/10.1016/j.theriogenology.2015.07.041</t>
  </si>
  <si>
    <t>Myrmecophaga tridactyla</t>
  </si>
  <si>
    <t>https://doi.org/10.1016/j.theriogenology.2020.06.016</t>
  </si>
  <si>
    <t>https://doi.org/10.1016/j.anireprosci.2013.05.015</t>
  </si>
  <si>
    <t>Euphractus sexcinctus</t>
  </si>
  <si>
    <t>Cerdocyon thous</t>
  </si>
  <si>
    <t>https://doi.org/10.2478/aoas-2018-0023</t>
  </si>
  <si>
    <t>Vulpes lagopus</t>
  </si>
  <si>
    <t>10.1095/biolreprod34.5.937</t>
  </si>
  <si>
    <t>Neofelis nebulosa</t>
  </si>
  <si>
    <t>https://doi.org/10.1016/j.theriogenology.2016.07.020</t>
  </si>
  <si>
    <t>https://doi.org/10.1530/REP-09-0259</t>
  </si>
  <si>
    <t>Lynx pardinus</t>
  </si>
  <si>
    <t>Three-banded Armadillo</t>
  </si>
  <si>
    <t>Six-banded Armadillo</t>
  </si>
  <si>
    <t>Brown Bear</t>
  </si>
  <si>
    <t>Crab-eating Fox</t>
  </si>
  <si>
    <t>Arctic Fox</t>
  </si>
  <si>
    <t>Clouded Leopard</t>
  </si>
  <si>
    <t>Mouflon</t>
  </si>
  <si>
    <t>Chimpanzee</t>
  </si>
  <si>
    <t>Human</t>
  </si>
  <si>
    <t>Polar Bear</t>
  </si>
  <si>
    <t>Tolypeutes matacus</t>
  </si>
  <si>
    <t>0.141.1</t>
  </si>
  <si>
    <t>https://doi.org/10.1590/S0100-736X2016000800015</t>
  </si>
  <si>
    <t>https://doi.org/10.1002/zoo.21602</t>
  </si>
  <si>
    <t>https://doi.org/10.1016/j.anireprosci.2014.07.003</t>
  </si>
  <si>
    <t>https://doi.org/10.1016/j.anireprosci.2018.03.010</t>
  </si>
  <si>
    <t>Capra pyrenaica</t>
  </si>
  <si>
    <t>Fallow Deer</t>
  </si>
  <si>
    <t>Iberian Ibex</t>
  </si>
  <si>
    <t>https://doi.org/10.1038/270345a0</t>
  </si>
  <si>
    <t>Pan troglodytes</t>
  </si>
  <si>
    <t>Pan paniscus</t>
  </si>
  <si>
    <t>Bonobo</t>
  </si>
  <si>
    <t>Pongo pygmaeus</t>
  </si>
  <si>
    <t>Bornean Orangutan</t>
  </si>
  <si>
    <t>Gorilla gorilla</t>
  </si>
  <si>
    <t>Homo sapiens</t>
  </si>
  <si>
    <t>https://doi.org/10.3390/ijms221910383</t>
  </si>
  <si>
    <t>Western Gorilla</t>
  </si>
  <si>
    <t>https://doi.org/10.1002/ajp.20158</t>
  </si>
  <si>
    <t>https://doi.org/10.3390/ani12040430</t>
  </si>
  <si>
    <t>Ursus maritimus</t>
  </si>
  <si>
    <t>https://doi.org/10.1007/s10344-019-1257-7</t>
  </si>
  <si>
    <t>Giraffa camelopardalis</t>
  </si>
  <si>
    <t>https://doi.org/10.3390/ani12070857</t>
  </si>
  <si>
    <t>https://doi.org/10.1016/j.tice.2008.03.001</t>
  </si>
  <si>
    <t>Bradypus tridactylus</t>
  </si>
  <si>
    <t>Pale-throated Sloth</t>
  </si>
  <si>
    <t>https://doi.org/10.1111/j.1439-0531.2008.01087.x</t>
  </si>
  <si>
    <t>American Bison</t>
  </si>
  <si>
    <t>Bison bison</t>
  </si>
  <si>
    <t>https://doi.org/10.1016/j.theriogenology.2009.03.002</t>
  </si>
  <si>
    <t>Lynx rufus</t>
  </si>
  <si>
    <t>https://doi.org/10.1016/j.cryobiol.2006.03.009</t>
  </si>
  <si>
    <t>Mustela nigripes</t>
  </si>
  <si>
    <t>Black-footed Ferret</t>
  </si>
  <si>
    <t>Dama dama</t>
  </si>
  <si>
    <t>https://doi.org/10.1016/j.theriogenology.2008.01.010</t>
  </si>
  <si>
    <t>Canis latrans</t>
  </si>
  <si>
    <t>Presence_of_Data</t>
  </si>
  <si>
    <t>Publish_Date</t>
  </si>
  <si>
    <t>Date_Start</t>
  </si>
  <si>
    <t>Date_End</t>
  </si>
  <si>
    <t>Testicular_Volume</t>
  </si>
  <si>
    <t>Testicular_Circumference</t>
  </si>
  <si>
    <t>Seminal_Volume</t>
  </si>
  <si>
    <t>Mean_Motility</t>
  </si>
  <si>
    <t>Sperm_Concentration</t>
  </si>
  <si>
    <t>%_Normal_Morphology</t>
  </si>
  <si>
    <t>%_Intact_Acrosome</t>
  </si>
  <si>
    <t>%_Head_Abnormalities</t>
  </si>
  <si>
    <t>%_Midpiece_Abnormalities</t>
  </si>
  <si>
    <t>%_Tail_Abnormalities</t>
  </si>
  <si>
    <t>Housing</t>
  </si>
  <si>
    <t>Pairing</t>
  </si>
  <si>
    <t>PAN</t>
  </si>
  <si>
    <t>BEL</t>
  </si>
  <si>
    <t>NAM</t>
  </si>
  <si>
    <t>ZAF</t>
  </si>
  <si>
    <t>BRA</t>
  </si>
  <si>
    <t>THA</t>
  </si>
  <si>
    <t>IDN</t>
  </si>
  <si>
    <t>ESP</t>
  </si>
  <si>
    <t>JPN</t>
  </si>
  <si>
    <t>CHN</t>
  </si>
  <si>
    <t>POL</t>
  </si>
  <si>
    <t>FRA</t>
  </si>
  <si>
    <t>CAN</t>
  </si>
  <si>
    <t>AUS</t>
  </si>
  <si>
    <t>AUT</t>
  </si>
  <si>
    <t>DEU</t>
  </si>
  <si>
    <t>CZE</t>
  </si>
  <si>
    <t>SVK</t>
  </si>
  <si>
    <t>Southern Pig-footed Bandicoot</t>
  </si>
  <si>
    <t>Chaeropus ecaudatus</t>
  </si>
  <si>
    <t>Painted Ring-tailed Possum</t>
  </si>
  <si>
    <t>Pseudochirulus forbesi</t>
  </si>
  <si>
    <t>Dramatic White-toothed Shrew</t>
  </si>
  <si>
    <t>Crocidura ludia</t>
  </si>
  <si>
    <t>Crocidura indochinensis</t>
  </si>
  <si>
    <t>Indochinese White-toothed Shrew</t>
  </si>
  <si>
    <t>Northern Montane Shrew</t>
  </si>
  <si>
    <t>Sorex obscurus</t>
  </si>
  <si>
    <t>Northern Palm Civet</t>
  </si>
  <si>
    <t>Paradoxurus hermaphroditus</t>
  </si>
  <si>
    <t>Black Langur</t>
  </si>
  <si>
    <t>Trachypithecus ebenus</t>
  </si>
  <si>
    <t>Pithecia napensis</t>
  </si>
  <si>
    <t>Napo Saki</t>
  </si>
  <si>
    <t>Buff-footed Antechinus</t>
  </si>
  <si>
    <t>Antechinus mysticus</t>
  </si>
  <si>
    <t>Mountain Pygmy Possum</t>
  </si>
  <si>
    <t>Burramys parvus</t>
  </si>
  <si>
    <t>https://doi.org/10.1638/2013-0055R1.1</t>
  </si>
  <si>
    <t>Sumatran Giant White-toothed Shrew</t>
  </si>
  <si>
    <t>Crocidura lepidura</t>
  </si>
  <si>
    <t>Sumatran Orangutan</t>
  </si>
  <si>
    <t>Pongo abelii</t>
  </si>
  <si>
    <t>https://doi.org/10.1002/zoo.1430120303</t>
  </si>
  <si>
    <t>Cheirogaleus lavasoensis</t>
  </si>
  <si>
    <t>Lavasoa Dwarf Lemur</t>
  </si>
  <si>
    <t>Makwassie White-toothed Shrew</t>
  </si>
  <si>
    <t>Crocidura maquassiensis</t>
  </si>
  <si>
    <t>Himalayan Takin</t>
  </si>
  <si>
    <t>Budorcas taxicolor</t>
  </si>
  <si>
    <t>Thalia's White-toothed Shrew</t>
  </si>
  <si>
    <t>Crocidura thalia</t>
  </si>
  <si>
    <t>Four-toed Rice Tenrec</t>
  </si>
  <si>
    <t>Oryzorictes tetradactylus</t>
  </si>
  <si>
    <t>Juliana's Golden Mole</t>
  </si>
  <si>
    <t>Neamblysomus julianae</t>
  </si>
  <si>
    <t>Chestnut-bellied Titi</t>
  </si>
  <si>
    <t>Plecturocebus caligatus</t>
  </si>
  <si>
    <t>Burmese Short-tailed Shrew</t>
  </si>
  <si>
    <t>Blarinella wardi</t>
  </si>
  <si>
    <t>White-tailed Jackrabbit</t>
  </si>
  <si>
    <t>Lepus townsendii</t>
  </si>
  <si>
    <t>Goodwin's Broad-clawed Shrew</t>
  </si>
  <si>
    <t>Cryptotis goodwini</t>
  </si>
  <si>
    <t>Moonshine White-toothed Shrew</t>
  </si>
  <si>
    <t>Crocidura luna</t>
  </si>
  <si>
    <t>Common Brush-tailed Possum</t>
  </si>
  <si>
    <t>Trichosurus vulpecula</t>
  </si>
  <si>
    <t>https://doi.org/10.1016/S0165-0378(97)00076-4</t>
  </si>
  <si>
    <t>NZL</t>
  </si>
  <si>
    <t>https://doi.org/10.1071/RD9910119</t>
  </si>
  <si>
    <t>https://doi.org/10.1071/RD9960681</t>
  </si>
  <si>
    <t>Tammar Wallaby</t>
  </si>
  <si>
    <t>Notamacropus eugenii</t>
  </si>
  <si>
    <t>https://doi.org/10.1071/RD07128</t>
  </si>
  <si>
    <t>Lasiorhinus latifrons</t>
  </si>
  <si>
    <t>Southern Hairy-nosed Wombat</t>
  </si>
  <si>
    <t>https://doi.org/10.1016/j.theriogenology.2012.02.005</t>
  </si>
  <si>
    <t>Sarcophilus harrisii</t>
  </si>
  <si>
    <t>Tasmanian Devil</t>
  </si>
  <si>
    <t>Unduavi Mouse Opossum</t>
  </si>
  <si>
    <t>Cryptonanus unduaviensis</t>
  </si>
  <si>
    <t>Ussuri Mole</t>
  </si>
  <si>
    <t>Mogera robusta</t>
  </si>
  <si>
    <t>Nyiro White-toothed Shrew</t>
  </si>
  <si>
    <t>Crocidura macowi</t>
  </si>
  <si>
    <t>Lowland Streaked Tenrec</t>
  </si>
  <si>
    <t>Hemicentetes semispinosus</t>
  </si>
  <si>
    <t>Guadalupe Fur Seal</t>
  </si>
  <si>
    <t>Arctocephalus townsendi</t>
  </si>
  <si>
    <t>Bearded Seal</t>
  </si>
  <si>
    <t>Erignathus barbatus</t>
  </si>
  <si>
    <t>Ningaui yvonneae</t>
  </si>
  <si>
    <t>Southern Ningaui</t>
  </si>
  <si>
    <t>Volcano Forest Shrew</t>
  </si>
  <si>
    <t>Bay Cat</t>
  </si>
  <si>
    <t>Sylvisorex vulcanorum</t>
  </si>
  <si>
    <t>Catopuma badia</t>
  </si>
  <si>
    <t>https://doi.org/10.1016/j.ygcen.2009.06.021</t>
  </si>
  <si>
    <t>Sand Cat</t>
  </si>
  <si>
    <t>Felis margarita</t>
  </si>
  <si>
    <t>Black-footed Cat</t>
  </si>
  <si>
    <t>Felis nigripes</t>
  </si>
  <si>
    <t>https://doi.org/10.1095/biolreprod.109.081034</t>
  </si>
  <si>
    <t>Felis chaus</t>
  </si>
  <si>
    <t>Jungle Cat</t>
  </si>
  <si>
    <t>IRN</t>
  </si>
  <si>
    <t>https://doi.org/10.1016/j.theriogenology.2016.12.034</t>
  </si>
  <si>
    <t>https://www.jstor.org/stable/20095570</t>
  </si>
  <si>
    <t>Influence of Seasonality on Reproductive Traits of the Male Pallas' Cat (Felis manul) and Implications for Captive Management</t>
  </si>
  <si>
    <t>Pallas's Cat</t>
  </si>
  <si>
    <t>Otocolobus manul</t>
  </si>
  <si>
    <t>https://doi.org/10.1638/05-073.1</t>
  </si>
  <si>
    <t>https://doi.org/10.1002/zoo.20127</t>
  </si>
  <si>
    <t>Vicuna</t>
  </si>
  <si>
    <t>Lama vicugna</t>
  </si>
  <si>
    <t>https://doi.org/10.1016/0378-4320(93)90121-7</t>
  </si>
  <si>
    <t>Marsh Deer</t>
  </si>
  <si>
    <t>Blastocerus dichotomus</t>
  </si>
  <si>
    <t>Red-bellied Tamarin</t>
  </si>
  <si>
    <t>Saguinus labiatus</t>
  </si>
  <si>
    <t>Indian Brown Mongoose</t>
  </si>
  <si>
    <t>Urva fusca</t>
  </si>
  <si>
    <t>Greater Bilby</t>
  </si>
  <si>
    <t>Macrotis lagotis</t>
  </si>
  <si>
    <t>Chestnut-bellied Shrew</t>
  </si>
  <si>
    <t>Sorex ventralis</t>
  </si>
  <si>
    <t>Yucatan Brown Brocket</t>
  </si>
  <si>
    <t>Odocoileus pandora</t>
  </si>
  <si>
    <t>Vietnamese Water Shrew</t>
  </si>
  <si>
    <t>Chimarrogale varennei</t>
  </si>
  <si>
    <t>Amazon Weasel</t>
  </si>
  <si>
    <t>Neogale africana</t>
  </si>
  <si>
    <t>Spotted-necked Otter</t>
  </si>
  <si>
    <t>Hydrictis maculicollis</t>
  </si>
  <si>
    <t>Demidoff's Dwarf Galago</t>
  </si>
  <si>
    <t>Galagoides demidoff</t>
  </si>
  <si>
    <t>Black-fronted Duiker</t>
  </si>
  <si>
    <t>Cephalophorus nigrifrons</t>
  </si>
  <si>
    <t>Groves's Titi</t>
  </si>
  <si>
    <t>Plecturocebus grovesi</t>
  </si>
  <si>
    <t>True's Beaked Whale</t>
  </si>
  <si>
    <t>Mesoplodon mirus</t>
  </si>
  <si>
    <t>Wilkins's Rock Wallaby</t>
  </si>
  <si>
    <t>Petrogale wilkinsi</t>
  </si>
  <si>
    <t>Hose's Palm Civet</t>
  </si>
  <si>
    <t>Diplogale hosei</t>
  </si>
  <si>
    <t>European Rabbit</t>
  </si>
  <si>
    <t>Oryctolagus cuniculus</t>
  </si>
  <si>
    <t>GBR</t>
  </si>
  <si>
    <t>https://doi.org/10.1016/j.cub.2006.02.059</t>
  </si>
  <si>
    <t>https://doi.org/10.15381/rivep.v31i2.17857</t>
  </si>
  <si>
    <t>Spanish</t>
  </si>
  <si>
    <t>male group</t>
  </si>
  <si>
    <t>https://doi.org/10.7717/peerj.15112</t>
  </si>
  <si>
    <t>EGY</t>
  </si>
  <si>
    <t>https://doi.org/10.21451/1984-3143-AR808</t>
  </si>
  <si>
    <t>https://doi.org/10.1590/S0102-09352012000600023</t>
  </si>
  <si>
    <t>Portuguese</t>
  </si>
  <si>
    <t>https://doi.org/10.1016/j.theriogenology.2005.06.010</t>
  </si>
  <si>
    <t>COD</t>
  </si>
  <si>
    <t>https://doi.org/10.1007/s11250-019-01808-2</t>
  </si>
  <si>
    <t>https://doi.org/10.1016/j.theriogenology.2019.07.014</t>
  </si>
  <si>
    <t>Peleng Tarsier</t>
  </si>
  <si>
    <t>Tarsius pelengensis</t>
  </si>
  <si>
    <t>Colombian Weasel</t>
  </si>
  <si>
    <t>Neogale felipei</t>
  </si>
  <si>
    <t>Cape Genet</t>
  </si>
  <si>
    <t>Genetta tigrina</t>
  </si>
  <si>
    <t>Indian Chevrotain</t>
  </si>
  <si>
    <t>Moschiola indica</t>
  </si>
  <si>
    <t>Sumatran Water Shrew</t>
  </si>
  <si>
    <t>Chimarrogale sumatrana</t>
  </si>
  <si>
    <t>Medellin Small-eared Shrew</t>
  </si>
  <si>
    <t>Cryptotis medellinius</t>
  </si>
  <si>
    <t>Pantepui Slender Opossum</t>
  </si>
  <si>
    <t>Marmosops pakaraimae</t>
  </si>
  <si>
    <t>Mitered Langur</t>
  </si>
  <si>
    <t>Presbytis mitrata</t>
  </si>
  <si>
    <t>Pygmy Ring-tailed Possum</t>
  </si>
  <si>
    <t>Pseudochirulus mayeri</t>
  </si>
  <si>
    <t>Abbott's Duiker</t>
  </si>
  <si>
    <t>Cephalophus spadix</t>
  </si>
  <si>
    <t>Nigerian White-toothed Shrew</t>
  </si>
  <si>
    <t>Crocidura nigeriae</t>
  </si>
  <si>
    <t>Dabieshan Brown-toothed Shrew</t>
  </si>
  <si>
    <t>Chodsigoa dabieshanensis</t>
  </si>
  <si>
    <t>Fin Whale</t>
  </si>
  <si>
    <t>Balaenoptera physalus</t>
  </si>
  <si>
    <t>Common Dwarf Mongoose</t>
  </si>
  <si>
    <t>Helogale parvula</t>
  </si>
  <si>
    <t>Chinese Mountain Cat</t>
  </si>
  <si>
    <t>Felis bieti</t>
  </si>
  <si>
    <t>East Sumatran Banded Langur</t>
  </si>
  <si>
    <t>Presbytis percura</t>
  </si>
  <si>
    <t>Southern Colocolo</t>
  </si>
  <si>
    <t>Leopardus pajeros</t>
  </si>
  <si>
    <t>Black-horned Capuchin</t>
  </si>
  <si>
    <t>Sapajus nigritus</t>
  </si>
  <si>
    <t>Emilie's Short-tailed Opossum</t>
  </si>
  <si>
    <t>Monodelphis emiliae</t>
  </si>
  <si>
    <t>Montagne d'Ambre Dwarf Lemur</t>
  </si>
  <si>
    <t>Cheirogaleus andysabini</t>
  </si>
  <si>
    <t>Weddell's Saddle-back Tamarin</t>
  </si>
  <si>
    <t>Saguinus weddelli</t>
  </si>
  <si>
    <t>Australian Humpback Dolphin</t>
  </si>
  <si>
    <t>Sousa sahulensis</t>
  </si>
  <si>
    <t>Urubamba Brown Titi</t>
  </si>
  <si>
    <t>Plecturocebus urubambensis</t>
  </si>
  <si>
    <t>Northern Raccoon</t>
  </si>
  <si>
    <t>Procyon lotor</t>
  </si>
  <si>
    <t>Omilteme Cottontail</t>
  </si>
  <si>
    <t>Sylvilagus insonus</t>
  </si>
  <si>
    <t>Swamp Wallaby</t>
  </si>
  <si>
    <t>Wallabia bicolor</t>
  </si>
  <si>
    <t>Mandrill</t>
  </si>
  <si>
    <t>Mandrillus sphinx</t>
  </si>
  <si>
    <t>Hairy-tailed White-toothed Shrew</t>
  </si>
  <si>
    <t>Crocidura caudipilosa</t>
  </si>
  <si>
    <t>Hernández-Camacho's Night Monkey</t>
  </si>
  <si>
    <t>Aotus jorgehernandezi</t>
  </si>
  <si>
    <t>Putty-nosed Monkey</t>
  </si>
  <si>
    <t>Cercopithecus nictitans</t>
  </si>
  <si>
    <t>Subantarctic Fur Seal</t>
  </si>
  <si>
    <t>Arctocephalus tropicalis</t>
  </si>
  <si>
    <t>https://doi.org/10.1111/rda.13887</t>
  </si>
  <si>
    <t>A comparative study in morphological defects of semen from African Lions (Panthera leo) and Caracal (Caracal caracal): collected by urethral catheterization and electroejaculation.</t>
  </si>
  <si>
    <t>TZA</t>
  </si>
  <si>
    <t>https://doi.org/10.1530/jrf.0.0910029</t>
  </si>
  <si>
    <t>https://www.jstor.org/stable/24101668</t>
  </si>
  <si>
    <t>Cryopreservation of semen of tigers and lions: Computerized analysis of the motility parameters of the spermatozoa</t>
  </si>
  <si>
    <t>IND</t>
  </si>
  <si>
    <t>Evaristo's Small-eared Shrew</t>
  </si>
  <si>
    <t>Cryptotis evaristoi</t>
  </si>
  <si>
    <t>Raffles's Banded Langur</t>
  </si>
  <si>
    <t>Presbytis femoralis</t>
  </si>
  <si>
    <t>Cayman Nesophontes</t>
  </si>
  <si>
    <t>Nesophontes hemicingulus</t>
  </si>
  <si>
    <t>Armenian White-toothed Shrew</t>
  </si>
  <si>
    <t>Crocidura armenica</t>
  </si>
  <si>
    <t>Bawean Deer</t>
  </si>
  <si>
    <t>Axis kuhlii</t>
  </si>
  <si>
    <t>Lesser Congo Shrew</t>
  </si>
  <si>
    <t>Congosorex verheyeni</t>
  </si>
  <si>
    <t>Blue-eyed Black Lemur</t>
  </si>
  <si>
    <t>Eulemur flavifrons</t>
  </si>
  <si>
    <t>Akaibe's Forest Shrew</t>
  </si>
  <si>
    <t>Sylvisorex akaibei</t>
  </si>
  <si>
    <t>Tucuxi</t>
  </si>
  <si>
    <t>Sotalia fluviatilis</t>
  </si>
  <si>
    <t>Central African Potto</t>
  </si>
  <si>
    <t>Perodicticus edwardsi</t>
  </si>
  <si>
    <t>Buton Macaque</t>
  </si>
  <si>
    <t>Macaca brunnescens</t>
  </si>
  <si>
    <t>Howell's Forest Shrew</t>
  </si>
  <si>
    <t>Sylvisorex howelli</t>
  </si>
  <si>
    <t>Harbor Porpoise</t>
  </si>
  <si>
    <t>Phocoena phocoena</t>
  </si>
  <si>
    <t>Hidden Brown-toothed Shrew</t>
  </si>
  <si>
    <t>Episoriculus umbrinus</t>
  </si>
  <si>
    <t>Calamian Deer</t>
  </si>
  <si>
    <t>Axis calamianensis</t>
  </si>
  <si>
    <t>Thomas's Silky Anteater</t>
  </si>
  <si>
    <t>Cyclopes thomasi</t>
  </si>
  <si>
    <t>Blond Capuchin</t>
  </si>
  <si>
    <t>Sapajus flavius</t>
  </si>
  <si>
    <t>Brooke's Duiker</t>
  </si>
  <si>
    <t>Cephalophorus brookei</t>
  </si>
  <si>
    <t>Black-shanked Douc</t>
  </si>
  <si>
    <t>Pygathrix nigripes</t>
  </si>
  <si>
    <t>Gray-shanked Douc</t>
  </si>
  <si>
    <t>Pygathrix cinerea</t>
  </si>
  <si>
    <t>Desert Bandicoot</t>
  </si>
  <si>
    <t>Perameles eremiana</t>
  </si>
  <si>
    <t>Asian Small-clawed Otter</t>
  </si>
  <si>
    <t>Lutra cinerea</t>
  </si>
  <si>
    <t>Black-and-rufous Sengi</t>
  </si>
  <si>
    <t>Rhynchocyon petersi</t>
  </si>
  <si>
    <t>Handley's Slender Opossum</t>
  </si>
  <si>
    <t>Marmosops handleyi</t>
  </si>
  <si>
    <t>Red Slender Loris</t>
  </si>
  <si>
    <t>Loris tardigradus</t>
  </si>
  <si>
    <t>Banded Hare Wallaby</t>
  </si>
  <si>
    <t>Lagostrophus fasciatus</t>
  </si>
  <si>
    <t>Lesula</t>
  </si>
  <si>
    <t>Cercopithecus lomamiensis</t>
  </si>
  <si>
    <t>Eastern Red Panda</t>
  </si>
  <si>
    <t>Ailurus styani</t>
  </si>
  <si>
    <t>Manchurian Pika</t>
  </si>
  <si>
    <t>Ochotona mantchurica</t>
  </si>
  <si>
    <t>Perija Small-eared Shrew</t>
  </si>
  <si>
    <t>Cryptotis perijensis</t>
  </si>
  <si>
    <t>Rio Acarí Marmoset</t>
  </si>
  <si>
    <t>Mico acariensis</t>
  </si>
  <si>
    <t>White-tailed Mole</t>
  </si>
  <si>
    <t>Parascaptor leucurus</t>
  </si>
  <si>
    <t>Papuan Planigale</t>
  </si>
  <si>
    <t>Planigale novaeguineae</t>
  </si>
  <si>
    <t>Dice's Cottontail</t>
  </si>
  <si>
    <t>Sylvilagus dicei</t>
  </si>
  <si>
    <t>Rio Juruá Collared Titi</t>
  </si>
  <si>
    <t>Cheracebus regulus</t>
  </si>
  <si>
    <t>Tanzanian White-toothed Shrew</t>
  </si>
  <si>
    <t>Crocidura tansaniana</t>
  </si>
  <si>
    <t>Malay Weasel</t>
  </si>
  <si>
    <t>Mustela nudipes</t>
  </si>
  <si>
    <t>Nepalese Brown-toothed Shrew</t>
  </si>
  <si>
    <t>Episoriculus soluensis</t>
  </si>
  <si>
    <t>Equivalent-teeth Shrew Mole</t>
  </si>
  <si>
    <t>Uropsilus aequodonenia</t>
  </si>
  <si>
    <t>Ihering's Three-striped Opossum</t>
  </si>
  <si>
    <t>Monodelphis iheringi</t>
  </si>
  <si>
    <t>Kakadu Dunnart</t>
  </si>
  <si>
    <t>Sminthopsis bindi</t>
  </si>
  <si>
    <t>Short-tailed Mongoose</t>
  </si>
  <si>
    <t>Urva brachyura</t>
  </si>
  <si>
    <t>Wolf's Monkey</t>
  </si>
  <si>
    <t>Cercopithecus wolfi</t>
  </si>
  <si>
    <t>Eastern Tree Hyrax</t>
  </si>
  <si>
    <t>Dendrohyrax validus</t>
  </si>
  <si>
    <t>Red-bellied Lemur</t>
  </si>
  <si>
    <t>Eulemur rubriventer</t>
  </si>
  <si>
    <t>Phu Quoc White-toothed Shrew</t>
  </si>
  <si>
    <t>Crocidura phuquocensis</t>
  </si>
  <si>
    <t>Yellow Mongoose</t>
  </si>
  <si>
    <t>Cynictis penicillata</t>
  </si>
  <si>
    <t>Fawn Antechinus</t>
  </si>
  <si>
    <t>Antechinus bellus</t>
  </si>
  <si>
    <t>Canarian White-toothed Shrew</t>
  </si>
  <si>
    <t>Crocidura canariensis</t>
  </si>
  <si>
    <t>Tate's Striped Possum</t>
  </si>
  <si>
    <t>Dactylopsila tatei</t>
  </si>
  <si>
    <t>Broad-striped Dasyure</t>
  </si>
  <si>
    <t>Murexia rothschildi</t>
  </si>
  <si>
    <t>Iranian Pika</t>
  </si>
  <si>
    <t>Ochotona vizier</t>
  </si>
  <si>
    <t>Black Four-eyed Opossum</t>
  </si>
  <si>
    <t>Philander nigratus</t>
  </si>
  <si>
    <t>Grivet Monkey</t>
  </si>
  <si>
    <t>Chlorocebus aethiops</t>
  </si>
  <si>
    <t>Rhesus Macaque</t>
  </si>
  <si>
    <t>Macaca mulatta</t>
  </si>
  <si>
    <t>https://doi.org/10.1111/jmp.12349</t>
  </si>
  <si>
    <t>https://doi.org/10.1111/rda.14216</t>
  </si>
  <si>
    <t>https://doi.org/10.1111/j.1600-0684.1994.tb00291.x</t>
  </si>
  <si>
    <t>https://doi.org/10.1258/002367789780887019</t>
  </si>
  <si>
    <t>both</t>
  </si>
  <si>
    <t>https://doi.org/10.1111/j.1600-0684.1996.tb00035.x</t>
  </si>
  <si>
    <t>Nile Lechwe</t>
  </si>
  <si>
    <t>Kobus megaceros</t>
  </si>
  <si>
    <t>Bryde's Whale</t>
  </si>
  <si>
    <t>Balaenoptera brydei</t>
  </si>
  <si>
    <t>https://doi.org/10.1262/jrd.50.419</t>
  </si>
  <si>
    <t>Greater Forest Shrew</t>
  </si>
  <si>
    <t>Sylvisorex ollula</t>
  </si>
  <si>
    <t>Heather White-toothed Shrew</t>
  </si>
  <si>
    <t>Crocidura erica</t>
  </si>
  <si>
    <t>Giant Solenodon</t>
  </si>
  <si>
    <t>Solenodon arredondoi</t>
  </si>
  <si>
    <t>Caucasian Pygmy Shrew</t>
  </si>
  <si>
    <t>Sorex volnuchini</t>
  </si>
  <si>
    <t>Pygmy Three-toed Sloth</t>
  </si>
  <si>
    <t>Bradypus pygmaeus</t>
  </si>
  <si>
    <t>Alpine Pika</t>
  </si>
  <si>
    <t>Ochotona alpina</t>
  </si>
  <si>
    <t>Snethlage's Marmoset</t>
  </si>
  <si>
    <t>Mico emiliae</t>
  </si>
  <si>
    <t>Cat Ba Langur</t>
  </si>
  <si>
    <t>Trachypithecus poliocephalus</t>
  </si>
  <si>
    <t>Sierra Shrew</t>
  </si>
  <si>
    <t>Sorex madrensis</t>
  </si>
  <si>
    <t>Greater White-toothed Shrew</t>
  </si>
  <si>
    <t>Crocidura russula</t>
  </si>
  <si>
    <t>Northern Pygmy Slow Loris</t>
  </si>
  <si>
    <t>Xanthonycticebus intermedius</t>
  </si>
  <si>
    <t>Woodlark Cuscus</t>
  </si>
  <si>
    <t>Phalanger lullulae</t>
  </si>
  <si>
    <t>White-tailed Sengi</t>
  </si>
  <si>
    <t>Rhynchocyon stuhlmanni</t>
  </si>
  <si>
    <t>Sardinian Pika</t>
  </si>
  <si>
    <t>Prolagus sardus</t>
  </si>
  <si>
    <t>Small-toothed Ferret-badger</t>
  </si>
  <si>
    <t>Melogale moschata</t>
  </si>
  <si>
    <t>Common Brush-tailed Phascogale</t>
  </si>
  <si>
    <t>Phascogale tapoatafa</t>
  </si>
  <si>
    <t>Northern Black-eared Opossum</t>
  </si>
  <si>
    <t>Didelphis marsupialis</t>
  </si>
  <si>
    <t>Hiller's Slow Loris</t>
  </si>
  <si>
    <t>Nycticebus hilleri</t>
  </si>
  <si>
    <t>White-fronted Brown Lemur</t>
  </si>
  <si>
    <t>Eulemur albifrons</t>
  </si>
  <si>
    <t>Malaysian Mole</t>
  </si>
  <si>
    <t>Euroscaptor malayanus</t>
  </si>
  <si>
    <t>https://doi.org/10.1016/0378-4320(96)01545-X</t>
  </si>
  <si>
    <t>Springbok</t>
  </si>
  <si>
    <t>Antidorcas marsupialis</t>
  </si>
  <si>
    <t>Bontebok</t>
  </si>
  <si>
    <t>Damaliscus pygargus</t>
  </si>
  <si>
    <t>Impala</t>
  </si>
  <si>
    <t>Aepyceros melampus</t>
  </si>
  <si>
    <t>https://doi.org/10.4067/S0717-95022016000100039</t>
  </si>
  <si>
    <t>Addax</t>
  </si>
  <si>
    <t>Addax nasomaculatus</t>
  </si>
  <si>
    <t>https://doi.org/10.1002/zoo.10079</t>
  </si>
  <si>
    <t>https://doi.org/10.1007/s10344-008-0207-6</t>
  </si>
  <si>
    <t>Bighorn Sheep</t>
  </si>
  <si>
    <t>Ovis canadensis</t>
  </si>
  <si>
    <t>Aoudad</t>
  </si>
  <si>
    <t>Ammotragus lervia</t>
  </si>
  <si>
    <t>Ovis gmelinii</t>
  </si>
  <si>
    <t>Common Fallow Deer</t>
  </si>
  <si>
    <t>Blue Wildebeest</t>
  </si>
  <si>
    <t>Connochaetes taurinus</t>
  </si>
  <si>
    <t>MEX</t>
  </si>
  <si>
    <t>https://doi.org/10.1016/j.cryobiol.2016.08.012</t>
  </si>
  <si>
    <t>Dama Gazelle</t>
  </si>
  <si>
    <t>Nanger dama</t>
  </si>
  <si>
    <t>Scimitar-horned Oryx</t>
  </si>
  <si>
    <t>Oryx dammah</t>
  </si>
  <si>
    <t>https://doi.org/10.1095/biolreprod58.2.475</t>
  </si>
  <si>
    <t>https://doi.org/10.1095/biolreprod65.4.1246</t>
  </si>
  <si>
    <t>Beisa Oryx</t>
  </si>
  <si>
    <t>Oryx beisa</t>
  </si>
  <si>
    <t>https://doi.org/10.1071/RD05077</t>
  </si>
  <si>
    <t>Gerenuk</t>
  </si>
  <si>
    <t>Litocranius walleri</t>
  </si>
  <si>
    <t>KEN</t>
  </si>
  <si>
    <t>Pronghorn</t>
  </si>
  <si>
    <t>Antilocapra americana</t>
  </si>
  <si>
    <t>Southern Pygmy Marmoset</t>
  </si>
  <si>
    <t>Cebuella niveiventris</t>
  </si>
  <si>
    <t>Northern Common Cuscus</t>
  </si>
  <si>
    <t>Phalanger orientalis</t>
  </si>
  <si>
    <t>https://doi.org/10.1016/j.theriogenology.2011.03.015</t>
  </si>
  <si>
    <t>https://doi.org/10.1016/j.anireprosci.2009.08.012</t>
  </si>
  <si>
    <t>https://doi.org/10.1590/1678-4162-8811</t>
  </si>
  <si>
    <t>Black-tailed Marmoset</t>
  </si>
  <si>
    <t>Mico melanurus</t>
  </si>
  <si>
    <t>Kashmir White-toothed Shrew</t>
  </si>
  <si>
    <t>Crocidura pullata</t>
  </si>
  <si>
    <t>Hewitt's Red Rock Hare</t>
  </si>
  <si>
    <t>Pronolagus saundersiae</t>
  </si>
  <si>
    <t>Bat-eared Fox</t>
  </si>
  <si>
    <t>Otocyon megalotis</t>
  </si>
  <si>
    <t>Arnoux's Beaked Whale</t>
  </si>
  <si>
    <t>Berardius arnuxii</t>
  </si>
  <si>
    <t>Harenna White-toothed Shrew</t>
  </si>
  <si>
    <t>Crocidura harenna</t>
  </si>
  <si>
    <t>Eastern Pygmy Shrew</t>
  </si>
  <si>
    <t>Sorex hoyi</t>
  </si>
  <si>
    <t>Shinto Shrew</t>
  </si>
  <si>
    <t>Sorex shinto</t>
  </si>
  <si>
    <t>Western Quoll</t>
  </si>
  <si>
    <t>Dasyurus geoffroii</t>
  </si>
  <si>
    <t>Indochinese Gray Langur</t>
  </si>
  <si>
    <t>Trachypithecus crepusculus</t>
  </si>
  <si>
    <t>Siau Island Tarsier</t>
  </si>
  <si>
    <t>Tarsius tumpara</t>
  </si>
  <si>
    <t>Amazon River Dolphin</t>
  </si>
  <si>
    <t>Inia geoffrensis</t>
  </si>
  <si>
    <t>Ecuadorean Tapeti</t>
  </si>
  <si>
    <t>Sylvilagus daulensis</t>
  </si>
  <si>
    <t>Rufous Mouse Lemur</t>
  </si>
  <si>
    <t>Microcebus rufus</t>
  </si>
  <si>
    <t>Ifola Tree Kangaroo</t>
  </si>
  <si>
    <t>Dendrolagus notatus</t>
  </si>
  <si>
    <t>Makassar Tarsier</t>
  </si>
  <si>
    <t>Tarsius fuscus</t>
  </si>
  <si>
    <t>Central Desert Marsupial Mole</t>
  </si>
  <si>
    <t>Notoryctes typhlops</t>
  </si>
  <si>
    <t>East African Potto</t>
  </si>
  <si>
    <t>Perodicticus ibeanus</t>
  </si>
  <si>
    <t>Gray's Sportive Lemur</t>
  </si>
  <si>
    <t>Lepilemur dorsalis</t>
  </si>
  <si>
    <t>Gracile White-toothed Shrew</t>
  </si>
  <si>
    <t>Crocidura maurisca</t>
  </si>
  <si>
    <t>Baikal Seal</t>
  </si>
  <si>
    <t>Pusa sibirica</t>
  </si>
  <si>
    <t>Common Long-eared Hedgehog</t>
  </si>
  <si>
    <t>Hemiechinus auritus</t>
  </si>
  <si>
    <t>Sumatran Treeshrew</t>
  </si>
  <si>
    <t>Tupaia ferruginea</t>
  </si>
  <si>
    <t>Chinese Water Deer</t>
  </si>
  <si>
    <t>Hydropotes inermis</t>
  </si>
  <si>
    <t>Lemerle's Dwarf Hippopotamus</t>
  </si>
  <si>
    <t>Hippopotamus lemerlei</t>
  </si>
  <si>
    <t>Sandstone Pseudantechinus</t>
  </si>
  <si>
    <t>Pseudantechinus bilarni</t>
  </si>
  <si>
    <t>Golden Snub-nosed Monkey</t>
  </si>
  <si>
    <t>Rhinopithecus roxellana</t>
  </si>
  <si>
    <t>https://doi.org/10.1016/j.theriogenology.2011.04.001</t>
  </si>
  <si>
    <t>Kahuzi Mouse Shrew</t>
  </si>
  <si>
    <t>Myosorex jejei</t>
  </si>
  <si>
    <t>Cinnamon Antechinus</t>
  </si>
  <si>
    <t>Antechinus leo</t>
  </si>
  <si>
    <t>North-western Woolly Mouse Opossum</t>
  </si>
  <si>
    <t>Marmosa germana</t>
  </si>
  <si>
    <t>Northern Long-nosed Armadillo</t>
  </si>
  <si>
    <t>Dasypus sabanicola</t>
  </si>
  <si>
    <t>Horsfield's Treeshrew</t>
  </si>
  <si>
    <t>Tupaia javanica</t>
  </si>
  <si>
    <t>Gray Four-eyed Opossum</t>
  </si>
  <si>
    <t>Philander opossum</t>
  </si>
  <si>
    <t>Waigeo Spotted Cuscus</t>
  </si>
  <si>
    <t>Spilocuscus papuensis</t>
  </si>
  <si>
    <t>Red Goral</t>
  </si>
  <si>
    <t>Naemorhedus baileyi</t>
  </si>
  <si>
    <t>Urial</t>
  </si>
  <si>
    <t>Ovis vignei</t>
  </si>
  <si>
    <t>Western Lowland Olingo</t>
  </si>
  <si>
    <t>Bassaricyon medius</t>
  </si>
  <si>
    <t>Northern Treeshrew</t>
  </si>
  <si>
    <t>Tupaia belangeri</t>
  </si>
  <si>
    <t>Binturong</t>
  </si>
  <si>
    <t>Arctictis binturong</t>
  </si>
  <si>
    <t>https://doi.org/10.3389/fvets.2021.658573</t>
  </si>
  <si>
    <t>MYS</t>
  </si>
  <si>
    <t>Red Bald Uacari</t>
  </si>
  <si>
    <t>Cacajao rubicundus</t>
  </si>
  <si>
    <t>Honey Badger</t>
  </si>
  <si>
    <t>Mellivora capensis</t>
  </si>
  <si>
    <t>Dabie Mountains Shrew Mole</t>
  </si>
  <si>
    <t>Uropsilus dabieshanensis</t>
  </si>
  <si>
    <t>Desperate White-toothed Shrew</t>
  </si>
  <si>
    <t>Crocidura desperata</t>
  </si>
  <si>
    <t>Saharan Striped Polecat</t>
  </si>
  <si>
    <t>Poecilictis libyca</t>
  </si>
  <si>
    <t>Gray Slender Opossum</t>
  </si>
  <si>
    <t>Marmosops incanus</t>
  </si>
  <si>
    <t>Baiji</t>
  </si>
  <si>
    <t>Lipotes vexillifer</t>
  </si>
  <si>
    <t>Jalisco Shrew</t>
  </si>
  <si>
    <t>Sorex mediopua</t>
  </si>
  <si>
    <t>Broad-striped Vontsira</t>
  </si>
  <si>
    <t>Galidictis fasciata</t>
  </si>
  <si>
    <t>Naivasha Dik-dik</t>
  </si>
  <si>
    <t>Madoqua cavendishi</t>
  </si>
  <si>
    <t>Domestic Horse</t>
  </si>
  <si>
    <t>Equus caballus</t>
  </si>
  <si>
    <t>https://doi.org/10.1002/j.1939-4640.1992.tb00350.x</t>
  </si>
  <si>
    <t>https://doi.org/10.1638/2014-0227.1</t>
  </si>
  <si>
    <t>https://doi.org/10.1111/rda.14534</t>
  </si>
  <si>
    <t>https://doi.org/10.1016/j.jevs.2014.03.002</t>
  </si>
  <si>
    <t>https://doi.org/10.1016/S0378-4320(03)00039-3</t>
  </si>
  <si>
    <t>CHE</t>
  </si>
  <si>
    <t>https://doi.org/10.1111/rda.12686</t>
  </si>
  <si>
    <t>PRT</t>
  </si>
  <si>
    <t>https://doi.org/10.1016/j.theriogenology.2005.08.001</t>
  </si>
  <si>
    <t>NLD</t>
  </si>
  <si>
    <t>https://doi.org/10.1186/1751-0147-45-11</t>
  </si>
  <si>
    <t>EST</t>
  </si>
  <si>
    <t>Domestic Ass</t>
  </si>
  <si>
    <t>Equus asinus</t>
  </si>
  <si>
    <t>https://doi.org/10.3390/vetsci8050079</t>
  </si>
  <si>
    <t>https://doi.org/10.1016/j.anireprosci.2017.11.021</t>
  </si>
  <si>
    <t>https://doi.org/10.1186/1751-0147-50-41</t>
  </si>
  <si>
    <t>https://doi.org/10.1016/j.jevs.2020.103170</t>
  </si>
  <si>
    <t>CHL</t>
  </si>
  <si>
    <t>Central American Tapir</t>
  </si>
  <si>
    <t>Bluebuck</t>
  </si>
  <si>
    <t>Hippotragus leucophaeus</t>
  </si>
  <si>
    <t>Hairy-tailed Mole</t>
  </si>
  <si>
    <t>Parascalops breweri</t>
  </si>
  <si>
    <t>Tasman Peninsula Dusky Antechinus</t>
  </si>
  <si>
    <t>Antechinus vandycki</t>
  </si>
  <si>
    <t>Andean Saddle-back Tamarin</t>
  </si>
  <si>
    <t>Saguinus leucogenys</t>
  </si>
  <si>
    <t>Coastal Tapeti</t>
  </si>
  <si>
    <t>Sylvilagus tapetillus</t>
  </si>
  <si>
    <t>Japanese Water Shrew</t>
  </si>
  <si>
    <t>Chimarrogale platycephala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</si>
</sst>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42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0" fillId="0" borderId="0" xfId="0" applyFont="1"/>
    <xf numFmtId="14" fontId="0" fillId="0" borderId="0" xfId="0" applyNumberForma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258/002367789780887019" TargetMode="External"/><Relationship Id="rId21" Type="http://schemas.openxmlformats.org/officeDocument/2006/relationships/hyperlink" Target="https://www.jstor.org/stable/24101668" TargetMode="External"/><Relationship Id="rId34" Type="http://schemas.openxmlformats.org/officeDocument/2006/relationships/hyperlink" Target="https://doi.org/10.1002/zoo.10079" TargetMode="External"/><Relationship Id="rId42" Type="http://schemas.openxmlformats.org/officeDocument/2006/relationships/hyperlink" Target="https://doi.org/10.1016/j.cryobiol.2016.08.012" TargetMode="External"/><Relationship Id="rId47" Type="http://schemas.openxmlformats.org/officeDocument/2006/relationships/hyperlink" Target="https://doi.org/10.1590/S0100-736X2016000800015" TargetMode="External"/><Relationship Id="rId50" Type="http://schemas.openxmlformats.org/officeDocument/2006/relationships/hyperlink" Target="https://doi.org/10.1016/j.theriogenology.2011.03.015" TargetMode="External"/><Relationship Id="rId55" Type="http://schemas.openxmlformats.org/officeDocument/2006/relationships/hyperlink" Target="https://doi.org/10.3389/fvets.2021.658573" TargetMode="External"/><Relationship Id="rId63" Type="http://schemas.openxmlformats.org/officeDocument/2006/relationships/hyperlink" Target="https://doi.org/10.1186/1751-0147-45-11" TargetMode="External"/><Relationship Id="rId68" Type="http://schemas.openxmlformats.org/officeDocument/2006/relationships/hyperlink" Target="https://doi.org/10.1016/j.jevs.2020.103170" TargetMode="External"/><Relationship Id="rId7" Type="http://schemas.openxmlformats.org/officeDocument/2006/relationships/hyperlink" Target="https://doi.org/10.1095/biolreprod46.6.1047" TargetMode="External"/><Relationship Id="rId2" Type="http://schemas.openxmlformats.org/officeDocument/2006/relationships/hyperlink" Target="https://libstore.ugent.be/fulltxt/RUG01/002/274/171/RUG01-002274171_2016_0001_AC.pdf" TargetMode="External"/><Relationship Id="rId16" Type="http://schemas.openxmlformats.org/officeDocument/2006/relationships/hyperlink" Target="https://espace.library.uq.edu.au/view/UQ:271321" TargetMode="External"/><Relationship Id="rId29" Type="http://schemas.openxmlformats.org/officeDocument/2006/relationships/hyperlink" Target="https://doi.org/10.1262/jrd.50.419" TargetMode="External"/><Relationship Id="rId11" Type="http://schemas.openxmlformats.org/officeDocument/2006/relationships/hyperlink" Target="https://doi.org/10.1016/0093-691X(96)84714-5" TargetMode="External"/><Relationship Id="rId24" Type="http://schemas.openxmlformats.org/officeDocument/2006/relationships/hyperlink" Target="https://doi.org/10.1111/rda.14216" TargetMode="External"/><Relationship Id="rId32" Type="http://schemas.openxmlformats.org/officeDocument/2006/relationships/hyperlink" Target="https://doi.org/10.1016/0378-4320(96)01545-X" TargetMode="External"/><Relationship Id="rId37" Type="http://schemas.openxmlformats.org/officeDocument/2006/relationships/hyperlink" Target="https://doi.org/10.1007/s10344-008-0207-6" TargetMode="External"/><Relationship Id="rId40" Type="http://schemas.openxmlformats.org/officeDocument/2006/relationships/hyperlink" Target="https://doi.org/10.1007/s10344-008-0207-6" TargetMode="External"/><Relationship Id="rId45" Type="http://schemas.openxmlformats.org/officeDocument/2006/relationships/hyperlink" Target="https://doi.org/10.1071/RD05077" TargetMode="External"/><Relationship Id="rId53" Type="http://schemas.openxmlformats.org/officeDocument/2006/relationships/hyperlink" Target="https://doi.org/10.1016/j.theriogenology.2012.02.005" TargetMode="External"/><Relationship Id="rId58" Type="http://schemas.openxmlformats.org/officeDocument/2006/relationships/hyperlink" Target="https://doi.org/10.1111/rda.14534" TargetMode="External"/><Relationship Id="rId66" Type="http://schemas.openxmlformats.org/officeDocument/2006/relationships/hyperlink" Target="https://doi.org/10.1016/j.anireprosci.2017.11.021" TargetMode="External"/><Relationship Id="rId5" Type="http://schemas.openxmlformats.org/officeDocument/2006/relationships/hyperlink" Target="https://doi.org/10.1111/rda.13887" TargetMode="External"/><Relationship Id="rId61" Type="http://schemas.openxmlformats.org/officeDocument/2006/relationships/hyperlink" Target="https://doi.org/10.1111/rda.12686" TargetMode="External"/><Relationship Id="rId19" Type="http://schemas.openxmlformats.org/officeDocument/2006/relationships/hyperlink" Target="https://doi.org/10.1530/jrf.0.0910029" TargetMode="External"/><Relationship Id="rId14" Type="http://schemas.openxmlformats.org/officeDocument/2006/relationships/hyperlink" Target="https://doi.org/10.1016/j.theriogenology.2012.02.026" TargetMode="External"/><Relationship Id="rId22" Type="http://schemas.openxmlformats.org/officeDocument/2006/relationships/hyperlink" Target="https://doi.org/10.1111/jmp.12349" TargetMode="External"/><Relationship Id="rId27" Type="http://schemas.openxmlformats.org/officeDocument/2006/relationships/hyperlink" Target="https://doi.org/10.1111/j.1600-0684.1996.tb00035.x" TargetMode="External"/><Relationship Id="rId30" Type="http://schemas.openxmlformats.org/officeDocument/2006/relationships/hyperlink" Target="https://doi.org/10.1016/0378-4320(96)01545-X" TargetMode="External"/><Relationship Id="rId35" Type="http://schemas.openxmlformats.org/officeDocument/2006/relationships/hyperlink" Target="https://doi.org/10.1002/zoo.10079" TargetMode="External"/><Relationship Id="rId43" Type="http://schemas.openxmlformats.org/officeDocument/2006/relationships/hyperlink" Target="https://doi.org/10.1095/biolreprod58.2.475" TargetMode="External"/><Relationship Id="rId48" Type="http://schemas.openxmlformats.org/officeDocument/2006/relationships/hyperlink" Target="https://doi.org/10.1016/j.anireprosci.2013.05.015" TargetMode="External"/><Relationship Id="rId56" Type="http://schemas.openxmlformats.org/officeDocument/2006/relationships/hyperlink" Target="https://doi.org/10.1002/j.1939-4640.1992.tb00350.x" TargetMode="External"/><Relationship Id="rId64" Type="http://schemas.openxmlformats.org/officeDocument/2006/relationships/hyperlink" Target="https://doi.org/10.3390/vetsci8050079" TargetMode="External"/><Relationship Id="rId8" Type="http://schemas.openxmlformats.org/officeDocument/2006/relationships/hyperlink" Target="https://doi.org/10.1016/j.anireprosci.2003.07.001" TargetMode="External"/><Relationship Id="rId51" Type="http://schemas.openxmlformats.org/officeDocument/2006/relationships/hyperlink" Target="https://doi.org/10.1016/j.anireprosci.2009.08.012" TargetMode="External"/><Relationship Id="rId3" Type="http://schemas.openxmlformats.org/officeDocument/2006/relationships/hyperlink" Target="https://doi.org/10.1371/journal.pone.0057616" TargetMode="External"/><Relationship Id="rId12" Type="http://schemas.openxmlformats.org/officeDocument/2006/relationships/hyperlink" Target="https://doi.org/10.1095/biolreprod38.2.245" TargetMode="External"/><Relationship Id="rId17" Type="http://schemas.openxmlformats.org/officeDocument/2006/relationships/hyperlink" Target="https://libstore.ugent.be/fulltxt/RUG01/002/274/171/RUG01-002274171_2016_0001_AC.pdf" TargetMode="External"/><Relationship Id="rId25" Type="http://schemas.openxmlformats.org/officeDocument/2006/relationships/hyperlink" Target="https://doi.org/10.1111/j.1600-0684.1994.tb00291.x" TargetMode="External"/><Relationship Id="rId33" Type="http://schemas.openxmlformats.org/officeDocument/2006/relationships/hyperlink" Target="https://doi.org/10.4067/S0717-95022016000100039" TargetMode="External"/><Relationship Id="rId38" Type="http://schemas.openxmlformats.org/officeDocument/2006/relationships/hyperlink" Target="https://doi.org/10.1007/s10344-008-0207-6" TargetMode="External"/><Relationship Id="rId46" Type="http://schemas.openxmlformats.org/officeDocument/2006/relationships/hyperlink" Target="https://doi.org/10.1071/RD05077" TargetMode="External"/><Relationship Id="rId59" Type="http://schemas.openxmlformats.org/officeDocument/2006/relationships/hyperlink" Target="https://doi.org/10.1016/j.jevs.2014.03.002" TargetMode="External"/><Relationship Id="rId67" Type="http://schemas.openxmlformats.org/officeDocument/2006/relationships/hyperlink" Target="https://doi.org/10.1186/1751-0147-50-41" TargetMode="External"/><Relationship Id="rId20" Type="http://schemas.openxmlformats.org/officeDocument/2006/relationships/hyperlink" Target="https://www.jstor.org/stable/24101668" TargetMode="External"/><Relationship Id="rId41" Type="http://schemas.openxmlformats.org/officeDocument/2006/relationships/hyperlink" Target="https://doi.org/10.1007/s10344-008-0207-6" TargetMode="External"/><Relationship Id="rId54" Type="http://schemas.openxmlformats.org/officeDocument/2006/relationships/hyperlink" Target="https://doi.org/10.1016/j.theriogenology.2011.04.001" TargetMode="External"/><Relationship Id="rId62" Type="http://schemas.openxmlformats.org/officeDocument/2006/relationships/hyperlink" Target="https://doi.org/10.1016/j.theriogenology.2005.08.001" TargetMode="External"/><Relationship Id="rId1" Type="http://schemas.openxmlformats.org/officeDocument/2006/relationships/hyperlink" Target="https://doi.org/10.2164/jandrol.110.011833" TargetMode="External"/><Relationship Id="rId6" Type="http://schemas.openxmlformats.org/officeDocument/2006/relationships/hyperlink" Target="https://doi.org/10.1002/zoo.1430120107" TargetMode="External"/><Relationship Id="rId15" Type="http://schemas.openxmlformats.org/officeDocument/2006/relationships/hyperlink" Target="http://hdl.handle.net/11660/5464" TargetMode="External"/><Relationship Id="rId23" Type="http://schemas.openxmlformats.org/officeDocument/2006/relationships/hyperlink" Target="https://doi.org/10.1111/jmp.12349" TargetMode="External"/><Relationship Id="rId28" Type="http://schemas.openxmlformats.org/officeDocument/2006/relationships/hyperlink" Target="https://doi.org/10.1111/j.1600-0684.1996.tb00035.x" TargetMode="External"/><Relationship Id="rId36" Type="http://schemas.openxmlformats.org/officeDocument/2006/relationships/hyperlink" Target="https://doi.org/10.1002/zoo.10079" TargetMode="External"/><Relationship Id="rId49" Type="http://schemas.openxmlformats.org/officeDocument/2006/relationships/hyperlink" Target="https://doi.org/10.1016/j.theriogenology.2015.07.041" TargetMode="External"/><Relationship Id="rId57" Type="http://schemas.openxmlformats.org/officeDocument/2006/relationships/hyperlink" Target="https://doi.org/10.1638/2014-0227.1" TargetMode="External"/><Relationship Id="rId10" Type="http://schemas.openxmlformats.org/officeDocument/2006/relationships/hyperlink" Target="https://doi.org/10.1071/RD19182" TargetMode="External"/><Relationship Id="rId31" Type="http://schemas.openxmlformats.org/officeDocument/2006/relationships/hyperlink" Target="https://doi.org/10.1016/0378-4320(96)01545-X" TargetMode="External"/><Relationship Id="rId44" Type="http://schemas.openxmlformats.org/officeDocument/2006/relationships/hyperlink" Target="https://doi.org/10.1095/biolreprod65.4.1246" TargetMode="External"/><Relationship Id="rId52" Type="http://schemas.openxmlformats.org/officeDocument/2006/relationships/hyperlink" Target="https://doi.org/10.1590/1678-4162-8811" TargetMode="External"/><Relationship Id="rId60" Type="http://schemas.openxmlformats.org/officeDocument/2006/relationships/hyperlink" Target="https://doi.org/10.1016/S0378-4320(03)00039-3" TargetMode="External"/><Relationship Id="rId65" Type="http://schemas.openxmlformats.org/officeDocument/2006/relationships/hyperlink" Target="https://doi.org/10.3390/vetsci8050079" TargetMode="External"/><Relationship Id="rId4" Type="http://schemas.openxmlformats.org/officeDocument/2006/relationships/hyperlink" Target="https://doi.org/10.1590/S1413-95961998000400007" TargetMode="External"/><Relationship Id="rId9" Type="http://schemas.openxmlformats.org/officeDocument/2006/relationships/hyperlink" Target="https://doi.org/10.1016/S0093-691X(00)00237-5" TargetMode="External"/><Relationship Id="rId13" Type="http://schemas.openxmlformats.org/officeDocument/2006/relationships/hyperlink" Target="https://doi.org/10.1016/j.theriogenology.2016.10.024" TargetMode="External"/><Relationship Id="rId18" Type="http://schemas.openxmlformats.org/officeDocument/2006/relationships/hyperlink" Target="https://doi.org/10.11606/issn.1678-4456.bjvras.2007.26592" TargetMode="External"/><Relationship Id="rId39" Type="http://schemas.openxmlformats.org/officeDocument/2006/relationships/hyperlink" Target="https://doi.org/10.1007/s10344-008-0207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1"/>
  <sheetViews>
    <sheetView workbookViewId="0">
      <pane ySplit="1" topLeftCell="A340" activePane="bottomLeft" state="frozen"/>
      <selection pane="bottomLeft" activeCell="E365" sqref="E365"/>
    </sheetView>
  </sheetViews>
  <sheetFormatPr baseColWidth="10" defaultRowHeight="16" x14ac:dyDescent="0.2"/>
  <cols>
    <col min="1" max="1" width="4.1640625" bestFit="1" customWidth="1"/>
    <col min="2" max="2" width="21.1640625" bestFit="1" customWidth="1"/>
    <col min="3" max="3" width="22.33203125" bestFit="1" customWidth="1"/>
    <col min="4" max="4" width="15.1640625" style="4" bestFit="1" customWidth="1"/>
    <col min="5" max="5" width="24.33203125" bestFit="1" customWidth="1"/>
    <col min="6" max="6" width="12.6640625" bestFit="1" customWidth="1"/>
    <col min="7" max="7" width="19.6640625" style="3" bestFit="1" customWidth="1"/>
    <col min="8" max="8" width="18.6640625" bestFit="1" customWidth="1"/>
    <col min="9" max="9" width="11.1640625" bestFit="1" customWidth="1"/>
    <col min="10" max="11" width="12.83203125" bestFit="1" customWidth="1"/>
    <col min="12" max="12" width="11.6640625" bestFit="1" customWidth="1"/>
    <col min="13" max="13" width="12.1640625" bestFit="1" customWidth="1"/>
    <col min="14" max="14" width="9" bestFit="1" customWidth="1"/>
    <col min="15" max="15" width="22.1640625" bestFit="1" customWidth="1"/>
    <col min="16" max="16" width="26.83203125" bestFit="1" customWidth="1"/>
    <col min="17" max="17" width="15" bestFit="1" customWidth="1"/>
    <col min="18" max="18" width="19" style="7" bestFit="1" customWidth="1"/>
    <col min="19" max="19" width="16.33203125" style="7" bestFit="1" customWidth="1"/>
    <col min="20" max="20" width="29.1640625" bestFit="1" customWidth="1"/>
    <col min="21" max="21" width="25.33203125" bestFit="1" customWidth="1"/>
    <col min="22" max="22" width="16.5" bestFit="1" customWidth="1"/>
    <col min="23" max="23" width="19.1640625" bestFit="1" customWidth="1"/>
    <col min="24" max="24" width="22.83203125" bestFit="1" customWidth="1"/>
    <col min="25" max="25" width="17.83203125" bestFit="1" customWidth="1"/>
    <col min="26" max="26" width="9.83203125" bestFit="1" customWidth="1"/>
    <col min="27" max="27" width="36.1640625" style="8" bestFit="1" customWidth="1"/>
    <col min="28" max="28" width="80" bestFit="1" customWidth="1"/>
    <col min="29" max="29" width="82.6640625" bestFit="1" customWidth="1"/>
    <col min="38" max="38" width="15.1640625" style="4" bestFit="1" customWidth="1"/>
  </cols>
  <sheetData>
    <row r="1" spans="1:38" s="1" customFormat="1" x14ac:dyDescent="0.2">
      <c r="A1" s="1" t="s">
        <v>61</v>
      </c>
      <c r="B1" s="1" t="s">
        <v>60</v>
      </c>
      <c r="C1" s="1" t="s">
        <v>0</v>
      </c>
      <c r="D1" s="1" t="s">
        <v>191</v>
      </c>
      <c r="E1" s="1" t="s">
        <v>192</v>
      </c>
      <c r="F1" s="1" t="s">
        <v>79</v>
      </c>
      <c r="G1" s="1" t="s">
        <v>193</v>
      </c>
      <c r="H1" s="1" t="s">
        <v>194</v>
      </c>
      <c r="I1" s="1" t="s">
        <v>110</v>
      </c>
      <c r="J1" s="1" t="s">
        <v>1</v>
      </c>
      <c r="K1" s="1" t="s">
        <v>2</v>
      </c>
      <c r="L1" s="1" t="s">
        <v>55</v>
      </c>
      <c r="M1" s="1" t="s">
        <v>3</v>
      </c>
      <c r="N1" s="1" t="s">
        <v>4</v>
      </c>
      <c r="O1" s="1" t="s">
        <v>195</v>
      </c>
      <c r="P1" s="1" t="s">
        <v>196</v>
      </c>
      <c r="Q1" s="1" t="s">
        <v>62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5</v>
      </c>
      <c r="AC1" s="1" t="s">
        <v>6</v>
      </c>
      <c r="AL1" s="5"/>
    </row>
    <row r="2" spans="1:38" x14ac:dyDescent="0.2">
      <c r="A2">
        <v>1</v>
      </c>
      <c r="B2" t="s">
        <v>765</v>
      </c>
      <c r="C2" t="s">
        <v>7</v>
      </c>
      <c r="D2" t="s">
        <v>80</v>
      </c>
      <c r="E2" s="9">
        <v>44928</v>
      </c>
      <c r="F2" t="s">
        <v>80</v>
      </c>
      <c r="G2" s="9">
        <v>39173</v>
      </c>
      <c r="H2" s="9">
        <v>39722</v>
      </c>
      <c r="I2" t="s">
        <v>207</v>
      </c>
      <c r="J2">
        <v>8.6098363849999995</v>
      </c>
      <c r="K2">
        <v>-80.132057509999996</v>
      </c>
      <c r="L2">
        <v>11</v>
      </c>
      <c r="M2">
        <v>2</v>
      </c>
      <c r="N2">
        <v>21</v>
      </c>
      <c r="O2">
        <v>131.4</v>
      </c>
      <c r="P2">
        <v>15.15818455</v>
      </c>
      <c r="Q2" t="s">
        <v>8</v>
      </c>
      <c r="R2">
        <v>20.399999999999999</v>
      </c>
      <c r="S2">
        <v>46.1</v>
      </c>
      <c r="T2">
        <v>101.2</v>
      </c>
      <c r="U2">
        <v>6.9</v>
      </c>
      <c r="V2">
        <v>74.8</v>
      </c>
      <c r="W2">
        <v>34.799999999999997</v>
      </c>
      <c r="X2">
        <v>0.3</v>
      </c>
      <c r="Y2">
        <v>90.9</v>
      </c>
      <c r="Z2" t="s">
        <v>9</v>
      </c>
      <c r="AA2" t="s">
        <v>57</v>
      </c>
      <c r="AB2" s="2" t="s">
        <v>83</v>
      </c>
      <c r="AL2" s="6"/>
    </row>
    <row r="3" spans="1:38" x14ac:dyDescent="0.2">
      <c r="A3">
        <v>2</v>
      </c>
      <c r="B3" t="s">
        <v>10</v>
      </c>
      <c r="C3" t="s">
        <v>11</v>
      </c>
      <c r="D3" t="s">
        <v>80</v>
      </c>
      <c r="E3" s="9">
        <v>42370</v>
      </c>
      <c r="F3" t="s">
        <v>80</v>
      </c>
      <c r="G3"/>
      <c r="I3" t="s">
        <v>208</v>
      </c>
      <c r="J3">
        <v>51.050190989999997</v>
      </c>
      <c r="K3">
        <v>3.731680076</v>
      </c>
      <c r="L3">
        <v>2</v>
      </c>
      <c r="M3">
        <v>4</v>
      </c>
      <c r="N3">
        <v>7</v>
      </c>
      <c r="Q3" t="s">
        <v>57</v>
      </c>
      <c r="R3">
        <v>0.24</v>
      </c>
      <c r="S3">
        <v>86</v>
      </c>
      <c r="T3">
        <v>122</v>
      </c>
      <c r="U3">
        <v>12</v>
      </c>
      <c r="Z3" t="s">
        <v>9</v>
      </c>
      <c r="AA3" t="s">
        <v>57</v>
      </c>
      <c r="AB3" s="2" t="s">
        <v>12</v>
      </c>
      <c r="AC3" t="s">
        <v>433</v>
      </c>
      <c r="AL3" s="6"/>
    </row>
    <row r="4" spans="1:38" x14ac:dyDescent="0.2">
      <c r="A4">
        <v>3</v>
      </c>
      <c r="B4" t="s">
        <v>13</v>
      </c>
      <c r="C4" t="s">
        <v>56</v>
      </c>
      <c r="D4" t="s">
        <v>80</v>
      </c>
      <c r="E4" s="9">
        <v>42249</v>
      </c>
      <c r="F4" t="s">
        <v>80</v>
      </c>
      <c r="G4"/>
      <c r="I4" t="s">
        <v>20</v>
      </c>
      <c r="J4" t="s">
        <v>57</v>
      </c>
      <c r="K4" t="s">
        <v>57</v>
      </c>
      <c r="L4">
        <v>29</v>
      </c>
      <c r="M4">
        <v>2</v>
      </c>
      <c r="N4">
        <v>12</v>
      </c>
      <c r="Q4" t="s">
        <v>8</v>
      </c>
      <c r="R4"/>
      <c r="S4">
        <v>66.25</v>
      </c>
      <c r="T4">
        <v>41</v>
      </c>
      <c r="U4">
        <v>25</v>
      </c>
      <c r="Z4" t="s">
        <v>9</v>
      </c>
      <c r="AA4" t="s">
        <v>57</v>
      </c>
      <c r="AB4" t="s">
        <v>14</v>
      </c>
      <c r="AL4" s="6"/>
    </row>
    <row r="5" spans="1:38" x14ac:dyDescent="0.2">
      <c r="A5">
        <v>4</v>
      </c>
      <c r="B5" t="s">
        <v>13</v>
      </c>
      <c r="C5" t="s">
        <v>56</v>
      </c>
      <c r="D5" t="s">
        <v>80</v>
      </c>
      <c r="E5" s="9">
        <v>32203</v>
      </c>
      <c r="F5" t="s">
        <v>80</v>
      </c>
      <c r="G5" s="9">
        <v>29983</v>
      </c>
      <c r="H5" s="9">
        <v>31167</v>
      </c>
      <c r="I5" t="s">
        <v>20</v>
      </c>
      <c r="J5">
        <v>41.226042300000003</v>
      </c>
      <c r="K5">
        <v>-95.926830350000003</v>
      </c>
      <c r="L5">
        <v>3</v>
      </c>
      <c r="M5">
        <v>3</v>
      </c>
      <c r="N5">
        <v>9</v>
      </c>
      <c r="Q5" t="s">
        <v>8</v>
      </c>
      <c r="R5">
        <v>1.8</v>
      </c>
      <c r="S5">
        <v>69</v>
      </c>
      <c r="T5">
        <v>27.3</v>
      </c>
      <c r="U5">
        <v>35.4</v>
      </c>
      <c r="V5">
        <v>98.4</v>
      </c>
      <c r="W5">
        <v>3.8</v>
      </c>
      <c r="X5">
        <v>34.299999999999997</v>
      </c>
      <c r="Y5">
        <v>26</v>
      </c>
      <c r="Z5" t="s">
        <v>9</v>
      </c>
      <c r="AA5" t="s">
        <v>57</v>
      </c>
      <c r="AB5" t="s">
        <v>15</v>
      </c>
      <c r="AL5" s="6"/>
    </row>
    <row r="6" spans="1:38" x14ac:dyDescent="0.2">
      <c r="A6">
        <v>5</v>
      </c>
      <c r="B6" t="s">
        <v>13</v>
      </c>
      <c r="C6" t="s">
        <v>56</v>
      </c>
      <c r="D6" t="s">
        <v>80</v>
      </c>
      <c r="E6" s="9">
        <v>41276</v>
      </c>
      <c r="F6" t="s">
        <v>80</v>
      </c>
      <c r="G6"/>
      <c r="I6" t="s">
        <v>209</v>
      </c>
      <c r="J6" t="s">
        <v>57</v>
      </c>
      <c r="K6" t="s">
        <v>57</v>
      </c>
      <c r="L6">
        <v>8</v>
      </c>
      <c r="M6">
        <v>2.5</v>
      </c>
      <c r="N6">
        <v>9</v>
      </c>
      <c r="O6">
        <v>11.1</v>
      </c>
      <c r="Q6" t="s">
        <v>8</v>
      </c>
      <c r="R6">
        <v>3.3</v>
      </c>
      <c r="S6">
        <v>74.2</v>
      </c>
      <c r="T6">
        <v>36</v>
      </c>
      <c r="U6">
        <v>19.899999999999999</v>
      </c>
      <c r="V6">
        <v>86.6</v>
      </c>
      <c r="W6">
        <v>22.6</v>
      </c>
      <c r="X6">
        <v>36.5</v>
      </c>
      <c r="Y6">
        <v>14.5</v>
      </c>
      <c r="Z6" t="s">
        <v>9</v>
      </c>
      <c r="AA6" t="s">
        <v>59</v>
      </c>
      <c r="AB6" t="s">
        <v>16</v>
      </c>
      <c r="AL6" s="6"/>
    </row>
    <row r="7" spans="1:38" x14ac:dyDescent="0.2">
      <c r="A7">
        <v>6</v>
      </c>
      <c r="B7" t="s">
        <v>13</v>
      </c>
      <c r="C7" t="s">
        <v>56</v>
      </c>
      <c r="D7" t="s">
        <v>80</v>
      </c>
      <c r="E7" s="9">
        <v>40380</v>
      </c>
      <c r="F7" t="s">
        <v>80</v>
      </c>
      <c r="G7"/>
      <c r="I7" t="s">
        <v>57</v>
      </c>
      <c r="J7" t="s">
        <v>57</v>
      </c>
      <c r="K7" t="s">
        <v>57</v>
      </c>
      <c r="L7">
        <v>22</v>
      </c>
      <c r="M7">
        <v>2.5</v>
      </c>
      <c r="N7">
        <v>10</v>
      </c>
      <c r="Q7" t="s">
        <v>8</v>
      </c>
      <c r="R7">
        <v>1.98</v>
      </c>
      <c r="S7">
        <v>64</v>
      </c>
      <c r="T7">
        <v>50</v>
      </c>
      <c r="U7">
        <v>24</v>
      </c>
      <c r="V7">
        <v>92</v>
      </c>
      <c r="W7">
        <v>19.3</v>
      </c>
      <c r="X7">
        <v>55.6</v>
      </c>
      <c r="Y7">
        <v>3</v>
      </c>
      <c r="Z7" t="s">
        <v>9</v>
      </c>
      <c r="AA7" t="s">
        <v>63</v>
      </c>
      <c r="AB7" t="s">
        <v>17</v>
      </c>
      <c r="AL7" s="6"/>
    </row>
    <row r="8" spans="1:38" x14ac:dyDescent="0.2">
      <c r="A8">
        <v>7</v>
      </c>
      <c r="B8" t="s">
        <v>13</v>
      </c>
      <c r="C8" t="s">
        <v>56</v>
      </c>
      <c r="D8" t="s">
        <v>80</v>
      </c>
      <c r="E8" s="9">
        <v>38727</v>
      </c>
      <c r="F8" t="s">
        <v>80</v>
      </c>
      <c r="G8"/>
      <c r="I8" t="s">
        <v>209</v>
      </c>
      <c r="J8">
        <v>-20.484029249999999</v>
      </c>
      <c r="K8">
        <v>17.032188489999999</v>
      </c>
      <c r="L8">
        <v>13</v>
      </c>
      <c r="M8">
        <v>1.75</v>
      </c>
      <c r="N8">
        <v>14</v>
      </c>
      <c r="O8">
        <v>9.1999999999999993</v>
      </c>
      <c r="Q8" t="s">
        <v>8</v>
      </c>
      <c r="R8">
        <v>3.7</v>
      </c>
      <c r="S8">
        <v>78</v>
      </c>
      <c r="T8">
        <v>20.399999999999999</v>
      </c>
      <c r="U8">
        <v>21.7</v>
      </c>
      <c r="V8">
        <v>86.3</v>
      </c>
      <c r="W8">
        <v>17.3</v>
      </c>
      <c r="X8">
        <v>45.7</v>
      </c>
      <c r="Y8">
        <v>8.5</v>
      </c>
      <c r="Z8" t="s">
        <v>9</v>
      </c>
      <c r="AA8" t="s">
        <v>57</v>
      </c>
      <c r="AB8" t="s">
        <v>18</v>
      </c>
      <c r="AC8" t="s">
        <v>19</v>
      </c>
      <c r="AL8" s="6"/>
    </row>
    <row r="9" spans="1:38" x14ac:dyDescent="0.2">
      <c r="A9">
        <v>8</v>
      </c>
      <c r="B9" t="s">
        <v>13</v>
      </c>
      <c r="C9" t="s">
        <v>56</v>
      </c>
      <c r="D9" t="s">
        <v>80</v>
      </c>
      <c r="E9" s="9">
        <v>33970</v>
      </c>
      <c r="F9" t="s">
        <v>80</v>
      </c>
      <c r="G9"/>
      <c r="I9" t="s">
        <v>20</v>
      </c>
      <c r="L9">
        <v>60</v>
      </c>
      <c r="O9">
        <v>13.9</v>
      </c>
      <c r="Q9" t="s">
        <v>8</v>
      </c>
      <c r="R9">
        <v>1.5</v>
      </c>
      <c r="S9">
        <v>67</v>
      </c>
      <c r="T9">
        <v>29.3</v>
      </c>
      <c r="U9">
        <v>21.3</v>
      </c>
      <c r="W9">
        <v>9.3000000000000007</v>
      </c>
      <c r="X9">
        <v>38.799999999999997</v>
      </c>
      <c r="Y9">
        <v>30.6</v>
      </c>
      <c r="Z9" t="s">
        <v>9</v>
      </c>
      <c r="AA9"/>
      <c r="AB9" s="2" t="s">
        <v>66</v>
      </c>
      <c r="AL9" s="6"/>
    </row>
    <row r="10" spans="1:38" x14ac:dyDescent="0.2">
      <c r="A10">
        <v>9</v>
      </c>
      <c r="B10" t="s">
        <v>13</v>
      </c>
      <c r="C10" t="s">
        <v>56</v>
      </c>
      <c r="D10" t="s">
        <v>80</v>
      </c>
      <c r="E10" s="9">
        <v>33604</v>
      </c>
      <c r="F10" t="s">
        <v>80</v>
      </c>
      <c r="G10" s="9">
        <v>33208</v>
      </c>
      <c r="H10" s="9">
        <v>33239</v>
      </c>
      <c r="I10" t="s">
        <v>20</v>
      </c>
      <c r="J10" t="s">
        <v>57</v>
      </c>
      <c r="K10" t="s">
        <v>57</v>
      </c>
      <c r="L10">
        <v>9</v>
      </c>
      <c r="M10">
        <v>2.5</v>
      </c>
      <c r="N10">
        <v>7</v>
      </c>
      <c r="Q10" t="s">
        <v>8</v>
      </c>
      <c r="R10">
        <v>1.1000000000000001</v>
      </c>
      <c r="S10">
        <v>74.400000000000006</v>
      </c>
      <c r="T10">
        <v>42.8</v>
      </c>
      <c r="U10">
        <v>28.4</v>
      </c>
      <c r="W10">
        <v>5.6666666670000003</v>
      </c>
      <c r="X10">
        <v>44.166666669999998</v>
      </c>
      <c r="Y10">
        <v>20</v>
      </c>
      <c r="Z10" t="s">
        <v>9</v>
      </c>
      <c r="AA10" t="s">
        <v>59</v>
      </c>
      <c r="AB10" s="2" t="s">
        <v>21</v>
      </c>
      <c r="AL10" s="6"/>
    </row>
    <row r="11" spans="1:38" x14ac:dyDescent="0.2">
      <c r="A11">
        <v>10</v>
      </c>
      <c r="B11" t="s">
        <v>114</v>
      </c>
      <c r="C11" t="s">
        <v>67</v>
      </c>
      <c r="D11" t="s">
        <v>80</v>
      </c>
      <c r="E11" s="9">
        <v>38018</v>
      </c>
      <c r="F11" t="s">
        <v>80</v>
      </c>
      <c r="G11"/>
      <c r="I11" t="s">
        <v>219</v>
      </c>
      <c r="J11">
        <v>43.341038589999997</v>
      </c>
      <c r="K11">
        <v>-80.179869229999994</v>
      </c>
      <c r="L11">
        <v>2</v>
      </c>
      <c r="M11">
        <v>18</v>
      </c>
      <c r="N11">
        <v>32</v>
      </c>
      <c r="Q11" t="s">
        <v>22</v>
      </c>
      <c r="R11">
        <v>5</v>
      </c>
      <c r="S11"/>
      <c r="T11">
        <v>830</v>
      </c>
      <c r="Z11" t="s">
        <v>9</v>
      </c>
      <c r="AA11"/>
      <c r="AB11" s="2" t="s">
        <v>84</v>
      </c>
      <c r="AL11" s="6"/>
    </row>
    <row r="12" spans="1:38" x14ac:dyDescent="0.2">
      <c r="A12">
        <v>11</v>
      </c>
      <c r="B12" t="s">
        <v>114</v>
      </c>
      <c r="C12" t="s">
        <v>67</v>
      </c>
      <c r="D12" t="s">
        <v>80</v>
      </c>
      <c r="E12" s="9">
        <v>36586</v>
      </c>
      <c r="F12" t="s">
        <v>80</v>
      </c>
      <c r="G12"/>
      <c r="I12" t="s">
        <v>20</v>
      </c>
      <c r="J12">
        <v>45.515453739999998</v>
      </c>
      <c r="K12">
        <v>-122.70930079999999</v>
      </c>
      <c r="L12">
        <v>1</v>
      </c>
      <c r="M12">
        <v>11</v>
      </c>
      <c r="N12">
        <v>11</v>
      </c>
      <c r="Q12" t="s">
        <v>23</v>
      </c>
      <c r="R12">
        <v>56.5</v>
      </c>
      <c r="S12">
        <v>65</v>
      </c>
      <c r="T12">
        <v>2000</v>
      </c>
      <c r="U12">
        <v>67.3</v>
      </c>
      <c r="Y12">
        <v>32.700000000000003</v>
      </c>
      <c r="Z12" t="s">
        <v>9</v>
      </c>
      <c r="AA12"/>
      <c r="AB12" s="2" t="s">
        <v>75</v>
      </c>
      <c r="AL12" s="6"/>
    </row>
    <row r="13" spans="1:38" x14ac:dyDescent="0.2">
      <c r="A13">
        <v>12</v>
      </c>
      <c r="B13" t="s">
        <v>115</v>
      </c>
      <c r="C13" t="s">
        <v>68</v>
      </c>
      <c r="D13" t="s">
        <v>80</v>
      </c>
      <c r="E13" s="9">
        <v>43854</v>
      </c>
      <c r="F13" t="s">
        <v>81</v>
      </c>
      <c r="G13"/>
      <c r="I13" t="s">
        <v>210</v>
      </c>
      <c r="J13">
        <v>-27.886414949999999</v>
      </c>
      <c r="K13">
        <v>32.218394359999998</v>
      </c>
      <c r="L13">
        <v>12</v>
      </c>
      <c r="M13">
        <v>17</v>
      </c>
      <c r="N13">
        <v>35</v>
      </c>
      <c r="Q13" t="s">
        <v>8</v>
      </c>
      <c r="R13">
        <v>59.7</v>
      </c>
      <c r="S13">
        <v>80.5</v>
      </c>
      <c r="T13">
        <v>904.2</v>
      </c>
      <c r="U13">
        <v>55.7</v>
      </c>
      <c r="W13">
        <v>15.8</v>
      </c>
      <c r="X13">
        <v>14.2</v>
      </c>
      <c r="Y13">
        <v>14.2</v>
      </c>
      <c r="Z13" t="s">
        <v>25</v>
      </c>
      <c r="AA13"/>
      <c r="AB13" s="2" t="s">
        <v>78</v>
      </c>
      <c r="AL13" s="6"/>
    </row>
    <row r="14" spans="1:38" x14ac:dyDescent="0.2">
      <c r="A14">
        <v>13</v>
      </c>
      <c r="B14" t="s">
        <v>225</v>
      </c>
      <c r="C14" t="s">
        <v>226</v>
      </c>
      <c r="D14" t="s">
        <v>81</v>
      </c>
      <c r="G14"/>
      <c r="R14"/>
      <c r="S14"/>
      <c r="AA14"/>
      <c r="AL14" s="6"/>
    </row>
    <row r="15" spans="1:38" x14ac:dyDescent="0.2">
      <c r="A15">
        <v>14</v>
      </c>
      <c r="B15" t="s">
        <v>115</v>
      </c>
      <c r="C15" t="s">
        <v>68</v>
      </c>
      <c r="D15" t="s">
        <v>80</v>
      </c>
      <c r="E15" s="9">
        <v>41339</v>
      </c>
      <c r="F15" t="s">
        <v>80</v>
      </c>
      <c r="G15" s="9">
        <v>40057</v>
      </c>
      <c r="H15" s="9">
        <v>40298</v>
      </c>
      <c r="I15" t="s">
        <v>210</v>
      </c>
      <c r="J15">
        <v>-27.87859005</v>
      </c>
      <c r="K15">
        <v>32.226773229999999</v>
      </c>
      <c r="L15">
        <v>14</v>
      </c>
      <c r="M15">
        <v>14</v>
      </c>
      <c r="N15">
        <v>36</v>
      </c>
      <c r="Q15" t="s">
        <v>8</v>
      </c>
      <c r="R15">
        <v>98.6</v>
      </c>
      <c r="S15">
        <v>86.45</v>
      </c>
      <c r="T15">
        <v>794.05</v>
      </c>
      <c r="U15">
        <v>72.8</v>
      </c>
      <c r="V15">
        <v>79.5</v>
      </c>
      <c r="Z15" t="s">
        <v>25</v>
      </c>
      <c r="AA15"/>
      <c r="AB15" s="2" t="s">
        <v>69</v>
      </c>
      <c r="AL15" s="6"/>
    </row>
    <row r="16" spans="1:38" x14ac:dyDescent="0.2">
      <c r="A16">
        <v>15</v>
      </c>
      <c r="B16" t="s">
        <v>87</v>
      </c>
      <c r="C16" t="s">
        <v>77</v>
      </c>
      <c r="D16" t="s">
        <v>80</v>
      </c>
      <c r="E16" s="9">
        <v>43313</v>
      </c>
      <c r="F16" t="s">
        <v>80</v>
      </c>
      <c r="G16"/>
      <c r="I16" t="s">
        <v>211</v>
      </c>
      <c r="J16" t="s">
        <v>57</v>
      </c>
      <c r="K16" t="s">
        <v>57</v>
      </c>
      <c r="L16">
        <v>5</v>
      </c>
      <c r="M16">
        <v>5</v>
      </c>
      <c r="N16">
        <v>8</v>
      </c>
      <c r="Q16" t="s">
        <v>24</v>
      </c>
      <c r="R16">
        <v>0.43</v>
      </c>
      <c r="S16">
        <v>79</v>
      </c>
      <c r="T16">
        <v>3315</v>
      </c>
      <c r="U16">
        <v>51</v>
      </c>
      <c r="W16">
        <v>2</v>
      </c>
      <c r="X16">
        <v>2.6</v>
      </c>
      <c r="Y16">
        <v>44.2</v>
      </c>
      <c r="Z16" t="s">
        <v>25</v>
      </c>
      <c r="AA16"/>
      <c r="AB16" t="s">
        <v>26</v>
      </c>
      <c r="AL16" s="6"/>
    </row>
    <row r="17" spans="1:38" x14ac:dyDescent="0.2">
      <c r="A17">
        <v>16</v>
      </c>
      <c r="B17" t="s">
        <v>87</v>
      </c>
      <c r="C17" t="s">
        <v>77</v>
      </c>
      <c r="D17" t="s">
        <v>80</v>
      </c>
      <c r="E17" s="9">
        <v>43313</v>
      </c>
      <c r="F17" t="s">
        <v>80</v>
      </c>
      <c r="G17"/>
      <c r="I17" t="s">
        <v>211</v>
      </c>
      <c r="J17" t="s">
        <v>57</v>
      </c>
      <c r="K17" t="s">
        <v>57</v>
      </c>
      <c r="L17">
        <v>6</v>
      </c>
      <c r="M17">
        <v>3</v>
      </c>
      <c r="N17">
        <v>12</v>
      </c>
      <c r="Q17" t="s">
        <v>24</v>
      </c>
      <c r="R17">
        <v>0.29199999999999998</v>
      </c>
      <c r="S17">
        <v>73</v>
      </c>
      <c r="T17">
        <v>2091.4</v>
      </c>
      <c r="U17">
        <v>60.7</v>
      </c>
      <c r="W17">
        <v>0.75</v>
      </c>
      <c r="X17">
        <v>1.25</v>
      </c>
      <c r="Y17">
        <v>37.25</v>
      </c>
      <c r="Z17" t="s">
        <v>9</v>
      </c>
      <c r="AA17"/>
      <c r="AB17" t="s">
        <v>26</v>
      </c>
      <c r="AL17" s="6"/>
    </row>
    <row r="18" spans="1:38" x14ac:dyDescent="0.2">
      <c r="A18">
        <v>17</v>
      </c>
      <c r="B18" t="s">
        <v>87</v>
      </c>
      <c r="C18" t="s">
        <v>77</v>
      </c>
      <c r="D18" t="s">
        <v>80</v>
      </c>
      <c r="E18" s="9">
        <v>35065</v>
      </c>
      <c r="F18" t="s">
        <v>80</v>
      </c>
      <c r="G18"/>
      <c r="I18" t="s">
        <v>20</v>
      </c>
      <c r="L18">
        <v>4</v>
      </c>
      <c r="Q18" t="s">
        <v>8</v>
      </c>
      <c r="R18"/>
      <c r="S18"/>
      <c r="U18">
        <v>57.9</v>
      </c>
      <c r="V18">
        <v>77.5</v>
      </c>
      <c r="Z18" t="s">
        <v>9</v>
      </c>
      <c r="AA18"/>
      <c r="AB18" s="2" t="s">
        <v>85</v>
      </c>
      <c r="AL18" s="6"/>
    </row>
    <row r="19" spans="1:38" x14ac:dyDescent="0.2">
      <c r="A19">
        <v>18</v>
      </c>
      <c r="B19" t="s">
        <v>87</v>
      </c>
      <c r="C19" t="s">
        <v>77</v>
      </c>
      <c r="D19" t="s">
        <v>80</v>
      </c>
      <c r="E19" s="9">
        <v>35796</v>
      </c>
      <c r="F19" t="s">
        <v>80</v>
      </c>
      <c r="G19" s="9">
        <v>35065</v>
      </c>
      <c r="H19" s="9">
        <v>35431</v>
      </c>
      <c r="I19" t="s">
        <v>211</v>
      </c>
      <c r="J19" t="s">
        <v>57</v>
      </c>
      <c r="K19" t="s">
        <v>57</v>
      </c>
      <c r="L19">
        <v>10</v>
      </c>
      <c r="M19">
        <v>7</v>
      </c>
      <c r="N19">
        <v>10</v>
      </c>
      <c r="Q19" t="s">
        <v>8</v>
      </c>
      <c r="R19">
        <v>7.42</v>
      </c>
      <c r="S19">
        <v>62.6</v>
      </c>
      <c r="T19">
        <v>6.2</v>
      </c>
      <c r="U19">
        <v>46.7</v>
      </c>
      <c r="V19">
        <v>96.4</v>
      </c>
      <c r="Z19" t="s">
        <v>9</v>
      </c>
      <c r="AA19"/>
      <c r="AB19" s="2" t="s">
        <v>86</v>
      </c>
      <c r="AL19" s="6"/>
    </row>
    <row r="20" spans="1:38" x14ac:dyDescent="0.2">
      <c r="A20">
        <v>19</v>
      </c>
      <c r="B20" t="s">
        <v>27</v>
      </c>
      <c r="C20" t="s">
        <v>89</v>
      </c>
      <c r="D20" t="s">
        <v>80</v>
      </c>
      <c r="E20" s="9">
        <v>32203</v>
      </c>
      <c r="F20" t="s">
        <v>80</v>
      </c>
      <c r="G20" s="9">
        <v>29983</v>
      </c>
      <c r="H20" s="9">
        <v>31167</v>
      </c>
      <c r="I20" t="s">
        <v>20</v>
      </c>
      <c r="J20">
        <v>41.226042300000003</v>
      </c>
      <c r="K20">
        <v>-95.926830350000003</v>
      </c>
      <c r="L20">
        <v>4</v>
      </c>
      <c r="M20">
        <v>7</v>
      </c>
      <c r="N20">
        <v>11</v>
      </c>
      <c r="Q20" t="s">
        <v>8</v>
      </c>
      <c r="R20">
        <v>5.0999999999999996</v>
      </c>
      <c r="S20">
        <v>43.8</v>
      </c>
      <c r="T20">
        <v>46.2</v>
      </c>
      <c r="U20">
        <v>21</v>
      </c>
      <c r="V20">
        <v>94.5</v>
      </c>
      <c r="W20">
        <v>6.05</v>
      </c>
      <c r="X20">
        <v>35.799999999999997</v>
      </c>
      <c r="Y20">
        <v>37.6</v>
      </c>
      <c r="Z20" t="s">
        <v>9</v>
      </c>
      <c r="AA20" t="s">
        <v>57</v>
      </c>
      <c r="AB20" s="2" t="s">
        <v>88</v>
      </c>
      <c r="AL20" s="6"/>
    </row>
    <row r="21" spans="1:38" x14ac:dyDescent="0.2">
      <c r="A21">
        <v>20</v>
      </c>
      <c r="B21" t="s">
        <v>28</v>
      </c>
      <c r="C21" t="s">
        <v>29</v>
      </c>
      <c r="D21" t="s">
        <v>80</v>
      </c>
      <c r="E21" s="9">
        <v>42767</v>
      </c>
      <c r="F21" t="s">
        <v>80</v>
      </c>
      <c r="G21" s="9">
        <v>40909</v>
      </c>
      <c r="H21" s="9">
        <v>42004</v>
      </c>
      <c r="I21" t="s">
        <v>210</v>
      </c>
      <c r="J21">
        <v>-25.73585246</v>
      </c>
      <c r="K21">
        <v>28.1904112</v>
      </c>
      <c r="L21">
        <v>29</v>
      </c>
      <c r="M21">
        <v>2.5</v>
      </c>
      <c r="N21">
        <v>8</v>
      </c>
      <c r="Q21" t="s">
        <v>8</v>
      </c>
      <c r="R21"/>
      <c r="S21">
        <v>60</v>
      </c>
      <c r="T21">
        <v>968</v>
      </c>
      <c r="U21">
        <v>44</v>
      </c>
      <c r="Z21" t="s">
        <v>9</v>
      </c>
      <c r="AA21"/>
      <c r="AB21" s="2" t="s">
        <v>30</v>
      </c>
      <c r="AL21" s="6"/>
    </row>
    <row r="22" spans="1:38" x14ac:dyDescent="0.2">
      <c r="A22">
        <v>21</v>
      </c>
      <c r="B22" t="s">
        <v>28</v>
      </c>
      <c r="C22" t="s">
        <v>29</v>
      </c>
      <c r="D22" t="s">
        <v>80</v>
      </c>
      <c r="E22" s="9">
        <v>41122</v>
      </c>
      <c r="F22" t="s">
        <v>80</v>
      </c>
      <c r="G22"/>
      <c r="I22" t="s">
        <v>210</v>
      </c>
      <c r="J22">
        <v>-25.735840280000001</v>
      </c>
      <c r="K22">
        <v>28.190473659999999</v>
      </c>
      <c r="L22">
        <v>7</v>
      </c>
      <c r="M22">
        <v>4</v>
      </c>
      <c r="N22">
        <v>10</v>
      </c>
      <c r="Q22" t="s">
        <v>24</v>
      </c>
      <c r="R22">
        <v>0.42286000000000001</v>
      </c>
      <c r="S22">
        <v>84</v>
      </c>
      <c r="T22">
        <v>1940</v>
      </c>
      <c r="U22">
        <v>46</v>
      </c>
      <c r="Z22" t="s">
        <v>9</v>
      </c>
      <c r="AA22" t="s">
        <v>57</v>
      </c>
      <c r="AB22" s="2" t="s">
        <v>31</v>
      </c>
      <c r="AL22" s="6"/>
    </row>
    <row r="23" spans="1:38" x14ac:dyDescent="0.2">
      <c r="A23">
        <v>22</v>
      </c>
      <c r="B23" t="s">
        <v>28</v>
      </c>
      <c r="C23" t="s">
        <v>29</v>
      </c>
      <c r="D23" t="s">
        <v>80</v>
      </c>
      <c r="E23" s="9">
        <v>38108</v>
      </c>
      <c r="F23" t="s">
        <v>80</v>
      </c>
      <c r="G23"/>
      <c r="I23" t="s">
        <v>210</v>
      </c>
      <c r="L23">
        <v>8</v>
      </c>
      <c r="M23">
        <v>1</v>
      </c>
      <c r="N23">
        <v>4</v>
      </c>
      <c r="O23">
        <v>50.933</v>
      </c>
      <c r="P23">
        <v>9.7389372259999991</v>
      </c>
      <c r="Q23" t="s">
        <v>8</v>
      </c>
      <c r="R23">
        <v>5.28</v>
      </c>
      <c r="S23">
        <v>90</v>
      </c>
      <c r="T23">
        <v>101</v>
      </c>
      <c r="U23">
        <v>65.7</v>
      </c>
      <c r="Z23" t="s">
        <v>9</v>
      </c>
      <c r="AA23"/>
      <c r="AB23" s="2" t="s">
        <v>92</v>
      </c>
      <c r="AL23" s="6"/>
    </row>
    <row r="24" spans="1:38" x14ac:dyDescent="0.2">
      <c r="A24">
        <v>23</v>
      </c>
      <c r="B24" t="s">
        <v>28</v>
      </c>
      <c r="C24" t="s">
        <v>29</v>
      </c>
      <c r="D24" t="s">
        <v>80</v>
      </c>
      <c r="E24" s="9">
        <v>42370</v>
      </c>
      <c r="F24" t="s">
        <v>80</v>
      </c>
      <c r="G24"/>
      <c r="I24" t="s">
        <v>210</v>
      </c>
      <c r="J24">
        <v>-25.521195290000001</v>
      </c>
      <c r="K24">
        <v>27.678958730000002</v>
      </c>
      <c r="L24">
        <v>4</v>
      </c>
      <c r="M24">
        <v>4</v>
      </c>
      <c r="N24">
        <v>7</v>
      </c>
      <c r="Q24" t="s">
        <v>24</v>
      </c>
      <c r="R24">
        <v>0.34</v>
      </c>
      <c r="S24">
        <v>66</v>
      </c>
      <c r="T24">
        <v>1327</v>
      </c>
      <c r="U24">
        <v>15</v>
      </c>
      <c r="Z24" t="s">
        <v>9</v>
      </c>
      <c r="AA24" t="s">
        <v>57</v>
      </c>
      <c r="AB24" s="2" t="s">
        <v>12</v>
      </c>
      <c r="AC24" t="s">
        <v>433</v>
      </c>
      <c r="AL24" s="6"/>
    </row>
    <row r="25" spans="1:38" x14ac:dyDescent="0.2">
      <c r="A25">
        <v>24</v>
      </c>
      <c r="B25" t="s">
        <v>28</v>
      </c>
      <c r="C25" t="s">
        <v>29</v>
      </c>
      <c r="D25" t="s">
        <v>80</v>
      </c>
      <c r="E25" s="9">
        <v>39419</v>
      </c>
      <c r="F25" t="s">
        <v>80</v>
      </c>
      <c r="G25"/>
      <c r="I25" t="s">
        <v>211</v>
      </c>
      <c r="J25">
        <v>-23.650527440000001</v>
      </c>
      <c r="K25">
        <v>-46.62003687</v>
      </c>
      <c r="L25">
        <v>14</v>
      </c>
      <c r="Q25" t="s">
        <v>8</v>
      </c>
      <c r="R25">
        <v>5.83</v>
      </c>
      <c r="S25">
        <v>73.849999999999994</v>
      </c>
      <c r="T25">
        <v>11.62</v>
      </c>
      <c r="U25">
        <v>45</v>
      </c>
      <c r="Z25" t="s">
        <v>9</v>
      </c>
      <c r="AA25"/>
      <c r="AB25" s="2" t="s">
        <v>93</v>
      </c>
      <c r="AL25" s="6"/>
    </row>
    <row r="26" spans="1:38" x14ac:dyDescent="0.2">
      <c r="A26">
        <v>25</v>
      </c>
      <c r="B26" t="s">
        <v>32</v>
      </c>
      <c r="C26" t="s">
        <v>95</v>
      </c>
      <c r="D26" t="s">
        <v>80</v>
      </c>
      <c r="E26" s="9">
        <v>40878</v>
      </c>
      <c r="F26" t="s">
        <v>80</v>
      </c>
      <c r="G26" s="9">
        <v>40360</v>
      </c>
      <c r="H26" s="9">
        <v>40724</v>
      </c>
      <c r="I26" t="s">
        <v>212</v>
      </c>
      <c r="J26" t="s">
        <v>57</v>
      </c>
      <c r="K26" t="s">
        <v>57</v>
      </c>
      <c r="L26">
        <v>8</v>
      </c>
      <c r="M26">
        <v>4</v>
      </c>
      <c r="N26">
        <v>20</v>
      </c>
      <c r="O26">
        <v>105.7</v>
      </c>
      <c r="P26">
        <v>14.60840584</v>
      </c>
      <c r="Q26" t="s">
        <v>8</v>
      </c>
      <c r="R26">
        <v>10.3</v>
      </c>
      <c r="S26">
        <v>24</v>
      </c>
      <c r="T26">
        <v>206.1</v>
      </c>
      <c r="U26">
        <v>6.7</v>
      </c>
      <c r="V26">
        <v>39.200000000000003</v>
      </c>
      <c r="X26">
        <v>32</v>
      </c>
      <c r="Y26">
        <v>12</v>
      </c>
      <c r="Z26" t="s">
        <v>9</v>
      </c>
      <c r="AA26"/>
      <c r="AB26" t="s">
        <v>94</v>
      </c>
      <c r="AL26" s="6"/>
    </row>
    <row r="27" spans="1:38" x14ac:dyDescent="0.2">
      <c r="A27">
        <v>26</v>
      </c>
      <c r="B27" t="s">
        <v>96</v>
      </c>
      <c r="C27" t="s">
        <v>97</v>
      </c>
      <c r="D27" t="s">
        <v>80</v>
      </c>
      <c r="E27" s="9">
        <v>40179</v>
      </c>
      <c r="F27" t="s">
        <v>80</v>
      </c>
      <c r="G27"/>
      <c r="I27" t="s">
        <v>20</v>
      </c>
      <c r="J27">
        <v>38.887288640000001</v>
      </c>
      <c r="K27">
        <v>-78.165068739999995</v>
      </c>
      <c r="L27">
        <v>14</v>
      </c>
      <c r="Q27" t="s">
        <v>8</v>
      </c>
      <c r="R27">
        <v>31.1</v>
      </c>
      <c r="S27">
        <v>42.2</v>
      </c>
      <c r="T27">
        <v>2.69</v>
      </c>
      <c r="U27">
        <v>19.100000000000001</v>
      </c>
      <c r="Z27" t="s">
        <v>9</v>
      </c>
      <c r="AA27"/>
      <c r="AB27" s="2" t="s">
        <v>98</v>
      </c>
      <c r="AC27" t="s">
        <v>99</v>
      </c>
      <c r="AL27" s="6"/>
    </row>
    <row r="28" spans="1:38" x14ac:dyDescent="0.2">
      <c r="A28">
        <v>27</v>
      </c>
      <c r="B28" t="s">
        <v>33</v>
      </c>
      <c r="C28" t="s">
        <v>91</v>
      </c>
      <c r="D28" t="s">
        <v>80</v>
      </c>
      <c r="E28" s="9">
        <v>32203</v>
      </c>
      <c r="F28" t="s">
        <v>80</v>
      </c>
      <c r="G28" s="9">
        <v>29983</v>
      </c>
      <c r="H28" s="9">
        <v>31167</v>
      </c>
      <c r="I28" t="s">
        <v>20</v>
      </c>
      <c r="J28">
        <v>41.226042300000003</v>
      </c>
      <c r="K28">
        <v>-95.926830350000003</v>
      </c>
      <c r="L28">
        <v>3</v>
      </c>
      <c r="M28">
        <v>3</v>
      </c>
      <c r="N28">
        <v>9</v>
      </c>
      <c r="Q28" t="s">
        <v>8</v>
      </c>
      <c r="R28">
        <v>3.4</v>
      </c>
      <c r="S28">
        <v>64.3</v>
      </c>
      <c r="T28">
        <v>22</v>
      </c>
      <c r="U28">
        <v>27</v>
      </c>
      <c r="V28">
        <v>98.6</v>
      </c>
      <c r="W28">
        <v>1.54</v>
      </c>
      <c r="X28">
        <v>45.3</v>
      </c>
      <c r="Y28">
        <v>26.7</v>
      </c>
      <c r="Z28" t="s">
        <v>9</v>
      </c>
      <c r="AA28" t="s">
        <v>57</v>
      </c>
      <c r="AB28" t="s">
        <v>15</v>
      </c>
      <c r="AL28" s="6"/>
    </row>
    <row r="29" spans="1:38" x14ac:dyDescent="0.2">
      <c r="A29">
        <v>28</v>
      </c>
      <c r="B29" t="s">
        <v>112</v>
      </c>
      <c r="C29" t="s">
        <v>100</v>
      </c>
      <c r="D29" t="s">
        <v>80</v>
      </c>
      <c r="E29" s="9">
        <v>39845</v>
      </c>
      <c r="F29" t="s">
        <v>80</v>
      </c>
      <c r="G29" s="9">
        <v>37323</v>
      </c>
      <c r="H29" s="9">
        <v>38044</v>
      </c>
      <c r="I29" t="s">
        <v>20</v>
      </c>
      <c r="J29">
        <v>47.305251630000001</v>
      </c>
      <c r="K29">
        <v>-122.5215522</v>
      </c>
      <c r="L29">
        <v>15</v>
      </c>
      <c r="M29">
        <v>2</v>
      </c>
      <c r="N29">
        <v>13</v>
      </c>
      <c r="Q29" t="s">
        <v>8</v>
      </c>
      <c r="R29">
        <v>6.2</v>
      </c>
      <c r="S29">
        <v>75.599999999999994</v>
      </c>
      <c r="T29">
        <v>72.099999999999994</v>
      </c>
      <c r="U29">
        <v>54.7</v>
      </c>
      <c r="V29">
        <v>51.2</v>
      </c>
      <c r="Z29" t="s">
        <v>9</v>
      </c>
      <c r="AA29" t="s">
        <v>64</v>
      </c>
      <c r="AB29" t="s">
        <v>34</v>
      </c>
      <c r="AL29" s="6"/>
    </row>
    <row r="30" spans="1:38" x14ac:dyDescent="0.2">
      <c r="A30">
        <v>29</v>
      </c>
      <c r="B30" t="s">
        <v>112</v>
      </c>
      <c r="C30" t="s">
        <v>100</v>
      </c>
      <c r="D30" t="s">
        <v>80</v>
      </c>
      <c r="E30" s="9">
        <v>42628</v>
      </c>
      <c r="F30" t="s">
        <v>81</v>
      </c>
      <c r="G30" s="9">
        <v>33222</v>
      </c>
      <c r="H30" s="9">
        <v>38107</v>
      </c>
      <c r="I30" t="s">
        <v>20</v>
      </c>
      <c r="L30">
        <v>64</v>
      </c>
      <c r="M30">
        <v>1</v>
      </c>
      <c r="N30">
        <v>14</v>
      </c>
      <c r="Q30" t="s">
        <v>8</v>
      </c>
      <c r="R30">
        <v>5.3</v>
      </c>
      <c r="S30">
        <v>72</v>
      </c>
      <c r="T30">
        <v>104</v>
      </c>
      <c r="U30">
        <v>65</v>
      </c>
      <c r="V30">
        <v>57</v>
      </c>
      <c r="W30">
        <v>9.9</v>
      </c>
      <c r="X30">
        <v>3.4</v>
      </c>
      <c r="Y30">
        <v>21.5</v>
      </c>
      <c r="Z30" t="s">
        <v>9</v>
      </c>
      <c r="AA30" t="s">
        <v>57</v>
      </c>
      <c r="AB30" t="s">
        <v>35</v>
      </c>
      <c r="AL30" s="6"/>
    </row>
    <row r="31" spans="1:38" x14ac:dyDescent="0.2">
      <c r="A31">
        <v>30</v>
      </c>
      <c r="B31" t="s">
        <v>112</v>
      </c>
      <c r="C31" t="s">
        <v>100</v>
      </c>
      <c r="D31" t="s">
        <v>80</v>
      </c>
      <c r="E31" s="9">
        <v>43313</v>
      </c>
      <c r="F31" t="s">
        <v>80</v>
      </c>
      <c r="G31" s="9">
        <v>42005</v>
      </c>
      <c r="H31" s="9">
        <v>42825</v>
      </c>
      <c r="I31" t="s">
        <v>20</v>
      </c>
      <c r="L31">
        <v>39</v>
      </c>
      <c r="M31">
        <v>1</v>
      </c>
      <c r="N31">
        <v>11</v>
      </c>
      <c r="O31">
        <v>24.9</v>
      </c>
      <c r="Q31" t="s">
        <v>8</v>
      </c>
      <c r="R31">
        <v>6.15</v>
      </c>
      <c r="S31">
        <v>80.8</v>
      </c>
      <c r="T31">
        <v>96.7</v>
      </c>
      <c r="U31">
        <v>46.5</v>
      </c>
      <c r="V31">
        <v>60.5</v>
      </c>
      <c r="Z31" t="s">
        <v>9</v>
      </c>
      <c r="AA31" t="s">
        <v>57</v>
      </c>
      <c r="AB31" t="s">
        <v>36</v>
      </c>
      <c r="AL31" s="6"/>
    </row>
    <row r="32" spans="1:38" x14ac:dyDescent="0.2">
      <c r="A32">
        <v>31</v>
      </c>
      <c r="B32" t="s">
        <v>112</v>
      </c>
      <c r="C32" t="s">
        <v>100</v>
      </c>
      <c r="D32" t="s">
        <v>80</v>
      </c>
      <c r="E32" s="9">
        <v>44193</v>
      </c>
      <c r="F32" t="s">
        <v>80</v>
      </c>
      <c r="G32" s="9">
        <v>43101</v>
      </c>
      <c r="H32" s="9">
        <v>43555</v>
      </c>
      <c r="I32" t="s">
        <v>20</v>
      </c>
      <c r="L32">
        <v>6</v>
      </c>
      <c r="M32">
        <v>3</v>
      </c>
      <c r="N32">
        <v>9</v>
      </c>
      <c r="Q32" t="s">
        <v>8</v>
      </c>
      <c r="R32">
        <v>3.7450000000000001</v>
      </c>
      <c r="S32">
        <v>73.75</v>
      </c>
      <c r="T32">
        <v>72.2</v>
      </c>
      <c r="Z32" t="s">
        <v>9</v>
      </c>
      <c r="AA32"/>
      <c r="AB32" t="s">
        <v>37</v>
      </c>
      <c r="AL32" s="6"/>
    </row>
    <row r="33" spans="1:38" x14ac:dyDescent="0.2">
      <c r="A33">
        <v>32</v>
      </c>
      <c r="B33" t="s">
        <v>112</v>
      </c>
      <c r="C33" t="s">
        <v>100</v>
      </c>
      <c r="D33" t="s">
        <v>80</v>
      </c>
      <c r="E33" s="9">
        <v>36039</v>
      </c>
      <c r="F33" t="s">
        <v>80</v>
      </c>
      <c r="G33" s="9">
        <v>34335</v>
      </c>
      <c r="H33" s="9">
        <v>35064</v>
      </c>
      <c r="I33" t="s">
        <v>20</v>
      </c>
      <c r="J33">
        <v>47.305020050000003</v>
      </c>
      <c r="K33">
        <v>-122.5216138</v>
      </c>
      <c r="L33">
        <v>15</v>
      </c>
      <c r="Q33" t="s">
        <v>8</v>
      </c>
      <c r="R33"/>
      <c r="S33">
        <v>69.599999999999994</v>
      </c>
      <c r="T33">
        <v>131</v>
      </c>
      <c r="U33">
        <v>65</v>
      </c>
      <c r="V33">
        <v>99.95</v>
      </c>
      <c r="W33">
        <v>5.25</v>
      </c>
      <c r="X33">
        <v>7.9</v>
      </c>
      <c r="Y33">
        <v>5</v>
      </c>
      <c r="Z33" t="s">
        <v>9</v>
      </c>
      <c r="AA33"/>
      <c r="AB33" t="s">
        <v>38</v>
      </c>
      <c r="AL33" s="6"/>
    </row>
    <row r="34" spans="1:38" x14ac:dyDescent="0.2">
      <c r="A34">
        <v>33</v>
      </c>
      <c r="B34" t="s">
        <v>103</v>
      </c>
      <c r="C34" t="s">
        <v>57</v>
      </c>
      <c r="D34" t="s">
        <v>80</v>
      </c>
      <c r="E34" s="9">
        <v>43292</v>
      </c>
      <c r="F34" t="s">
        <v>80</v>
      </c>
      <c r="G34"/>
      <c r="L34">
        <v>14</v>
      </c>
      <c r="M34">
        <v>14</v>
      </c>
      <c r="N34">
        <v>20</v>
      </c>
      <c r="Q34" t="s">
        <v>8</v>
      </c>
      <c r="R34">
        <v>6</v>
      </c>
      <c r="S34">
        <v>90.3</v>
      </c>
      <c r="T34">
        <v>620.70000000000005</v>
      </c>
      <c r="U34">
        <v>84</v>
      </c>
      <c r="V34">
        <v>85.1</v>
      </c>
      <c r="Z34" t="s">
        <v>9</v>
      </c>
      <c r="AA34"/>
      <c r="AB34" t="s">
        <v>102</v>
      </c>
      <c r="AL34" s="6"/>
    </row>
    <row r="35" spans="1:38" x14ac:dyDescent="0.2">
      <c r="A35">
        <v>34</v>
      </c>
      <c r="B35" t="s">
        <v>103</v>
      </c>
      <c r="C35" t="s">
        <v>57</v>
      </c>
      <c r="D35" t="s">
        <v>80</v>
      </c>
      <c r="E35" s="9">
        <v>38687</v>
      </c>
      <c r="F35" t="s">
        <v>80</v>
      </c>
      <c r="G35"/>
      <c r="J35" t="s">
        <v>57</v>
      </c>
      <c r="K35" t="s">
        <v>57</v>
      </c>
      <c r="L35">
        <v>7</v>
      </c>
      <c r="M35">
        <v>7</v>
      </c>
      <c r="N35">
        <v>34</v>
      </c>
      <c r="Q35" t="s">
        <v>8</v>
      </c>
      <c r="R35">
        <v>98.2</v>
      </c>
      <c r="S35">
        <v>80.7</v>
      </c>
      <c r="T35">
        <v>37100</v>
      </c>
      <c r="U35">
        <v>41.6</v>
      </c>
      <c r="Z35" t="s">
        <v>9</v>
      </c>
      <c r="AA35" t="s">
        <v>57</v>
      </c>
      <c r="AB35" t="s">
        <v>108</v>
      </c>
      <c r="AL35" s="6"/>
    </row>
    <row r="36" spans="1:38" x14ac:dyDescent="0.2">
      <c r="A36">
        <v>35</v>
      </c>
      <c r="B36" t="s">
        <v>111</v>
      </c>
      <c r="C36" t="s">
        <v>104</v>
      </c>
      <c r="D36" t="s">
        <v>80</v>
      </c>
      <c r="E36" s="9">
        <v>44579</v>
      </c>
      <c r="F36" t="s">
        <v>80</v>
      </c>
      <c r="G36"/>
      <c r="I36" t="s">
        <v>57</v>
      </c>
      <c r="J36" t="s">
        <v>57</v>
      </c>
      <c r="K36" t="s">
        <v>57</v>
      </c>
      <c r="L36">
        <v>10</v>
      </c>
      <c r="Q36" t="s">
        <v>8</v>
      </c>
      <c r="R36">
        <v>8.85</v>
      </c>
      <c r="S36">
        <v>77.5</v>
      </c>
      <c r="T36">
        <v>549.65</v>
      </c>
      <c r="U36">
        <v>80.099999999999994</v>
      </c>
      <c r="V36">
        <v>88.7</v>
      </c>
      <c r="Z36" t="s">
        <v>9</v>
      </c>
      <c r="AA36"/>
      <c r="AB36" t="s">
        <v>109</v>
      </c>
      <c r="AL36" s="6"/>
    </row>
    <row r="37" spans="1:38" x14ac:dyDescent="0.2">
      <c r="A37">
        <v>36</v>
      </c>
      <c r="B37" t="s">
        <v>113</v>
      </c>
      <c r="C37" t="s">
        <v>116</v>
      </c>
      <c r="D37" t="s">
        <v>80</v>
      </c>
      <c r="E37" s="9">
        <v>33970</v>
      </c>
      <c r="G37"/>
      <c r="L37">
        <v>36</v>
      </c>
      <c r="Q37" t="s">
        <v>8</v>
      </c>
      <c r="R37"/>
      <c r="S37"/>
      <c r="U37">
        <v>87.55</v>
      </c>
      <c r="Y37">
        <v>6.2249999999999996</v>
      </c>
      <c r="AA37"/>
      <c r="AB37" t="s">
        <v>39</v>
      </c>
      <c r="AC37" t="s">
        <v>117</v>
      </c>
      <c r="AL37" s="6"/>
    </row>
    <row r="38" spans="1:38" x14ac:dyDescent="0.2">
      <c r="A38">
        <v>37</v>
      </c>
      <c r="B38" t="s">
        <v>40</v>
      </c>
      <c r="C38" t="s">
        <v>90</v>
      </c>
      <c r="D38" t="s">
        <v>80</v>
      </c>
      <c r="E38" s="9">
        <v>32203</v>
      </c>
      <c r="F38" t="s">
        <v>80</v>
      </c>
      <c r="G38" s="9">
        <v>29983</v>
      </c>
      <c r="H38" s="9">
        <v>31167</v>
      </c>
      <c r="I38" t="s">
        <v>20</v>
      </c>
      <c r="J38">
        <v>41.226042300000003</v>
      </c>
      <c r="K38">
        <v>-95.926830350000003</v>
      </c>
      <c r="L38">
        <v>7</v>
      </c>
      <c r="M38">
        <v>3</v>
      </c>
      <c r="N38">
        <v>11</v>
      </c>
      <c r="Q38" t="s">
        <v>8</v>
      </c>
      <c r="R38">
        <v>7</v>
      </c>
      <c r="S38">
        <v>81.5</v>
      </c>
      <c r="T38">
        <v>31.9</v>
      </c>
      <c r="U38">
        <v>63</v>
      </c>
      <c r="V38">
        <v>96.9</v>
      </c>
      <c r="W38">
        <v>3.42</v>
      </c>
      <c r="X38">
        <v>22.3</v>
      </c>
      <c r="Y38">
        <v>11.82</v>
      </c>
      <c r="Z38" t="s">
        <v>9</v>
      </c>
      <c r="AA38" t="s">
        <v>57</v>
      </c>
      <c r="AB38" t="s">
        <v>15</v>
      </c>
      <c r="AL38" s="6"/>
    </row>
    <row r="39" spans="1:38" x14ac:dyDescent="0.2">
      <c r="A39">
        <v>38</v>
      </c>
      <c r="B39" t="s">
        <v>40</v>
      </c>
      <c r="C39" t="s">
        <v>90</v>
      </c>
      <c r="D39" t="s">
        <v>80</v>
      </c>
      <c r="E39" s="9">
        <v>42552</v>
      </c>
      <c r="G39"/>
      <c r="I39" t="s">
        <v>213</v>
      </c>
      <c r="J39">
        <v>-6.7204787110000002</v>
      </c>
      <c r="K39">
        <v>106.9508891</v>
      </c>
      <c r="L39">
        <v>5</v>
      </c>
      <c r="M39">
        <v>4</v>
      </c>
      <c r="N39">
        <v>12</v>
      </c>
      <c r="Q39" t="s">
        <v>8</v>
      </c>
      <c r="R39">
        <v>1.5</v>
      </c>
      <c r="S39">
        <v>72.5</v>
      </c>
      <c r="T39">
        <v>114</v>
      </c>
      <c r="Z39" t="s">
        <v>9</v>
      </c>
      <c r="AA39"/>
      <c r="AB39" t="s">
        <v>41</v>
      </c>
      <c r="AC39" t="s">
        <v>118</v>
      </c>
      <c r="AL39" s="6"/>
    </row>
    <row r="40" spans="1:38" x14ac:dyDescent="0.2">
      <c r="A40">
        <v>39</v>
      </c>
      <c r="B40" t="s">
        <v>96</v>
      </c>
      <c r="C40" t="s">
        <v>97</v>
      </c>
      <c r="D40" t="s">
        <v>80</v>
      </c>
      <c r="E40" s="9">
        <v>38936</v>
      </c>
      <c r="F40" t="s">
        <v>80</v>
      </c>
      <c r="G40"/>
      <c r="I40" t="s">
        <v>20</v>
      </c>
      <c r="J40" t="s">
        <v>57</v>
      </c>
      <c r="K40" t="s">
        <v>57</v>
      </c>
      <c r="L40">
        <v>9</v>
      </c>
      <c r="O40">
        <v>75.25</v>
      </c>
      <c r="Q40" t="s">
        <v>8</v>
      </c>
      <c r="R40">
        <v>19.899999999999999</v>
      </c>
      <c r="S40">
        <v>52.7</v>
      </c>
      <c r="T40">
        <v>2000</v>
      </c>
      <c r="U40">
        <v>23.4</v>
      </c>
      <c r="W40">
        <v>28.7</v>
      </c>
      <c r="X40">
        <v>42.6</v>
      </c>
      <c r="Y40">
        <v>4.3</v>
      </c>
      <c r="Z40" t="s">
        <v>9</v>
      </c>
      <c r="AA40"/>
      <c r="AB40" t="s">
        <v>119</v>
      </c>
      <c r="AL40" s="6"/>
    </row>
    <row r="41" spans="1:38" x14ac:dyDescent="0.2">
      <c r="A41">
        <v>40</v>
      </c>
      <c r="B41" t="s">
        <v>144</v>
      </c>
      <c r="C41" t="s">
        <v>121</v>
      </c>
      <c r="D41" t="s">
        <v>80</v>
      </c>
      <c r="E41" s="9">
        <v>42292</v>
      </c>
      <c r="F41" t="s">
        <v>80</v>
      </c>
      <c r="G41"/>
      <c r="I41" t="s">
        <v>214</v>
      </c>
      <c r="J41">
        <v>43.349680300000003</v>
      </c>
      <c r="K41">
        <v>-3.8540599009999998</v>
      </c>
      <c r="L41">
        <v>24</v>
      </c>
      <c r="M41">
        <v>6</v>
      </c>
      <c r="Q41" t="s">
        <v>8</v>
      </c>
      <c r="R41"/>
      <c r="S41">
        <v>41.166666669999998</v>
      </c>
      <c r="T41">
        <v>323.60000000000002</v>
      </c>
      <c r="V41">
        <v>86.1</v>
      </c>
      <c r="Z41" t="s">
        <v>9</v>
      </c>
      <c r="AA41"/>
      <c r="AB41" t="s">
        <v>120</v>
      </c>
      <c r="AL41" s="6"/>
    </row>
    <row r="42" spans="1:38" x14ac:dyDescent="0.2">
      <c r="A42">
        <v>41</v>
      </c>
      <c r="B42" t="s">
        <v>144</v>
      </c>
      <c r="C42" t="s">
        <v>121</v>
      </c>
      <c r="D42" t="s">
        <v>80</v>
      </c>
      <c r="E42" s="9">
        <v>42461</v>
      </c>
      <c r="F42" t="s">
        <v>80</v>
      </c>
      <c r="G42"/>
      <c r="I42" t="s">
        <v>214</v>
      </c>
      <c r="J42">
        <v>43.349680300000003</v>
      </c>
      <c r="K42">
        <v>-3.8540599009999998</v>
      </c>
      <c r="L42">
        <v>8</v>
      </c>
      <c r="M42">
        <v>7</v>
      </c>
      <c r="N42">
        <v>20</v>
      </c>
      <c r="Q42" t="s">
        <v>8</v>
      </c>
      <c r="R42">
        <v>2</v>
      </c>
      <c r="S42">
        <v>87.5</v>
      </c>
      <c r="T42">
        <v>208.2</v>
      </c>
      <c r="U42">
        <v>71</v>
      </c>
      <c r="V42">
        <v>99.7</v>
      </c>
      <c r="Z42" t="s">
        <v>9</v>
      </c>
      <c r="AA42"/>
      <c r="AB42" t="s">
        <v>122</v>
      </c>
      <c r="AC42" t="s">
        <v>42</v>
      </c>
      <c r="AL42" s="6"/>
    </row>
    <row r="43" spans="1:38" x14ac:dyDescent="0.2">
      <c r="A43">
        <v>42</v>
      </c>
      <c r="B43" t="s">
        <v>144</v>
      </c>
      <c r="C43" t="s">
        <v>121</v>
      </c>
      <c r="D43" t="s">
        <v>80</v>
      </c>
      <c r="E43" s="9">
        <v>36008</v>
      </c>
      <c r="F43" t="s">
        <v>80</v>
      </c>
      <c r="G43" s="9">
        <v>34834</v>
      </c>
      <c r="H43" s="9">
        <v>35261</v>
      </c>
      <c r="I43" t="s">
        <v>215</v>
      </c>
      <c r="J43">
        <v>42.490671519999999</v>
      </c>
      <c r="K43">
        <v>141.1589208</v>
      </c>
      <c r="L43">
        <v>10</v>
      </c>
      <c r="M43">
        <v>7</v>
      </c>
      <c r="N43">
        <v>16</v>
      </c>
      <c r="Q43" t="s">
        <v>8</v>
      </c>
      <c r="R43">
        <v>2.7</v>
      </c>
      <c r="S43">
        <v>80.2</v>
      </c>
      <c r="T43">
        <v>471.6</v>
      </c>
      <c r="U43">
        <v>78.2</v>
      </c>
      <c r="Z43" t="s">
        <v>9</v>
      </c>
      <c r="AA43" t="s">
        <v>59</v>
      </c>
      <c r="AB43" t="s">
        <v>123</v>
      </c>
      <c r="AL43" s="6"/>
    </row>
    <row r="44" spans="1:38" x14ac:dyDescent="0.2">
      <c r="A44">
        <v>43</v>
      </c>
      <c r="B44" t="s">
        <v>43</v>
      </c>
      <c r="C44" t="s">
        <v>125</v>
      </c>
      <c r="D44" t="s">
        <v>80</v>
      </c>
      <c r="E44" s="9">
        <v>38108</v>
      </c>
      <c r="F44" t="s">
        <v>80</v>
      </c>
      <c r="G44"/>
      <c r="I44" t="s">
        <v>216</v>
      </c>
      <c r="J44">
        <v>30.734539989999998</v>
      </c>
      <c r="K44">
        <v>104.1457369</v>
      </c>
      <c r="L44">
        <v>9</v>
      </c>
      <c r="M44">
        <v>5</v>
      </c>
      <c r="N44">
        <v>16</v>
      </c>
      <c r="Q44" t="s">
        <v>8</v>
      </c>
      <c r="R44">
        <v>2.8</v>
      </c>
      <c r="S44">
        <v>76.099999999999994</v>
      </c>
      <c r="T44">
        <v>1100</v>
      </c>
      <c r="U44">
        <v>84.2</v>
      </c>
      <c r="V44">
        <v>93.6</v>
      </c>
      <c r="Z44" t="s">
        <v>9</v>
      </c>
      <c r="AA44" t="s">
        <v>59</v>
      </c>
      <c r="AB44" t="s">
        <v>124</v>
      </c>
      <c r="AL44" s="6"/>
    </row>
    <row r="45" spans="1:38" x14ac:dyDescent="0.2">
      <c r="A45">
        <v>44</v>
      </c>
      <c r="B45" t="s">
        <v>43</v>
      </c>
      <c r="C45" t="s">
        <v>125</v>
      </c>
      <c r="D45" t="s">
        <v>80</v>
      </c>
      <c r="E45" s="9">
        <v>42229</v>
      </c>
      <c r="F45" t="s">
        <v>80</v>
      </c>
      <c r="G45"/>
      <c r="I45" t="s">
        <v>214</v>
      </c>
      <c r="J45">
        <v>40.409356440000003</v>
      </c>
      <c r="K45">
        <v>-3.7608425460000001</v>
      </c>
      <c r="L45">
        <v>1</v>
      </c>
      <c r="M45">
        <v>13</v>
      </c>
      <c r="N45">
        <v>13</v>
      </c>
      <c r="Q45" t="s">
        <v>8</v>
      </c>
      <c r="R45"/>
      <c r="S45">
        <v>96.15</v>
      </c>
      <c r="T45">
        <v>2622.05</v>
      </c>
      <c r="U45">
        <v>85</v>
      </c>
      <c r="V45">
        <v>95.9</v>
      </c>
      <c r="Z45" t="s">
        <v>9</v>
      </c>
      <c r="AA45"/>
      <c r="AB45" t="s">
        <v>126</v>
      </c>
      <c r="AL45" s="6"/>
    </row>
    <row r="46" spans="1:38" x14ac:dyDescent="0.2">
      <c r="A46">
        <v>45</v>
      </c>
      <c r="B46" t="s">
        <v>43</v>
      </c>
      <c r="C46" t="s">
        <v>125</v>
      </c>
      <c r="D46" t="s">
        <v>80</v>
      </c>
      <c r="E46" s="9">
        <v>30317</v>
      </c>
      <c r="F46" t="s">
        <v>80</v>
      </c>
      <c r="G46" s="9">
        <v>29012</v>
      </c>
      <c r="H46" s="9">
        <v>29347</v>
      </c>
      <c r="I46" t="s">
        <v>20</v>
      </c>
      <c r="J46">
        <v>38.929744939999999</v>
      </c>
      <c r="K46">
        <v>-77.049730760000003</v>
      </c>
      <c r="L46">
        <v>1</v>
      </c>
      <c r="M46">
        <v>8</v>
      </c>
      <c r="N46">
        <v>8</v>
      </c>
      <c r="O46">
        <v>398.8666667</v>
      </c>
      <c r="P46">
        <v>19.8443936</v>
      </c>
      <c r="Q46" t="s">
        <v>8</v>
      </c>
      <c r="R46">
        <v>3.2250000000000001</v>
      </c>
      <c r="S46">
        <v>67.5</v>
      </c>
      <c r="T46">
        <v>245.83393720000001</v>
      </c>
      <c r="U46">
        <v>77.5</v>
      </c>
      <c r="Z46" t="s">
        <v>9</v>
      </c>
      <c r="AA46" t="s">
        <v>59</v>
      </c>
      <c r="AB46" t="s">
        <v>127</v>
      </c>
      <c r="AL46" s="6"/>
    </row>
    <row r="47" spans="1:38" x14ac:dyDescent="0.2">
      <c r="A47">
        <v>46</v>
      </c>
      <c r="B47" t="s">
        <v>43</v>
      </c>
      <c r="C47" t="s">
        <v>125</v>
      </c>
      <c r="D47" t="s">
        <v>80</v>
      </c>
      <c r="E47" s="9">
        <v>37839</v>
      </c>
      <c r="F47" t="s">
        <v>80</v>
      </c>
      <c r="G47" s="9">
        <v>35886</v>
      </c>
      <c r="H47" s="9">
        <v>36292</v>
      </c>
      <c r="I47" t="s">
        <v>57</v>
      </c>
      <c r="J47" t="s">
        <v>57</v>
      </c>
      <c r="K47" t="s">
        <v>57</v>
      </c>
      <c r="L47">
        <v>3</v>
      </c>
      <c r="M47">
        <v>5.5</v>
      </c>
      <c r="N47">
        <v>22.5</v>
      </c>
      <c r="O47">
        <v>139.5</v>
      </c>
      <c r="Q47" t="s">
        <v>8</v>
      </c>
      <c r="R47">
        <v>6.5374999999999996</v>
      </c>
      <c r="S47">
        <v>76.5</v>
      </c>
      <c r="T47">
        <v>841.95352990000004</v>
      </c>
      <c r="Z47" t="s">
        <v>9</v>
      </c>
      <c r="AA47" t="s">
        <v>59</v>
      </c>
      <c r="AB47" t="s">
        <v>128</v>
      </c>
      <c r="AL47" s="6"/>
    </row>
    <row r="48" spans="1:38" x14ac:dyDescent="0.2">
      <c r="A48">
        <v>47</v>
      </c>
      <c r="B48" t="s">
        <v>44</v>
      </c>
      <c r="C48" t="s">
        <v>130</v>
      </c>
      <c r="D48" t="s">
        <v>80</v>
      </c>
      <c r="E48" s="9">
        <v>42339</v>
      </c>
      <c r="F48" t="s">
        <v>80</v>
      </c>
      <c r="G48" s="9">
        <v>41183</v>
      </c>
      <c r="H48" s="9">
        <v>41608</v>
      </c>
      <c r="I48" t="s">
        <v>211</v>
      </c>
      <c r="J48" t="s">
        <v>57</v>
      </c>
      <c r="K48" t="s">
        <v>57</v>
      </c>
      <c r="L48">
        <v>8</v>
      </c>
      <c r="Q48" t="s">
        <v>8</v>
      </c>
      <c r="R48">
        <v>0.75</v>
      </c>
      <c r="S48">
        <v>75</v>
      </c>
      <c r="T48">
        <v>108.5</v>
      </c>
      <c r="U48">
        <v>58.1</v>
      </c>
      <c r="W48">
        <v>14.734999999999999</v>
      </c>
      <c r="X48">
        <v>16.559999999999999</v>
      </c>
      <c r="Y48">
        <v>19.864999999999998</v>
      </c>
      <c r="Z48" t="s">
        <v>25</v>
      </c>
      <c r="AA48"/>
      <c r="AB48" s="2" t="s">
        <v>129</v>
      </c>
      <c r="AL48" s="6"/>
    </row>
    <row r="49" spans="1:38" x14ac:dyDescent="0.2">
      <c r="A49">
        <v>48</v>
      </c>
      <c r="B49" t="s">
        <v>143</v>
      </c>
      <c r="C49" t="s">
        <v>133</v>
      </c>
      <c r="D49" t="s">
        <v>80</v>
      </c>
      <c r="E49" s="9">
        <v>41487</v>
      </c>
      <c r="F49" t="s">
        <v>80</v>
      </c>
      <c r="G49"/>
      <c r="I49" t="s">
        <v>211</v>
      </c>
      <c r="J49">
        <v>-5.1657229390000001</v>
      </c>
      <c r="K49">
        <v>-37.166581370000003</v>
      </c>
      <c r="L49">
        <v>4</v>
      </c>
      <c r="Q49" t="s">
        <v>8</v>
      </c>
      <c r="R49">
        <v>0.2792</v>
      </c>
      <c r="S49">
        <v>65.8</v>
      </c>
      <c r="T49">
        <v>757</v>
      </c>
      <c r="U49">
        <v>89.4</v>
      </c>
      <c r="V49">
        <v>59.5</v>
      </c>
      <c r="W49">
        <v>3.2</v>
      </c>
      <c r="X49">
        <v>0.9</v>
      </c>
      <c r="Y49">
        <v>6.8</v>
      </c>
      <c r="Z49" t="s">
        <v>9</v>
      </c>
      <c r="AA49" t="s">
        <v>59</v>
      </c>
      <c r="AB49" s="2" t="s">
        <v>132</v>
      </c>
      <c r="AL49" s="6"/>
    </row>
    <row r="50" spans="1:38" x14ac:dyDescent="0.2">
      <c r="A50">
        <v>49</v>
      </c>
      <c r="B50" t="s">
        <v>145</v>
      </c>
      <c r="C50" t="s">
        <v>134</v>
      </c>
      <c r="D50" t="s">
        <v>80</v>
      </c>
      <c r="E50" s="9">
        <v>44105</v>
      </c>
      <c r="F50" t="s">
        <v>80</v>
      </c>
      <c r="G50" s="9">
        <v>43282</v>
      </c>
      <c r="H50" s="9">
        <v>43678</v>
      </c>
      <c r="I50" t="s">
        <v>211</v>
      </c>
      <c r="J50">
        <v>-23.56954215</v>
      </c>
      <c r="K50">
        <v>-46.739052719999997</v>
      </c>
      <c r="L50">
        <v>5</v>
      </c>
      <c r="M50">
        <v>3</v>
      </c>
      <c r="N50">
        <v>5</v>
      </c>
      <c r="O50">
        <v>2.15</v>
      </c>
      <c r="Q50" t="s">
        <v>45</v>
      </c>
      <c r="R50">
        <v>0.39319999999999999</v>
      </c>
      <c r="S50">
        <v>68</v>
      </c>
      <c r="T50">
        <v>217.4</v>
      </c>
      <c r="U50">
        <v>1</v>
      </c>
      <c r="W50">
        <v>73.099999999999994</v>
      </c>
      <c r="X50">
        <v>34.15</v>
      </c>
      <c r="Y50">
        <v>6.1</v>
      </c>
      <c r="Z50" t="s">
        <v>9</v>
      </c>
      <c r="AA50" t="s">
        <v>59</v>
      </c>
      <c r="AB50" t="s">
        <v>131</v>
      </c>
      <c r="AL50" s="6"/>
    </row>
    <row r="51" spans="1:38" x14ac:dyDescent="0.2">
      <c r="A51">
        <v>50</v>
      </c>
      <c r="B51" t="s">
        <v>146</v>
      </c>
      <c r="C51" t="s">
        <v>136</v>
      </c>
      <c r="D51" t="s">
        <v>80</v>
      </c>
      <c r="E51" s="9">
        <v>43312</v>
      </c>
      <c r="G51"/>
      <c r="I51" t="s">
        <v>217</v>
      </c>
      <c r="L51">
        <v>9</v>
      </c>
      <c r="M51">
        <v>1</v>
      </c>
      <c r="N51">
        <v>5</v>
      </c>
      <c r="Q51" t="s">
        <v>45</v>
      </c>
      <c r="R51"/>
      <c r="S51">
        <v>70</v>
      </c>
      <c r="T51">
        <v>200</v>
      </c>
      <c r="U51">
        <v>93</v>
      </c>
      <c r="Z51" t="s">
        <v>9</v>
      </c>
      <c r="AA51"/>
      <c r="AB51" t="s">
        <v>135</v>
      </c>
      <c r="AL51" s="6"/>
    </row>
    <row r="52" spans="1:38" x14ac:dyDescent="0.2">
      <c r="A52">
        <v>51</v>
      </c>
      <c r="B52" t="s">
        <v>147</v>
      </c>
      <c r="C52" t="s">
        <v>138</v>
      </c>
      <c r="D52" t="s">
        <v>80</v>
      </c>
      <c r="E52" s="9">
        <v>31564</v>
      </c>
      <c r="F52" t="s">
        <v>80</v>
      </c>
      <c r="G52"/>
      <c r="I52" t="s">
        <v>20</v>
      </c>
      <c r="J52">
        <v>38.929803389999996</v>
      </c>
      <c r="K52">
        <v>-77.049773669999993</v>
      </c>
      <c r="L52">
        <v>4</v>
      </c>
      <c r="M52">
        <v>9</v>
      </c>
      <c r="N52">
        <v>12</v>
      </c>
      <c r="Q52" t="s">
        <v>8</v>
      </c>
      <c r="R52">
        <v>0.64</v>
      </c>
      <c r="S52">
        <v>71</v>
      </c>
      <c r="T52">
        <v>27.5</v>
      </c>
      <c r="U52">
        <v>60.9</v>
      </c>
      <c r="W52">
        <v>3.2</v>
      </c>
      <c r="X52">
        <v>16.7</v>
      </c>
      <c r="Y52">
        <v>19.3</v>
      </c>
      <c r="Z52" t="s">
        <v>9</v>
      </c>
      <c r="AA52" t="s">
        <v>59</v>
      </c>
      <c r="AB52" t="s">
        <v>137</v>
      </c>
      <c r="AL52" s="6"/>
    </row>
    <row r="53" spans="1:38" x14ac:dyDescent="0.2">
      <c r="A53">
        <v>52</v>
      </c>
      <c r="B53" t="s">
        <v>147</v>
      </c>
      <c r="C53" t="s">
        <v>138</v>
      </c>
      <c r="D53" t="s">
        <v>80</v>
      </c>
      <c r="E53" s="9">
        <v>42705</v>
      </c>
      <c r="F53" t="s">
        <v>80</v>
      </c>
      <c r="G53" s="9">
        <v>41214</v>
      </c>
      <c r="H53" s="9">
        <v>42094</v>
      </c>
      <c r="I53" t="s">
        <v>212</v>
      </c>
      <c r="J53">
        <v>13.21498555</v>
      </c>
      <c r="K53">
        <v>101.0570439</v>
      </c>
      <c r="L53">
        <v>7</v>
      </c>
      <c r="M53">
        <v>3</v>
      </c>
      <c r="N53">
        <v>9</v>
      </c>
      <c r="O53">
        <v>20.8</v>
      </c>
      <c r="P53">
        <v>14.1</v>
      </c>
      <c r="Q53" t="s">
        <v>8</v>
      </c>
      <c r="R53">
        <v>0.42259999999999998</v>
      </c>
      <c r="S53">
        <v>75.5</v>
      </c>
      <c r="T53">
        <v>168.6</v>
      </c>
      <c r="U53">
        <v>33.299999999999997</v>
      </c>
      <c r="V53">
        <v>38.4</v>
      </c>
      <c r="W53">
        <v>21.65</v>
      </c>
      <c r="X53">
        <v>21.3</v>
      </c>
      <c r="Y53">
        <v>26.55</v>
      </c>
      <c r="Z53" t="s">
        <v>9</v>
      </c>
      <c r="AA53" t="s">
        <v>59</v>
      </c>
      <c r="AB53" t="s">
        <v>139</v>
      </c>
      <c r="AL53" s="6"/>
    </row>
    <row r="54" spans="1:38" x14ac:dyDescent="0.2">
      <c r="A54">
        <v>53</v>
      </c>
      <c r="B54" t="s">
        <v>46</v>
      </c>
      <c r="C54" t="s">
        <v>141</v>
      </c>
      <c r="D54" t="s">
        <v>80</v>
      </c>
      <c r="E54" s="9">
        <v>40179</v>
      </c>
      <c r="F54" t="s">
        <v>80</v>
      </c>
      <c r="G54" s="9">
        <v>38353</v>
      </c>
      <c r="H54" s="9">
        <v>39447</v>
      </c>
      <c r="I54" t="s">
        <v>214</v>
      </c>
      <c r="J54" t="s">
        <v>57</v>
      </c>
      <c r="K54" t="s">
        <v>57</v>
      </c>
      <c r="L54">
        <v>9</v>
      </c>
      <c r="M54">
        <v>2</v>
      </c>
      <c r="N54">
        <v>8</v>
      </c>
      <c r="Q54" t="s">
        <v>8</v>
      </c>
      <c r="R54">
        <v>0.34139999999999998</v>
      </c>
      <c r="S54">
        <v>85.6</v>
      </c>
      <c r="T54">
        <v>20.5</v>
      </c>
      <c r="U54">
        <v>33</v>
      </c>
      <c r="V54">
        <v>68.8</v>
      </c>
      <c r="Z54" t="s">
        <v>9</v>
      </c>
      <c r="AA54" t="s">
        <v>59</v>
      </c>
      <c r="AB54" t="s">
        <v>140</v>
      </c>
      <c r="AL54" s="6"/>
    </row>
    <row r="55" spans="1:38" x14ac:dyDescent="0.2">
      <c r="A55">
        <v>54</v>
      </c>
      <c r="B55" t="s">
        <v>46</v>
      </c>
      <c r="C55" t="s">
        <v>141</v>
      </c>
      <c r="D55" t="s">
        <v>80</v>
      </c>
      <c r="E55" s="9">
        <v>40179</v>
      </c>
      <c r="F55" t="s">
        <v>80</v>
      </c>
      <c r="G55" s="9">
        <v>38718</v>
      </c>
      <c r="H55" s="9">
        <v>39082</v>
      </c>
      <c r="I55" t="s">
        <v>214</v>
      </c>
      <c r="J55">
        <v>37.042925830000001</v>
      </c>
      <c r="K55">
        <v>-6.4344359750000004</v>
      </c>
      <c r="L55">
        <v>4</v>
      </c>
      <c r="M55">
        <v>4</v>
      </c>
      <c r="N55">
        <v>11</v>
      </c>
      <c r="Q55" t="s">
        <v>8</v>
      </c>
      <c r="R55">
        <v>0.47020000000000001</v>
      </c>
      <c r="S55">
        <v>58.3</v>
      </c>
      <c r="T55">
        <v>10.1</v>
      </c>
      <c r="U55">
        <v>25.9</v>
      </c>
      <c r="V55">
        <v>49.9</v>
      </c>
      <c r="Z55" t="s">
        <v>25</v>
      </c>
      <c r="AA55"/>
      <c r="AB55" t="s">
        <v>140</v>
      </c>
      <c r="AL55" s="6"/>
    </row>
    <row r="56" spans="1:38" x14ac:dyDescent="0.2">
      <c r="A56">
        <v>55</v>
      </c>
      <c r="B56" t="s">
        <v>142</v>
      </c>
      <c r="C56" t="s">
        <v>152</v>
      </c>
      <c r="D56" t="s">
        <v>80</v>
      </c>
      <c r="E56" s="9">
        <v>37545</v>
      </c>
      <c r="F56" t="s">
        <v>80</v>
      </c>
      <c r="G56"/>
      <c r="I56" t="s">
        <v>20</v>
      </c>
      <c r="J56">
        <v>39.142810709999999</v>
      </c>
      <c r="K56">
        <v>-84.509268750000004</v>
      </c>
      <c r="L56">
        <v>3</v>
      </c>
      <c r="Q56" t="s">
        <v>8</v>
      </c>
      <c r="R56" t="s">
        <v>153</v>
      </c>
      <c r="S56">
        <v>24.5</v>
      </c>
      <c r="T56">
        <v>23</v>
      </c>
      <c r="U56">
        <v>86.9</v>
      </c>
      <c r="V56">
        <v>56.2</v>
      </c>
      <c r="Z56" t="s">
        <v>9</v>
      </c>
      <c r="AA56"/>
      <c r="AB56" t="s">
        <v>47</v>
      </c>
      <c r="AL56" s="6"/>
    </row>
    <row r="57" spans="1:38" x14ac:dyDescent="0.2">
      <c r="A57">
        <v>56</v>
      </c>
      <c r="B57" t="s">
        <v>227</v>
      </c>
      <c r="C57" t="s">
        <v>228</v>
      </c>
      <c r="D57" t="s">
        <v>81</v>
      </c>
      <c r="G57"/>
      <c r="R57"/>
      <c r="S57"/>
      <c r="AA57"/>
      <c r="AL57" s="6"/>
    </row>
    <row r="58" spans="1:38" x14ac:dyDescent="0.2">
      <c r="A58">
        <v>57</v>
      </c>
      <c r="B58" t="s">
        <v>143</v>
      </c>
      <c r="C58" t="s">
        <v>133</v>
      </c>
      <c r="D58" t="s">
        <v>80</v>
      </c>
      <c r="E58" s="9">
        <v>42583</v>
      </c>
      <c r="F58" t="s">
        <v>80</v>
      </c>
      <c r="G58"/>
      <c r="I58" t="s">
        <v>211</v>
      </c>
      <c r="J58">
        <v>-5.1657229390000001</v>
      </c>
      <c r="K58">
        <v>-37.166581370000003</v>
      </c>
      <c r="L58">
        <v>4</v>
      </c>
      <c r="Q58" t="s">
        <v>8</v>
      </c>
      <c r="R58">
        <v>0.41</v>
      </c>
      <c r="S58">
        <v>84.5</v>
      </c>
      <c r="T58">
        <v>139.58000000000001</v>
      </c>
      <c r="U58">
        <v>78</v>
      </c>
      <c r="W58">
        <v>4.5999999999999996</v>
      </c>
      <c r="X58">
        <v>2.2000000000000002</v>
      </c>
      <c r="Y58">
        <v>14.5</v>
      </c>
      <c r="Z58" t="s">
        <v>9</v>
      </c>
      <c r="AA58"/>
      <c r="AB58" s="2" t="s">
        <v>154</v>
      </c>
      <c r="AL58" s="6"/>
    </row>
    <row r="59" spans="1:38" x14ac:dyDescent="0.2">
      <c r="A59">
        <v>58</v>
      </c>
      <c r="B59" t="s">
        <v>44</v>
      </c>
      <c r="C59" t="s">
        <v>130</v>
      </c>
      <c r="D59" t="s">
        <v>80</v>
      </c>
      <c r="E59" s="9">
        <v>44274</v>
      </c>
      <c r="F59" t="s">
        <v>80</v>
      </c>
      <c r="G59" s="9">
        <v>39888</v>
      </c>
      <c r="H59" s="9">
        <v>40010</v>
      </c>
      <c r="I59" t="s">
        <v>211</v>
      </c>
      <c r="J59" t="s">
        <v>57</v>
      </c>
      <c r="K59" t="s">
        <v>57</v>
      </c>
      <c r="L59">
        <v>13</v>
      </c>
      <c r="M59">
        <v>2</v>
      </c>
      <c r="N59">
        <v>13</v>
      </c>
      <c r="Q59" t="s">
        <v>8</v>
      </c>
      <c r="R59">
        <v>1.28</v>
      </c>
      <c r="S59">
        <v>28.3</v>
      </c>
      <c r="T59">
        <v>129.4</v>
      </c>
      <c r="U59">
        <v>36</v>
      </c>
      <c r="V59">
        <v>83.7</v>
      </c>
      <c r="W59">
        <v>28.6</v>
      </c>
      <c r="X59">
        <v>20.7</v>
      </c>
      <c r="Y59">
        <v>14.7</v>
      </c>
      <c r="Z59" t="s">
        <v>9</v>
      </c>
      <c r="AA59"/>
      <c r="AB59" t="s">
        <v>155</v>
      </c>
      <c r="AL59" s="6"/>
    </row>
    <row r="60" spans="1:38" x14ac:dyDescent="0.2">
      <c r="A60">
        <v>59</v>
      </c>
      <c r="B60" t="s">
        <v>229</v>
      </c>
      <c r="C60" t="s">
        <v>230</v>
      </c>
      <c r="D60" t="s">
        <v>81</v>
      </c>
      <c r="G60"/>
      <c r="R60"/>
      <c r="S60"/>
      <c r="AA60"/>
      <c r="AL60" s="6"/>
    </row>
    <row r="61" spans="1:38" x14ac:dyDescent="0.2">
      <c r="A61">
        <v>60</v>
      </c>
      <c r="B61" t="s">
        <v>232</v>
      </c>
      <c r="C61" t="s">
        <v>231</v>
      </c>
      <c r="D61" t="s">
        <v>81</v>
      </c>
      <c r="G61"/>
      <c r="R61"/>
      <c r="S61"/>
      <c r="AA61"/>
      <c r="AL61" s="6"/>
    </row>
    <row r="62" spans="1:38" x14ac:dyDescent="0.2">
      <c r="A62">
        <v>61</v>
      </c>
      <c r="B62" s="10" t="s">
        <v>148</v>
      </c>
      <c r="C62" s="10" t="s">
        <v>616</v>
      </c>
      <c r="D62" t="s">
        <v>80</v>
      </c>
      <c r="E62" s="9">
        <v>41913</v>
      </c>
      <c r="F62" t="s">
        <v>80</v>
      </c>
      <c r="G62"/>
      <c r="I62" t="s">
        <v>214</v>
      </c>
      <c r="J62">
        <v>40.45570807</v>
      </c>
      <c r="K62">
        <v>-3.7493992980000002</v>
      </c>
      <c r="L62">
        <v>7</v>
      </c>
      <c r="M62">
        <v>4</v>
      </c>
      <c r="N62">
        <v>11</v>
      </c>
      <c r="Q62" t="s">
        <v>8</v>
      </c>
      <c r="R62"/>
      <c r="S62">
        <v>39.9</v>
      </c>
      <c r="U62">
        <v>35.1</v>
      </c>
      <c r="V62">
        <v>90.6</v>
      </c>
      <c r="Z62" t="s">
        <v>9</v>
      </c>
      <c r="AA62"/>
      <c r="AB62" t="s">
        <v>156</v>
      </c>
      <c r="AL62" s="6"/>
    </row>
    <row r="63" spans="1:38" x14ac:dyDescent="0.2">
      <c r="A63">
        <v>62</v>
      </c>
      <c r="B63" s="10" t="s">
        <v>148</v>
      </c>
      <c r="C63" s="10" t="s">
        <v>616</v>
      </c>
      <c r="D63" t="s">
        <v>80</v>
      </c>
      <c r="E63" s="9">
        <v>43221</v>
      </c>
      <c r="F63" t="s">
        <v>80</v>
      </c>
      <c r="G63" s="9">
        <v>41974</v>
      </c>
      <c r="H63" s="9">
        <v>42063</v>
      </c>
      <c r="I63" t="s">
        <v>214</v>
      </c>
      <c r="J63">
        <v>38.162131330000001</v>
      </c>
      <c r="K63">
        <v>-2.719101604</v>
      </c>
      <c r="L63">
        <v>16</v>
      </c>
      <c r="Q63" t="s">
        <v>8</v>
      </c>
      <c r="R63"/>
      <c r="S63">
        <v>61.25</v>
      </c>
      <c r="U63">
        <v>85.12</v>
      </c>
      <c r="V63">
        <v>99.75</v>
      </c>
      <c r="Z63" t="s">
        <v>25</v>
      </c>
      <c r="AA63"/>
      <c r="AB63" t="s">
        <v>157</v>
      </c>
      <c r="AL63" s="6"/>
    </row>
    <row r="64" spans="1:38" x14ac:dyDescent="0.2">
      <c r="A64">
        <v>63</v>
      </c>
      <c r="B64" t="s">
        <v>149</v>
      </c>
      <c r="C64" t="s">
        <v>162</v>
      </c>
      <c r="D64" t="s">
        <v>80</v>
      </c>
      <c r="E64" s="9">
        <v>28453</v>
      </c>
      <c r="F64" t="s">
        <v>81</v>
      </c>
      <c r="G64"/>
      <c r="I64" t="s">
        <v>20</v>
      </c>
      <c r="J64">
        <v>33.803227040000003</v>
      </c>
      <c r="K64">
        <v>-84.318039619999993</v>
      </c>
      <c r="L64">
        <v>3</v>
      </c>
      <c r="Q64" t="s">
        <v>45</v>
      </c>
      <c r="R64"/>
      <c r="S64"/>
      <c r="U64">
        <v>95.5</v>
      </c>
      <c r="W64">
        <v>3.5</v>
      </c>
      <c r="X64">
        <v>0.2</v>
      </c>
      <c r="Y64">
        <v>0</v>
      </c>
      <c r="Z64" t="s">
        <v>9</v>
      </c>
      <c r="AA64"/>
      <c r="AB64" t="s">
        <v>161</v>
      </c>
      <c r="AL64" s="6"/>
    </row>
    <row r="65" spans="1:38" x14ac:dyDescent="0.2">
      <c r="A65">
        <v>64</v>
      </c>
      <c r="B65" t="s">
        <v>150</v>
      </c>
      <c r="C65" t="s">
        <v>168</v>
      </c>
      <c r="D65" t="s">
        <v>80</v>
      </c>
      <c r="E65" s="9">
        <v>28453</v>
      </c>
      <c r="G65"/>
      <c r="L65">
        <v>4</v>
      </c>
      <c r="Q65" t="s">
        <v>45</v>
      </c>
      <c r="R65"/>
      <c r="S65"/>
      <c r="U65">
        <v>73</v>
      </c>
      <c r="W65">
        <v>5.7</v>
      </c>
      <c r="X65">
        <v>0</v>
      </c>
      <c r="Y65">
        <v>0</v>
      </c>
      <c r="AA65"/>
      <c r="AB65" t="s">
        <v>161</v>
      </c>
      <c r="AL65" s="6"/>
    </row>
    <row r="66" spans="1:38" x14ac:dyDescent="0.2">
      <c r="A66">
        <v>65</v>
      </c>
      <c r="B66" t="s">
        <v>170</v>
      </c>
      <c r="C66" t="s">
        <v>167</v>
      </c>
      <c r="D66" t="s">
        <v>80</v>
      </c>
      <c r="E66" s="9">
        <v>28453</v>
      </c>
      <c r="F66" t="s">
        <v>81</v>
      </c>
      <c r="G66"/>
      <c r="I66" t="s">
        <v>20</v>
      </c>
      <c r="J66">
        <v>33.803227040000003</v>
      </c>
      <c r="K66">
        <v>-84.318039619999993</v>
      </c>
      <c r="L66">
        <v>2</v>
      </c>
      <c r="Q66" t="s">
        <v>8</v>
      </c>
      <c r="R66"/>
      <c r="S66"/>
      <c r="U66">
        <v>98.5</v>
      </c>
      <c r="W66">
        <v>5.9</v>
      </c>
      <c r="X66">
        <v>0.8</v>
      </c>
      <c r="Y66">
        <v>0</v>
      </c>
      <c r="Z66" t="s">
        <v>9</v>
      </c>
      <c r="AA66"/>
      <c r="AB66" t="s">
        <v>161</v>
      </c>
      <c r="AL66" s="6"/>
    </row>
    <row r="67" spans="1:38" x14ac:dyDescent="0.2">
      <c r="A67">
        <v>66</v>
      </c>
      <c r="B67" t="s">
        <v>149</v>
      </c>
      <c r="C67" t="s">
        <v>162</v>
      </c>
      <c r="D67" t="s">
        <v>80</v>
      </c>
      <c r="E67" s="9">
        <v>41179</v>
      </c>
      <c r="F67" t="s">
        <v>80</v>
      </c>
      <c r="G67"/>
      <c r="I67" t="s">
        <v>218</v>
      </c>
      <c r="J67">
        <v>46.509144120000002</v>
      </c>
      <c r="K67">
        <v>3.6254094549999998</v>
      </c>
      <c r="L67">
        <v>2</v>
      </c>
      <c r="Q67" t="s">
        <v>45</v>
      </c>
      <c r="R67">
        <v>0.56666666700000001</v>
      </c>
      <c r="S67">
        <v>63.5</v>
      </c>
      <c r="T67">
        <v>149</v>
      </c>
      <c r="U67">
        <v>83</v>
      </c>
      <c r="W67">
        <v>6.6666666670000003</v>
      </c>
      <c r="X67">
        <v>0</v>
      </c>
      <c r="Y67">
        <v>10.33333333</v>
      </c>
      <c r="Z67" t="s">
        <v>9</v>
      </c>
      <c r="AA67"/>
      <c r="AB67" t="s">
        <v>169</v>
      </c>
      <c r="AL67" s="6"/>
    </row>
    <row r="68" spans="1:38" x14ac:dyDescent="0.2">
      <c r="A68">
        <v>67</v>
      </c>
      <c r="B68" t="s">
        <v>170</v>
      </c>
      <c r="C68" t="s">
        <v>167</v>
      </c>
      <c r="D68" t="s">
        <v>80</v>
      </c>
      <c r="E68" s="9">
        <v>38579</v>
      </c>
      <c r="F68" t="s">
        <v>80</v>
      </c>
      <c r="G68"/>
      <c r="I68" t="s">
        <v>20</v>
      </c>
      <c r="J68" t="s">
        <v>57</v>
      </c>
      <c r="K68" t="s">
        <v>57</v>
      </c>
      <c r="L68">
        <v>2</v>
      </c>
      <c r="M68">
        <v>19</v>
      </c>
      <c r="N68">
        <v>19</v>
      </c>
      <c r="Q68" t="s">
        <v>45</v>
      </c>
      <c r="R68">
        <v>0.35499999999999998</v>
      </c>
      <c r="S68">
        <v>41.85</v>
      </c>
      <c r="T68">
        <v>210.3</v>
      </c>
      <c r="U68">
        <v>25.75</v>
      </c>
      <c r="Z68" t="s">
        <v>9</v>
      </c>
      <c r="AA68" t="s">
        <v>57</v>
      </c>
      <c r="AB68" t="s">
        <v>171</v>
      </c>
      <c r="AL68" s="6"/>
    </row>
    <row r="69" spans="1:38" x14ac:dyDescent="0.2">
      <c r="A69">
        <v>68</v>
      </c>
      <c r="B69" t="s">
        <v>151</v>
      </c>
      <c r="C69" t="s">
        <v>173</v>
      </c>
      <c r="D69" t="s">
        <v>80</v>
      </c>
      <c r="E69" s="9">
        <v>44603</v>
      </c>
      <c r="F69" t="s">
        <v>81</v>
      </c>
      <c r="G69" s="9">
        <v>40544</v>
      </c>
      <c r="H69" s="9">
        <v>44561</v>
      </c>
      <c r="I69" t="s">
        <v>20</v>
      </c>
      <c r="L69">
        <v>17</v>
      </c>
      <c r="M69">
        <v>3</v>
      </c>
      <c r="N69">
        <v>32</v>
      </c>
      <c r="Q69" t="s">
        <v>57</v>
      </c>
      <c r="R69">
        <v>0.13</v>
      </c>
      <c r="S69">
        <v>57</v>
      </c>
      <c r="T69">
        <v>329.55</v>
      </c>
      <c r="U69">
        <v>35.299999999999997</v>
      </c>
      <c r="Z69" t="s">
        <v>9</v>
      </c>
      <c r="AA69"/>
      <c r="AB69" t="s">
        <v>172</v>
      </c>
      <c r="AL69" s="6"/>
    </row>
    <row r="70" spans="1:38" x14ac:dyDescent="0.2">
      <c r="A70">
        <v>69</v>
      </c>
      <c r="B70" t="s">
        <v>48</v>
      </c>
      <c r="C70" t="s">
        <v>175</v>
      </c>
      <c r="D70" t="s">
        <v>80</v>
      </c>
      <c r="E70" s="9">
        <v>43497</v>
      </c>
      <c r="F70" t="s">
        <v>80</v>
      </c>
      <c r="G70"/>
      <c r="I70" t="s">
        <v>57</v>
      </c>
      <c r="J70" t="s">
        <v>57</v>
      </c>
      <c r="K70" t="s">
        <v>57</v>
      </c>
      <c r="L70">
        <v>3</v>
      </c>
      <c r="M70">
        <v>2</v>
      </c>
      <c r="N70">
        <v>20</v>
      </c>
      <c r="Q70" t="s">
        <v>49</v>
      </c>
      <c r="R70"/>
      <c r="S70">
        <v>27.25</v>
      </c>
      <c r="U70">
        <v>24.875</v>
      </c>
      <c r="W70">
        <v>53.5</v>
      </c>
      <c r="X70">
        <v>34.5</v>
      </c>
      <c r="Y70">
        <v>13.625</v>
      </c>
      <c r="Z70" t="s">
        <v>9</v>
      </c>
      <c r="AA70"/>
      <c r="AB70" t="s">
        <v>174</v>
      </c>
      <c r="AL70" s="6"/>
    </row>
    <row r="71" spans="1:38" x14ac:dyDescent="0.2">
      <c r="A71">
        <v>70</v>
      </c>
      <c r="B71" t="s">
        <v>48</v>
      </c>
      <c r="C71" t="s">
        <v>175</v>
      </c>
      <c r="D71" t="s">
        <v>80</v>
      </c>
      <c r="E71" s="9">
        <v>44649</v>
      </c>
      <c r="F71" t="s">
        <v>81</v>
      </c>
      <c r="G71"/>
      <c r="L71">
        <v>7</v>
      </c>
      <c r="M71">
        <v>1</v>
      </c>
      <c r="N71">
        <v>8</v>
      </c>
      <c r="Q71" t="s">
        <v>49</v>
      </c>
      <c r="R71"/>
      <c r="S71">
        <v>80.666666669999998</v>
      </c>
      <c r="U71">
        <v>78</v>
      </c>
      <c r="V71">
        <v>95.133333329999999</v>
      </c>
      <c r="Z71" t="s">
        <v>9</v>
      </c>
      <c r="AA71"/>
      <c r="AB71" t="s">
        <v>176</v>
      </c>
      <c r="AL71" s="6"/>
    </row>
    <row r="72" spans="1:38" x14ac:dyDescent="0.2">
      <c r="A72">
        <v>71</v>
      </c>
      <c r="B72" t="s">
        <v>179</v>
      </c>
      <c r="C72" t="s">
        <v>178</v>
      </c>
      <c r="D72" t="s">
        <v>80</v>
      </c>
      <c r="E72" s="9">
        <v>39722</v>
      </c>
      <c r="F72" t="s">
        <v>80</v>
      </c>
      <c r="G72"/>
      <c r="I72" t="s">
        <v>211</v>
      </c>
      <c r="J72">
        <v>-3.1017944129999999</v>
      </c>
      <c r="K72">
        <v>-60.02498928</v>
      </c>
      <c r="L72">
        <v>15</v>
      </c>
      <c r="Q72" t="s">
        <v>8</v>
      </c>
      <c r="R72">
        <v>4.4999999999999998E-2</v>
      </c>
      <c r="S72"/>
      <c r="T72">
        <v>91.928571430000005</v>
      </c>
      <c r="U72">
        <v>70.099999999999994</v>
      </c>
      <c r="W72">
        <v>12.15</v>
      </c>
      <c r="X72">
        <v>5.15</v>
      </c>
      <c r="Y72">
        <v>12.6</v>
      </c>
      <c r="Z72" t="s">
        <v>25</v>
      </c>
      <c r="AA72"/>
      <c r="AB72" t="s">
        <v>177</v>
      </c>
      <c r="AL72" s="6"/>
    </row>
    <row r="73" spans="1:38" x14ac:dyDescent="0.2">
      <c r="A73">
        <v>72</v>
      </c>
      <c r="B73" t="s">
        <v>181</v>
      </c>
      <c r="C73" t="s">
        <v>182</v>
      </c>
      <c r="D73" t="s">
        <v>80</v>
      </c>
      <c r="E73" s="9">
        <v>40071</v>
      </c>
      <c r="F73" t="s">
        <v>80</v>
      </c>
      <c r="G73"/>
      <c r="I73" t="s">
        <v>219</v>
      </c>
      <c r="L73">
        <v>14</v>
      </c>
      <c r="Q73" t="s">
        <v>49</v>
      </c>
      <c r="R73"/>
      <c r="S73">
        <v>70</v>
      </c>
      <c r="U73">
        <v>52.4</v>
      </c>
      <c r="Z73" t="s">
        <v>9</v>
      </c>
      <c r="AA73"/>
      <c r="AB73" t="s">
        <v>180</v>
      </c>
      <c r="AL73" s="6"/>
    </row>
    <row r="74" spans="1:38" x14ac:dyDescent="0.2">
      <c r="A74">
        <v>73</v>
      </c>
      <c r="B74" t="s">
        <v>233</v>
      </c>
      <c r="C74" t="s">
        <v>234</v>
      </c>
      <c r="D74" t="s">
        <v>81</v>
      </c>
      <c r="G74"/>
      <c r="R74"/>
      <c r="S74"/>
      <c r="AA74"/>
      <c r="AL74" s="6"/>
    </row>
    <row r="75" spans="1:38" x14ac:dyDescent="0.2">
      <c r="A75">
        <v>74</v>
      </c>
      <c r="B75" t="s">
        <v>50</v>
      </c>
      <c r="C75" t="s">
        <v>184</v>
      </c>
      <c r="D75" t="s">
        <v>80</v>
      </c>
      <c r="E75" s="9">
        <v>40026</v>
      </c>
      <c r="F75" t="s">
        <v>80</v>
      </c>
      <c r="G75" s="9">
        <v>38078</v>
      </c>
      <c r="H75" s="9">
        <v>39416</v>
      </c>
      <c r="I75" t="s">
        <v>214</v>
      </c>
      <c r="J75">
        <v>36.68899124</v>
      </c>
      <c r="K75">
        <v>-6.1503695609999998</v>
      </c>
      <c r="L75">
        <v>4</v>
      </c>
      <c r="M75">
        <v>3</v>
      </c>
      <c r="N75">
        <v>8</v>
      </c>
      <c r="Q75" t="s">
        <v>8</v>
      </c>
      <c r="R75">
        <v>0.36269000000000001</v>
      </c>
      <c r="S75">
        <v>55.71</v>
      </c>
      <c r="T75">
        <v>24.4</v>
      </c>
      <c r="U75">
        <v>14.67</v>
      </c>
      <c r="V75">
        <v>43.66</v>
      </c>
      <c r="Z75" t="s">
        <v>9</v>
      </c>
      <c r="AA75" t="s">
        <v>59</v>
      </c>
      <c r="AB75" t="s">
        <v>183</v>
      </c>
      <c r="AL75" s="6"/>
    </row>
    <row r="76" spans="1:38" x14ac:dyDescent="0.2">
      <c r="A76">
        <v>75</v>
      </c>
      <c r="B76" t="s">
        <v>187</v>
      </c>
      <c r="C76" t="s">
        <v>186</v>
      </c>
      <c r="D76" t="s">
        <v>80</v>
      </c>
      <c r="E76" s="9">
        <v>38930</v>
      </c>
      <c r="F76" t="s">
        <v>80</v>
      </c>
      <c r="G76"/>
      <c r="I76" t="s">
        <v>20</v>
      </c>
      <c r="J76" t="s">
        <v>57</v>
      </c>
      <c r="K76" t="s">
        <v>57</v>
      </c>
      <c r="L76">
        <v>16</v>
      </c>
      <c r="M76">
        <v>2</v>
      </c>
      <c r="N76">
        <v>5</v>
      </c>
      <c r="Q76" t="s">
        <v>8</v>
      </c>
      <c r="R76">
        <v>2.69E-2</v>
      </c>
      <c r="S76">
        <v>62.2</v>
      </c>
      <c r="T76">
        <v>558.6</v>
      </c>
      <c r="U76">
        <v>15.3</v>
      </c>
      <c r="V76">
        <v>72.900000000000006</v>
      </c>
      <c r="W76">
        <v>27.1</v>
      </c>
      <c r="X76">
        <v>49.5</v>
      </c>
      <c r="Y76">
        <v>8.1</v>
      </c>
      <c r="Z76" t="s">
        <v>9</v>
      </c>
      <c r="AA76" t="s">
        <v>59</v>
      </c>
      <c r="AB76" t="s">
        <v>185</v>
      </c>
      <c r="AL76" s="6"/>
    </row>
    <row r="77" spans="1:38" x14ac:dyDescent="0.2">
      <c r="A77">
        <v>76</v>
      </c>
      <c r="B77" t="s">
        <v>51</v>
      </c>
      <c r="C77" t="s">
        <v>190</v>
      </c>
      <c r="D77" t="s">
        <v>80</v>
      </c>
      <c r="E77" s="9">
        <v>39569</v>
      </c>
      <c r="F77" t="s">
        <v>80</v>
      </c>
      <c r="G77"/>
      <c r="I77" t="s">
        <v>20</v>
      </c>
      <c r="J77">
        <v>41.656071140000002</v>
      </c>
      <c r="K77">
        <v>-111.8178764</v>
      </c>
      <c r="L77">
        <v>10</v>
      </c>
      <c r="M77">
        <v>2</v>
      </c>
      <c r="N77">
        <v>6</v>
      </c>
      <c r="O77">
        <v>5</v>
      </c>
      <c r="Q77" t="s">
        <v>8</v>
      </c>
      <c r="R77"/>
      <c r="S77">
        <v>60.242857139999998</v>
      </c>
      <c r="T77">
        <v>279.61428569999998</v>
      </c>
      <c r="U77">
        <v>61.97142857</v>
      </c>
      <c r="W77">
        <v>9.49</v>
      </c>
      <c r="X77">
        <v>3.6</v>
      </c>
      <c r="Y77">
        <v>4.1100000000000003</v>
      </c>
      <c r="Z77" t="s">
        <v>9</v>
      </c>
      <c r="AA77"/>
      <c r="AB77" t="s">
        <v>189</v>
      </c>
      <c r="AL77" s="6"/>
    </row>
    <row r="78" spans="1:38" x14ac:dyDescent="0.2">
      <c r="A78">
        <v>77</v>
      </c>
      <c r="B78" t="s">
        <v>52</v>
      </c>
      <c r="C78" t="s">
        <v>53</v>
      </c>
      <c r="D78" t="s">
        <v>80</v>
      </c>
      <c r="E78" s="9">
        <v>42339</v>
      </c>
      <c r="F78" t="s">
        <v>81</v>
      </c>
      <c r="G78" s="9">
        <v>40544</v>
      </c>
      <c r="H78" s="9">
        <v>41791</v>
      </c>
      <c r="I78" t="s">
        <v>217</v>
      </c>
      <c r="J78">
        <v>51.112877830000002</v>
      </c>
      <c r="K78">
        <v>17.06742903</v>
      </c>
      <c r="L78">
        <v>214</v>
      </c>
      <c r="M78">
        <v>0.66666666699999999</v>
      </c>
      <c r="N78">
        <v>6</v>
      </c>
      <c r="Q78" t="s">
        <v>57</v>
      </c>
      <c r="R78">
        <v>1.55E-2</v>
      </c>
      <c r="S78">
        <v>70.476470590000005</v>
      </c>
      <c r="T78">
        <v>3257.8</v>
      </c>
      <c r="U78">
        <v>49.45941423</v>
      </c>
      <c r="W78">
        <v>8.7702928870000001</v>
      </c>
      <c r="X78">
        <v>22.13849372</v>
      </c>
      <c r="Y78">
        <v>19.431799160000001</v>
      </c>
      <c r="Z78" t="s">
        <v>9</v>
      </c>
      <c r="AA78"/>
      <c r="AB78" t="s">
        <v>54</v>
      </c>
      <c r="AL78" s="6"/>
    </row>
    <row r="79" spans="1:38" x14ac:dyDescent="0.2">
      <c r="A79">
        <v>78</v>
      </c>
      <c r="B79" t="s">
        <v>52</v>
      </c>
      <c r="C79" t="s">
        <v>53</v>
      </c>
      <c r="D79" t="s">
        <v>80</v>
      </c>
      <c r="E79" s="9">
        <v>40380</v>
      </c>
      <c r="F79" t="s">
        <v>80</v>
      </c>
      <c r="G79"/>
      <c r="I79" t="s">
        <v>20</v>
      </c>
      <c r="J79">
        <v>38.88733457</v>
      </c>
      <c r="K79">
        <v>-78.165100929999994</v>
      </c>
      <c r="L79">
        <v>6</v>
      </c>
      <c r="M79">
        <v>1.5</v>
      </c>
      <c r="N79">
        <v>8</v>
      </c>
      <c r="Q79" t="s">
        <v>8</v>
      </c>
      <c r="R79">
        <v>0.16</v>
      </c>
      <c r="S79">
        <v>73</v>
      </c>
      <c r="T79">
        <v>306</v>
      </c>
      <c r="U79">
        <v>45</v>
      </c>
      <c r="V79">
        <v>88</v>
      </c>
      <c r="W79">
        <v>7.9</v>
      </c>
      <c r="X79">
        <v>56.35</v>
      </c>
      <c r="Y79">
        <v>23.2</v>
      </c>
      <c r="Z79" t="s">
        <v>9</v>
      </c>
      <c r="AA79" t="s">
        <v>59</v>
      </c>
      <c r="AB79" t="s">
        <v>17</v>
      </c>
      <c r="AL79" s="6"/>
    </row>
    <row r="80" spans="1:38" x14ac:dyDescent="0.2">
      <c r="A80">
        <v>79</v>
      </c>
      <c r="D80" t="s">
        <v>80</v>
      </c>
      <c r="G80"/>
      <c r="R80"/>
      <c r="S80"/>
      <c r="AA80"/>
      <c r="AB80" t="s">
        <v>70</v>
      </c>
      <c r="AL80" s="6"/>
    </row>
    <row r="81" spans="1:38" x14ac:dyDescent="0.2">
      <c r="A81">
        <v>80</v>
      </c>
      <c r="D81" t="s">
        <v>80</v>
      </c>
      <c r="G81"/>
      <c r="R81"/>
      <c r="S81"/>
      <c r="AA81"/>
      <c r="AB81" t="s">
        <v>71</v>
      </c>
      <c r="AL81" s="6"/>
    </row>
    <row r="82" spans="1:38" x14ac:dyDescent="0.2">
      <c r="A82">
        <v>81</v>
      </c>
      <c r="D82" t="s">
        <v>80</v>
      </c>
      <c r="G82"/>
      <c r="R82"/>
      <c r="S82"/>
      <c r="AA82"/>
      <c r="AB82" t="s">
        <v>72</v>
      </c>
      <c r="AL82" s="6"/>
    </row>
    <row r="83" spans="1:38" x14ac:dyDescent="0.2">
      <c r="A83">
        <v>82</v>
      </c>
      <c r="D83" t="s">
        <v>80</v>
      </c>
      <c r="G83"/>
      <c r="R83"/>
      <c r="S83"/>
      <c r="AA83"/>
      <c r="AB83" t="s">
        <v>73</v>
      </c>
      <c r="AL83" s="6"/>
    </row>
    <row r="84" spans="1:38" x14ac:dyDescent="0.2">
      <c r="A84">
        <v>83</v>
      </c>
      <c r="D84" t="s">
        <v>80</v>
      </c>
      <c r="G84"/>
      <c r="R84"/>
      <c r="S84"/>
      <c r="AA84"/>
      <c r="AB84" t="s">
        <v>74</v>
      </c>
      <c r="AL84" s="6"/>
    </row>
    <row r="85" spans="1:38" x14ac:dyDescent="0.2">
      <c r="A85">
        <v>84</v>
      </c>
      <c r="D85" t="s">
        <v>80</v>
      </c>
      <c r="G85"/>
      <c r="R85"/>
      <c r="S85"/>
      <c r="AA85"/>
      <c r="AB85" t="s">
        <v>75</v>
      </c>
      <c r="AL85" s="6"/>
    </row>
    <row r="86" spans="1:38" x14ac:dyDescent="0.2">
      <c r="A86">
        <v>85</v>
      </c>
      <c r="D86" t="s">
        <v>80</v>
      </c>
      <c r="G86"/>
      <c r="R86"/>
      <c r="S86"/>
      <c r="AA86"/>
      <c r="AB86" t="s">
        <v>76</v>
      </c>
      <c r="AL86" s="6"/>
    </row>
    <row r="87" spans="1:38" x14ac:dyDescent="0.2">
      <c r="A87">
        <v>86</v>
      </c>
      <c r="B87" t="s">
        <v>13</v>
      </c>
      <c r="C87" t="s">
        <v>56</v>
      </c>
      <c r="D87" t="s">
        <v>80</v>
      </c>
      <c r="E87" s="9">
        <v>35065</v>
      </c>
      <c r="F87" t="s">
        <v>80</v>
      </c>
      <c r="G87"/>
      <c r="I87" t="s">
        <v>20</v>
      </c>
      <c r="L87">
        <v>5</v>
      </c>
      <c r="Q87" t="s">
        <v>8</v>
      </c>
      <c r="R87"/>
      <c r="S87"/>
      <c r="U87">
        <v>11.9</v>
      </c>
      <c r="V87">
        <v>82.8</v>
      </c>
      <c r="Z87" t="s">
        <v>9</v>
      </c>
      <c r="AA87"/>
      <c r="AB87" t="s">
        <v>85</v>
      </c>
      <c r="AL87" s="6"/>
    </row>
    <row r="88" spans="1:38" x14ac:dyDescent="0.2">
      <c r="A88">
        <v>87</v>
      </c>
      <c r="B88" t="s">
        <v>147</v>
      </c>
      <c r="C88" t="s">
        <v>138</v>
      </c>
      <c r="D88" t="s">
        <v>80</v>
      </c>
      <c r="E88" s="9">
        <v>42705</v>
      </c>
      <c r="F88" t="s">
        <v>80</v>
      </c>
      <c r="G88" s="9">
        <v>41214</v>
      </c>
      <c r="H88" s="9">
        <v>42094</v>
      </c>
      <c r="I88" t="s">
        <v>212</v>
      </c>
      <c r="J88">
        <v>13.21498555</v>
      </c>
      <c r="K88">
        <v>101.0570439</v>
      </c>
      <c r="L88">
        <v>4</v>
      </c>
      <c r="M88">
        <v>2</v>
      </c>
      <c r="N88">
        <v>11</v>
      </c>
      <c r="O88">
        <v>20.8</v>
      </c>
      <c r="P88">
        <v>14.1</v>
      </c>
      <c r="Q88" t="s">
        <v>8</v>
      </c>
      <c r="R88">
        <v>0.39439999999999997</v>
      </c>
      <c r="S88">
        <v>79.2</v>
      </c>
      <c r="T88">
        <v>196.6</v>
      </c>
      <c r="U88">
        <v>40.9</v>
      </c>
      <c r="V88">
        <v>47.9</v>
      </c>
      <c r="W88">
        <v>20.8</v>
      </c>
      <c r="X88">
        <v>17</v>
      </c>
      <c r="Y88">
        <v>24.1</v>
      </c>
      <c r="Z88" t="s">
        <v>9</v>
      </c>
      <c r="AA88" t="s">
        <v>64</v>
      </c>
      <c r="AB88" t="s">
        <v>139</v>
      </c>
      <c r="AL88" s="6"/>
    </row>
    <row r="89" spans="1:38" x14ac:dyDescent="0.2">
      <c r="A89">
        <v>88</v>
      </c>
      <c r="B89" t="s">
        <v>160</v>
      </c>
      <c r="C89" t="s">
        <v>158</v>
      </c>
      <c r="D89" t="s">
        <v>80</v>
      </c>
      <c r="E89" s="9">
        <v>41913</v>
      </c>
      <c r="F89" t="s">
        <v>80</v>
      </c>
      <c r="G89"/>
      <c r="I89" t="s">
        <v>214</v>
      </c>
      <c r="J89">
        <v>40.45570807</v>
      </c>
      <c r="K89">
        <v>-3.7493992980000002</v>
      </c>
      <c r="L89">
        <v>11</v>
      </c>
      <c r="M89">
        <v>3</v>
      </c>
      <c r="N89">
        <v>11</v>
      </c>
      <c r="Q89" t="s">
        <v>8</v>
      </c>
      <c r="R89"/>
      <c r="S89">
        <v>26.9</v>
      </c>
      <c r="U89">
        <v>33.799999999999997</v>
      </c>
      <c r="V89">
        <v>93.3</v>
      </c>
      <c r="Z89" t="s">
        <v>9</v>
      </c>
      <c r="AA89"/>
      <c r="AB89" t="s">
        <v>156</v>
      </c>
      <c r="AL89" s="6"/>
    </row>
    <row r="90" spans="1:38" x14ac:dyDescent="0.2">
      <c r="A90">
        <v>89</v>
      </c>
      <c r="B90" t="s">
        <v>159</v>
      </c>
      <c r="C90" t="s">
        <v>188</v>
      </c>
      <c r="D90" t="s">
        <v>80</v>
      </c>
      <c r="E90" s="9">
        <v>43221</v>
      </c>
      <c r="F90" t="s">
        <v>80</v>
      </c>
      <c r="G90" s="9">
        <v>41974</v>
      </c>
      <c r="H90" s="9">
        <v>42063</v>
      </c>
      <c r="I90" t="s">
        <v>214</v>
      </c>
      <c r="J90">
        <v>38.162131330000001</v>
      </c>
      <c r="K90">
        <v>-2.719101604</v>
      </c>
      <c r="L90">
        <v>8</v>
      </c>
      <c r="Q90" t="s">
        <v>8</v>
      </c>
      <c r="R90"/>
      <c r="S90">
        <v>53.13</v>
      </c>
      <c r="U90">
        <v>88.12</v>
      </c>
      <c r="V90">
        <v>99.26</v>
      </c>
      <c r="Z90" t="s">
        <v>25</v>
      </c>
      <c r="AA90"/>
      <c r="AB90" t="s">
        <v>157</v>
      </c>
      <c r="AL90" s="6"/>
    </row>
    <row r="91" spans="1:38" x14ac:dyDescent="0.2">
      <c r="A91">
        <v>90</v>
      </c>
      <c r="B91" t="s">
        <v>164</v>
      </c>
      <c r="C91" t="s">
        <v>163</v>
      </c>
      <c r="D91" t="s">
        <v>80</v>
      </c>
      <c r="E91" s="9">
        <v>28453</v>
      </c>
      <c r="F91" t="s">
        <v>81</v>
      </c>
      <c r="G91"/>
      <c r="I91" t="s">
        <v>20</v>
      </c>
      <c r="J91">
        <v>33.803227040000003</v>
      </c>
      <c r="K91">
        <v>-84.318039619999993</v>
      </c>
      <c r="L91">
        <v>1</v>
      </c>
      <c r="Q91" t="s">
        <v>8</v>
      </c>
      <c r="R91"/>
      <c r="S91"/>
      <c r="U91">
        <v>98</v>
      </c>
      <c r="W91">
        <v>1.5</v>
      </c>
      <c r="X91">
        <v>0</v>
      </c>
      <c r="Y91">
        <v>0</v>
      </c>
      <c r="Z91" t="s">
        <v>9</v>
      </c>
      <c r="AA91"/>
      <c r="AB91" t="s">
        <v>161</v>
      </c>
      <c r="AL91" s="6"/>
    </row>
    <row r="92" spans="1:38" x14ac:dyDescent="0.2">
      <c r="A92">
        <v>91</v>
      </c>
      <c r="B92" t="s">
        <v>166</v>
      </c>
      <c r="C92" t="s">
        <v>165</v>
      </c>
      <c r="D92" t="s">
        <v>80</v>
      </c>
      <c r="E92" s="9">
        <v>28453</v>
      </c>
      <c r="F92" t="s">
        <v>81</v>
      </c>
      <c r="G92"/>
      <c r="I92" t="s">
        <v>20</v>
      </c>
      <c r="J92">
        <v>33.803227040000003</v>
      </c>
      <c r="K92">
        <v>-84.318039619999993</v>
      </c>
      <c r="L92">
        <v>2</v>
      </c>
      <c r="Q92" t="s">
        <v>8</v>
      </c>
      <c r="R92"/>
      <c r="S92"/>
      <c r="U92">
        <v>98.5</v>
      </c>
      <c r="W92">
        <v>0.3</v>
      </c>
      <c r="X92">
        <v>0.5</v>
      </c>
      <c r="Y92">
        <v>0</v>
      </c>
      <c r="Z92" t="s">
        <v>9</v>
      </c>
      <c r="AA92"/>
      <c r="AB92" t="s">
        <v>161</v>
      </c>
    </row>
    <row r="93" spans="1:38" x14ac:dyDescent="0.2">
      <c r="A93">
        <v>92</v>
      </c>
      <c r="B93" t="s">
        <v>235</v>
      </c>
      <c r="C93" t="s">
        <v>236</v>
      </c>
      <c r="D93" t="s">
        <v>81</v>
      </c>
      <c r="G93"/>
      <c r="R93"/>
      <c r="S93"/>
      <c r="AA93"/>
    </row>
    <row r="94" spans="1:38" x14ac:dyDescent="0.2">
      <c r="A94">
        <v>93</v>
      </c>
      <c r="B94" t="s">
        <v>237</v>
      </c>
      <c r="C94" t="s">
        <v>238</v>
      </c>
      <c r="D94" t="s">
        <v>81</v>
      </c>
      <c r="G94"/>
      <c r="R94"/>
      <c r="S94"/>
      <c r="AA94"/>
    </row>
    <row r="95" spans="1:38" x14ac:dyDescent="0.2">
      <c r="A95">
        <v>94</v>
      </c>
      <c r="B95" t="s">
        <v>240</v>
      </c>
      <c r="C95" t="s">
        <v>239</v>
      </c>
      <c r="D95" t="s">
        <v>81</v>
      </c>
      <c r="G95"/>
      <c r="R95"/>
      <c r="S95"/>
      <c r="AA95"/>
    </row>
    <row r="96" spans="1:38" x14ac:dyDescent="0.2">
      <c r="A96">
        <v>95</v>
      </c>
      <c r="B96" t="s">
        <v>241</v>
      </c>
      <c r="C96" t="s">
        <v>242</v>
      </c>
      <c r="D96" t="s">
        <v>81</v>
      </c>
      <c r="G96"/>
      <c r="R96"/>
      <c r="S96"/>
      <c r="AA96"/>
    </row>
    <row r="97" spans="1:28" x14ac:dyDescent="0.2">
      <c r="A97">
        <v>96</v>
      </c>
      <c r="B97" t="s">
        <v>243</v>
      </c>
      <c r="C97" t="s">
        <v>244</v>
      </c>
      <c r="D97" t="s">
        <v>81</v>
      </c>
      <c r="G97"/>
      <c r="R97"/>
      <c r="S97"/>
      <c r="AA97"/>
    </row>
    <row r="98" spans="1:28" x14ac:dyDescent="0.2">
      <c r="A98">
        <v>97</v>
      </c>
      <c r="B98" t="s">
        <v>151</v>
      </c>
      <c r="C98" t="s">
        <v>173</v>
      </c>
      <c r="D98" t="s">
        <v>80</v>
      </c>
      <c r="E98" s="9">
        <v>41883</v>
      </c>
      <c r="F98" t="s">
        <v>80</v>
      </c>
      <c r="G98"/>
      <c r="I98" t="s">
        <v>20</v>
      </c>
      <c r="J98">
        <v>43.205013510000001</v>
      </c>
      <c r="K98">
        <v>-77.623843699999995</v>
      </c>
      <c r="L98">
        <v>1</v>
      </c>
      <c r="M98">
        <v>22</v>
      </c>
      <c r="N98">
        <v>22</v>
      </c>
      <c r="Q98" t="s">
        <v>8</v>
      </c>
      <c r="R98"/>
      <c r="S98">
        <v>85</v>
      </c>
      <c r="U98">
        <v>89</v>
      </c>
      <c r="Z98" t="s">
        <v>9</v>
      </c>
      <c r="AA98" t="s">
        <v>64</v>
      </c>
      <c r="AB98" t="s">
        <v>245</v>
      </c>
    </row>
    <row r="99" spans="1:28" x14ac:dyDescent="0.2">
      <c r="A99">
        <v>98</v>
      </c>
      <c r="B99" t="s">
        <v>246</v>
      </c>
      <c r="C99" t="s">
        <v>247</v>
      </c>
      <c r="D99" t="s">
        <v>81</v>
      </c>
      <c r="G99"/>
      <c r="R99"/>
      <c r="S99"/>
      <c r="AA99"/>
    </row>
    <row r="100" spans="1:28" x14ac:dyDescent="0.2">
      <c r="A100">
        <v>99</v>
      </c>
      <c r="B100" t="s">
        <v>248</v>
      </c>
      <c r="C100" t="s">
        <v>249</v>
      </c>
      <c r="D100" t="s">
        <v>81</v>
      </c>
      <c r="G100"/>
      <c r="R100"/>
      <c r="S100"/>
      <c r="AA100"/>
      <c r="AB100" t="s">
        <v>250</v>
      </c>
    </row>
    <row r="101" spans="1:28" x14ac:dyDescent="0.2">
      <c r="A101">
        <v>100</v>
      </c>
      <c r="B101" t="s">
        <v>252</v>
      </c>
      <c r="C101" t="s">
        <v>251</v>
      </c>
      <c r="D101" t="s">
        <v>81</v>
      </c>
      <c r="G101"/>
      <c r="R101"/>
      <c r="S101"/>
      <c r="AA101"/>
    </row>
    <row r="102" spans="1:28" x14ac:dyDescent="0.2">
      <c r="A102">
        <v>101</v>
      </c>
      <c r="B102" t="s">
        <v>253</v>
      </c>
      <c r="C102" t="s">
        <v>254</v>
      </c>
      <c r="D102" t="s">
        <v>81</v>
      </c>
      <c r="G102"/>
      <c r="R102"/>
      <c r="S102"/>
      <c r="AA102"/>
    </row>
    <row r="103" spans="1:28" x14ac:dyDescent="0.2">
      <c r="A103">
        <v>102</v>
      </c>
      <c r="B103" t="s">
        <v>255</v>
      </c>
      <c r="C103" t="s">
        <v>256</v>
      </c>
      <c r="D103" t="s">
        <v>81</v>
      </c>
      <c r="G103"/>
      <c r="R103"/>
      <c r="S103"/>
      <c r="AA103"/>
    </row>
    <row r="104" spans="1:28" x14ac:dyDescent="0.2">
      <c r="A104">
        <v>103</v>
      </c>
      <c r="B104" t="s">
        <v>257</v>
      </c>
      <c r="C104" t="s">
        <v>258</v>
      </c>
      <c r="D104" t="s">
        <v>81</v>
      </c>
      <c r="G104"/>
      <c r="R104"/>
      <c r="S104"/>
      <c r="AA104"/>
    </row>
    <row r="105" spans="1:28" x14ac:dyDescent="0.2">
      <c r="A105">
        <v>104</v>
      </c>
      <c r="B105" t="s">
        <v>259</v>
      </c>
      <c r="C105" t="s">
        <v>260</v>
      </c>
      <c r="D105" t="s">
        <v>81</v>
      </c>
      <c r="G105"/>
      <c r="R105"/>
      <c r="S105"/>
      <c r="AA105"/>
    </row>
    <row r="106" spans="1:28" x14ac:dyDescent="0.2">
      <c r="A106">
        <v>105</v>
      </c>
      <c r="B106" t="s">
        <v>261</v>
      </c>
      <c r="C106" t="s">
        <v>262</v>
      </c>
      <c r="D106" t="s">
        <v>81</v>
      </c>
      <c r="G106"/>
      <c r="R106"/>
      <c r="S106"/>
      <c r="AA106"/>
    </row>
    <row r="107" spans="1:28" x14ac:dyDescent="0.2">
      <c r="A107">
        <v>106</v>
      </c>
      <c r="B107" t="s">
        <v>263</v>
      </c>
      <c r="C107" t="s">
        <v>264</v>
      </c>
      <c r="D107" t="s">
        <v>81</v>
      </c>
      <c r="G107"/>
      <c r="R107"/>
      <c r="S107"/>
      <c r="AA107"/>
    </row>
    <row r="108" spans="1:28" x14ac:dyDescent="0.2">
      <c r="A108">
        <v>107</v>
      </c>
      <c r="B108" t="s">
        <v>265</v>
      </c>
      <c r="C108" t="s">
        <v>266</v>
      </c>
      <c r="D108" t="s">
        <v>81</v>
      </c>
      <c r="G108"/>
      <c r="R108"/>
      <c r="S108"/>
      <c r="AA108"/>
    </row>
    <row r="109" spans="1:28" x14ac:dyDescent="0.2">
      <c r="A109">
        <v>108</v>
      </c>
      <c r="B109" t="s">
        <v>267</v>
      </c>
      <c r="C109" t="s">
        <v>268</v>
      </c>
      <c r="D109" t="s">
        <v>81</v>
      </c>
      <c r="G109"/>
      <c r="R109"/>
      <c r="S109"/>
      <c r="AA109"/>
    </row>
    <row r="110" spans="1:28" x14ac:dyDescent="0.2">
      <c r="A110">
        <v>109</v>
      </c>
      <c r="B110" t="s">
        <v>269</v>
      </c>
      <c r="C110" t="s">
        <v>270</v>
      </c>
      <c r="D110" t="s">
        <v>81</v>
      </c>
      <c r="G110"/>
      <c r="R110"/>
      <c r="S110"/>
      <c r="AA110"/>
    </row>
    <row r="111" spans="1:28" x14ac:dyDescent="0.2">
      <c r="A111">
        <v>110</v>
      </c>
      <c r="B111" t="s">
        <v>271</v>
      </c>
      <c r="C111" t="s">
        <v>272</v>
      </c>
      <c r="D111" t="s">
        <v>81</v>
      </c>
      <c r="G111"/>
      <c r="R111"/>
      <c r="S111"/>
      <c r="AA111"/>
    </row>
    <row r="112" spans="1:28" x14ac:dyDescent="0.2">
      <c r="A112">
        <v>111</v>
      </c>
      <c r="B112" t="s">
        <v>273</v>
      </c>
      <c r="C112" t="s">
        <v>274</v>
      </c>
      <c r="D112" t="s">
        <v>80</v>
      </c>
      <c r="E112" s="9">
        <v>35827</v>
      </c>
      <c r="F112" t="s">
        <v>80</v>
      </c>
      <c r="G112" s="9">
        <v>34547</v>
      </c>
      <c r="I112" t="s">
        <v>276</v>
      </c>
      <c r="J112">
        <v>-43.354575259999997</v>
      </c>
      <c r="K112">
        <v>172.29021220000001</v>
      </c>
      <c r="L112">
        <v>16</v>
      </c>
      <c r="Q112" t="s">
        <v>57</v>
      </c>
      <c r="R112"/>
      <c r="S112"/>
      <c r="T112">
        <v>50</v>
      </c>
      <c r="Z112" t="s">
        <v>25</v>
      </c>
      <c r="AA112" t="s">
        <v>59</v>
      </c>
      <c r="AB112" t="s">
        <v>275</v>
      </c>
    </row>
    <row r="113" spans="1:28" x14ac:dyDescent="0.2">
      <c r="A113">
        <v>112</v>
      </c>
      <c r="B113" t="s">
        <v>273</v>
      </c>
      <c r="C113" t="s">
        <v>274</v>
      </c>
      <c r="D113" t="s">
        <v>80</v>
      </c>
      <c r="E113" s="9">
        <v>33239</v>
      </c>
      <c r="F113" t="s">
        <v>80</v>
      </c>
      <c r="G113"/>
      <c r="I113" t="s">
        <v>220</v>
      </c>
      <c r="J113">
        <v>-32.928225419999997</v>
      </c>
      <c r="K113">
        <v>151.78151349999999</v>
      </c>
      <c r="L113">
        <v>5</v>
      </c>
      <c r="Q113" t="s">
        <v>8</v>
      </c>
      <c r="R113"/>
      <c r="S113">
        <v>55</v>
      </c>
      <c r="T113">
        <v>14.3</v>
      </c>
      <c r="Z113" t="s">
        <v>25</v>
      </c>
      <c r="AA113" t="s">
        <v>59</v>
      </c>
      <c r="AB113" t="s">
        <v>277</v>
      </c>
    </row>
    <row r="114" spans="1:28" x14ac:dyDescent="0.2">
      <c r="A114">
        <v>113</v>
      </c>
      <c r="B114" t="s">
        <v>283</v>
      </c>
      <c r="C114" t="s">
        <v>282</v>
      </c>
      <c r="D114" t="s">
        <v>80</v>
      </c>
      <c r="E114" s="9">
        <v>38776</v>
      </c>
      <c r="F114" t="s">
        <v>80</v>
      </c>
      <c r="G114" s="9">
        <v>33970</v>
      </c>
      <c r="H114" s="9">
        <v>36891</v>
      </c>
      <c r="I114" t="s">
        <v>220</v>
      </c>
      <c r="J114">
        <v>-34.549911610000002</v>
      </c>
      <c r="K114">
        <v>139.2800215</v>
      </c>
      <c r="L114">
        <v>251</v>
      </c>
      <c r="Q114" t="s">
        <v>8</v>
      </c>
      <c r="R114">
        <v>2.7749999999999999</v>
      </c>
      <c r="S114">
        <v>70.5</v>
      </c>
      <c r="T114">
        <v>5.3</v>
      </c>
      <c r="Z114" t="s">
        <v>25</v>
      </c>
      <c r="AA114"/>
      <c r="AB114" t="s">
        <v>281</v>
      </c>
    </row>
    <row r="115" spans="1:28" x14ac:dyDescent="0.2">
      <c r="A115">
        <v>114</v>
      </c>
      <c r="B115" t="s">
        <v>286</v>
      </c>
      <c r="C115" t="s">
        <v>285</v>
      </c>
      <c r="D115" t="s">
        <v>80</v>
      </c>
      <c r="E115" s="9">
        <v>41105</v>
      </c>
      <c r="F115" t="s">
        <v>80</v>
      </c>
      <c r="G115" s="9">
        <v>39264</v>
      </c>
      <c r="H115" s="9">
        <v>39933</v>
      </c>
      <c r="I115" t="s">
        <v>220</v>
      </c>
      <c r="J115">
        <v>-43.084491880000002</v>
      </c>
      <c r="K115">
        <v>147.79833300000001</v>
      </c>
      <c r="L115">
        <v>34</v>
      </c>
      <c r="M115">
        <v>1.5</v>
      </c>
      <c r="N115">
        <v>4</v>
      </c>
      <c r="Q115" t="s">
        <v>49</v>
      </c>
      <c r="R115"/>
      <c r="S115">
        <v>47.916666669999998</v>
      </c>
      <c r="U115">
        <v>63</v>
      </c>
      <c r="Z115" t="s">
        <v>25</v>
      </c>
      <c r="AA115"/>
      <c r="AB115" s="2" t="s">
        <v>284</v>
      </c>
    </row>
    <row r="116" spans="1:28" x14ac:dyDescent="0.2">
      <c r="A116">
        <v>115</v>
      </c>
      <c r="B116" t="s">
        <v>287</v>
      </c>
      <c r="C116" t="s">
        <v>288</v>
      </c>
      <c r="D116" t="s">
        <v>81</v>
      </c>
      <c r="G116"/>
      <c r="R116"/>
      <c r="S116"/>
      <c r="AA116"/>
    </row>
    <row r="117" spans="1:28" x14ac:dyDescent="0.2">
      <c r="A117">
        <v>116</v>
      </c>
      <c r="B117" t="s">
        <v>289</v>
      </c>
      <c r="C117" t="s">
        <v>290</v>
      </c>
      <c r="D117" t="s">
        <v>81</v>
      </c>
      <c r="G117"/>
      <c r="R117"/>
      <c r="S117"/>
      <c r="AA117"/>
    </row>
    <row r="118" spans="1:28" x14ac:dyDescent="0.2">
      <c r="A118">
        <v>117</v>
      </c>
      <c r="B118" t="s">
        <v>291</v>
      </c>
      <c r="C118" t="s">
        <v>292</v>
      </c>
      <c r="D118" t="s">
        <v>81</v>
      </c>
      <c r="G118"/>
      <c r="R118"/>
      <c r="S118"/>
      <c r="AA118"/>
    </row>
    <row r="119" spans="1:28" x14ac:dyDescent="0.2">
      <c r="A119">
        <v>118</v>
      </c>
      <c r="B119" t="s">
        <v>279</v>
      </c>
      <c r="C119" t="s">
        <v>280</v>
      </c>
      <c r="D119" t="s">
        <v>80</v>
      </c>
      <c r="E119" s="9">
        <v>35065</v>
      </c>
      <c r="F119" t="s">
        <v>80</v>
      </c>
      <c r="G119"/>
      <c r="I119" t="s">
        <v>220</v>
      </c>
      <c r="J119">
        <v>-35.28103213</v>
      </c>
      <c r="K119">
        <v>149.12886900000001</v>
      </c>
      <c r="L119">
        <v>4</v>
      </c>
      <c r="Q119" t="s">
        <v>8</v>
      </c>
      <c r="R119"/>
      <c r="S119">
        <v>38.75</v>
      </c>
      <c r="Z119" t="s">
        <v>9</v>
      </c>
      <c r="AA119"/>
      <c r="AB119" t="s">
        <v>278</v>
      </c>
    </row>
    <row r="120" spans="1:28" x14ac:dyDescent="0.2">
      <c r="A120">
        <v>119</v>
      </c>
      <c r="B120" t="s">
        <v>293</v>
      </c>
      <c r="C120" t="s">
        <v>294</v>
      </c>
      <c r="D120" t="s">
        <v>81</v>
      </c>
      <c r="G120"/>
      <c r="R120"/>
      <c r="S120"/>
      <c r="AA120"/>
    </row>
    <row r="121" spans="1:28" x14ac:dyDescent="0.2">
      <c r="A121">
        <v>120</v>
      </c>
      <c r="B121" t="s">
        <v>295</v>
      </c>
      <c r="C121" t="s">
        <v>296</v>
      </c>
      <c r="D121" t="s">
        <v>81</v>
      </c>
      <c r="G121"/>
      <c r="R121"/>
      <c r="S121"/>
      <c r="AA121"/>
    </row>
    <row r="122" spans="1:28" x14ac:dyDescent="0.2">
      <c r="A122">
        <v>121</v>
      </c>
      <c r="B122" t="s">
        <v>297</v>
      </c>
      <c r="C122" t="s">
        <v>298</v>
      </c>
      <c r="D122" t="s">
        <v>81</v>
      </c>
      <c r="G122"/>
      <c r="R122"/>
      <c r="S122"/>
      <c r="AA122"/>
    </row>
    <row r="123" spans="1:28" x14ac:dyDescent="0.2">
      <c r="A123">
        <v>122</v>
      </c>
      <c r="B123" t="s">
        <v>300</v>
      </c>
      <c r="C123" t="s">
        <v>299</v>
      </c>
      <c r="D123" t="s">
        <v>81</v>
      </c>
      <c r="G123"/>
      <c r="R123"/>
      <c r="S123"/>
      <c r="AA123"/>
    </row>
    <row r="124" spans="1:28" x14ac:dyDescent="0.2">
      <c r="A124">
        <v>123</v>
      </c>
      <c r="B124" t="s">
        <v>301</v>
      </c>
      <c r="C124" t="s">
        <v>303</v>
      </c>
      <c r="D124" t="s">
        <v>81</v>
      </c>
      <c r="G124"/>
      <c r="R124"/>
      <c r="S124"/>
      <c r="AA124"/>
    </row>
    <row r="125" spans="1:28" x14ac:dyDescent="0.2">
      <c r="A125">
        <v>124</v>
      </c>
      <c r="B125" t="s">
        <v>302</v>
      </c>
      <c r="C125" t="s">
        <v>304</v>
      </c>
      <c r="D125" t="s">
        <v>81</v>
      </c>
      <c r="G125"/>
      <c r="R125"/>
      <c r="S125"/>
      <c r="AA125"/>
    </row>
    <row r="126" spans="1:28" x14ac:dyDescent="0.2">
      <c r="A126">
        <v>125</v>
      </c>
      <c r="B126" t="s">
        <v>306</v>
      </c>
      <c r="C126" t="s">
        <v>307</v>
      </c>
      <c r="D126" t="s">
        <v>80</v>
      </c>
      <c r="E126" s="9">
        <v>40193</v>
      </c>
      <c r="F126" t="s">
        <v>80</v>
      </c>
      <c r="G126"/>
      <c r="I126" t="s">
        <v>20</v>
      </c>
      <c r="L126">
        <v>11</v>
      </c>
      <c r="M126">
        <v>2</v>
      </c>
      <c r="N126">
        <v>13</v>
      </c>
      <c r="O126">
        <v>1.7</v>
      </c>
      <c r="Q126" t="s">
        <v>8</v>
      </c>
      <c r="R126">
        <v>0.19969047600000001</v>
      </c>
      <c r="S126">
        <v>78.204761899999994</v>
      </c>
      <c r="T126">
        <v>208.17142860000001</v>
      </c>
      <c r="U126">
        <v>40.647619050000003</v>
      </c>
      <c r="V126">
        <v>92.890476190000001</v>
      </c>
      <c r="X126">
        <v>41.81428571</v>
      </c>
      <c r="Y126">
        <v>11.233333330000001</v>
      </c>
      <c r="Z126" t="s">
        <v>9</v>
      </c>
      <c r="AA126"/>
      <c r="AB126" t="s">
        <v>305</v>
      </c>
    </row>
    <row r="127" spans="1:28" x14ac:dyDescent="0.2">
      <c r="A127">
        <v>126</v>
      </c>
      <c r="B127" t="s">
        <v>308</v>
      </c>
      <c r="C127" t="s">
        <v>309</v>
      </c>
      <c r="D127" t="s">
        <v>80</v>
      </c>
      <c r="E127" s="9">
        <v>40193</v>
      </c>
      <c r="F127" t="s">
        <v>80</v>
      </c>
      <c r="G127"/>
      <c r="I127" t="s">
        <v>20</v>
      </c>
      <c r="L127">
        <v>8</v>
      </c>
      <c r="M127">
        <v>1</v>
      </c>
      <c r="N127">
        <v>11</v>
      </c>
      <c r="O127">
        <v>1.8</v>
      </c>
      <c r="Q127" t="s">
        <v>8</v>
      </c>
      <c r="R127">
        <v>0.23985384600000001</v>
      </c>
      <c r="S127">
        <v>83.846153849999993</v>
      </c>
      <c r="T127">
        <v>139.80769230000001</v>
      </c>
      <c r="U127">
        <v>47.092307689999998</v>
      </c>
      <c r="V127">
        <v>90.92307692</v>
      </c>
      <c r="X127">
        <v>25.57692308</v>
      </c>
      <c r="Y127">
        <v>24.646153850000001</v>
      </c>
      <c r="Z127" t="s">
        <v>9</v>
      </c>
      <c r="AA127"/>
      <c r="AB127" t="s">
        <v>305</v>
      </c>
    </row>
    <row r="128" spans="1:28" x14ac:dyDescent="0.2">
      <c r="A128">
        <v>127</v>
      </c>
      <c r="B128" t="s">
        <v>308</v>
      </c>
      <c r="C128" t="s">
        <v>309</v>
      </c>
      <c r="D128" t="s">
        <v>80</v>
      </c>
      <c r="E128" s="9">
        <v>40238</v>
      </c>
      <c r="F128" t="s">
        <v>80</v>
      </c>
      <c r="G128"/>
      <c r="I128" t="s">
        <v>20</v>
      </c>
      <c r="L128">
        <v>3</v>
      </c>
      <c r="Q128" t="s">
        <v>8</v>
      </c>
      <c r="R128"/>
      <c r="S128">
        <v>85</v>
      </c>
      <c r="U128">
        <v>47.2</v>
      </c>
      <c r="V128">
        <v>94.4</v>
      </c>
      <c r="Z128" t="s">
        <v>9</v>
      </c>
      <c r="AA128"/>
      <c r="AB128" t="s">
        <v>310</v>
      </c>
    </row>
    <row r="129" spans="1:29" x14ac:dyDescent="0.2">
      <c r="A129">
        <v>128</v>
      </c>
      <c r="B129" t="s">
        <v>306</v>
      </c>
      <c r="C129" t="s">
        <v>307</v>
      </c>
      <c r="D129" t="s">
        <v>80</v>
      </c>
      <c r="E129" s="9">
        <v>40238</v>
      </c>
      <c r="F129" t="s">
        <v>80</v>
      </c>
      <c r="G129"/>
      <c r="I129" t="s">
        <v>20</v>
      </c>
      <c r="L129">
        <v>5</v>
      </c>
      <c r="Q129" t="s">
        <v>8</v>
      </c>
      <c r="R129"/>
      <c r="S129">
        <v>78.599999999999994</v>
      </c>
      <c r="U129">
        <v>40</v>
      </c>
      <c r="V129">
        <v>94</v>
      </c>
      <c r="Z129" t="s">
        <v>9</v>
      </c>
      <c r="AA129"/>
      <c r="AB129" t="s">
        <v>310</v>
      </c>
    </row>
    <row r="130" spans="1:29" x14ac:dyDescent="0.2">
      <c r="A130">
        <v>129</v>
      </c>
      <c r="B130" t="s">
        <v>312</v>
      </c>
      <c r="C130" t="s">
        <v>311</v>
      </c>
      <c r="D130" t="s">
        <v>80</v>
      </c>
      <c r="E130" s="9">
        <v>42809</v>
      </c>
      <c r="F130" t="s">
        <v>80</v>
      </c>
      <c r="G130"/>
      <c r="I130" t="s">
        <v>313</v>
      </c>
      <c r="J130">
        <v>35.718625799999998</v>
      </c>
      <c r="K130">
        <v>51.293675669999999</v>
      </c>
      <c r="L130">
        <v>5</v>
      </c>
      <c r="M130">
        <v>3</v>
      </c>
      <c r="N130">
        <v>8</v>
      </c>
      <c r="Q130" t="s">
        <v>24</v>
      </c>
      <c r="R130">
        <f>69/1000</f>
        <v>6.9000000000000006E-2</v>
      </c>
      <c r="S130">
        <v>77.13</v>
      </c>
      <c r="T130">
        <v>75.13</v>
      </c>
      <c r="U130">
        <v>73.8</v>
      </c>
      <c r="Z130" t="s">
        <v>9</v>
      </c>
      <c r="AA130"/>
      <c r="AB130" t="s">
        <v>314</v>
      </c>
    </row>
    <row r="131" spans="1:29" x14ac:dyDescent="0.2">
      <c r="A131">
        <v>130</v>
      </c>
      <c r="B131" t="s">
        <v>317</v>
      </c>
      <c r="C131" t="s">
        <v>318</v>
      </c>
      <c r="D131" t="s">
        <v>80</v>
      </c>
      <c r="E131" s="9">
        <v>35217</v>
      </c>
      <c r="F131" t="s">
        <v>80</v>
      </c>
      <c r="G131"/>
      <c r="I131" t="s">
        <v>20</v>
      </c>
      <c r="J131">
        <v>38.887174250000001</v>
      </c>
      <c r="K131">
        <v>-78.16530161</v>
      </c>
      <c r="L131">
        <v>1</v>
      </c>
      <c r="M131">
        <v>8</v>
      </c>
      <c r="N131">
        <v>10</v>
      </c>
      <c r="O131">
        <v>0.9</v>
      </c>
      <c r="Q131" t="s">
        <v>8</v>
      </c>
      <c r="R131">
        <v>0.2</v>
      </c>
      <c r="S131"/>
      <c r="T131">
        <v>63.4</v>
      </c>
      <c r="U131">
        <v>49</v>
      </c>
      <c r="Z131" t="s">
        <v>9</v>
      </c>
      <c r="AA131" t="s">
        <v>59</v>
      </c>
      <c r="AB131" t="s">
        <v>315</v>
      </c>
      <c r="AC131" t="s">
        <v>316</v>
      </c>
    </row>
    <row r="132" spans="1:29" x14ac:dyDescent="0.2">
      <c r="A132">
        <v>131</v>
      </c>
      <c r="B132" t="s">
        <v>317</v>
      </c>
      <c r="C132" t="s">
        <v>318</v>
      </c>
      <c r="D132" t="s">
        <v>80</v>
      </c>
      <c r="E132" s="9">
        <v>38961</v>
      </c>
      <c r="F132" t="s">
        <v>80</v>
      </c>
      <c r="G132" s="9">
        <v>36874</v>
      </c>
      <c r="H132" s="9">
        <v>37729</v>
      </c>
      <c r="I132" t="s">
        <v>20</v>
      </c>
      <c r="J132">
        <v>39.142798229999997</v>
      </c>
      <c r="K132">
        <v>-84.509290199999995</v>
      </c>
      <c r="L132">
        <v>4</v>
      </c>
      <c r="M132">
        <v>2</v>
      </c>
      <c r="N132">
        <v>8</v>
      </c>
      <c r="Q132" t="s">
        <v>8</v>
      </c>
      <c r="R132">
        <v>7.1491071000000003E-2</v>
      </c>
      <c r="S132"/>
      <c r="T132">
        <v>10</v>
      </c>
      <c r="V132">
        <v>94.8</v>
      </c>
      <c r="Z132" t="s">
        <v>9</v>
      </c>
      <c r="AA132" t="s">
        <v>59</v>
      </c>
      <c r="AB132" t="s">
        <v>319</v>
      </c>
    </row>
    <row r="133" spans="1:29" x14ac:dyDescent="0.2">
      <c r="A133">
        <v>132</v>
      </c>
      <c r="B133" t="s">
        <v>317</v>
      </c>
      <c r="C133" t="s">
        <v>318</v>
      </c>
      <c r="D133" t="s">
        <v>80</v>
      </c>
      <c r="E133" s="9">
        <v>39199</v>
      </c>
      <c r="F133" t="s">
        <v>80</v>
      </c>
      <c r="G133" s="9">
        <v>36861</v>
      </c>
      <c r="H133" s="9">
        <v>37072</v>
      </c>
      <c r="I133" t="s">
        <v>20</v>
      </c>
      <c r="J133">
        <v>35.785217709999998</v>
      </c>
      <c r="K133">
        <v>-78.681225339999997</v>
      </c>
      <c r="L133">
        <v>4</v>
      </c>
      <c r="M133">
        <v>2</v>
      </c>
      <c r="N133">
        <v>8</v>
      </c>
      <c r="O133">
        <v>2.4500000000000002</v>
      </c>
      <c r="Q133" t="s">
        <v>8</v>
      </c>
      <c r="R133">
        <v>9.9000000000000005E-2</v>
      </c>
      <c r="S133"/>
      <c r="T133">
        <v>21.024999999999999</v>
      </c>
      <c r="U133">
        <v>38.950000000000003</v>
      </c>
      <c r="Z133" t="s">
        <v>9</v>
      </c>
      <c r="AA133"/>
      <c r="AB133" t="s">
        <v>320</v>
      </c>
    </row>
    <row r="134" spans="1:29" x14ac:dyDescent="0.2">
      <c r="A134">
        <v>133</v>
      </c>
      <c r="B134" t="s">
        <v>321</v>
      </c>
      <c r="C134" t="s">
        <v>322</v>
      </c>
      <c r="D134" t="s">
        <v>81</v>
      </c>
      <c r="G134"/>
      <c r="R134"/>
      <c r="S134"/>
      <c r="AA134"/>
      <c r="AB134" t="s">
        <v>323</v>
      </c>
    </row>
    <row r="135" spans="1:29" x14ac:dyDescent="0.2">
      <c r="A135">
        <v>134</v>
      </c>
      <c r="B135" t="s">
        <v>324</v>
      </c>
      <c r="C135" t="s">
        <v>325</v>
      </c>
      <c r="D135" t="s">
        <v>81</v>
      </c>
      <c r="G135"/>
      <c r="R135"/>
      <c r="S135"/>
      <c r="AA135"/>
    </row>
    <row r="136" spans="1:29" x14ac:dyDescent="0.2">
      <c r="A136">
        <v>135</v>
      </c>
      <c r="B136" t="s">
        <v>326</v>
      </c>
      <c r="C136" t="s">
        <v>327</v>
      </c>
      <c r="D136" t="s">
        <v>81</v>
      </c>
      <c r="G136"/>
      <c r="R136"/>
      <c r="S136"/>
      <c r="AA136"/>
    </row>
    <row r="137" spans="1:29" x14ac:dyDescent="0.2">
      <c r="A137">
        <v>136</v>
      </c>
      <c r="B137" t="s">
        <v>328</v>
      </c>
      <c r="C137" t="s">
        <v>329</v>
      </c>
      <c r="D137" t="s">
        <v>81</v>
      </c>
      <c r="G137"/>
      <c r="R137"/>
      <c r="S137"/>
      <c r="AA137"/>
    </row>
    <row r="138" spans="1:29" x14ac:dyDescent="0.2">
      <c r="A138">
        <v>137</v>
      </c>
      <c r="B138" t="s">
        <v>330</v>
      </c>
      <c r="C138" t="s">
        <v>331</v>
      </c>
      <c r="D138" t="s">
        <v>81</v>
      </c>
      <c r="G138"/>
      <c r="R138"/>
      <c r="S138"/>
      <c r="AA138"/>
    </row>
    <row r="139" spans="1:29" x14ac:dyDescent="0.2">
      <c r="A139">
        <v>138</v>
      </c>
      <c r="B139" t="s">
        <v>332</v>
      </c>
      <c r="C139" t="s">
        <v>333</v>
      </c>
      <c r="D139" t="s">
        <v>81</v>
      </c>
      <c r="G139"/>
      <c r="R139"/>
      <c r="S139"/>
      <c r="AA139"/>
    </row>
    <row r="140" spans="1:29" x14ac:dyDescent="0.2">
      <c r="A140">
        <v>139</v>
      </c>
      <c r="B140" t="s">
        <v>334</v>
      </c>
      <c r="C140" t="s">
        <v>335</v>
      </c>
      <c r="D140" t="s">
        <v>81</v>
      </c>
      <c r="G140"/>
      <c r="R140"/>
      <c r="S140"/>
      <c r="AA140"/>
    </row>
    <row r="141" spans="1:29" x14ac:dyDescent="0.2">
      <c r="A141">
        <v>140</v>
      </c>
      <c r="B141" t="s">
        <v>336</v>
      </c>
      <c r="C141" t="s">
        <v>337</v>
      </c>
      <c r="D141" t="s">
        <v>81</v>
      </c>
      <c r="G141"/>
      <c r="R141"/>
      <c r="S141"/>
      <c r="AA141"/>
    </row>
    <row r="142" spans="1:29" x14ac:dyDescent="0.2">
      <c r="A142">
        <v>141</v>
      </c>
      <c r="B142" t="s">
        <v>338</v>
      </c>
      <c r="C142" t="s">
        <v>339</v>
      </c>
      <c r="D142" t="s">
        <v>81</v>
      </c>
      <c r="G142"/>
      <c r="R142"/>
      <c r="S142"/>
      <c r="AA142"/>
    </row>
    <row r="143" spans="1:29" x14ac:dyDescent="0.2">
      <c r="A143">
        <v>142</v>
      </c>
      <c r="B143" t="s">
        <v>340</v>
      </c>
      <c r="C143" t="s">
        <v>341</v>
      </c>
      <c r="D143" t="s">
        <v>81</v>
      </c>
      <c r="G143"/>
      <c r="R143"/>
      <c r="S143"/>
      <c r="AA143"/>
    </row>
    <row r="144" spans="1:29" x14ac:dyDescent="0.2">
      <c r="A144">
        <v>143</v>
      </c>
      <c r="B144" t="s">
        <v>342</v>
      </c>
      <c r="C144" t="s">
        <v>343</v>
      </c>
      <c r="D144" t="s">
        <v>81</v>
      </c>
      <c r="G144"/>
      <c r="R144"/>
      <c r="S144"/>
      <c r="AA144"/>
    </row>
    <row r="145" spans="1:29" x14ac:dyDescent="0.2">
      <c r="A145">
        <v>144</v>
      </c>
      <c r="B145" t="s">
        <v>344</v>
      </c>
      <c r="C145" t="s">
        <v>345</v>
      </c>
      <c r="D145" t="s">
        <v>81</v>
      </c>
      <c r="G145"/>
      <c r="R145"/>
      <c r="S145"/>
      <c r="AA145"/>
    </row>
    <row r="146" spans="1:29" x14ac:dyDescent="0.2">
      <c r="A146">
        <v>145</v>
      </c>
      <c r="B146" t="s">
        <v>346</v>
      </c>
      <c r="C146" t="s">
        <v>347</v>
      </c>
      <c r="D146" t="s">
        <v>81</v>
      </c>
      <c r="G146"/>
      <c r="R146"/>
      <c r="S146"/>
      <c r="AA146"/>
    </row>
    <row r="147" spans="1:29" x14ac:dyDescent="0.2">
      <c r="A147">
        <v>146</v>
      </c>
      <c r="B147" t="s">
        <v>348</v>
      </c>
      <c r="C147" t="s">
        <v>349</v>
      </c>
      <c r="D147" t="s">
        <v>81</v>
      </c>
      <c r="G147"/>
      <c r="R147"/>
      <c r="S147"/>
      <c r="AA147"/>
    </row>
    <row r="148" spans="1:29" x14ac:dyDescent="0.2">
      <c r="A148">
        <v>147</v>
      </c>
      <c r="B148" t="s">
        <v>350</v>
      </c>
      <c r="C148" t="s">
        <v>351</v>
      </c>
      <c r="D148" t="s">
        <v>81</v>
      </c>
      <c r="G148"/>
      <c r="R148"/>
      <c r="S148"/>
      <c r="AA148"/>
    </row>
    <row r="149" spans="1:29" x14ac:dyDescent="0.2">
      <c r="A149">
        <v>148</v>
      </c>
      <c r="B149" t="s">
        <v>352</v>
      </c>
      <c r="C149" t="s">
        <v>353</v>
      </c>
      <c r="D149" t="s">
        <v>81</v>
      </c>
      <c r="G149"/>
      <c r="R149"/>
      <c r="S149"/>
      <c r="AA149"/>
    </row>
    <row r="150" spans="1:29" x14ac:dyDescent="0.2">
      <c r="A150">
        <v>149</v>
      </c>
      <c r="B150" t="s">
        <v>354</v>
      </c>
      <c r="C150" t="s">
        <v>355</v>
      </c>
      <c r="D150" t="s">
        <v>80</v>
      </c>
      <c r="E150" s="9">
        <v>38797</v>
      </c>
      <c r="F150" t="s">
        <v>80</v>
      </c>
      <c r="G150" s="9">
        <v>37347</v>
      </c>
      <c r="H150" s="9">
        <v>37864</v>
      </c>
      <c r="I150" t="s">
        <v>356</v>
      </c>
      <c r="J150" t="s">
        <v>57</v>
      </c>
      <c r="K150" t="s">
        <v>57</v>
      </c>
      <c r="L150">
        <v>112</v>
      </c>
      <c r="Q150" t="s">
        <v>49</v>
      </c>
      <c r="R150"/>
      <c r="S150"/>
      <c r="U150">
        <v>86.333333330000002</v>
      </c>
      <c r="Z150" t="s">
        <v>25</v>
      </c>
      <c r="AA150"/>
      <c r="AB150" t="s">
        <v>357</v>
      </c>
    </row>
    <row r="151" spans="1:29" x14ac:dyDescent="0.2">
      <c r="A151">
        <v>150</v>
      </c>
      <c r="B151" t="s">
        <v>354</v>
      </c>
      <c r="C151" t="s">
        <v>355</v>
      </c>
      <c r="D151" t="s">
        <v>80</v>
      </c>
      <c r="E151" s="9">
        <v>44002</v>
      </c>
      <c r="F151" t="s">
        <v>80</v>
      </c>
      <c r="G151"/>
      <c r="R151"/>
      <c r="S151"/>
      <c r="AA151"/>
      <c r="AB151" t="s">
        <v>358</v>
      </c>
      <c r="AC151" t="s">
        <v>359</v>
      </c>
    </row>
    <row r="152" spans="1:29" x14ac:dyDescent="0.2">
      <c r="A152">
        <v>151</v>
      </c>
      <c r="B152" t="s">
        <v>354</v>
      </c>
      <c r="C152" t="s">
        <v>355</v>
      </c>
      <c r="D152" t="s">
        <v>80</v>
      </c>
      <c r="E152" s="9">
        <v>45023</v>
      </c>
      <c r="F152" t="s">
        <v>80</v>
      </c>
      <c r="G152"/>
      <c r="I152" t="s">
        <v>216</v>
      </c>
      <c r="J152">
        <v>34.439554530000002</v>
      </c>
      <c r="K152">
        <v>117.9985897</v>
      </c>
      <c r="L152">
        <v>20</v>
      </c>
      <c r="M152">
        <v>0.66666666699999999</v>
      </c>
      <c r="N152">
        <v>0.66666666699999999</v>
      </c>
      <c r="Q152" t="s">
        <v>23</v>
      </c>
      <c r="R152">
        <v>0.86499999999999999</v>
      </c>
      <c r="S152">
        <v>79.004999999999995</v>
      </c>
      <c r="T152">
        <v>441.5</v>
      </c>
      <c r="U152">
        <v>85.665000000000006</v>
      </c>
      <c r="Z152" t="s">
        <v>9</v>
      </c>
      <c r="AA152" t="s">
        <v>360</v>
      </c>
      <c r="AB152" t="s">
        <v>361</v>
      </c>
    </row>
    <row r="153" spans="1:29" x14ac:dyDescent="0.2">
      <c r="A153">
        <v>152</v>
      </c>
      <c r="B153" t="s">
        <v>354</v>
      </c>
      <c r="C153" t="s">
        <v>355</v>
      </c>
      <c r="D153" t="s">
        <v>80</v>
      </c>
      <c r="E153" s="9">
        <v>43009</v>
      </c>
      <c r="F153" t="s">
        <v>80</v>
      </c>
      <c r="G153"/>
      <c r="I153" t="s">
        <v>362</v>
      </c>
      <c r="J153">
        <v>31.210685770000001</v>
      </c>
      <c r="K153">
        <v>29.91305977</v>
      </c>
      <c r="L153">
        <v>20</v>
      </c>
      <c r="M153">
        <v>0.5</v>
      </c>
      <c r="N153">
        <v>0.5</v>
      </c>
      <c r="Q153" t="s">
        <v>23</v>
      </c>
      <c r="R153">
        <v>0.43</v>
      </c>
      <c r="S153">
        <v>44.31</v>
      </c>
      <c r="T153">
        <v>47.755000000000003</v>
      </c>
      <c r="U153">
        <v>82.642499999999998</v>
      </c>
      <c r="Z153" t="s">
        <v>9</v>
      </c>
      <c r="AA153" t="s">
        <v>59</v>
      </c>
      <c r="AB153" t="s">
        <v>363</v>
      </c>
    </row>
    <row r="154" spans="1:29" x14ac:dyDescent="0.2">
      <c r="A154">
        <v>153</v>
      </c>
      <c r="B154" t="s">
        <v>354</v>
      </c>
      <c r="C154" t="s">
        <v>355</v>
      </c>
      <c r="D154" t="s">
        <v>80</v>
      </c>
      <c r="E154" s="9">
        <v>41244</v>
      </c>
      <c r="F154" t="s">
        <v>80</v>
      </c>
      <c r="G154"/>
      <c r="R154"/>
      <c r="S154"/>
      <c r="AA154"/>
      <c r="AB154" t="s">
        <v>364</v>
      </c>
      <c r="AC154" t="s">
        <v>365</v>
      </c>
    </row>
    <row r="155" spans="1:29" x14ac:dyDescent="0.2">
      <c r="A155">
        <v>154</v>
      </c>
      <c r="B155" t="s">
        <v>354</v>
      </c>
      <c r="C155" t="s">
        <v>355</v>
      </c>
      <c r="D155" t="s">
        <v>80</v>
      </c>
      <c r="E155" s="9">
        <v>38777</v>
      </c>
      <c r="F155" t="s">
        <v>80</v>
      </c>
      <c r="G155"/>
      <c r="L155">
        <v>15</v>
      </c>
      <c r="Q155" t="s">
        <v>23</v>
      </c>
      <c r="R155"/>
      <c r="S155">
        <v>73.3</v>
      </c>
      <c r="T155">
        <v>103</v>
      </c>
      <c r="V155">
        <v>71.7</v>
      </c>
      <c r="Z155" t="s">
        <v>9</v>
      </c>
      <c r="AA155" t="s">
        <v>59</v>
      </c>
      <c r="AB155" t="s">
        <v>366</v>
      </c>
    </row>
    <row r="156" spans="1:29" x14ac:dyDescent="0.2">
      <c r="A156">
        <v>155</v>
      </c>
      <c r="B156" t="s">
        <v>354</v>
      </c>
      <c r="C156" t="s">
        <v>355</v>
      </c>
      <c r="D156" t="s">
        <v>80</v>
      </c>
      <c r="E156" s="9">
        <v>43484</v>
      </c>
      <c r="F156" t="s">
        <v>80</v>
      </c>
      <c r="G156"/>
      <c r="I156" t="s">
        <v>367</v>
      </c>
      <c r="J156">
        <v>-2.5416327189999999</v>
      </c>
      <c r="K156">
        <v>28.85925757</v>
      </c>
      <c r="L156">
        <v>24</v>
      </c>
      <c r="Q156" t="s">
        <v>49</v>
      </c>
      <c r="R156"/>
      <c r="S156">
        <v>77.776666669999997</v>
      </c>
      <c r="T156">
        <v>445.66666670000001</v>
      </c>
      <c r="U156">
        <v>85.283333330000005</v>
      </c>
      <c r="Z156" t="s">
        <v>9</v>
      </c>
      <c r="AA156" t="s">
        <v>59</v>
      </c>
      <c r="AB156" t="s">
        <v>368</v>
      </c>
    </row>
    <row r="157" spans="1:29" x14ac:dyDescent="0.2">
      <c r="A157">
        <v>156</v>
      </c>
      <c r="B157" t="s">
        <v>354</v>
      </c>
      <c r="C157" t="s">
        <v>355</v>
      </c>
      <c r="D157" t="s">
        <v>80</v>
      </c>
      <c r="E157" s="9">
        <v>43770</v>
      </c>
      <c r="F157" t="s">
        <v>80</v>
      </c>
      <c r="G157"/>
      <c r="I157" t="s">
        <v>214</v>
      </c>
      <c r="J157">
        <v>42.585916990000001</v>
      </c>
      <c r="K157">
        <v>-5.8259790950000001</v>
      </c>
      <c r="L157">
        <v>550</v>
      </c>
      <c r="M157">
        <v>0.40273972600000002</v>
      </c>
      <c r="N157">
        <v>2</v>
      </c>
      <c r="Q157" t="s">
        <v>23</v>
      </c>
      <c r="R157">
        <v>0.73499999999999999</v>
      </c>
      <c r="S157">
        <v>59.005000000000003</v>
      </c>
      <c r="T157">
        <v>123.8</v>
      </c>
      <c r="U157">
        <v>65.5</v>
      </c>
      <c r="Z157" t="s">
        <v>9</v>
      </c>
      <c r="AA157"/>
      <c r="AB157" t="s">
        <v>369</v>
      </c>
    </row>
    <row r="158" spans="1:29" x14ac:dyDescent="0.2">
      <c r="A158">
        <v>157</v>
      </c>
      <c r="B158" t="s">
        <v>370</v>
      </c>
      <c r="C158" t="s">
        <v>371</v>
      </c>
      <c r="D158" t="s">
        <v>81</v>
      </c>
      <c r="G158"/>
      <c r="R158"/>
      <c r="S158"/>
      <c r="AA158"/>
    </row>
    <row r="159" spans="1:29" x14ac:dyDescent="0.2">
      <c r="A159">
        <v>158</v>
      </c>
      <c r="B159" t="s">
        <v>372</v>
      </c>
      <c r="C159" t="s">
        <v>373</v>
      </c>
      <c r="D159" t="s">
        <v>81</v>
      </c>
      <c r="G159"/>
      <c r="R159"/>
      <c r="S159"/>
      <c r="AA159"/>
    </row>
    <row r="160" spans="1:29" x14ac:dyDescent="0.2">
      <c r="A160">
        <v>159</v>
      </c>
      <c r="B160" t="s">
        <v>374</v>
      </c>
      <c r="C160" t="s">
        <v>375</v>
      </c>
      <c r="D160" t="s">
        <v>81</v>
      </c>
      <c r="G160"/>
      <c r="R160"/>
      <c r="S160"/>
      <c r="AA160"/>
    </row>
    <row r="161" spans="1:27" x14ac:dyDescent="0.2">
      <c r="A161">
        <v>160</v>
      </c>
      <c r="B161" t="s">
        <v>376</v>
      </c>
      <c r="C161" t="s">
        <v>377</v>
      </c>
      <c r="D161" t="s">
        <v>81</v>
      </c>
      <c r="G161"/>
      <c r="R161"/>
      <c r="S161"/>
      <c r="AA161"/>
    </row>
    <row r="162" spans="1:27" x14ac:dyDescent="0.2">
      <c r="A162">
        <v>161</v>
      </c>
      <c r="B162" t="s">
        <v>378</v>
      </c>
      <c r="C162" t="s">
        <v>379</v>
      </c>
      <c r="D162" t="s">
        <v>81</v>
      </c>
      <c r="G162"/>
      <c r="R162"/>
      <c r="S162"/>
      <c r="AA162"/>
    </row>
    <row r="163" spans="1:27" x14ac:dyDescent="0.2">
      <c r="A163">
        <v>162</v>
      </c>
      <c r="B163" t="s">
        <v>380</v>
      </c>
      <c r="C163" t="s">
        <v>381</v>
      </c>
      <c r="D163" t="s">
        <v>81</v>
      </c>
      <c r="G163"/>
      <c r="R163"/>
      <c r="S163"/>
      <c r="AA163"/>
    </row>
    <row r="164" spans="1:27" x14ac:dyDescent="0.2">
      <c r="A164">
        <v>163</v>
      </c>
      <c r="B164" t="s">
        <v>382</v>
      </c>
      <c r="C164" t="s">
        <v>383</v>
      </c>
      <c r="D164" t="s">
        <v>81</v>
      </c>
      <c r="G164"/>
      <c r="R164"/>
      <c r="S164"/>
      <c r="AA164"/>
    </row>
    <row r="165" spans="1:27" x14ac:dyDescent="0.2">
      <c r="A165">
        <v>164</v>
      </c>
      <c r="B165" t="s">
        <v>384</v>
      </c>
      <c r="C165" t="s">
        <v>385</v>
      </c>
      <c r="D165" t="s">
        <v>81</v>
      </c>
      <c r="G165"/>
      <c r="R165"/>
      <c r="S165"/>
      <c r="AA165"/>
    </row>
    <row r="166" spans="1:27" x14ac:dyDescent="0.2">
      <c r="A166">
        <v>165</v>
      </c>
      <c r="B166" t="s">
        <v>386</v>
      </c>
      <c r="C166" t="s">
        <v>387</v>
      </c>
      <c r="D166" t="s">
        <v>81</v>
      </c>
      <c r="G166"/>
      <c r="R166"/>
      <c r="S166"/>
      <c r="AA166"/>
    </row>
    <row r="167" spans="1:27" x14ac:dyDescent="0.2">
      <c r="A167">
        <v>166</v>
      </c>
      <c r="B167" t="s">
        <v>388</v>
      </c>
      <c r="C167" t="s">
        <v>389</v>
      </c>
      <c r="D167" t="s">
        <v>81</v>
      </c>
      <c r="G167"/>
      <c r="R167"/>
      <c r="S167"/>
      <c r="AA167"/>
    </row>
    <row r="168" spans="1:27" x14ac:dyDescent="0.2">
      <c r="A168">
        <v>167</v>
      </c>
      <c r="B168" t="s">
        <v>390</v>
      </c>
      <c r="C168" t="s">
        <v>391</v>
      </c>
      <c r="D168" t="s">
        <v>81</v>
      </c>
      <c r="G168"/>
      <c r="R168"/>
      <c r="S168"/>
      <c r="AA168"/>
    </row>
    <row r="169" spans="1:27" x14ac:dyDescent="0.2">
      <c r="A169">
        <v>168</v>
      </c>
      <c r="B169" t="s">
        <v>392</v>
      </c>
      <c r="C169" t="s">
        <v>393</v>
      </c>
      <c r="D169" t="s">
        <v>81</v>
      </c>
      <c r="G169"/>
      <c r="R169"/>
      <c r="S169"/>
      <c r="AA169"/>
    </row>
    <row r="170" spans="1:27" x14ac:dyDescent="0.2">
      <c r="A170">
        <v>169</v>
      </c>
      <c r="B170" t="s">
        <v>394</v>
      </c>
      <c r="C170" t="s">
        <v>395</v>
      </c>
      <c r="D170" t="s">
        <v>81</v>
      </c>
      <c r="G170"/>
      <c r="R170"/>
      <c r="S170"/>
      <c r="AA170"/>
    </row>
    <row r="171" spans="1:27" x14ac:dyDescent="0.2">
      <c r="A171">
        <v>170</v>
      </c>
      <c r="B171" t="s">
        <v>396</v>
      </c>
      <c r="C171" t="s">
        <v>397</v>
      </c>
      <c r="D171" t="s">
        <v>81</v>
      </c>
      <c r="G171"/>
      <c r="R171"/>
      <c r="S171"/>
      <c r="AA171"/>
    </row>
    <row r="172" spans="1:27" x14ac:dyDescent="0.2">
      <c r="A172">
        <v>171</v>
      </c>
      <c r="B172" t="s">
        <v>398</v>
      </c>
      <c r="C172" t="s">
        <v>399</v>
      </c>
      <c r="D172" t="s">
        <v>81</v>
      </c>
      <c r="G172"/>
      <c r="R172"/>
      <c r="S172"/>
      <c r="AA172"/>
    </row>
    <row r="173" spans="1:27" x14ac:dyDescent="0.2">
      <c r="A173">
        <v>172</v>
      </c>
      <c r="B173" t="s">
        <v>400</v>
      </c>
      <c r="C173" t="s">
        <v>401</v>
      </c>
      <c r="D173" t="s">
        <v>81</v>
      </c>
      <c r="G173"/>
      <c r="R173"/>
      <c r="S173"/>
      <c r="AA173"/>
    </row>
    <row r="174" spans="1:27" x14ac:dyDescent="0.2">
      <c r="A174">
        <v>173</v>
      </c>
      <c r="B174" t="s">
        <v>402</v>
      </c>
      <c r="C174" t="s">
        <v>403</v>
      </c>
      <c r="D174" t="s">
        <v>81</v>
      </c>
      <c r="G174"/>
      <c r="R174"/>
      <c r="S174"/>
      <c r="AA174"/>
    </row>
    <row r="175" spans="1:27" x14ac:dyDescent="0.2">
      <c r="A175">
        <v>174</v>
      </c>
      <c r="B175" t="s">
        <v>404</v>
      </c>
      <c r="C175" t="s">
        <v>405</v>
      </c>
      <c r="D175" t="s">
        <v>81</v>
      </c>
      <c r="G175"/>
      <c r="R175"/>
      <c r="S175"/>
      <c r="AA175"/>
    </row>
    <row r="176" spans="1:27" x14ac:dyDescent="0.2">
      <c r="A176">
        <v>175</v>
      </c>
      <c r="B176" t="s">
        <v>406</v>
      </c>
      <c r="C176" t="s">
        <v>407</v>
      </c>
      <c r="D176" t="s">
        <v>81</v>
      </c>
      <c r="G176"/>
      <c r="R176"/>
      <c r="S176"/>
      <c r="AA176"/>
    </row>
    <row r="177" spans="1:29" x14ac:dyDescent="0.2">
      <c r="A177">
        <v>176</v>
      </c>
      <c r="B177" t="s">
        <v>408</v>
      </c>
      <c r="C177" t="s">
        <v>409</v>
      </c>
      <c r="D177" t="s">
        <v>81</v>
      </c>
      <c r="G177"/>
      <c r="R177"/>
      <c r="S177"/>
      <c r="AA177"/>
    </row>
    <row r="178" spans="1:29" x14ac:dyDescent="0.2">
      <c r="A178">
        <v>177</v>
      </c>
      <c r="B178" t="s">
        <v>410</v>
      </c>
      <c r="C178" t="s">
        <v>411</v>
      </c>
      <c r="D178" t="s">
        <v>81</v>
      </c>
      <c r="G178"/>
      <c r="R178"/>
      <c r="S178"/>
      <c r="AA178"/>
    </row>
    <row r="179" spans="1:29" x14ac:dyDescent="0.2">
      <c r="A179">
        <v>178</v>
      </c>
      <c r="B179" t="s">
        <v>412</v>
      </c>
      <c r="C179" t="s">
        <v>413</v>
      </c>
      <c r="D179" t="s">
        <v>81</v>
      </c>
      <c r="G179"/>
      <c r="R179"/>
      <c r="S179"/>
      <c r="AA179"/>
    </row>
    <row r="180" spans="1:29" x14ac:dyDescent="0.2">
      <c r="A180">
        <v>179</v>
      </c>
      <c r="B180" t="s">
        <v>414</v>
      </c>
      <c r="C180" t="s">
        <v>415</v>
      </c>
      <c r="D180" t="s">
        <v>81</v>
      </c>
      <c r="G180"/>
      <c r="R180"/>
      <c r="S180"/>
      <c r="AA180"/>
    </row>
    <row r="181" spans="1:29" x14ac:dyDescent="0.2">
      <c r="A181">
        <v>180</v>
      </c>
      <c r="B181" s="10" t="s">
        <v>416</v>
      </c>
      <c r="C181" s="10" t="s">
        <v>417</v>
      </c>
      <c r="D181" t="s">
        <v>80</v>
      </c>
      <c r="E181" s="9">
        <v>44194</v>
      </c>
      <c r="F181" t="s">
        <v>80</v>
      </c>
      <c r="G181" s="9">
        <v>43040</v>
      </c>
      <c r="H181" s="9">
        <v>43921</v>
      </c>
      <c r="I181" t="s">
        <v>215</v>
      </c>
      <c r="J181">
        <v>37.5009274275845</v>
      </c>
      <c r="K181">
        <v>140.98843208502799</v>
      </c>
      <c r="L181">
        <v>12</v>
      </c>
      <c r="R181"/>
      <c r="S181"/>
      <c r="V181">
        <f>AVERAGE(6.2,17.3,2,5)</f>
        <v>7.625</v>
      </c>
      <c r="AA181"/>
      <c r="AB181" s="2" t="s">
        <v>432</v>
      </c>
    </row>
    <row r="182" spans="1:29" x14ac:dyDescent="0.2">
      <c r="A182">
        <v>181</v>
      </c>
      <c r="B182" s="10" t="s">
        <v>418</v>
      </c>
      <c r="C182" s="10" t="s">
        <v>419</v>
      </c>
      <c r="D182" t="s">
        <v>81</v>
      </c>
      <c r="G182"/>
      <c r="R182"/>
      <c r="S182"/>
      <c r="AA182"/>
    </row>
    <row r="183" spans="1:29" x14ac:dyDescent="0.2">
      <c r="A183">
        <v>182</v>
      </c>
      <c r="B183" s="10" t="s">
        <v>420</v>
      </c>
      <c r="C183" s="10" t="s">
        <v>421</v>
      </c>
      <c r="D183" t="s">
        <v>81</v>
      </c>
      <c r="G183"/>
      <c r="R183"/>
      <c r="S183"/>
      <c r="AA183"/>
    </row>
    <row r="184" spans="1:29" x14ac:dyDescent="0.2">
      <c r="A184">
        <v>183</v>
      </c>
      <c r="B184" s="10" t="s">
        <v>422</v>
      </c>
      <c r="C184" s="10" t="s">
        <v>423</v>
      </c>
      <c r="D184" t="s">
        <v>81</v>
      </c>
      <c r="G184"/>
      <c r="R184"/>
      <c r="S184"/>
      <c r="AA184"/>
    </row>
    <row r="185" spans="1:29" x14ac:dyDescent="0.2">
      <c r="A185">
        <v>184</v>
      </c>
      <c r="B185" s="10" t="s">
        <v>424</v>
      </c>
      <c r="C185" s="10" t="s">
        <v>425</v>
      </c>
      <c r="D185" t="s">
        <v>81</v>
      </c>
      <c r="G185"/>
      <c r="R185"/>
      <c r="S185"/>
      <c r="AA185"/>
    </row>
    <row r="186" spans="1:29" x14ac:dyDescent="0.2">
      <c r="A186">
        <v>185</v>
      </c>
      <c r="B186" s="10" t="s">
        <v>426</v>
      </c>
      <c r="C186" s="10" t="s">
        <v>427</v>
      </c>
      <c r="D186" t="s">
        <v>81</v>
      </c>
      <c r="G186"/>
      <c r="R186"/>
      <c r="S186"/>
      <c r="AA186"/>
    </row>
    <row r="187" spans="1:29" x14ac:dyDescent="0.2">
      <c r="A187">
        <v>186</v>
      </c>
      <c r="B187" s="10" t="s">
        <v>428</v>
      </c>
      <c r="C187" s="10" t="s">
        <v>429</v>
      </c>
      <c r="D187" t="s">
        <v>81</v>
      </c>
      <c r="G187"/>
      <c r="R187"/>
      <c r="S187"/>
      <c r="AA187"/>
    </row>
    <row r="188" spans="1:29" x14ac:dyDescent="0.2">
      <c r="A188">
        <v>187</v>
      </c>
      <c r="B188" s="10" t="s">
        <v>430</v>
      </c>
      <c r="C188" s="10" t="s">
        <v>431</v>
      </c>
      <c r="D188" t="s">
        <v>81</v>
      </c>
      <c r="G188"/>
      <c r="R188"/>
      <c r="S188"/>
      <c r="AA188"/>
    </row>
    <row r="189" spans="1:29" x14ac:dyDescent="0.2">
      <c r="A189">
        <v>188</v>
      </c>
      <c r="B189" s="10" t="s">
        <v>28</v>
      </c>
      <c r="C189" s="10" t="s">
        <v>29</v>
      </c>
      <c r="D189" t="s">
        <v>80</v>
      </c>
      <c r="E189" s="9">
        <v>33239</v>
      </c>
      <c r="F189" t="s">
        <v>80</v>
      </c>
      <c r="G189" s="9">
        <v>35065</v>
      </c>
      <c r="I189" t="s">
        <v>434</v>
      </c>
      <c r="J189" t="s">
        <v>57</v>
      </c>
      <c r="K189" t="s">
        <v>57</v>
      </c>
      <c r="L189">
        <f>16+6+12</f>
        <v>34</v>
      </c>
      <c r="M189">
        <v>1.4</v>
      </c>
      <c r="N189">
        <v>9.8000000000000007</v>
      </c>
      <c r="O189">
        <f>(87.8*10+80.1*6+21.2*6+69.8*6+63.1*6)/SUM(10,6,6,6,6)</f>
        <v>67.152941176470577</v>
      </c>
      <c r="Q189" t="s">
        <v>8</v>
      </c>
      <c r="R189">
        <f>(6*10+5.6*6+0.8*6+3.4*6+5.2*6)/SUM(10,6,6,6,6)</f>
        <v>4.4117647058823533</v>
      </c>
      <c r="S189">
        <f>(89*10+72*6+59*6+59*6)/SUM(10,6,6,6)</f>
        <v>72.5</v>
      </c>
      <c r="T189">
        <f>(12.3*10+8*6+11.8*6+11.9*6)/SUM(10,6,6,6)</f>
        <v>11.185714285714287</v>
      </c>
      <c r="U189">
        <f>(71.5*10+43.8*6+33.9*6+33*6)/SUM(10,6,6,6)</f>
        <v>49.257142857142853</v>
      </c>
      <c r="W189">
        <f>((0.3+0.1+0.2+0.8)*10+(0.1+0.1+0.3+0)*6+(0.4+0.3+4+2.7)*6+(0.5+1.4+1.4+0.2)*6)/SUM(10,6,6,6)</f>
        <v>2.9428571428571431</v>
      </c>
      <c r="X189">
        <f>((1.2+1.9+3.7+3.8+8.9)*10+(0.5+1.5+12.8+24.1+5)*6+(2+3.5+5+18.9+8.3)*6+(0.6+2.7+2.3+24.8+10.6)*6)/SUM(10,6,6,6)</f>
        <v>33.235714285714288</v>
      </c>
      <c r="Y189">
        <f>((0.1+5.6+2)*10+(0.1+5.3+6.2)*6+(0.2+12+8.4)*6+(0+18.9+3.7)*6)/SUM(10,6,6,6)</f>
        <v>14.492857142857142</v>
      </c>
      <c r="Z189" t="s">
        <v>25</v>
      </c>
      <c r="AA189" t="s">
        <v>101</v>
      </c>
      <c r="AB189" s="2" t="s">
        <v>435</v>
      </c>
    </row>
    <row r="190" spans="1:29" x14ac:dyDescent="0.2">
      <c r="A190">
        <v>189</v>
      </c>
      <c r="B190" s="10" t="s">
        <v>28</v>
      </c>
      <c r="C190" s="10" t="s">
        <v>29</v>
      </c>
      <c r="D190" t="s">
        <v>80</v>
      </c>
      <c r="E190" s="9">
        <v>36109</v>
      </c>
      <c r="F190" t="s">
        <v>80</v>
      </c>
      <c r="G190"/>
      <c r="I190" t="s">
        <v>438</v>
      </c>
      <c r="J190" t="s">
        <v>57</v>
      </c>
      <c r="K190" t="s">
        <v>57</v>
      </c>
      <c r="L190">
        <v>5</v>
      </c>
      <c r="Q190" t="s">
        <v>8</v>
      </c>
      <c r="R190"/>
      <c r="S190">
        <v>61.42</v>
      </c>
      <c r="AA190"/>
      <c r="AB190" s="2" t="s">
        <v>436</v>
      </c>
      <c r="AC190" t="s">
        <v>437</v>
      </c>
    </row>
    <row r="191" spans="1:29" x14ac:dyDescent="0.2">
      <c r="A191">
        <v>190</v>
      </c>
      <c r="B191" t="s">
        <v>40</v>
      </c>
      <c r="C191" t="s">
        <v>90</v>
      </c>
      <c r="D191" t="s">
        <v>80</v>
      </c>
      <c r="E191" s="9">
        <v>36109</v>
      </c>
      <c r="F191" t="s">
        <v>80</v>
      </c>
      <c r="G191"/>
      <c r="I191" t="s">
        <v>438</v>
      </c>
      <c r="J191" t="s">
        <v>57</v>
      </c>
      <c r="K191" t="s">
        <v>57</v>
      </c>
      <c r="L191">
        <v>11</v>
      </c>
      <c r="Q191" t="s">
        <v>8</v>
      </c>
      <c r="R191"/>
      <c r="S191">
        <v>53.75</v>
      </c>
      <c r="AA191"/>
      <c r="AB191" s="2" t="s">
        <v>436</v>
      </c>
      <c r="AC191" t="s">
        <v>437</v>
      </c>
    </row>
    <row r="192" spans="1:29" x14ac:dyDescent="0.2">
      <c r="A192">
        <v>191</v>
      </c>
      <c r="B192" s="10" t="s">
        <v>439</v>
      </c>
      <c r="C192" s="10" t="s">
        <v>440</v>
      </c>
      <c r="D192" t="s">
        <v>81</v>
      </c>
      <c r="G192"/>
      <c r="R192"/>
      <c r="S192"/>
      <c r="AA192"/>
    </row>
    <row r="193" spans="1:27" x14ac:dyDescent="0.2">
      <c r="A193">
        <v>192</v>
      </c>
      <c r="B193" s="10" t="s">
        <v>441</v>
      </c>
      <c r="C193" s="10" t="s">
        <v>442</v>
      </c>
      <c r="D193" t="s">
        <v>81</v>
      </c>
      <c r="G193"/>
      <c r="R193"/>
      <c r="S193"/>
      <c r="AA193"/>
    </row>
    <row r="194" spans="1:27" x14ac:dyDescent="0.2">
      <c r="A194">
        <v>193</v>
      </c>
      <c r="B194" s="10" t="s">
        <v>443</v>
      </c>
      <c r="C194" s="10" t="s">
        <v>444</v>
      </c>
      <c r="D194" t="s">
        <v>81</v>
      </c>
      <c r="G194"/>
      <c r="R194"/>
      <c r="S194"/>
      <c r="AA194"/>
    </row>
    <row r="195" spans="1:27" x14ac:dyDescent="0.2">
      <c r="A195">
        <v>194</v>
      </c>
      <c r="B195" s="10" t="s">
        <v>445</v>
      </c>
      <c r="C195" s="10" t="s">
        <v>446</v>
      </c>
      <c r="D195" t="s">
        <v>81</v>
      </c>
      <c r="G195"/>
      <c r="R195"/>
      <c r="S195"/>
      <c r="AA195"/>
    </row>
    <row r="196" spans="1:27" x14ac:dyDescent="0.2">
      <c r="A196">
        <v>195</v>
      </c>
      <c r="B196" s="10" t="s">
        <v>447</v>
      </c>
      <c r="C196" s="10" t="s">
        <v>448</v>
      </c>
      <c r="D196" t="s">
        <v>81</v>
      </c>
      <c r="G196"/>
      <c r="R196"/>
      <c r="S196"/>
      <c r="AA196"/>
    </row>
    <row r="197" spans="1:27" x14ac:dyDescent="0.2">
      <c r="A197">
        <v>196</v>
      </c>
      <c r="B197" s="10" t="s">
        <v>449</v>
      </c>
      <c r="C197" s="10" t="s">
        <v>450</v>
      </c>
      <c r="D197" t="s">
        <v>81</v>
      </c>
      <c r="G197"/>
      <c r="R197"/>
      <c r="S197"/>
      <c r="AA197"/>
    </row>
    <row r="198" spans="1:27" x14ac:dyDescent="0.2">
      <c r="A198">
        <v>197</v>
      </c>
      <c r="B198" s="10" t="s">
        <v>451</v>
      </c>
      <c r="C198" s="10" t="s">
        <v>452</v>
      </c>
      <c r="D198" t="s">
        <v>81</v>
      </c>
      <c r="G198"/>
      <c r="R198"/>
      <c r="S198"/>
      <c r="AA198"/>
    </row>
    <row r="199" spans="1:27" x14ac:dyDescent="0.2">
      <c r="A199">
        <v>198</v>
      </c>
      <c r="B199" s="10" t="s">
        <v>453</v>
      </c>
      <c r="C199" s="10" t="s">
        <v>454</v>
      </c>
      <c r="D199" t="s">
        <v>81</v>
      </c>
      <c r="G199"/>
      <c r="R199"/>
      <c r="S199"/>
      <c r="AA199"/>
    </row>
    <row r="200" spans="1:27" x14ac:dyDescent="0.2">
      <c r="A200">
        <v>199</v>
      </c>
      <c r="B200" s="10" t="s">
        <v>455</v>
      </c>
      <c r="C200" s="10" t="s">
        <v>456</v>
      </c>
      <c r="D200" t="s">
        <v>81</v>
      </c>
      <c r="G200"/>
      <c r="R200"/>
      <c r="S200"/>
      <c r="AA200"/>
    </row>
    <row r="201" spans="1:27" x14ac:dyDescent="0.2">
      <c r="A201">
        <v>200</v>
      </c>
      <c r="B201" s="10" t="s">
        <v>457</v>
      </c>
      <c r="C201" s="10" t="s">
        <v>458</v>
      </c>
      <c r="D201" t="s">
        <v>81</v>
      </c>
      <c r="G201"/>
      <c r="R201"/>
      <c r="S201"/>
      <c r="AA201"/>
    </row>
    <row r="202" spans="1:27" x14ac:dyDescent="0.2">
      <c r="A202">
        <v>201</v>
      </c>
      <c r="B202" s="10" t="s">
        <v>459</v>
      </c>
      <c r="C202" s="10" t="s">
        <v>460</v>
      </c>
      <c r="D202" t="s">
        <v>81</v>
      </c>
      <c r="G202"/>
      <c r="R202"/>
      <c r="S202"/>
      <c r="AA202"/>
    </row>
    <row r="203" spans="1:27" x14ac:dyDescent="0.2">
      <c r="A203">
        <v>202</v>
      </c>
      <c r="B203" s="10" t="s">
        <v>461</v>
      </c>
      <c r="C203" s="10" t="s">
        <v>462</v>
      </c>
      <c r="D203" t="s">
        <v>81</v>
      </c>
      <c r="G203"/>
      <c r="R203"/>
      <c r="S203"/>
      <c r="AA203"/>
    </row>
    <row r="204" spans="1:27" x14ac:dyDescent="0.2">
      <c r="A204">
        <v>203</v>
      </c>
      <c r="B204" s="10" t="s">
        <v>463</v>
      </c>
      <c r="C204" s="10" t="s">
        <v>464</v>
      </c>
      <c r="D204" t="s">
        <v>81</v>
      </c>
      <c r="G204"/>
      <c r="R204"/>
      <c r="S204"/>
      <c r="AA204"/>
    </row>
    <row r="205" spans="1:27" x14ac:dyDescent="0.2">
      <c r="A205">
        <v>204</v>
      </c>
      <c r="B205" s="10" t="s">
        <v>465</v>
      </c>
      <c r="C205" s="10" t="s">
        <v>466</v>
      </c>
      <c r="D205" t="s">
        <v>81</v>
      </c>
      <c r="G205"/>
      <c r="R205"/>
      <c r="S205"/>
      <c r="AA205"/>
    </row>
    <row r="206" spans="1:27" x14ac:dyDescent="0.2">
      <c r="A206">
        <v>205</v>
      </c>
      <c r="B206" s="10" t="s">
        <v>467</v>
      </c>
      <c r="C206" s="10" t="s">
        <v>468</v>
      </c>
      <c r="D206" t="s">
        <v>81</v>
      </c>
      <c r="G206"/>
      <c r="R206"/>
      <c r="S206"/>
      <c r="AA206"/>
    </row>
    <row r="207" spans="1:27" x14ac:dyDescent="0.2">
      <c r="A207">
        <v>206</v>
      </c>
      <c r="B207" s="10" t="s">
        <v>469</v>
      </c>
      <c r="C207" s="10" t="s">
        <v>470</v>
      </c>
      <c r="D207" t="s">
        <v>81</v>
      </c>
      <c r="G207"/>
      <c r="R207"/>
      <c r="S207"/>
      <c r="AA207"/>
    </row>
    <row r="208" spans="1:27" x14ac:dyDescent="0.2">
      <c r="A208">
        <v>207</v>
      </c>
      <c r="B208" s="10" t="s">
        <v>471</v>
      </c>
      <c r="C208" s="10" t="s">
        <v>472</v>
      </c>
      <c r="D208" t="s">
        <v>81</v>
      </c>
      <c r="G208"/>
      <c r="R208"/>
      <c r="S208"/>
      <c r="AA208"/>
    </row>
    <row r="209" spans="1:27" x14ac:dyDescent="0.2">
      <c r="A209">
        <v>208</v>
      </c>
      <c r="B209" s="10" t="s">
        <v>473</v>
      </c>
      <c r="C209" s="10" t="s">
        <v>474</v>
      </c>
      <c r="D209" t="s">
        <v>81</v>
      </c>
      <c r="G209"/>
      <c r="R209"/>
      <c r="S209"/>
      <c r="AA209"/>
    </row>
    <row r="210" spans="1:27" x14ac:dyDescent="0.2">
      <c r="A210">
        <v>209</v>
      </c>
      <c r="B210" s="10" t="s">
        <v>475</v>
      </c>
      <c r="C210" s="10" t="s">
        <v>476</v>
      </c>
      <c r="D210" t="s">
        <v>81</v>
      </c>
      <c r="G210"/>
      <c r="R210"/>
      <c r="S210"/>
      <c r="AA210"/>
    </row>
    <row r="211" spans="1:27" x14ac:dyDescent="0.2">
      <c r="A211">
        <v>210</v>
      </c>
      <c r="B211" s="10" t="s">
        <v>477</v>
      </c>
      <c r="C211" s="10" t="s">
        <v>478</v>
      </c>
      <c r="D211" t="s">
        <v>81</v>
      </c>
      <c r="G211"/>
      <c r="R211"/>
      <c r="S211"/>
      <c r="AA211"/>
    </row>
    <row r="212" spans="1:27" x14ac:dyDescent="0.2">
      <c r="A212">
        <v>211</v>
      </c>
      <c r="B212" s="10" t="s">
        <v>479</v>
      </c>
      <c r="C212" s="10" t="s">
        <v>480</v>
      </c>
      <c r="D212" t="s">
        <v>81</v>
      </c>
      <c r="G212"/>
      <c r="R212"/>
      <c r="S212"/>
      <c r="AA212"/>
    </row>
    <row r="213" spans="1:27" x14ac:dyDescent="0.2">
      <c r="A213">
        <v>212</v>
      </c>
      <c r="B213" s="10" t="s">
        <v>481</v>
      </c>
      <c r="C213" s="10" t="s">
        <v>482</v>
      </c>
      <c r="D213" t="s">
        <v>81</v>
      </c>
      <c r="G213"/>
      <c r="R213"/>
      <c r="S213"/>
      <c r="AA213"/>
    </row>
    <row r="214" spans="1:27" x14ac:dyDescent="0.2">
      <c r="A214">
        <v>213</v>
      </c>
      <c r="B214" s="10" t="s">
        <v>483</v>
      </c>
      <c r="C214" s="10" t="s">
        <v>484</v>
      </c>
      <c r="D214" t="s">
        <v>81</v>
      </c>
      <c r="G214"/>
      <c r="R214"/>
      <c r="S214"/>
      <c r="AA214"/>
    </row>
    <row r="215" spans="1:27" x14ac:dyDescent="0.2">
      <c r="A215">
        <v>214</v>
      </c>
      <c r="B215" s="10" t="s">
        <v>485</v>
      </c>
      <c r="C215" s="10" t="s">
        <v>486</v>
      </c>
      <c r="D215" t="s">
        <v>81</v>
      </c>
      <c r="G215"/>
      <c r="R215"/>
      <c r="S215"/>
      <c r="AA215"/>
    </row>
    <row r="216" spans="1:27" x14ac:dyDescent="0.2">
      <c r="A216">
        <v>215</v>
      </c>
      <c r="B216" s="10" t="s">
        <v>487</v>
      </c>
      <c r="C216" s="10" t="s">
        <v>488</v>
      </c>
      <c r="D216" t="s">
        <v>81</v>
      </c>
      <c r="G216"/>
      <c r="R216"/>
      <c r="S216"/>
      <c r="AA216"/>
    </row>
    <row r="217" spans="1:27" x14ac:dyDescent="0.2">
      <c r="A217">
        <v>216</v>
      </c>
      <c r="B217" s="10" t="s">
        <v>489</v>
      </c>
      <c r="C217" s="10" t="s">
        <v>490</v>
      </c>
      <c r="D217" t="s">
        <v>81</v>
      </c>
      <c r="G217"/>
      <c r="R217"/>
      <c r="S217"/>
      <c r="AA217"/>
    </row>
    <row r="218" spans="1:27" x14ac:dyDescent="0.2">
      <c r="A218">
        <v>217</v>
      </c>
      <c r="B218" s="10" t="s">
        <v>491</v>
      </c>
      <c r="C218" s="10" t="s">
        <v>492</v>
      </c>
      <c r="D218" t="s">
        <v>81</v>
      </c>
      <c r="G218"/>
      <c r="R218"/>
      <c r="S218"/>
      <c r="AA218"/>
    </row>
    <row r="219" spans="1:27" x14ac:dyDescent="0.2">
      <c r="A219">
        <v>218</v>
      </c>
      <c r="B219" s="10" t="s">
        <v>493</v>
      </c>
      <c r="C219" s="10" t="s">
        <v>494</v>
      </c>
      <c r="D219" t="s">
        <v>81</v>
      </c>
      <c r="G219"/>
      <c r="R219"/>
      <c r="S219"/>
      <c r="AA219"/>
    </row>
    <row r="220" spans="1:27" x14ac:dyDescent="0.2">
      <c r="A220">
        <v>219</v>
      </c>
      <c r="B220" s="10" t="s">
        <v>495</v>
      </c>
      <c r="C220" s="10" t="s">
        <v>496</v>
      </c>
      <c r="D220" t="s">
        <v>81</v>
      </c>
      <c r="G220"/>
      <c r="R220"/>
      <c r="S220"/>
      <c r="AA220"/>
    </row>
    <row r="221" spans="1:27" x14ac:dyDescent="0.2">
      <c r="A221">
        <v>220</v>
      </c>
      <c r="B221" s="10" t="s">
        <v>497</v>
      </c>
      <c r="C221" s="10" t="s">
        <v>498</v>
      </c>
      <c r="D221" t="s">
        <v>81</v>
      </c>
      <c r="G221"/>
      <c r="R221"/>
      <c r="S221"/>
      <c r="AA221"/>
    </row>
    <row r="222" spans="1:27" x14ac:dyDescent="0.2">
      <c r="A222">
        <v>221</v>
      </c>
      <c r="B222" s="10" t="s">
        <v>499</v>
      </c>
      <c r="C222" s="10" t="s">
        <v>500</v>
      </c>
      <c r="D222" t="s">
        <v>81</v>
      </c>
      <c r="G222"/>
      <c r="R222"/>
      <c r="S222"/>
      <c r="AA222"/>
    </row>
    <row r="223" spans="1:27" x14ac:dyDescent="0.2">
      <c r="A223">
        <v>222</v>
      </c>
      <c r="B223" s="10" t="s">
        <v>501</v>
      </c>
      <c r="C223" s="10" t="s">
        <v>502</v>
      </c>
      <c r="D223" t="s">
        <v>81</v>
      </c>
      <c r="G223"/>
      <c r="R223"/>
      <c r="S223"/>
      <c r="AA223"/>
    </row>
    <row r="224" spans="1:27" x14ac:dyDescent="0.2">
      <c r="A224">
        <v>223</v>
      </c>
      <c r="B224" s="10" t="s">
        <v>503</v>
      </c>
      <c r="C224" s="10" t="s">
        <v>504</v>
      </c>
      <c r="D224" t="s">
        <v>81</v>
      </c>
      <c r="G224"/>
      <c r="R224"/>
      <c r="S224"/>
      <c r="AA224"/>
    </row>
    <row r="225" spans="1:27" x14ac:dyDescent="0.2">
      <c r="A225">
        <v>224</v>
      </c>
      <c r="B225" s="10" t="s">
        <v>505</v>
      </c>
      <c r="C225" s="10" t="s">
        <v>506</v>
      </c>
      <c r="D225" t="s">
        <v>81</v>
      </c>
      <c r="G225"/>
      <c r="R225"/>
      <c r="S225"/>
      <c r="AA225"/>
    </row>
    <row r="226" spans="1:27" x14ac:dyDescent="0.2">
      <c r="A226">
        <v>225</v>
      </c>
      <c r="B226" s="10" t="s">
        <v>507</v>
      </c>
      <c r="C226" s="10" t="s">
        <v>508</v>
      </c>
      <c r="D226" t="s">
        <v>81</v>
      </c>
      <c r="G226"/>
      <c r="R226"/>
      <c r="S226"/>
      <c r="AA226"/>
    </row>
    <row r="227" spans="1:27" x14ac:dyDescent="0.2">
      <c r="A227">
        <v>226</v>
      </c>
      <c r="B227" s="10" t="s">
        <v>509</v>
      </c>
      <c r="C227" s="10" t="s">
        <v>510</v>
      </c>
      <c r="D227" t="s">
        <v>81</v>
      </c>
      <c r="G227"/>
      <c r="R227"/>
      <c r="S227"/>
      <c r="AA227"/>
    </row>
    <row r="228" spans="1:27" x14ac:dyDescent="0.2">
      <c r="A228">
        <v>227</v>
      </c>
      <c r="B228" s="10" t="s">
        <v>511</v>
      </c>
      <c r="C228" s="10" t="s">
        <v>512</v>
      </c>
      <c r="D228" t="s">
        <v>81</v>
      </c>
      <c r="G228"/>
      <c r="R228"/>
      <c r="S228"/>
      <c r="AA228"/>
    </row>
    <row r="229" spans="1:27" x14ac:dyDescent="0.2">
      <c r="A229">
        <v>228</v>
      </c>
      <c r="B229" s="10" t="s">
        <v>513</v>
      </c>
      <c r="C229" s="10" t="s">
        <v>514</v>
      </c>
      <c r="D229" t="s">
        <v>81</v>
      </c>
      <c r="G229"/>
      <c r="R229"/>
      <c r="S229"/>
      <c r="AA229"/>
    </row>
    <row r="230" spans="1:27" x14ac:dyDescent="0.2">
      <c r="A230">
        <v>229</v>
      </c>
      <c r="B230" s="10" t="s">
        <v>515</v>
      </c>
      <c r="C230" s="10" t="s">
        <v>516</v>
      </c>
      <c r="D230" t="s">
        <v>81</v>
      </c>
      <c r="G230"/>
      <c r="R230"/>
      <c r="S230"/>
      <c r="AA230"/>
    </row>
    <row r="231" spans="1:27" x14ac:dyDescent="0.2">
      <c r="A231">
        <v>230</v>
      </c>
      <c r="B231" s="10" t="s">
        <v>517</v>
      </c>
      <c r="C231" s="10" t="s">
        <v>518</v>
      </c>
      <c r="D231" t="s">
        <v>81</v>
      </c>
      <c r="G231"/>
      <c r="R231"/>
      <c r="S231"/>
      <c r="AA231"/>
    </row>
    <row r="232" spans="1:27" x14ac:dyDescent="0.2">
      <c r="A232">
        <v>231</v>
      </c>
      <c r="B232" s="10" t="s">
        <v>519</v>
      </c>
      <c r="C232" s="10" t="s">
        <v>520</v>
      </c>
      <c r="D232" t="s">
        <v>81</v>
      </c>
      <c r="G232"/>
      <c r="R232"/>
      <c r="S232"/>
      <c r="AA232"/>
    </row>
    <row r="233" spans="1:27" x14ac:dyDescent="0.2">
      <c r="A233">
        <v>232</v>
      </c>
      <c r="B233" s="10" t="s">
        <v>521</v>
      </c>
      <c r="C233" s="10" t="s">
        <v>522</v>
      </c>
      <c r="D233" t="s">
        <v>81</v>
      </c>
      <c r="G233"/>
      <c r="R233"/>
      <c r="S233"/>
      <c r="AA233"/>
    </row>
    <row r="234" spans="1:27" x14ac:dyDescent="0.2">
      <c r="A234">
        <v>233</v>
      </c>
      <c r="B234" s="10" t="s">
        <v>523</v>
      </c>
      <c r="C234" s="10" t="s">
        <v>524</v>
      </c>
      <c r="D234" t="s">
        <v>81</v>
      </c>
      <c r="G234"/>
      <c r="R234"/>
      <c r="S234"/>
      <c r="AA234"/>
    </row>
    <row r="235" spans="1:27" x14ac:dyDescent="0.2">
      <c r="A235">
        <v>234</v>
      </c>
      <c r="B235" s="10" t="s">
        <v>525</v>
      </c>
      <c r="C235" s="10" t="s">
        <v>526</v>
      </c>
      <c r="D235" t="s">
        <v>81</v>
      </c>
      <c r="G235"/>
      <c r="R235"/>
      <c r="S235"/>
      <c r="AA235"/>
    </row>
    <row r="236" spans="1:27" x14ac:dyDescent="0.2">
      <c r="A236">
        <v>235</v>
      </c>
      <c r="B236" s="10" t="s">
        <v>527</v>
      </c>
      <c r="C236" s="10" t="s">
        <v>528</v>
      </c>
      <c r="D236" t="s">
        <v>81</v>
      </c>
      <c r="G236"/>
      <c r="R236"/>
      <c r="S236"/>
      <c r="AA236"/>
    </row>
    <row r="237" spans="1:27" x14ac:dyDescent="0.2">
      <c r="A237">
        <v>236</v>
      </c>
      <c r="B237" s="10" t="s">
        <v>529</v>
      </c>
      <c r="C237" s="10" t="s">
        <v>530</v>
      </c>
      <c r="D237" t="s">
        <v>81</v>
      </c>
      <c r="G237"/>
      <c r="R237"/>
      <c r="S237"/>
      <c r="AA237"/>
    </row>
    <row r="238" spans="1:27" x14ac:dyDescent="0.2">
      <c r="A238">
        <v>237</v>
      </c>
      <c r="B238" s="10" t="s">
        <v>531</v>
      </c>
      <c r="C238" s="10" t="s">
        <v>532</v>
      </c>
      <c r="D238" t="s">
        <v>81</v>
      </c>
      <c r="G238"/>
      <c r="R238"/>
      <c r="S238"/>
      <c r="AA238"/>
    </row>
    <row r="239" spans="1:27" x14ac:dyDescent="0.2">
      <c r="A239">
        <v>238</v>
      </c>
      <c r="B239" s="10" t="s">
        <v>533</v>
      </c>
      <c r="C239" s="10" t="s">
        <v>534</v>
      </c>
      <c r="D239" t="s">
        <v>81</v>
      </c>
      <c r="G239"/>
      <c r="R239"/>
      <c r="S239"/>
      <c r="AA239"/>
    </row>
    <row r="240" spans="1:27" x14ac:dyDescent="0.2">
      <c r="A240">
        <v>239</v>
      </c>
      <c r="B240" s="10" t="s">
        <v>535</v>
      </c>
      <c r="C240" s="10" t="s">
        <v>536</v>
      </c>
      <c r="D240" t="s">
        <v>81</v>
      </c>
      <c r="G240"/>
      <c r="R240"/>
      <c r="S240"/>
      <c r="AA240"/>
    </row>
    <row r="241" spans="1:28" x14ac:dyDescent="0.2">
      <c r="A241">
        <v>240</v>
      </c>
      <c r="B241" s="10" t="s">
        <v>537</v>
      </c>
      <c r="C241" s="10" t="s">
        <v>538</v>
      </c>
      <c r="D241" t="s">
        <v>81</v>
      </c>
      <c r="G241"/>
      <c r="R241"/>
      <c r="S241"/>
      <c r="AA241"/>
    </row>
    <row r="242" spans="1:28" x14ac:dyDescent="0.2">
      <c r="A242">
        <v>241</v>
      </c>
      <c r="B242" s="10" t="s">
        <v>539</v>
      </c>
      <c r="C242" s="10" t="s">
        <v>540</v>
      </c>
      <c r="D242" t="s">
        <v>81</v>
      </c>
      <c r="G242"/>
      <c r="R242"/>
      <c r="S242"/>
      <c r="AA242"/>
    </row>
    <row r="243" spans="1:28" x14ac:dyDescent="0.2">
      <c r="A243">
        <v>242</v>
      </c>
      <c r="B243" s="10" t="s">
        <v>541</v>
      </c>
      <c r="C243" s="10" t="s">
        <v>542</v>
      </c>
      <c r="D243" t="s">
        <v>81</v>
      </c>
      <c r="G243"/>
      <c r="R243"/>
      <c r="S243"/>
      <c r="AA243"/>
    </row>
    <row r="244" spans="1:28" x14ac:dyDescent="0.2">
      <c r="A244">
        <v>243</v>
      </c>
      <c r="B244" s="10" t="s">
        <v>543</v>
      </c>
      <c r="C244" s="10" t="s">
        <v>544</v>
      </c>
      <c r="D244" t="s">
        <v>81</v>
      </c>
      <c r="G244"/>
      <c r="R244"/>
      <c r="S244"/>
      <c r="AA244"/>
    </row>
    <row r="245" spans="1:28" x14ac:dyDescent="0.2">
      <c r="A245">
        <v>244</v>
      </c>
      <c r="B245" s="10" t="s">
        <v>545</v>
      </c>
      <c r="C245" s="10" t="s">
        <v>546</v>
      </c>
      <c r="D245" t="s">
        <v>80</v>
      </c>
      <c r="E245" s="9">
        <v>43313</v>
      </c>
      <c r="F245" t="s">
        <v>80</v>
      </c>
      <c r="G245"/>
      <c r="I245" t="s">
        <v>210</v>
      </c>
      <c r="J245">
        <v>-33.915718107688498</v>
      </c>
      <c r="K245">
        <v>18.604494253909301</v>
      </c>
      <c r="L245">
        <v>10</v>
      </c>
      <c r="M245">
        <v>6</v>
      </c>
      <c r="N245">
        <v>10</v>
      </c>
      <c r="Q245" t="s">
        <v>8</v>
      </c>
      <c r="R245">
        <v>0.7</v>
      </c>
      <c r="S245">
        <v>57.4</v>
      </c>
      <c r="T245">
        <v>72.400000000000006</v>
      </c>
      <c r="Z245" t="s">
        <v>9</v>
      </c>
      <c r="AA245" t="s">
        <v>65</v>
      </c>
      <c r="AB245" s="2" t="s">
        <v>549</v>
      </c>
    </row>
    <row r="246" spans="1:28" x14ac:dyDescent="0.2">
      <c r="A246">
        <v>245</v>
      </c>
      <c r="B246" s="10" t="s">
        <v>547</v>
      </c>
      <c r="C246" s="10" t="s">
        <v>548</v>
      </c>
      <c r="D246" t="s">
        <v>80</v>
      </c>
      <c r="E246" s="9">
        <v>43313</v>
      </c>
      <c r="F246" t="s">
        <v>80</v>
      </c>
      <c r="G246"/>
      <c r="I246" t="s">
        <v>210</v>
      </c>
      <c r="J246">
        <v>-33.915718107688498</v>
      </c>
      <c r="K246">
        <v>18.604494253909301</v>
      </c>
      <c r="L246">
        <v>10</v>
      </c>
      <c r="M246">
        <v>8</v>
      </c>
      <c r="N246">
        <v>14</v>
      </c>
      <c r="Q246" t="s">
        <v>8</v>
      </c>
      <c r="R246">
        <v>0.4</v>
      </c>
      <c r="S246">
        <v>69.2</v>
      </c>
      <c r="T246">
        <v>193.6</v>
      </c>
      <c r="Z246" t="s">
        <v>9</v>
      </c>
      <c r="AA246" t="s">
        <v>57</v>
      </c>
      <c r="AB246" s="2" t="s">
        <v>549</v>
      </c>
    </row>
    <row r="247" spans="1:28" x14ac:dyDescent="0.2">
      <c r="A247">
        <v>246</v>
      </c>
      <c r="B247" s="10" t="s">
        <v>545</v>
      </c>
      <c r="C247" s="10" t="s">
        <v>546</v>
      </c>
      <c r="D247" t="s">
        <v>80</v>
      </c>
      <c r="E247" s="9">
        <v>44767</v>
      </c>
      <c r="F247" t="s">
        <v>80</v>
      </c>
      <c r="G247"/>
      <c r="I247" t="s">
        <v>210</v>
      </c>
      <c r="J247">
        <v>-33.915718107688498</v>
      </c>
      <c r="K247">
        <v>18.604494253909301</v>
      </c>
      <c r="L247">
        <v>10</v>
      </c>
      <c r="M247">
        <v>6</v>
      </c>
      <c r="N247">
        <v>10</v>
      </c>
      <c r="Q247" t="s">
        <v>8</v>
      </c>
      <c r="R247">
        <f>AVERAGE(0.8,0.75,1.2,0.78,1,1.1,0.7)</f>
        <v>0.90428571428571447</v>
      </c>
      <c r="S247">
        <f>AVERAGE(58.7,50.4,41.2,39.6,64.6,62.8,30)</f>
        <v>49.614285714285714</v>
      </c>
      <c r="T247">
        <f>AVERAGE(54.9,60.5,49.3,71.5,118.7,78.8,17.4)</f>
        <v>64.442857142857136</v>
      </c>
      <c r="U247">
        <v>90</v>
      </c>
      <c r="V247">
        <v>97</v>
      </c>
      <c r="Z247" t="s">
        <v>553</v>
      </c>
      <c r="AA247" t="s">
        <v>65</v>
      </c>
      <c r="AB247" s="2" t="s">
        <v>550</v>
      </c>
    </row>
    <row r="248" spans="1:28" x14ac:dyDescent="0.2">
      <c r="A248">
        <v>247</v>
      </c>
      <c r="B248" s="10" t="s">
        <v>545</v>
      </c>
      <c r="C248" s="10" t="s">
        <v>546</v>
      </c>
      <c r="D248" t="s">
        <v>80</v>
      </c>
      <c r="E248" s="9">
        <v>34516</v>
      </c>
      <c r="F248" t="s">
        <v>80</v>
      </c>
      <c r="G248"/>
      <c r="I248" t="s">
        <v>210</v>
      </c>
      <c r="J248">
        <v>-33.915718107688498</v>
      </c>
      <c r="K248">
        <v>18.604494253909301</v>
      </c>
      <c r="L248">
        <v>10</v>
      </c>
      <c r="Q248" t="s">
        <v>8</v>
      </c>
      <c r="R248"/>
      <c r="S248"/>
      <c r="V248">
        <v>61.2</v>
      </c>
      <c r="AA248"/>
      <c r="AB248" s="2" t="s">
        <v>551</v>
      </c>
    </row>
    <row r="249" spans="1:28" x14ac:dyDescent="0.2">
      <c r="A249">
        <v>248</v>
      </c>
      <c r="B249" s="10" t="s">
        <v>545</v>
      </c>
      <c r="C249" s="10" t="s">
        <v>546</v>
      </c>
      <c r="D249" t="s">
        <v>80</v>
      </c>
      <c r="E249" s="9">
        <v>32509</v>
      </c>
      <c r="F249" t="s">
        <v>80</v>
      </c>
      <c r="G249"/>
      <c r="I249" t="s">
        <v>210</v>
      </c>
      <c r="J249">
        <v>-33.915718107688498</v>
      </c>
      <c r="K249">
        <v>18.604494253909301</v>
      </c>
      <c r="L249">
        <v>50</v>
      </c>
      <c r="Q249" t="s">
        <v>8</v>
      </c>
      <c r="R249">
        <f>AVERAGE(0.45,0.86)</f>
        <v>0.65500000000000003</v>
      </c>
      <c r="S249">
        <f>AVERAGE(55.4,43.64)</f>
        <v>49.519999999999996</v>
      </c>
      <c r="T249">
        <f>AVERAGE(185,117.15)</f>
        <v>151.07499999999999</v>
      </c>
      <c r="U249">
        <f>100-(AVERAGE(3.5,6))</f>
        <v>95.25</v>
      </c>
      <c r="Z249" t="s">
        <v>553</v>
      </c>
      <c r="AA249"/>
      <c r="AB249" s="2" t="s">
        <v>552</v>
      </c>
    </row>
    <row r="250" spans="1:28" x14ac:dyDescent="0.2">
      <c r="A250">
        <v>249</v>
      </c>
      <c r="B250" s="10" t="s">
        <v>545</v>
      </c>
      <c r="C250" s="10" t="s">
        <v>546</v>
      </c>
      <c r="D250" t="s">
        <v>80</v>
      </c>
      <c r="E250" s="9">
        <v>35400</v>
      </c>
      <c r="F250" t="s">
        <v>80</v>
      </c>
      <c r="G250"/>
      <c r="I250" t="s">
        <v>210</v>
      </c>
      <c r="J250">
        <v>-33.915718107688498</v>
      </c>
      <c r="K250">
        <v>18.604494253909301</v>
      </c>
      <c r="L250">
        <v>14</v>
      </c>
      <c r="Q250" t="s">
        <v>8</v>
      </c>
      <c r="R250"/>
      <c r="S250"/>
      <c r="U250">
        <f>100-38.96</f>
        <v>61.04</v>
      </c>
      <c r="W250">
        <f>1.64</f>
        <v>1.64</v>
      </c>
      <c r="X250">
        <v>8</v>
      </c>
      <c r="Y250">
        <v>29.32</v>
      </c>
      <c r="Z250" t="s">
        <v>9</v>
      </c>
      <c r="AA250" t="s">
        <v>59</v>
      </c>
      <c r="AB250" s="2" t="s">
        <v>554</v>
      </c>
    </row>
    <row r="251" spans="1:28" x14ac:dyDescent="0.2">
      <c r="A251">
        <v>250</v>
      </c>
      <c r="B251" s="10" t="s">
        <v>545</v>
      </c>
      <c r="C251" s="10" t="s">
        <v>546</v>
      </c>
      <c r="D251" t="s">
        <v>80</v>
      </c>
      <c r="E251" s="9">
        <v>35400</v>
      </c>
      <c r="F251" t="s">
        <v>80</v>
      </c>
      <c r="G251"/>
      <c r="I251" t="s">
        <v>210</v>
      </c>
      <c r="J251">
        <v>-33.915718107688498</v>
      </c>
      <c r="K251">
        <v>18.604494253909301</v>
      </c>
      <c r="L251">
        <v>14</v>
      </c>
      <c r="Q251" t="s">
        <v>8</v>
      </c>
      <c r="R251"/>
      <c r="S251"/>
      <c r="U251">
        <f>100-40.51</f>
        <v>59.49</v>
      </c>
      <c r="W251">
        <v>1.1499999999999999</v>
      </c>
      <c r="X251">
        <v>10</v>
      </c>
      <c r="Y251">
        <v>29.36</v>
      </c>
      <c r="Z251" t="s">
        <v>25</v>
      </c>
      <c r="AA251" t="s">
        <v>59</v>
      </c>
      <c r="AB251" s="2" t="s">
        <v>554</v>
      </c>
    </row>
    <row r="252" spans="1:28" x14ac:dyDescent="0.2">
      <c r="A252">
        <v>251</v>
      </c>
      <c r="B252" s="10" t="s">
        <v>555</v>
      </c>
      <c r="C252" s="10" t="s">
        <v>556</v>
      </c>
      <c r="D252" t="s">
        <v>81</v>
      </c>
      <c r="G252"/>
      <c r="R252"/>
      <c r="S252"/>
      <c r="AA252"/>
    </row>
    <row r="253" spans="1:28" x14ac:dyDescent="0.2">
      <c r="A253">
        <v>252</v>
      </c>
      <c r="B253" s="10" t="s">
        <v>557</v>
      </c>
      <c r="C253" s="10" t="s">
        <v>558</v>
      </c>
      <c r="D253" t="s">
        <v>80</v>
      </c>
      <c r="E253" s="9">
        <v>37987</v>
      </c>
      <c r="F253" t="s">
        <v>80</v>
      </c>
      <c r="G253" s="9">
        <v>37012</v>
      </c>
      <c r="H253" s="9">
        <v>37134</v>
      </c>
      <c r="I253" t="s">
        <v>215</v>
      </c>
      <c r="J253">
        <v>42.876917344577301</v>
      </c>
      <c r="K253">
        <v>143.17406281821701</v>
      </c>
      <c r="L253">
        <v>14</v>
      </c>
      <c r="Q253" t="s">
        <v>49</v>
      </c>
      <c r="R253"/>
      <c r="S253">
        <v>5</v>
      </c>
      <c r="T253">
        <v>51.3</v>
      </c>
      <c r="U253">
        <f>100-37.5</f>
        <v>62.5</v>
      </c>
      <c r="Z253" t="s">
        <v>25</v>
      </c>
      <c r="AA253"/>
      <c r="AB253" s="2" t="s">
        <v>559</v>
      </c>
    </row>
    <row r="254" spans="1:28" x14ac:dyDescent="0.2">
      <c r="A254">
        <v>253</v>
      </c>
      <c r="B254" s="10" t="s">
        <v>560</v>
      </c>
      <c r="C254" s="10" t="s">
        <v>561</v>
      </c>
      <c r="D254" t="s">
        <v>81</v>
      </c>
      <c r="G254"/>
      <c r="R254"/>
      <c r="S254"/>
      <c r="AA254"/>
    </row>
    <row r="255" spans="1:28" x14ac:dyDescent="0.2">
      <c r="A255">
        <v>254</v>
      </c>
      <c r="B255" s="10" t="s">
        <v>562</v>
      </c>
      <c r="C255" s="10" t="s">
        <v>563</v>
      </c>
      <c r="D255" t="s">
        <v>81</v>
      </c>
      <c r="G255"/>
      <c r="R255"/>
      <c r="S255"/>
      <c r="AA255"/>
    </row>
    <row r="256" spans="1:28" x14ac:dyDescent="0.2">
      <c r="A256">
        <v>255</v>
      </c>
      <c r="B256" s="10" t="s">
        <v>564</v>
      </c>
      <c r="C256" s="10" t="s">
        <v>565</v>
      </c>
      <c r="D256" t="s">
        <v>81</v>
      </c>
      <c r="G256"/>
      <c r="R256"/>
      <c r="S256"/>
      <c r="AA256"/>
    </row>
    <row r="257" spans="1:27" x14ac:dyDescent="0.2">
      <c r="A257">
        <v>256</v>
      </c>
      <c r="B257" s="10" t="s">
        <v>566</v>
      </c>
      <c r="C257" s="10" t="s">
        <v>567</v>
      </c>
      <c r="D257" t="s">
        <v>81</v>
      </c>
      <c r="G257"/>
      <c r="R257"/>
      <c r="S257"/>
      <c r="AA257"/>
    </row>
    <row r="258" spans="1:27" x14ac:dyDescent="0.2">
      <c r="A258">
        <v>257</v>
      </c>
      <c r="B258" s="10" t="s">
        <v>568</v>
      </c>
      <c r="C258" s="10" t="s">
        <v>569</v>
      </c>
      <c r="D258" t="s">
        <v>81</v>
      </c>
      <c r="G258"/>
      <c r="R258"/>
      <c r="S258"/>
      <c r="AA258"/>
    </row>
    <row r="259" spans="1:27" x14ac:dyDescent="0.2">
      <c r="A259">
        <v>258</v>
      </c>
      <c r="B259" s="10" t="s">
        <v>570</v>
      </c>
      <c r="C259" s="10" t="s">
        <v>571</v>
      </c>
      <c r="D259" t="s">
        <v>81</v>
      </c>
      <c r="G259"/>
      <c r="R259"/>
      <c r="S259"/>
      <c r="AA259"/>
    </row>
    <row r="260" spans="1:27" x14ac:dyDescent="0.2">
      <c r="A260">
        <v>259</v>
      </c>
      <c r="B260" s="10" t="s">
        <v>572</v>
      </c>
      <c r="C260" s="10" t="s">
        <v>573</v>
      </c>
      <c r="D260" t="s">
        <v>81</v>
      </c>
      <c r="G260"/>
      <c r="R260"/>
      <c r="S260"/>
      <c r="AA260"/>
    </row>
    <row r="261" spans="1:27" x14ac:dyDescent="0.2">
      <c r="A261">
        <v>260</v>
      </c>
      <c r="B261" s="10" t="s">
        <v>574</v>
      </c>
      <c r="C261" s="10" t="s">
        <v>575</v>
      </c>
      <c r="D261" t="s">
        <v>81</v>
      </c>
      <c r="G261"/>
      <c r="R261"/>
      <c r="S261"/>
      <c r="AA261"/>
    </row>
    <row r="262" spans="1:27" x14ac:dyDescent="0.2">
      <c r="A262">
        <v>261</v>
      </c>
      <c r="B262" s="10" t="s">
        <v>576</v>
      </c>
      <c r="C262" s="10" t="s">
        <v>577</v>
      </c>
      <c r="D262" t="s">
        <v>81</v>
      </c>
      <c r="G262"/>
      <c r="R262"/>
      <c r="S262"/>
      <c r="AA262"/>
    </row>
    <row r="263" spans="1:27" x14ac:dyDescent="0.2">
      <c r="A263">
        <v>262</v>
      </c>
      <c r="B263" s="10" t="s">
        <v>578</v>
      </c>
      <c r="C263" s="10" t="s">
        <v>579</v>
      </c>
      <c r="D263" t="s">
        <v>81</v>
      </c>
      <c r="G263"/>
      <c r="R263"/>
      <c r="S263"/>
      <c r="AA263"/>
    </row>
    <row r="264" spans="1:27" x14ac:dyDescent="0.2">
      <c r="A264">
        <v>263</v>
      </c>
      <c r="B264" s="10" t="s">
        <v>580</v>
      </c>
      <c r="C264" s="10" t="s">
        <v>581</v>
      </c>
      <c r="D264" t="s">
        <v>81</v>
      </c>
      <c r="G264"/>
      <c r="R264"/>
      <c r="S264"/>
      <c r="AA264"/>
    </row>
    <row r="265" spans="1:27" x14ac:dyDescent="0.2">
      <c r="A265">
        <v>264</v>
      </c>
      <c r="B265" s="10" t="s">
        <v>582</v>
      </c>
      <c r="C265" s="10" t="s">
        <v>583</v>
      </c>
      <c r="D265" t="s">
        <v>81</v>
      </c>
      <c r="G265"/>
      <c r="R265"/>
      <c r="S265"/>
      <c r="AA265"/>
    </row>
    <row r="266" spans="1:27" x14ac:dyDescent="0.2">
      <c r="A266">
        <v>265</v>
      </c>
      <c r="B266" s="10" t="s">
        <v>584</v>
      </c>
      <c r="C266" s="10" t="s">
        <v>585</v>
      </c>
      <c r="D266" t="s">
        <v>81</v>
      </c>
      <c r="G266"/>
      <c r="R266"/>
      <c r="S266"/>
      <c r="AA266"/>
    </row>
    <row r="267" spans="1:27" x14ac:dyDescent="0.2">
      <c r="A267">
        <v>266</v>
      </c>
      <c r="B267" s="10" t="s">
        <v>586</v>
      </c>
      <c r="C267" s="10" t="s">
        <v>587</v>
      </c>
      <c r="D267" t="s">
        <v>81</v>
      </c>
      <c r="G267"/>
      <c r="R267"/>
      <c r="S267"/>
      <c r="AA267"/>
    </row>
    <row r="268" spans="1:27" x14ac:dyDescent="0.2">
      <c r="A268">
        <v>267</v>
      </c>
      <c r="B268" s="10" t="s">
        <v>588</v>
      </c>
      <c r="C268" s="10" t="s">
        <v>589</v>
      </c>
      <c r="D268" t="s">
        <v>81</v>
      </c>
      <c r="G268"/>
      <c r="R268"/>
      <c r="S268"/>
      <c r="AA268"/>
    </row>
    <row r="269" spans="1:27" x14ac:dyDescent="0.2">
      <c r="A269">
        <v>268</v>
      </c>
      <c r="B269" s="10" t="s">
        <v>590</v>
      </c>
      <c r="C269" s="10" t="s">
        <v>591</v>
      </c>
      <c r="D269" t="s">
        <v>81</v>
      </c>
      <c r="G269"/>
      <c r="R269"/>
      <c r="S269"/>
      <c r="AA269"/>
    </row>
    <row r="270" spans="1:27" x14ac:dyDescent="0.2">
      <c r="A270">
        <v>269</v>
      </c>
      <c r="B270" s="10" t="s">
        <v>592</v>
      </c>
      <c r="C270" s="10" t="s">
        <v>593</v>
      </c>
      <c r="D270" t="s">
        <v>81</v>
      </c>
      <c r="G270"/>
      <c r="R270"/>
      <c r="S270"/>
      <c r="AA270"/>
    </row>
    <row r="271" spans="1:27" x14ac:dyDescent="0.2">
      <c r="A271">
        <v>270</v>
      </c>
      <c r="B271" s="10" t="s">
        <v>594</v>
      </c>
      <c r="C271" s="10" t="s">
        <v>595</v>
      </c>
      <c r="D271" t="s">
        <v>81</v>
      </c>
      <c r="G271"/>
      <c r="R271"/>
      <c r="S271"/>
      <c r="AA271"/>
    </row>
    <row r="272" spans="1:27" x14ac:dyDescent="0.2">
      <c r="A272">
        <v>271</v>
      </c>
      <c r="B272" s="10" t="s">
        <v>596</v>
      </c>
      <c r="C272" s="10" t="s">
        <v>597</v>
      </c>
      <c r="D272" t="s">
        <v>81</v>
      </c>
      <c r="G272"/>
      <c r="R272"/>
      <c r="S272"/>
      <c r="AA272"/>
    </row>
    <row r="273" spans="1:29" x14ac:dyDescent="0.2">
      <c r="A273">
        <v>272</v>
      </c>
      <c r="B273" s="10" t="s">
        <v>598</v>
      </c>
      <c r="C273" s="10" t="s">
        <v>599</v>
      </c>
      <c r="D273" t="s">
        <v>81</v>
      </c>
      <c r="G273"/>
      <c r="R273"/>
      <c r="S273"/>
      <c r="AA273"/>
    </row>
    <row r="274" spans="1:29" x14ac:dyDescent="0.2">
      <c r="A274">
        <v>273</v>
      </c>
      <c r="B274" s="10" t="s">
        <v>603</v>
      </c>
      <c r="C274" s="10" t="s">
        <v>604</v>
      </c>
      <c r="D274" t="s">
        <v>80</v>
      </c>
      <c r="E274" s="9">
        <v>35156</v>
      </c>
      <c r="F274" t="s">
        <v>80</v>
      </c>
      <c r="G274"/>
      <c r="I274" t="s">
        <v>210</v>
      </c>
      <c r="L274">
        <v>3</v>
      </c>
      <c r="Q274" t="s">
        <v>49</v>
      </c>
      <c r="R274"/>
      <c r="S274">
        <f>AVERAGE(90,90,95)</f>
        <v>91.666666666666671</v>
      </c>
      <c r="T274">
        <f>AVERAGE(7.6,10.1,8.5)*100</f>
        <v>873.33333333333326</v>
      </c>
      <c r="U274">
        <f>AVERAGE(95,96,91)</f>
        <v>94</v>
      </c>
      <c r="Z274" t="s">
        <v>25</v>
      </c>
      <c r="AA274"/>
      <c r="AB274" s="2" t="s">
        <v>600</v>
      </c>
    </row>
    <row r="275" spans="1:29" x14ac:dyDescent="0.2">
      <c r="A275">
        <v>274</v>
      </c>
      <c r="B275" s="10" t="s">
        <v>605</v>
      </c>
      <c r="C275" s="10" t="s">
        <v>606</v>
      </c>
      <c r="D275" t="s">
        <v>80</v>
      </c>
      <c r="E275" s="9">
        <v>35156</v>
      </c>
      <c r="F275" t="s">
        <v>80</v>
      </c>
      <c r="G275"/>
      <c r="I275" t="s">
        <v>210</v>
      </c>
      <c r="L275">
        <v>3</v>
      </c>
      <c r="Q275" t="s">
        <v>49</v>
      </c>
      <c r="R275"/>
      <c r="S275">
        <f>AVERAGE(85,90,85)</f>
        <v>86.666666666666671</v>
      </c>
      <c r="T275">
        <f>AVERAGE(4.9,2.2,2.8)*100</f>
        <v>330</v>
      </c>
      <c r="U275">
        <f>AVERAGE(95,95,82)</f>
        <v>90.666666666666671</v>
      </c>
      <c r="Z275" t="s">
        <v>25</v>
      </c>
      <c r="AA275"/>
      <c r="AB275" s="2" t="s">
        <v>600</v>
      </c>
    </row>
    <row r="276" spans="1:29" x14ac:dyDescent="0.2">
      <c r="A276">
        <v>275</v>
      </c>
      <c r="B276" s="10" t="s">
        <v>601</v>
      </c>
      <c r="C276" s="10" t="s">
        <v>602</v>
      </c>
      <c r="D276" t="s">
        <v>80</v>
      </c>
      <c r="E276" s="9">
        <v>35156</v>
      </c>
      <c r="F276" t="s">
        <v>80</v>
      </c>
      <c r="G276"/>
      <c r="I276" t="s">
        <v>210</v>
      </c>
      <c r="L276">
        <v>3</v>
      </c>
      <c r="Q276" t="s">
        <v>49</v>
      </c>
      <c r="R276"/>
      <c r="S276">
        <f>AVERAGE(80,80,90)</f>
        <v>83.333333333333329</v>
      </c>
      <c r="T276">
        <f>AVERAGE(7,3.9,7.2)*100</f>
        <v>603.33333333333337</v>
      </c>
      <c r="U276">
        <f>AVERAGE(94,95,95)</f>
        <v>94.666666666666671</v>
      </c>
      <c r="Z276" t="s">
        <v>25</v>
      </c>
      <c r="AA276"/>
      <c r="AB276" s="2" t="s">
        <v>600</v>
      </c>
    </row>
    <row r="277" spans="1:29" x14ac:dyDescent="0.2">
      <c r="A277">
        <v>276</v>
      </c>
      <c r="B277" s="10" t="s">
        <v>608</v>
      </c>
      <c r="C277" s="10" t="s">
        <v>609</v>
      </c>
      <c r="D277" t="s">
        <v>80</v>
      </c>
      <c r="G277"/>
      <c r="R277"/>
      <c r="S277"/>
      <c r="AA277"/>
      <c r="AB277" s="2" t="s">
        <v>607</v>
      </c>
      <c r="AC277" t="s">
        <v>359</v>
      </c>
    </row>
    <row r="278" spans="1:29" x14ac:dyDescent="0.2">
      <c r="A278">
        <v>277</v>
      </c>
      <c r="B278" s="10" t="s">
        <v>601</v>
      </c>
      <c r="C278" s="10" t="s">
        <v>602</v>
      </c>
      <c r="D278" t="s">
        <v>80</v>
      </c>
      <c r="E278" s="9">
        <v>40725</v>
      </c>
      <c r="F278" t="s">
        <v>80</v>
      </c>
      <c r="G278"/>
      <c r="I278" t="s">
        <v>210</v>
      </c>
      <c r="L278">
        <v>19</v>
      </c>
      <c r="Q278" t="s">
        <v>49</v>
      </c>
      <c r="R278"/>
      <c r="S278"/>
      <c r="U278">
        <v>13</v>
      </c>
      <c r="X278">
        <f>72+4+2</f>
        <v>78</v>
      </c>
      <c r="Y278">
        <f>7+2</f>
        <v>9</v>
      </c>
      <c r="Z278" t="s">
        <v>25</v>
      </c>
      <c r="AA278"/>
      <c r="AB278" s="2" t="s">
        <v>610</v>
      </c>
    </row>
    <row r="279" spans="1:29" x14ac:dyDescent="0.2">
      <c r="A279">
        <v>278</v>
      </c>
      <c r="B279" s="10" t="s">
        <v>605</v>
      </c>
      <c r="C279" s="10" t="s">
        <v>606</v>
      </c>
      <c r="D279" t="s">
        <v>80</v>
      </c>
      <c r="E279" s="9">
        <v>40725</v>
      </c>
      <c r="F279" t="s">
        <v>80</v>
      </c>
      <c r="G279"/>
      <c r="I279" t="s">
        <v>210</v>
      </c>
      <c r="L279">
        <v>12</v>
      </c>
      <c r="Q279" t="s">
        <v>49</v>
      </c>
      <c r="R279"/>
      <c r="S279"/>
      <c r="U279">
        <v>19</v>
      </c>
      <c r="X279">
        <f>70+6+3</f>
        <v>79</v>
      </c>
      <c r="Y279">
        <f>3+1</f>
        <v>4</v>
      </c>
      <c r="Z279" t="s">
        <v>25</v>
      </c>
      <c r="AA279"/>
      <c r="AB279" s="2" t="s">
        <v>610</v>
      </c>
    </row>
    <row r="280" spans="1:29" x14ac:dyDescent="0.2">
      <c r="A280">
        <v>279</v>
      </c>
      <c r="B280" s="10" t="s">
        <v>603</v>
      </c>
      <c r="C280" s="10" t="s">
        <v>604</v>
      </c>
      <c r="D280" t="s">
        <v>80</v>
      </c>
      <c r="E280" s="9">
        <v>40725</v>
      </c>
      <c r="F280" t="s">
        <v>80</v>
      </c>
      <c r="G280"/>
      <c r="I280" t="s">
        <v>210</v>
      </c>
      <c r="L280">
        <v>21</v>
      </c>
      <c r="Q280" t="s">
        <v>49</v>
      </c>
      <c r="R280"/>
      <c r="S280"/>
      <c r="U280">
        <v>8</v>
      </c>
      <c r="X280">
        <f>82+1+6</f>
        <v>89</v>
      </c>
      <c r="Y280">
        <v>0</v>
      </c>
      <c r="Z280" t="s">
        <v>25</v>
      </c>
      <c r="AA280"/>
      <c r="AB280" s="2" t="s">
        <v>610</v>
      </c>
    </row>
    <row r="281" spans="1:29" x14ac:dyDescent="0.2">
      <c r="A281">
        <v>280</v>
      </c>
      <c r="B281" s="10" t="s">
        <v>614</v>
      </c>
      <c r="C281" s="10" t="s">
        <v>615</v>
      </c>
      <c r="D281" t="s">
        <v>80</v>
      </c>
      <c r="E281" s="9">
        <v>39646</v>
      </c>
      <c r="F281" t="s">
        <v>80</v>
      </c>
      <c r="G281"/>
      <c r="I281" t="s">
        <v>620</v>
      </c>
      <c r="J281">
        <v>20.654848210310298</v>
      </c>
      <c r="K281">
        <v>-101.331488504098</v>
      </c>
      <c r="L281">
        <v>2</v>
      </c>
      <c r="M281">
        <v>2</v>
      </c>
      <c r="N281">
        <v>4</v>
      </c>
      <c r="Q281" t="s">
        <v>8</v>
      </c>
      <c r="R281">
        <v>2</v>
      </c>
      <c r="S281">
        <v>90</v>
      </c>
      <c r="T281">
        <f>4010/2</f>
        <v>2005</v>
      </c>
      <c r="U281">
        <v>96</v>
      </c>
      <c r="V281">
        <v>90</v>
      </c>
      <c r="Z281" t="s">
        <v>9</v>
      </c>
      <c r="AA281"/>
      <c r="AB281" s="2" t="s">
        <v>611</v>
      </c>
    </row>
    <row r="282" spans="1:29" x14ac:dyDescent="0.2">
      <c r="A282">
        <v>281</v>
      </c>
      <c r="B282" s="10" t="s">
        <v>612</v>
      </c>
      <c r="C282" s="10" t="s">
        <v>613</v>
      </c>
      <c r="D282" t="s">
        <v>80</v>
      </c>
      <c r="E282" s="9">
        <v>39646</v>
      </c>
      <c r="F282" t="s">
        <v>80</v>
      </c>
      <c r="G282"/>
      <c r="I282" t="s">
        <v>620</v>
      </c>
      <c r="J282">
        <v>19.423314723304902</v>
      </c>
      <c r="K282">
        <v>-99.189504146458702</v>
      </c>
      <c r="L282">
        <v>3</v>
      </c>
      <c r="M282">
        <v>3</v>
      </c>
      <c r="N282">
        <v>5</v>
      </c>
      <c r="Q282" t="s">
        <v>8</v>
      </c>
      <c r="R282">
        <v>1.4</v>
      </c>
      <c r="S282">
        <v>84</v>
      </c>
      <c r="T282">
        <f>3031/1.4</f>
        <v>2165</v>
      </c>
      <c r="U282">
        <v>92</v>
      </c>
      <c r="V282">
        <v>92</v>
      </c>
      <c r="Z282" t="s">
        <v>9</v>
      </c>
      <c r="AA282"/>
      <c r="AB282" s="2" t="s">
        <v>611</v>
      </c>
    </row>
    <row r="283" spans="1:29" x14ac:dyDescent="0.2">
      <c r="A283">
        <v>282</v>
      </c>
      <c r="B283" s="10" t="s">
        <v>148</v>
      </c>
      <c r="C283" s="10" t="s">
        <v>616</v>
      </c>
      <c r="D283" t="s">
        <v>80</v>
      </c>
      <c r="E283" s="9">
        <v>39646</v>
      </c>
      <c r="F283" t="s">
        <v>80</v>
      </c>
      <c r="G283"/>
      <c r="I283" t="s">
        <v>620</v>
      </c>
      <c r="J283">
        <v>20.654848210310298</v>
      </c>
      <c r="K283">
        <v>-101.331488504098</v>
      </c>
      <c r="L283">
        <v>2</v>
      </c>
      <c r="M283">
        <v>3</v>
      </c>
      <c r="N283">
        <v>6</v>
      </c>
      <c r="Q283" t="s">
        <v>8</v>
      </c>
      <c r="R283">
        <v>1.2</v>
      </c>
      <c r="S283">
        <v>85</v>
      </c>
      <c r="T283">
        <f>3009/1.2</f>
        <v>2507.5</v>
      </c>
      <c r="U283">
        <v>95</v>
      </c>
      <c r="V283">
        <v>96</v>
      </c>
      <c r="Z283" t="s">
        <v>9</v>
      </c>
      <c r="AA283"/>
      <c r="AB283" s="2" t="s">
        <v>611</v>
      </c>
    </row>
    <row r="284" spans="1:29" x14ac:dyDescent="0.2">
      <c r="A284">
        <v>283</v>
      </c>
      <c r="B284" s="10" t="s">
        <v>617</v>
      </c>
      <c r="C284" s="10" t="s">
        <v>188</v>
      </c>
      <c r="D284" t="s">
        <v>80</v>
      </c>
      <c r="E284" s="9">
        <v>39646</v>
      </c>
      <c r="F284" t="s">
        <v>80</v>
      </c>
      <c r="G284"/>
      <c r="I284" t="s">
        <v>620</v>
      </c>
      <c r="J284">
        <v>20.654848210310298</v>
      </c>
      <c r="K284">
        <v>-101.331488504098</v>
      </c>
      <c r="L284">
        <v>2</v>
      </c>
      <c r="M284">
        <v>2</v>
      </c>
      <c r="N284">
        <v>2</v>
      </c>
      <c r="Q284" t="s">
        <v>8</v>
      </c>
      <c r="R284">
        <v>1.3</v>
      </c>
      <c r="S284">
        <v>83</v>
      </c>
      <c r="T284">
        <f>2703/1.3</f>
        <v>2079.2307692307691</v>
      </c>
      <c r="U284">
        <f>AVERAGE(92,88)</f>
        <v>90</v>
      </c>
      <c r="V284">
        <f>AVERAGE(91,90)</f>
        <v>90.5</v>
      </c>
      <c r="Z284" t="s">
        <v>9</v>
      </c>
      <c r="AA284"/>
      <c r="AB284" s="2" t="s">
        <v>611</v>
      </c>
    </row>
    <row r="285" spans="1:29" x14ac:dyDescent="0.2">
      <c r="A285">
        <v>284</v>
      </c>
      <c r="B285" s="10" t="s">
        <v>618</v>
      </c>
      <c r="C285" s="10" t="s">
        <v>619</v>
      </c>
      <c r="D285" t="s">
        <v>80</v>
      </c>
      <c r="E285" s="9">
        <v>39646</v>
      </c>
      <c r="F285" t="s">
        <v>80</v>
      </c>
      <c r="G285"/>
      <c r="I285" t="s">
        <v>620</v>
      </c>
      <c r="J285">
        <v>20.654848210310298</v>
      </c>
      <c r="K285">
        <v>-101.331488504098</v>
      </c>
      <c r="L285">
        <v>1</v>
      </c>
      <c r="Q285" t="s">
        <v>49</v>
      </c>
      <c r="R285">
        <v>0.6</v>
      </c>
      <c r="S285">
        <v>70</v>
      </c>
      <c r="T285">
        <f>3199/0.6</f>
        <v>5331.666666666667</v>
      </c>
      <c r="U285">
        <v>74</v>
      </c>
      <c r="V285">
        <v>92</v>
      </c>
      <c r="Z285" t="s">
        <v>9</v>
      </c>
      <c r="AA285"/>
      <c r="AB285" s="2" t="s">
        <v>611</v>
      </c>
    </row>
    <row r="286" spans="1:29" x14ac:dyDescent="0.2">
      <c r="A286">
        <v>285</v>
      </c>
      <c r="B286" s="10" t="s">
        <v>622</v>
      </c>
      <c r="C286" s="10" t="s">
        <v>623</v>
      </c>
      <c r="D286" t="s">
        <v>80</v>
      </c>
      <c r="E286" s="9">
        <v>42705</v>
      </c>
      <c r="F286" t="s">
        <v>80</v>
      </c>
      <c r="G286"/>
      <c r="I286" t="s">
        <v>20</v>
      </c>
      <c r="J286" t="s">
        <v>57</v>
      </c>
      <c r="K286" t="s">
        <v>57</v>
      </c>
      <c r="L286">
        <v>9</v>
      </c>
      <c r="M286">
        <v>2</v>
      </c>
      <c r="N286">
        <v>4</v>
      </c>
      <c r="Q286" t="s">
        <v>8</v>
      </c>
      <c r="R286">
        <v>3.2</v>
      </c>
      <c r="S286">
        <v>75.8</v>
      </c>
      <c r="T286">
        <f>1.2*1000</f>
        <v>1200</v>
      </c>
      <c r="U286">
        <v>57.1</v>
      </c>
      <c r="V286">
        <v>92.5</v>
      </c>
      <c r="Z286" t="s">
        <v>9</v>
      </c>
      <c r="AA286" t="s">
        <v>57</v>
      </c>
      <c r="AB286" s="2" t="s">
        <v>621</v>
      </c>
    </row>
    <row r="287" spans="1:29" x14ac:dyDescent="0.2">
      <c r="A287">
        <v>286</v>
      </c>
      <c r="B287" s="10" t="s">
        <v>624</v>
      </c>
      <c r="C287" s="10" t="s">
        <v>625</v>
      </c>
      <c r="D287" t="s">
        <v>80</v>
      </c>
      <c r="E287" s="9">
        <v>35827</v>
      </c>
      <c r="F287" t="s">
        <v>80</v>
      </c>
      <c r="G287"/>
      <c r="L287">
        <v>6</v>
      </c>
      <c r="M287">
        <v>3</v>
      </c>
      <c r="N287">
        <v>14</v>
      </c>
      <c r="Q287" t="s">
        <v>8</v>
      </c>
      <c r="R287">
        <v>7.7</v>
      </c>
      <c r="S287">
        <v>77.5</v>
      </c>
      <c r="T287">
        <v>780</v>
      </c>
      <c r="U287">
        <v>76</v>
      </c>
      <c r="Z287" t="s">
        <v>9</v>
      </c>
      <c r="AA287" t="s">
        <v>59</v>
      </c>
      <c r="AB287" s="2" t="s">
        <v>626</v>
      </c>
    </row>
    <row r="288" spans="1:29" x14ac:dyDescent="0.2">
      <c r="A288">
        <v>287</v>
      </c>
      <c r="B288" s="10" t="s">
        <v>628</v>
      </c>
      <c r="C288" s="10" t="s">
        <v>629</v>
      </c>
      <c r="D288" t="s">
        <v>80</v>
      </c>
      <c r="E288" s="9">
        <v>37165</v>
      </c>
      <c r="F288" t="s">
        <v>80</v>
      </c>
      <c r="G288"/>
      <c r="L288">
        <v>2</v>
      </c>
      <c r="M288">
        <v>4</v>
      </c>
      <c r="N288">
        <v>8</v>
      </c>
      <c r="Q288" t="s">
        <v>8</v>
      </c>
      <c r="R288">
        <f>AVERAGE(3.59,1.73)</f>
        <v>2.66</v>
      </c>
      <c r="S288">
        <f>AVERAGE(86.7,81.7)</f>
        <v>84.2</v>
      </c>
      <c r="T288">
        <f>AVERAGE(2.16,3.05)*100</f>
        <v>260.5</v>
      </c>
      <c r="U288">
        <f>AVERAGE(74.7,66.2)</f>
        <v>70.45</v>
      </c>
      <c r="V288">
        <f>AVERAGE(38.7,87.7)</f>
        <v>63.2</v>
      </c>
      <c r="AA288"/>
      <c r="AB288" s="2" t="s">
        <v>627</v>
      </c>
    </row>
    <row r="289" spans="1:28" x14ac:dyDescent="0.2">
      <c r="A289">
        <v>288</v>
      </c>
      <c r="B289" s="10" t="s">
        <v>631</v>
      </c>
      <c r="C289" s="10" t="s">
        <v>632</v>
      </c>
      <c r="D289" t="s">
        <v>80</v>
      </c>
      <c r="E289" s="9">
        <v>38658</v>
      </c>
      <c r="F289" t="s">
        <v>80</v>
      </c>
      <c r="G289"/>
      <c r="I289" t="s">
        <v>20</v>
      </c>
      <c r="J289" t="s">
        <v>57</v>
      </c>
      <c r="K289" t="s">
        <v>57</v>
      </c>
      <c r="L289">
        <v>10</v>
      </c>
      <c r="M289">
        <v>3</v>
      </c>
      <c r="N289">
        <v>6</v>
      </c>
      <c r="Q289" t="s">
        <v>8</v>
      </c>
      <c r="R289">
        <v>1.75</v>
      </c>
      <c r="S289">
        <v>60</v>
      </c>
      <c r="T289">
        <v>387</v>
      </c>
      <c r="U289">
        <v>40</v>
      </c>
      <c r="W289">
        <f>4.1+2.9</f>
        <v>7</v>
      </c>
      <c r="X289">
        <f>16.2+9.2+4.8+0.9</f>
        <v>31.099999999999998</v>
      </c>
      <c r="Y289">
        <f>5.7+4.4+3+2.6+0.3</f>
        <v>16</v>
      </c>
      <c r="Z289" t="s">
        <v>9</v>
      </c>
      <c r="AA289" t="s">
        <v>57</v>
      </c>
      <c r="AB289" s="2" t="s">
        <v>630</v>
      </c>
    </row>
    <row r="290" spans="1:28" x14ac:dyDescent="0.2">
      <c r="A290">
        <v>289</v>
      </c>
      <c r="B290" s="10" t="s">
        <v>631</v>
      </c>
      <c r="C290" s="10" t="s">
        <v>632</v>
      </c>
      <c r="D290" t="s">
        <v>80</v>
      </c>
      <c r="E290" s="9">
        <v>38658</v>
      </c>
      <c r="F290" t="s">
        <v>80</v>
      </c>
      <c r="G290"/>
      <c r="I290" t="s">
        <v>633</v>
      </c>
      <c r="J290">
        <v>0.317942587210643</v>
      </c>
      <c r="K290">
        <v>36.976555100415197</v>
      </c>
      <c r="L290">
        <v>6</v>
      </c>
      <c r="Q290" t="s">
        <v>8</v>
      </c>
      <c r="R290">
        <v>0.9</v>
      </c>
      <c r="S290">
        <v>46</v>
      </c>
      <c r="T290">
        <v>1146.8</v>
      </c>
      <c r="U290">
        <v>40</v>
      </c>
      <c r="W290">
        <f>2+8.2+0</f>
        <v>10.199999999999999</v>
      </c>
      <c r="X290">
        <f>34+4.2+1.2+0.5+1.3+2.3</f>
        <v>43.5</v>
      </c>
      <c r="Y290">
        <f>3.5+1.2+0.5</f>
        <v>5.2</v>
      </c>
      <c r="Z290" t="s">
        <v>25</v>
      </c>
      <c r="AA290"/>
      <c r="AB290" s="2" t="s">
        <v>630</v>
      </c>
    </row>
    <row r="291" spans="1:28" x14ac:dyDescent="0.2">
      <c r="A291">
        <v>290</v>
      </c>
      <c r="B291" s="10" t="s">
        <v>634</v>
      </c>
      <c r="C291" s="10" t="s">
        <v>635</v>
      </c>
      <c r="D291" t="s">
        <v>81</v>
      </c>
      <c r="G291"/>
      <c r="R291"/>
      <c r="S291"/>
      <c r="AA291"/>
    </row>
    <row r="292" spans="1:28" x14ac:dyDescent="0.2">
      <c r="A292">
        <v>291</v>
      </c>
      <c r="B292" s="10" t="s">
        <v>636</v>
      </c>
      <c r="C292" s="10" t="s">
        <v>637</v>
      </c>
      <c r="D292" t="s">
        <v>81</v>
      </c>
      <c r="G292"/>
      <c r="R292"/>
      <c r="S292"/>
      <c r="AA292"/>
    </row>
    <row r="293" spans="1:28" x14ac:dyDescent="0.2">
      <c r="A293">
        <v>292</v>
      </c>
      <c r="B293" s="10" t="s">
        <v>638</v>
      </c>
      <c r="C293" s="10" t="s">
        <v>639</v>
      </c>
      <c r="D293" t="s">
        <v>81</v>
      </c>
      <c r="G293"/>
      <c r="R293"/>
      <c r="S293"/>
      <c r="AA293"/>
    </row>
    <row r="294" spans="1:28" x14ac:dyDescent="0.2">
      <c r="A294">
        <v>293</v>
      </c>
      <c r="B294" s="10" t="s">
        <v>143</v>
      </c>
      <c r="C294" s="10" t="s">
        <v>133</v>
      </c>
      <c r="D294" t="s">
        <v>80</v>
      </c>
      <c r="E294" s="9">
        <v>40787</v>
      </c>
      <c r="F294" t="s">
        <v>80</v>
      </c>
      <c r="G294"/>
      <c r="I294" t="s">
        <v>211</v>
      </c>
      <c r="J294">
        <v>-5.1665598423530499</v>
      </c>
      <c r="K294">
        <v>-37.166645245761899</v>
      </c>
      <c r="L294">
        <v>4</v>
      </c>
      <c r="Q294" t="s">
        <v>8</v>
      </c>
      <c r="R294">
        <f>279.2/1000</f>
        <v>0.2792</v>
      </c>
      <c r="S294">
        <v>65.8</v>
      </c>
      <c r="T294">
        <v>757</v>
      </c>
      <c r="U294">
        <v>89.5</v>
      </c>
      <c r="Z294" t="s">
        <v>9</v>
      </c>
      <c r="AA294" t="s">
        <v>59</v>
      </c>
      <c r="AB294" s="2" t="s">
        <v>640</v>
      </c>
    </row>
    <row r="295" spans="1:28" x14ac:dyDescent="0.2">
      <c r="A295">
        <v>294</v>
      </c>
      <c r="B295" s="10" t="s">
        <v>143</v>
      </c>
      <c r="C295" s="10" t="s">
        <v>133</v>
      </c>
      <c r="D295" t="s">
        <v>80</v>
      </c>
      <c r="E295" s="9">
        <v>40269</v>
      </c>
      <c r="F295" t="s">
        <v>80</v>
      </c>
      <c r="G295" s="9">
        <v>39295</v>
      </c>
      <c r="H295" s="9">
        <v>39538</v>
      </c>
      <c r="I295" t="s">
        <v>211</v>
      </c>
      <c r="J295">
        <v>-5.1665598423530499</v>
      </c>
      <c r="K295">
        <v>-37.166645245761899</v>
      </c>
      <c r="L295">
        <v>6</v>
      </c>
      <c r="Q295" t="s">
        <v>8</v>
      </c>
      <c r="R295">
        <f>353/1000</f>
        <v>0.35299999999999998</v>
      </c>
      <c r="S295">
        <v>61</v>
      </c>
      <c r="T295">
        <v>45</v>
      </c>
      <c r="U295">
        <v>86</v>
      </c>
      <c r="V295">
        <v>99</v>
      </c>
      <c r="Z295" t="s">
        <v>9</v>
      </c>
      <c r="AA295" t="s">
        <v>59</v>
      </c>
      <c r="AB295" s="2" t="s">
        <v>641</v>
      </c>
    </row>
    <row r="296" spans="1:28" x14ac:dyDescent="0.2">
      <c r="A296">
        <v>295</v>
      </c>
      <c r="B296" s="10" t="s">
        <v>143</v>
      </c>
      <c r="C296" s="10" t="s">
        <v>133</v>
      </c>
      <c r="D296" t="s">
        <v>80</v>
      </c>
      <c r="E296" s="9">
        <v>42675</v>
      </c>
      <c r="F296" t="s">
        <v>80</v>
      </c>
      <c r="G296"/>
      <c r="I296" t="s">
        <v>211</v>
      </c>
      <c r="J296">
        <v>-5.20810337205147</v>
      </c>
      <c r="K296">
        <v>-37.323264632269897</v>
      </c>
      <c r="L296">
        <v>4</v>
      </c>
      <c r="M296">
        <v>3.5</v>
      </c>
      <c r="N296">
        <v>3.5</v>
      </c>
      <c r="Q296" t="s">
        <v>8</v>
      </c>
      <c r="R296">
        <f>279.1/1000</f>
        <v>0.27910000000000001</v>
      </c>
      <c r="S296">
        <v>65.8</v>
      </c>
      <c r="T296">
        <v>37.799999999999997</v>
      </c>
      <c r="U296">
        <f>89.2</f>
        <v>89.2</v>
      </c>
      <c r="Z296" t="s">
        <v>9</v>
      </c>
      <c r="AA296" t="s">
        <v>59</v>
      </c>
      <c r="AB296" s="2" t="s">
        <v>642</v>
      </c>
    </row>
    <row r="297" spans="1:28" x14ac:dyDescent="0.2">
      <c r="A297">
        <v>296</v>
      </c>
      <c r="B297" s="10" t="s">
        <v>643</v>
      </c>
      <c r="C297" s="10" t="s">
        <v>644</v>
      </c>
      <c r="D297" t="s">
        <v>81</v>
      </c>
      <c r="G297"/>
      <c r="R297"/>
      <c r="S297"/>
      <c r="AA297"/>
    </row>
    <row r="298" spans="1:28" x14ac:dyDescent="0.2">
      <c r="A298">
        <v>297</v>
      </c>
      <c r="B298" s="10" t="s">
        <v>645</v>
      </c>
      <c r="C298" s="10" t="s">
        <v>646</v>
      </c>
      <c r="D298" t="s">
        <v>81</v>
      </c>
      <c r="G298"/>
      <c r="R298"/>
      <c r="S298"/>
      <c r="AA298"/>
    </row>
    <row r="299" spans="1:28" x14ac:dyDescent="0.2">
      <c r="A299">
        <v>298</v>
      </c>
      <c r="B299" s="10" t="s">
        <v>647</v>
      </c>
      <c r="C299" s="10" t="s">
        <v>648</v>
      </c>
      <c r="D299" t="s">
        <v>81</v>
      </c>
      <c r="G299"/>
      <c r="R299"/>
      <c r="S299"/>
      <c r="AA299"/>
    </row>
    <row r="300" spans="1:28" x14ac:dyDescent="0.2">
      <c r="A300">
        <v>299</v>
      </c>
      <c r="B300" s="10" t="s">
        <v>649</v>
      </c>
      <c r="C300" s="10" t="s">
        <v>650</v>
      </c>
      <c r="D300" t="s">
        <v>81</v>
      </c>
      <c r="G300"/>
      <c r="R300"/>
      <c r="S300"/>
      <c r="AA300"/>
    </row>
    <row r="301" spans="1:28" x14ac:dyDescent="0.2">
      <c r="A301">
        <v>300</v>
      </c>
      <c r="B301" s="10" t="s">
        <v>651</v>
      </c>
      <c r="C301" s="10" t="s">
        <v>652</v>
      </c>
      <c r="D301" t="s">
        <v>81</v>
      </c>
      <c r="G301"/>
      <c r="R301"/>
      <c r="S301"/>
      <c r="AA301"/>
    </row>
    <row r="302" spans="1:28" x14ac:dyDescent="0.2">
      <c r="A302">
        <v>301</v>
      </c>
      <c r="B302" s="10" t="s">
        <v>653</v>
      </c>
      <c r="C302" s="10" t="s">
        <v>654</v>
      </c>
      <c r="D302" t="s">
        <v>81</v>
      </c>
      <c r="G302"/>
      <c r="R302"/>
      <c r="S302"/>
      <c r="AA302"/>
    </row>
    <row r="303" spans="1:28" x14ac:dyDescent="0.2">
      <c r="A303">
        <v>302</v>
      </c>
      <c r="B303" s="10" t="s">
        <v>655</v>
      </c>
      <c r="C303" s="10" t="s">
        <v>656</v>
      </c>
      <c r="D303" t="s">
        <v>81</v>
      </c>
      <c r="G303"/>
      <c r="R303"/>
      <c r="S303"/>
      <c r="AA303"/>
    </row>
    <row r="304" spans="1:28" x14ac:dyDescent="0.2">
      <c r="A304">
        <v>303</v>
      </c>
      <c r="B304" s="10" t="s">
        <v>657</v>
      </c>
      <c r="C304" s="10" t="s">
        <v>658</v>
      </c>
      <c r="D304" t="s">
        <v>81</v>
      </c>
      <c r="G304"/>
      <c r="R304"/>
      <c r="S304"/>
      <c r="AA304"/>
    </row>
    <row r="305" spans="1:27" x14ac:dyDescent="0.2">
      <c r="A305">
        <v>304</v>
      </c>
      <c r="B305" s="10" t="s">
        <v>659</v>
      </c>
      <c r="C305" s="10" t="s">
        <v>660</v>
      </c>
      <c r="D305" t="s">
        <v>81</v>
      </c>
      <c r="G305"/>
      <c r="R305"/>
      <c r="S305"/>
      <c r="AA305"/>
    </row>
    <row r="306" spans="1:27" x14ac:dyDescent="0.2">
      <c r="A306">
        <v>305</v>
      </c>
      <c r="B306" s="10" t="s">
        <v>661</v>
      </c>
      <c r="C306" s="10" t="s">
        <v>662</v>
      </c>
      <c r="D306" t="s">
        <v>81</v>
      </c>
      <c r="G306"/>
      <c r="R306"/>
      <c r="S306"/>
      <c r="AA306"/>
    </row>
    <row r="307" spans="1:27" x14ac:dyDescent="0.2">
      <c r="A307">
        <v>306</v>
      </c>
      <c r="B307" s="10" t="s">
        <v>663</v>
      </c>
      <c r="C307" s="10" t="s">
        <v>664</v>
      </c>
      <c r="D307" t="s">
        <v>81</v>
      </c>
      <c r="G307"/>
      <c r="R307"/>
      <c r="S307"/>
      <c r="AA307"/>
    </row>
    <row r="308" spans="1:27" x14ac:dyDescent="0.2">
      <c r="A308">
        <v>307</v>
      </c>
      <c r="B308" s="10" t="s">
        <v>665</v>
      </c>
      <c r="C308" s="10" t="s">
        <v>666</v>
      </c>
      <c r="D308" t="s">
        <v>81</v>
      </c>
      <c r="G308"/>
      <c r="R308"/>
      <c r="S308"/>
      <c r="AA308"/>
    </row>
    <row r="309" spans="1:27" x14ac:dyDescent="0.2">
      <c r="A309">
        <v>308</v>
      </c>
      <c r="B309" s="10" t="s">
        <v>667</v>
      </c>
      <c r="C309" s="10" t="s">
        <v>668</v>
      </c>
      <c r="D309" t="s">
        <v>81</v>
      </c>
      <c r="G309"/>
      <c r="R309"/>
      <c r="S309"/>
      <c r="AA309"/>
    </row>
    <row r="310" spans="1:27" x14ac:dyDescent="0.2">
      <c r="A310">
        <v>309</v>
      </c>
      <c r="B310" s="10" t="s">
        <v>669</v>
      </c>
      <c r="C310" s="10" t="s">
        <v>670</v>
      </c>
      <c r="D310" t="s">
        <v>81</v>
      </c>
      <c r="G310"/>
      <c r="R310"/>
      <c r="S310"/>
      <c r="AA310"/>
    </row>
    <row r="311" spans="1:27" x14ac:dyDescent="0.2">
      <c r="A311">
        <v>310</v>
      </c>
      <c r="B311" s="10" t="s">
        <v>671</v>
      </c>
      <c r="C311" s="10" t="s">
        <v>672</v>
      </c>
      <c r="D311" t="s">
        <v>81</v>
      </c>
      <c r="G311"/>
      <c r="R311"/>
      <c r="S311"/>
      <c r="AA311"/>
    </row>
    <row r="312" spans="1:27" x14ac:dyDescent="0.2">
      <c r="A312">
        <v>311</v>
      </c>
      <c r="B312" s="10" t="s">
        <v>673</v>
      </c>
      <c r="C312" s="10" t="s">
        <v>674</v>
      </c>
      <c r="D312" t="s">
        <v>81</v>
      </c>
      <c r="G312"/>
      <c r="R312"/>
      <c r="S312"/>
      <c r="AA312"/>
    </row>
    <row r="313" spans="1:27" x14ac:dyDescent="0.2">
      <c r="A313">
        <v>312</v>
      </c>
      <c r="B313" s="10" t="s">
        <v>675</v>
      </c>
      <c r="C313" s="10" t="s">
        <v>676</v>
      </c>
      <c r="D313" t="s">
        <v>81</v>
      </c>
      <c r="G313"/>
      <c r="R313"/>
      <c r="S313"/>
      <c r="AA313"/>
    </row>
    <row r="314" spans="1:27" x14ac:dyDescent="0.2">
      <c r="A314">
        <v>313</v>
      </c>
      <c r="B314" s="10" t="s">
        <v>677</v>
      </c>
      <c r="C314" s="10" t="s">
        <v>678</v>
      </c>
      <c r="D314" t="s">
        <v>81</v>
      </c>
      <c r="G314"/>
      <c r="R314"/>
      <c r="S314"/>
      <c r="AA314"/>
    </row>
    <row r="315" spans="1:27" x14ac:dyDescent="0.2">
      <c r="A315">
        <v>314</v>
      </c>
      <c r="B315" s="10" t="s">
        <v>679</v>
      </c>
      <c r="C315" s="10" t="s">
        <v>680</v>
      </c>
      <c r="D315" t="s">
        <v>81</v>
      </c>
      <c r="G315"/>
      <c r="R315"/>
      <c r="S315"/>
      <c r="AA315"/>
    </row>
    <row r="316" spans="1:27" x14ac:dyDescent="0.2">
      <c r="A316">
        <v>315</v>
      </c>
      <c r="B316" s="10" t="s">
        <v>681</v>
      </c>
      <c r="C316" s="10" t="s">
        <v>682</v>
      </c>
      <c r="D316" t="s">
        <v>81</v>
      </c>
      <c r="G316"/>
      <c r="R316"/>
      <c r="S316"/>
      <c r="AA316"/>
    </row>
    <row r="317" spans="1:27" x14ac:dyDescent="0.2">
      <c r="A317">
        <v>316</v>
      </c>
      <c r="B317" s="10" t="s">
        <v>683</v>
      </c>
      <c r="C317" s="10" t="s">
        <v>684</v>
      </c>
      <c r="D317" t="s">
        <v>81</v>
      </c>
      <c r="G317"/>
      <c r="R317"/>
      <c r="S317"/>
      <c r="AA317"/>
    </row>
    <row r="318" spans="1:27" x14ac:dyDescent="0.2">
      <c r="A318">
        <v>317</v>
      </c>
      <c r="B318" s="10" t="s">
        <v>685</v>
      </c>
      <c r="C318" s="10" t="s">
        <v>686</v>
      </c>
      <c r="D318" t="s">
        <v>81</v>
      </c>
      <c r="G318"/>
      <c r="R318"/>
      <c r="S318"/>
      <c r="AA318"/>
    </row>
    <row r="319" spans="1:27" x14ac:dyDescent="0.2">
      <c r="A319">
        <v>318</v>
      </c>
      <c r="B319" s="10" t="s">
        <v>687</v>
      </c>
      <c r="C319" s="10" t="s">
        <v>688</v>
      </c>
      <c r="D319" t="s">
        <v>81</v>
      </c>
      <c r="G319"/>
      <c r="R319"/>
      <c r="S319"/>
      <c r="AA319"/>
    </row>
    <row r="320" spans="1:27" x14ac:dyDescent="0.2">
      <c r="A320">
        <v>319</v>
      </c>
      <c r="B320" s="10" t="s">
        <v>689</v>
      </c>
      <c r="C320" s="10" t="s">
        <v>690</v>
      </c>
      <c r="D320" t="s">
        <v>81</v>
      </c>
      <c r="G320"/>
      <c r="R320"/>
      <c r="S320"/>
      <c r="AA320"/>
    </row>
    <row r="321" spans="1:28" x14ac:dyDescent="0.2">
      <c r="A321">
        <v>320</v>
      </c>
      <c r="B321" s="10" t="s">
        <v>691</v>
      </c>
      <c r="C321" s="10" t="s">
        <v>692</v>
      </c>
      <c r="D321" t="s">
        <v>81</v>
      </c>
      <c r="G321"/>
      <c r="R321"/>
      <c r="S321"/>
      <c r="AA321"/>
    </row>
    <row r="322" spans="1:28" x14ac:dyDescent="0.2">
      <c r="A322">
        <v>321</v>
      </c>
      <c r="B322" s="10" t="s">
        <v>693</v>
      </c>
      <c r="C322" s="10" t="s">
        <v>694</v>
      </c>
      <c r="D322" t="s">
        <v>81</v>
      </c>
      <c r="G322"/>
      <c r="R322"/>
      <c r="S322"/>
      <c r="AA322"/>
    </row>
    <row r="323" spans="1:28" x14ac:dyDescent="0.2">
      <c r="A323">
        <v>322</v>
      </c>
      <c r="B323" s="10" t="s">
        <v>695</v>
      </c>
      <c r="C323" s="10" t="s">
        <v>696</v>
      </c>
      <c r="D323" t="s">
        <v>81</v>
      </c>
      <c r="G323"/>
      <c r="R323"/>
      <c r="S323"/>
      <c r="AA323"/>
    </row>
    <row r="324" spans="1:28" x14ac:dyDescent="0.2">
      <c r="A324">
        <v>323</v>
      </c>
      <c r="B324" s="10" t="s">
        <v>286</v>
      </c>
      <c r="C324" s="10" t="s">
        <v>285</v>
      </c>
      <c r="D324" t="s">
        <v>80</v>
      </c>
      <c r="E324" s="9">
        <v>40787</v>
      </c>
      <c r="F324" t="s">
        <v>80</v>
      </c>
      <c r="G324" s="9">
        <v>39083</v>
      </c>
      <c r="H324" s="9">
        <v>39294</v>
      </c>
      <c r="I324" t="s">
        <v>220</v>
      </c>
      <c r="J324">
        <v>-43.081465593391201</v>
      </c>
      <c r="K324">
        <v>147.797738567979</v>
      </c>
      <c r="L324">
        <v>17</v>
      </c>
      <c r="M324">
        <v>1.5</v>
      </c>
      <c r="Q324" t="s">
        <v>49</v>
      </c>
      <c r="R324"/>
      <c r="S324">
        <f>AVERAGE(29.4,46.8,29.4)</f>
        <v>35.199999999999996</v>
      </c>
      <c r="V324">
        <f>AVERAGE(69,66.8)</f>
        <v>67.900000000000006</v>
      </c>
      <c r="W324">
        <f>100-AVERAGE(70.4,41.6,5.8)</f>
        <v>60.733333333333334</v>
      </c>
      <c r="X324">
        <f>100-AVERAGE(88.8,84.5,87.6)</f>
        <v>13.033333333333346</v>
      </c>
      <c r="Y324">
        <f>100-AVERAGE(80.9,76.6,82.9)</f>
        <v>19.86666666666666</v>
      </c>
      <c r="Z324" t="s">
        <v>25</v>
      </c>
      <c r="AA324"/>
      <c r="AB324" s="2" t="s">
        <v>697</v>
      </c>
    </row>
    <row r="325" spans="1:28" x14ac:dyDescent="0.2">
      <c r="A325">
        <v>324</v>
      </c>
      <c r="B325" s="10" t="s">
        <v>698</v>
      </c>
      <c r="C325" s="10" t="s">
        <v>699</v>
      </c>
      <c r="D325" t="s">
        <v>81</v>
      </c>
      <c r="E325" s="9"/>
      <c r="G325" s="9"/>
      <c r="H325" s="9"/>
      <c r="R325"/>
      <c r="S325"/>
      <c r="AA325"/>
      <c r="AB325" s="2"/>
    </row>
    <row r="326" spans="1:28" x14ac:dyDescent="0.2">
      <c r="A326">
        <v>325</v>
      </c>
      <c r="B326" s="10" t="s">
        <v>700</v>
      </c>
      <c r="C326" s="10" t="s">
        <v>701</v>
      </c>
      <c r="D326" t="s">
        <v>81</v>
      </c>
      <c r="G326"/>
      <c r="R326"/>
      <c r="S326"/>
      <c r="AA326"/>
    </row>
    <row r="327" spans="1:28" x14ac:dyDescent="0.2">
      <c r="A327">
        <v>326</v>
      </c>
      <c r="B327" s="10" t="s">
        <v>702</v>
      </c>
      <c r="C327" s="10" t="s">
        <v>703</v>
      </c>
      <c r="D327" t="s">
        <v>81</v>
      </c>
      <c r="G327"/>
      <c r="R327"/>
      <c r="S327"/>
      <c r="AA327"/>
    </row>
    <row r="328" spans="1:28" x14ac:dyDescent="0.2">
      <c r="A328">
        <v>327</v>
      </c>
      <c r="B328" s="10" t="s">
        <v>704</v>
      </c>
      <c r="C328" s="10" t="s">
        <v>705</v>
      </c>
      <c r="D328" t="s">
        <v>81</v>
      </c>
      <c r="G328"/>
      <c r="R328"/>
      <c r="S328"/>
      <c r="AA328"/>
    </row>
    <row r="329" spans="1:28" x14ac:dyDescent="0.2">
      <c r="A329">
        <v>328</v>
      </c>
      <c r="B329" s="10" t="s">
        <v>706</v>
      </c>
      <c r="C329" s="10" t="s">
        <v>707</v>
      </c>
      <c r="D329" t="s">
        <v>81</v>
      </c>
      <c r="G329"/>
      <c r="R329"/>
      <c r="S329"/>
      <c r="AA329"/>
      <c r="AB329" s="2"/>
    </row>
    <row r="330" spans="1:28" x14ac:dyDescent="0.2">
      <c r="A330">
        <v>329</v>
      </c>
      <c r="B330" s="10" t="s">
        <v>708</v>
      </c>
      <c r="C330" s="10" t="s">
        <v>709</v>
      </c>
      <c r="D330" t="s">
        <v>81</v>
      </c>
      <c r="G330"/>
      <c r="R330"/>
      <c r="S330"/>
      <c r="AA330"/>
    </row>
    <row r="331" spans="1:28" x14ac:dyDescent="0.2">
      <c r="A331">
        <v>330</v>
      </c>
      <c r="B331" s="10" t="s">
        <v>710</v>
      </c>
      <c r="C331" s="10" t="s">
        <v>711</v>
      </c>
      <c r="D331" t="s">
        <v>81</v>
      </c>
      <c r="G331"/>
      <c r="R331"/>
      <c r="S331"/>
      <c r="AA331"/>
    </row>
    <row r="332" spans="1:28" x14ac:dyDescent="0.2">
      <c r="A332">
        <v>331</v>
      </c>
      <c r="B332" s="10" t="s">
        <v>712</v>
      </c>
      <c r="C332" s="10" t="s">
        <v>713</v>
      </c>
      <c r="D332" t="s">
        <v>81</v>
      </c>
      <c r="G332"/>
      <c r="R332"/>
      <c r="S332"/>
      <c r="AA332"/>
    </row>
    <row r="333" spans="1:28" x14ac:dyDescent="0.2">
      <c r="A333">
        <v>332</v>
      </c>
      <c r="B333" s="10" t="s">
        <v>714</v>
      </c>
      <c r="C333" s="10" t="s">
        <v>715</v>
      </c>
      <c r="D333" t="s">
        <v>81</v>
      </c>
      <c r="G333"/>
      <c r="R333"/>
      <c r="S333"/>
      <c r="AA333"/>
      <c r="AB333" s="2"/>
    </row>
    <row r="334" spans="1:28" x14ac:dyDescent="0.2">
      <c r="A334">
        <v>333</v>
      </c>
      <c r="B334" s="10" t="s">
        <v>716</v>
      </c>
      <c r="C334" s="10" t="s">
        <v>717</v>
      </c>
      <c r="D334" t="s">
        <v>81</v>
      </c>
      <c r="G334"/>
      <c r="R334"/>
      <c r="S334"/>
      <c r="AA334"/>
    </row>
    <row r="335" spans="1:28" x14ac:dyDescent="0.2">
      <c r="A335">
        <v>334</v>
      </c>
      <c r="B335" s="10" t="s">
        <v>718</v>
      </c>
      <c r="C335" s="10" t="s">
        <v>719</v>
      </c>
      <c r="D335" s="4" t="s">
        <v>81</v>
      </c>
    </row>
    <row r="336" spans="1:28" x14ac:dyDescent="0.2">
      <c r="A336">
        <v>335</v>
      </c>
      <c r="B336" t="s">
        <v>720</v>
      </c>
      <c r="C336" t="s">
        <v>721</v>
      </c>
      <c r="D336" t="s">
        <v>80</v>
      </c>
      <c r="E336" s="9">
        <v>44267</v>
      </c>
      <c r="F336" t="s">
        <v>80</v>
      </c>
      <c r="G336"/>
      <c r="I336" t="s">
        <v>723</v>
      </c>
      <c r="J336">
        <v>5.8500917710755003</v>
      </c>
      <c r="K336">
        <v>116.069316597439</v>
      </c>
      <c r="L336">
        <v>2</v>
      </c>
      <c r="M336">
        <v>12</v>
      </c>
      <c r="N336">
        <v>14</v>
      </c>
      <c r="Q336" t="s">
        <v>8</v>
      </c>
      <c r="R336">
        <f>AVERAGE(221/1000,160/1000)</f>
        <v>0.1905</v>
      </c>
      <c r="S336">
        <f>AVERAGE(81,41.2)</f>
        <v>61.1</v>
      </c>
      <c r="T336">
        <f>AVERAGE(82,9.6)</f>
        <v>45.8</v>
      </c>
      <c r="U336">
        <f>AVERAGE(28,29.4)</f>
        <v>28.7</v>
      </c>
      <c r="W336">
        <f>AVERAGE(0.7+0.7+0.1+0.2+0.1,1.6+0.3)</f>
        <v>1.85</v>
      </c>
      <c r="X336">
        <f>AVERAGE(12.8,13.6)</f>
        <v>13.2</v>
      </c>
      <c r="Y336">
        <f>AVERAGE(49.4+6.2+0.7+0.1,39.2+15.7+0.5+0.2)</f>
        <v>56.000000000000007</v>
      </c>
      <c r="Z336" t="s">
        <v>9</v>
      </c>
      <c r="AA336" t="s">
        <v>64</v>
      </c>
      <c r="AB336" s="2" t="s">
        <v>722</v>
      </c>
    </row>
    <row r="337" spans="1:28" x14ac:dyDescent="0.2">
      <c r="A337">
        <v>336</v>
      </c>
      <c r="B337" t="s">
        <v>724</v>
      </c>
      <c r="C337" t="s">
        <v>725</v>
      </c>
      <c r="D337" t="s">
        <v>81</v>
      </c>
      <c r="G337"/>
      <c r="R337"/>
      <c r="S337"/>
      <c r="AA337"/>
    </row>
    <row r="338" spans="1:28" x14ac:dyDescent="0.2">
      <c r="A338">
        <v>337</v>
      </c>
      <c r="B338" t="s">
        <v>726</v>
      </c>
      <c r="C338" t="s">
        <v>727</v>
      </c>
      <c r="D338" t="s">
        <v>81</v>
      </c>
      <c r="G338"/>
      <c r="R338"/>
      <c r="S338"/>
      <c r="AA338"/>
    </row>
    <row r="339" spans="1:28" x14ac:dyDescent="0.2">
      <c r="A339">
        <v>338</v>
      </c>
      <c r="B339" t="s">
        <v>728</v>
      </c>
      <c r="C339" t="s">
        <v>729</v>
      </c>
      <c r="D339" t="s">
        <v>81</v>
      </c>
      <c r="G339"/>
      <c r="R339"/>
      <c r="S339"/>
      <c r="AA339"/>
    </row>
    <row r="340" spans="1:28" x14ac:dyDescent="0.2">
      <c r="A340">
        <v>339</v>
      </c>
      <c r="B340" t="s">
        <v>730</v>
      </c>
      <c r="C340" t="s">
        <v>731</v>
      </c>
      <c r="D340" t="s">
        <v>81</v>
      </c>
      <c r="G340"/>
      <c r="R340"/>
      <c r="S340"/>
      <c r="AA340"/>
    </row>
    <row r="341" spans="1:28" x14ac:dyDescent="0.2">
      <c r="A341">
        <v>340</v>
      </c>
      <c r="B341" t="s">
        <v>732</v>
      </c>
      <c r="C341" t="s">
        <v>733</v>
      </c>
      <c r="D341" t="s">
        <v>81</v>
      </c>
      <c r="G341"/>
      <c r="R341"/>
      <c r="S341"/>
      <c r="AA341"/>
    </row>
    <row r="342" spans="1:28" x14ac:dyDescent="0.2">
      <c r="A342">
        <v>341</v>
      </c>
      <c r="B342" t="s">
        <v>734</v>
      </c>
      <c r="C342" t="s">
        <v>735</v>
      </c>
      <c r="D342" t="s">
        <v>81</v>
      </c>
      <c r="G342"/>
      <c r="R342"/>
      <c r="S342"/>
      <c r="AA342"/>
    </row>
    <row r="343" spans="1:28" x14ac:dyDescent="0.2">
      <c r="A343">
        <v>342</v>
      </c>
      <c r="B343" t="s">
        <v>736</v>
      </c>
      <c r="C343" t="s">
        <v>737</v>
      </c>
      <c r="D343" t="s">
        <v>81</v>
      </c>
      <c r="G343"/>
      <c r="R343"/>
      <c r="S343"/>
      <c r="AA343"/>
    </row>
    <row r="344" spans="1:28" x14ac:dyDescent="0.2">
      <c r="A344">
        <v>343</v>
      </c>
      <c r="B344" t="s">
        <v>738</v>
      </c>
      <c r="C344" t="s">
        <v>739</v>
      </c>
      <c r="D344" t="s">
        <v>81</v>
      </c>
      <c r="G344"/>
      <c r="R344"/>
      <c r="S344"/>
      <c r="AA344"/>
    </row>
    <row r="345" spans="1:28" x14ac:dyDescent="0.2">
      <c r="A345">
        <v>344</v>
      </c>
      <c r="B345" t="s">
        <v>740</v>
      </c>
      <c r="C345" t="s">
        <v>741</v>
      </c>
      <c r="D345" t="s">
        <v>81</v>
      </c>
      <c r="G345"/>
      <c r="R345"/>
      <c r="S345"/>
      <c r="AA345"/>
    </row>
    <row r="346" spans="1:28" x14ac:dyDescent="0.2">
      <c r="A346">
        <v>345</v>
      </c>
      <c r="B346" t="s">
        <v>742</v>
      </c>
      <c r="C346" t="s">
        <v>743</v>
      </c>
      <c r="D346" t="s">
        <v>81</v>
      </c>
      <c r="G346"/>
      <c r="R346"/>
      <c r="S346"/>
      <c r="AA346"/>
    </row>
    <row r="347" spans="1:28" x14ac:dyDescent="0.2">
      <c r="A347">
        <v>346</v>
      </c>
      <c r="B347" t="s">
        <v>744</v>
      </c>
      <c r="C347" t="s">
        <v>745</v>
      </c>
      <c r="D347" t="s">
        <v>80</v>
      </c>
      <c r="E347" s="9">
        <v>33909</v>
      </c>
      <c r="F347" t="s">
        <v>80</v>
      </c>
      <c r="G347" s="9">
        <v>32881</v>
      </c>
      <c r="H347" s="9">
        <v>32916</v>
      </c>
      <c r="L347">
        <v>10</v>
      </c>
      <c r="M347">
        <v>8</v>
      </c>
      <c r="N347">
        <v>18</v>
      </c>
      <c r="R347">
        <f>AVERAGE(51,66)</f>
        <v>58.5</v>
      </c>
      <c r="T347">
        <f>AVERAGE(169,131)</f>
        <v>150</v>
      </c>
      <c r="U347">
        <f>AVERAGE(85,74)</f>
        <v>79.5</v>
      </c>
      <c r="Z347" t="s">
        <v>9</v>
      </c>
      <c r="AA347" s="8" t="s">
        <v>59</v>
      </c>
      <c r="AB347" s="2" t="s">
        <v>746</v>
      </c>
    </row>
    <row r="348" spans="1:28" x14ac:dyDescent="0.2">
      <c r="A348">
        <v>347</v>
      </c>
      <c r="B348" t="s">
        <v>744</v>
      </c>
      <c r="C348" t="s">
        <v>745</v>
      </c>
      <c r="D348" t="s">
        <v>80</v>
      </c>
      <c r="E348" s="9">
        <v>42339</v>
      </c>
      <c r="F348" t="s">
        <v>80</v>
      </c>
      <c r="G348" s="9"/>
      <c r="H348" s="9"/>
      <c r="I348" t="s">
        <v>20</v>
      </c>
      <c r="J348">
        <v>41.818860445712502</v>
      </c>
      <c r="K348">
        <v>-119.232453212791</v>
      </c>
      <c r="L348">
        <v>23</v>
      </c>
      <c r="Q348" t="s">
        <v>49</v>
      </c>
      <c r="R348"/>
      <c r="S348"/>
      <c r="U348">
        <v>59.7</v>
      </c>
      <c r="W348">
        <f>23.2+0.2</f>
        <v>23.4</v>
      </c>
      <c r="X348">
        <v>0.2</v>
      </c>
      <c r="Y348">
        <f>11.6+4.7</f>
        <v>16.3</v>
      </c>
      <c r="Z348" t="s">
        <v>25</v>
      </c>
      <c r="AB348" s="2" t="s">
        <v>747</v>
      </c>
    </row>
    <row r="349" spans="1:28" x14ac:dyDescent="0.2">
      <c r="A349">
        <v>348</v>
      </c>
      <c r="B349" t="s">
        <v>744</v>
      </c>
      <c r="C349" t="s">
        <v>745</v>
      </c>
      <c r="D349" t="s">
        <v>80</v>
      </c>
      <c r="E349" s="9">
        <v>45310</v>
      </c>
      <c r="F349" t="s">
        <v>80</v>
      </c>
      <c r="G349"/>
      <c r="I349" t="s">
        <v>313</v>
      </c>
      <c r="J349">
        <v>34.316029023507603</v>
      </c>
      <c r="K349">
        <v>47.0737551466542</v>
      </c>
      <c r="L349">
        <v>10</v>
      </c>
      <c r="M349">
        <v>3</v>
      </c>
      <c r="N349">
        <v>7</v>
      </c>
      <c r="Q349" t="s">
        <v>23</v>
      </c>
      <c r="R349"/>
      <c r="S349"/>
      <c r="U349">
        <f>AVERAGE(76.12,82.55,88.31)</f>
        <v>82.326666666666668</v>
      </c>
      <c r="W349">
        <f>AVERAGE(5.64,2.08,0.92)</f>
        <v>2.8800000000000003</v>
      </c>
      <c r="Y349">
        <f>AVERAGE(9.14,5.22,3.79)</f>
        <v>6.05</v>
      </c>
      <c r="Z349" t="s">
        <v>9</v>
      </c>
      <c r="AB349" s="2" t="s">
        <v>748</v>
      </c>
    </row>
    <row r="350" spans="1:28" x14ac:dyDescent="0.2">
      <c r="A350">
        <v>349</v>
      </c>
      <c r="B350" t="s">
        <v>744</v>
      </c>
      <c r="C350" t="s">
        <v>745</v>
      </c>
      <c r="D350" t="s">
        <v>80</v>
      </c>
      <c r="E350" s="9">
        <v>41821</v>
      </c>
      <c r="F350" t="s">
        <v>80</v>
      </c>
      <c r="G350"/>
      <c r="L350">
        <v>10</v>
      </c>
      <c r="M350">
        <v>3</v>
      </c>
      <c r="N350">
        <v>14</v>
      </c>
      <c r="Q350" t="s">
        <v>49</v>
      </c>
      <c r="R350"/>
      <c r="S350">
        <f>AVERAGE(44.34,54.65,46.17)</f>
        <v>48.386666666666677</v>
      </c>
      <c r="W350">
        <f>AVERAGE(1.45,1.3,1.3)+AVERAGE(2.55,1.8,0.8)</f>
        <v>3.0666666666666664</v>
      </c>
      <c r="X350">
        <f>AVERAGE(3.15,3.65,2.8)+AVERAGE(47.1,52.1,45.3)</f>
        <v>51.366666666666667</v>
      </c>
      <c r="Y350">
        <f>AVERAGE(13.45,12.8,13.45)+AVERAGE(0,0,0.15)+AVERAGE(0,0,0.6)</f>
        <v>13.483333333333334</v>
      </c>
      <c r="AB350" s="2" t="s">
        <v>749</v>
      </c>
    </row>
    <row r="351" spans="1:28" x14ac:dyDescent="0.2">
      <c r="A351">
        <v>350</v>
      </c>
      <c r="B351" t="s">
        <v>744</v>
      </c>
      <c r="C351" t="s">
        <v>745</v>
      </c>
      <c r="D351" t="s">
        <v>80</v>
      </c>
      <c r="E351" s="9">
        <v>37817</v>
      </c>
      <c r="F351" t="s">
        <v>80</v>
      </c>
      <c r="G351" s="9">
        <v>35674</v>
      </c>
      <c r="H351" s="9">
        <v>36038</v>
      </c>
      <c r="I351" t="s">
        <v>751</v>
      </c>
      <c r="J351">
        <v>46.886749967588898</v>
      </c>
      <c r="K351">
        <v>7.0175636393354797</v>
      </c>
      <c r="L351">
        <v>12</v>
      </c>
      <c r="R351">
        <f>AVERAGE(27.6,20.5,45.5,40.3)</f>
        <v>33.474999999999994</v>
      </c>
      <c r="S351">
        <f>AVERAGE(69.1,73.2,72.4,53.9)</f>
        <v>67.150000000000006</v>
      </c>
      <c r="T351">
        <f>AVERAGE(270.5,297,120.3,231.9)</f>
        <v>229.92499999999998</v>
      </c>
      <c r="U351">
        <f>AVERAGE(22.3,11.8,18.5,16.9)</f>
        <v>17.375</v>
      </c>
      <c r="V351">
        <f>100-AVERAGE(8.7,11.8,12.6,9.7)</f>
        <v>89.3</v>
      </c>
      <c r="Z351" t="s">
        <v>9</v>
      </c>
      <c r="AB351" s="2" t="s">
        <v>750</v>
      </c>
    </row>
    <row r="352" spans="1:28" x14ac:dyDescent="0.2">
      <c r="A352">
        <v>351</v>
      </c>
      <c r="B352" t="s">
        <v>744</v>
      </c>
      <c r="C352" t="s">
        <v>745</v>
      </c>
      <c r="D352" t="s">
        <v>80</v>
      </c>
      <c r="E352" s="9">
        <v>42457</v>
      </c>
      <c r="F352" t="s">
        <v>80</v>
      </c>
      <c r="G352"/>
      <c r="I352" t="s">
        <v>753</v>
      </c>
      <c r="J352">
        <v>39.222209747183399</v>
      </c>
      <c r="K352">
        <v>-7.6721217417003604</v>
      </c>
      <c r="L352">
        <v>11</v>
      </c>
      <c r="M352">
        <v>4</v>
      </c>
      <c r="N352">
        <v>11</v>
      </c>
      <c r="Q352" t="s">
        <v>23</v>
      </c>
      <c r="R352"/>
      <c r="S352">
        <v>21.9</v>
      </c>
      <c r="T352">
        <v>307</v>
      </c>
      <c r="U352">
        <v>28</v>
      </c>
      <c r="Z352" t="s">
        <v>9</v>
      </c>
      <c r="AB352" s="2" t="s">
        <v>752</v>
      </c>
    </row>
    <row r="353" spans="1:28" x14ac:dyDescent="0.2">
      <c r="A353">
        <v>352</v>
      </c>
      <c r="B353" t="s">
        <v>744</v>
      </c>
      <c r="C353" t="s">
        <v>745</v>
      </c>
      <c r="D353" t="s">
        <v>80</v>
      </c>
      <c r="E353" s="9">
        <v>38808</v>
      </c>
      <c r="F353" t="s">
        <v>80</v>
      </c>
      <c r="G353" s="9">
        <v>33664</v>
      </c>
      <c r="H353" s="9">
        <v>35550</v>
      </c>
      <c r="I353" t="s">
        <v>755</v>
      </c>
      <c r="J353">
        <v>52.085287955897201</v>
      </c>
      <c r="K353">
        <v>5.1757061976791103</v>
      </c>
      <c r="L353">
        <v>285</v>
      </c>
      <c r="M353">
        <v>3</v>
      </c>
      <c r="N353">
        <v>7</v>
      </c>
      <c r="Q353" t="s">
        <v>23</v>
      </c>
      <c r="R353">
        <f>AVERAGE(24.4,22.6)</f>
        <v>23.5</v>
      </c>
      <c r="S353">
        <f>AVERAGE(65,67.1)</f>
        <v>66.05</v>
      </c>
      <c r="T353">
        <f>AVERAGE(298.7,170.4)</f>
        <v>234.55</v>
      </c>
      <c r="U353">
        <f>AVERAGE(56.7,58.2)</f>
        <v>57.45</v>
      </c>
      <c r="W353">
        <f>AVERAGE(15.1,15)</f>
        <v>15.05</v>
      </c>
      <c r="X353">
        <f>AVERAGE(12.6,12.1)</f>
        <v>12.35</v>
      </c>
      <c r="Z353" t="s">
        <v>9</v>
      </c>
      <c r="AB353" s="2" t="s">
        <v>754</v>
      </c>
    </row>
    <row r="354" spans="1:28" x14ac:dyDescent="0.2">
      <c r="A354">
        <v>353</v>
      </c>
      <c r="B354" t="s">
        <v>744</v>
      </c>
      <c r="C354" t="s">
        <v>745</v>
      </c>
      <c r="D354" t="s">
        <v>80</v>
      </c>
      <c r="E354" s="9">
        <v>38077</v>
      </c>
      <c r="F354" t="s">
        <v>80</v>
      </c>
      <c r="G354"/>
      <c r="I354" t="s">
        <v>757</v>
      </c>
      <c r="J354">
        <v>59.412843812069902</v>
      </c>
      <c r="K354">
        <v>24.639264269192498</v>
      </c>
      <c r="L354">
        <v>15</v>
      </c>
      <c r="M354">
        <v>4</v>
      </c>
      <c r="N354">
        <v>15</v>
      </c>
      <c r="Q354" t="s">
        <v>23</v>
      </c>
      <c r="R354"/>
      <c r="S354"/>
      <c r="U354">
        <f>AVERAGE(57.5,74.4)</f>
        <v>65.95</v>
      </c>
      <c r="V354">
        <f>100-AVERAGE(0.6,1.6)</f>
        <v>98.9</v>
      </c>
      <c r="W354">
        <f>AVERAGE(12.6,13.9)+AVERAGE(2.3,2.3)</f>
        <v>15.55</v>
      </c>
      <c r="X354">
        <f>AVERAGE(17.3,2.9)+AVERAGE(5.1,2.4)</f>
        <v>13.85</v>
      </c>
      <c r="Y354">
        <f>AVERAGE(6.6,6.4)</f>
        <v>6.5</v>
      </c>
      <c r="Z354" t="s">
        <v>9</v>
      </c>
      <c r="AB354" s="2" t="s">
        <v>756</v>
      </c>
    </row>
    <row r="355" spans="1:28" x14ac:dyDescent="0.2">
      <c r="A355">
        <v>354</v>
      </c>
      <c r="B355" t="s">
        <v>744</v>
      </c>
      <c r="C355" t="s">
        <v>745</v>
      </c>
      <c r="D355" t="s">
        <v>80</v>
      </c>
      <c r="E355" s="9">
        <v>44322</v>
      </c>
      <c r="F355" t="s">
        <v>80</v>
      </c>
      <c r="G355"/>
      <c r="I355" t="s">
        <v>214</v>
      </c>
      <c r="J355">
        <v>41.504114796643698</v>
      </c>
      <c r="K355">
        <v>2.0960004367079001</v>
      </c>
      <c r="L355">
        <v>14</v>
      </c>
      <c r="Q355" t="s">
        <v>23</v>
      </c>
      <c r="R355"/>
      <c r="S355"/>
      <c r="U355">
        <f>100-AVERAGE(27.72,29.78)</f>
        <v>71.25</v>
      </c>
      <c r="W355">
        <f>AVERAGE(2.55,2.79)+AVERAGE(2.94,2.1)</f>
        <v>5.1899999999999995</v>
      </c>
      <c r="X355">
        <f>AVERAGE(2.83,3.05)+AVERAGE(5.56,7.55)+AVERAGE(2.7,1.9)</f>
        <v>11.794999999999998</v>
      </c>
      <c r="Y355">
        <f>AVERAGE(7.48,9.69)+AVERAGE(3.66,2.7)</f>
        <v>11.765000000000001</v>
      </c>
      <c r="Z355" t="s">
        <v>9</v>
      </c>
      <c r="AB355" s="2" t="s">
        <v>760</v>
      </c>
    </row>
    <row r="356" spans="1:28" x14ac:dyDescent="0.2">
      <c r="A356">
        <v>355</v>
      </c>
      <c r="B356" t="s">
        <v>758</v>
      </c>
      <c r="C356" t="s">
        <v>759</v>
      </c>
      <c r="D356" t="s">
        <v>80</v>
      </c>
      <c r="E356" s="9">
        <v>44322</v>
      </c>
      <c r="F356" t="s">
        <v>80</v>
      </c>
      <c r="G356"/>
      <c r="I356" t="s">
        <v>214</v>
      </c>
      <c r="J356">
        <v>41.504114796643698</v>
      </c>
      <c r="K356">
        <v>2.0960004367079001</v>
      </c>
      <c r="L356">
        <v>7</v>
      </c>
      <c r="Q356" t="s">
        <v>23</v>
      </c>
      <c r="R356"/>
      <c r="S356"/>
      <c r="U356">
        <f>100-AVERAGE(15.4,15.11)</f>
        <v>84.745000000000005</v>
      </c>
      <c r="W356">
        <f>AVERAGE(1.28,1.33)+AVERAGE(1,1.32)</f>
        <v>2.4650000000000003</v>
      </c>
      <c r="X356">
        <f>AVERAGE(0.63,0.32)+AVERAGE(0.96,0.88)+AVERAGE(0.33,0.94)</f>
        <v>2.0300000000000002</v>
      </c>
      <c r="Y356">
        <f>AVERAGE(4.35,8.9)+AVERAGE(6.85,1.42)</f>
        <v>10.76</v>
      </c>
      <c r="Z356" t="s">
        <v>9</v>
      </c>
      <c r="AB356" s="2" t="s">
        <v>760</v>
      </c>
    </row>
    <row r="357" spans="1:28" x14ac:dyDescent="0.2">
      <c r="A357">
        <v>356</v>
      </c>
      <c r="B357" t="s">
        <v>744</v>
      </c>
      <c r="C357" t="s">
        <v>745</v>
      </c>
      <c r="D357" t="s">
        <v>80</v>
      </c>
      <c r="E357" s="9">
        <v>43101</v>
      </c>
      <c r="F357" t="s">
        <v>80</v>
      </c>
      <c r="G357"/>
      <c r="I357" t="s">
        <v>219</v>
      </c>
      <c r="J357">
        <v>45.484298348660097</v>
      </c>
      <c r="K357">
        <v>-73.583024147438707</v>
      </c>
      <c r="L357">
        <v>15</v>
      </c>
      <c r="M357">
        <v>3</v>
      </c>
      <c r="N357">
        <v>15</v>
      </c>
      <c r="Q357" t="s">
        <v>23</v>
      </c>
      <c r="R357"/>
      <c r="S357"/>
      <c r="U357">
        <f>AVERAGE(53,54.7,54.4)</f>
        <v>54.033333333333331</v>
      </c>
      <c r="V357">
        <f>100-AVERAGE(0.43,0.92,0.78)</f>
        <v>99.29</v>
      </c>
      <c r="W357">
        <f>AVERAGE(3.8,3.1,3.2)+AVERAGE(5.4,3.7,5.2)</f>
        <v>8.1333333333333329</v>
      </c>
      <c r="X357">
        <f>AVERAGE(3.8,4.1,0.98)+AVERAGE(0.4,0.35,0.17)+AVERAGE(6.9,6.5,8.5)+AVERAGE(5.8,7.5,7.1)</f>
        <v>17.366666666666667</v>
      </c>
      <c r="Y357">
        <f>AVERAGE(2.9,3.4,1.7)+AVERAGE(9.2,7.6,9.4)</f>
        <v>11.399999999999999</v>
      </c>
      <c r="Z357" t="s">
        <v>9</v>
      </c>
      <c r="AB357" s="2" t="s">
        <v>761</v>
      </c>
    </row>
    <row r="358" spans="1:28" x14ac:dyDescent="0.2">
      <c r="A358">
        <v>357</v>
      </c>
      <c r="B358" t="s">
        <v>744</v>
      </c>
      <c r="C358" t="s">
        <v>745</v>
      </c>
      <c r="D358" t="s">
        <v>80</v>
      </c>
      <c r="E358" s="9">
        <v>39743</v>
      </c>
      <c r="F358" t="s">
        <v>80</v>
      </c>
      <c r="G358" s="9">
        <v>39083</v>
      </c>
      <c r="H358" s="9">
        <v>39263</v>
      </c>
      <c r="L358">
        <v>9</v>
      </c>
      <c r="M358">
        <v>5</v>
      </c>
      <c r="N358">
        <v>12</v>
      </c>
      <c r="Q358" t="s">
        <v>23</v>
      </c>
      <c r="R358">
        <f>AVERAGE(44,47)</f>
        <v>45.5</v>
      </c>
      <c r="S358">
        <f>AVERAGE(77.8,73)</f>
        <v>75.400000000000006</v>
      </c>
      <c r="U358">
        <f>AVERAGE(49.7,48.1)</f>
        <v>48.900000000000006</v>
      </c>
      <c r="W358">
        <f>AVERAGE(10.2,13.4)</f>
        <v>11.8</v>
      </c>
      <c r="X358">
        <f>AVERAGE(16.5,23.9)+AVERAGE(11.4,5.5)+AVERAGE(10.5,5.8)</f>
        <v>36.799999999999997</v>
      </c>
      <c r="Y358">
        <f>AVERAGE(1.6,3.3)</f>
        <v>2.4500000000000002</v>
      </c>
      <c r="Z358" t="s">
        <v>9</v>
      </c>
      <c r="AB358" s="2" t="s">
        <v>762</v>
      </c>
    </row>
    <row r="359" spans="1:28" x14ac:dyDescent="0.2">
      <c r="A359">
        <v>358</v>
      </c>
      <c r="B359" t="s">
        <v>744</v>
      </c>
      <c r="C359" t="s">
        <v>745</v>
      </c>
      <c r="D359" t="s">
        <v>80</v>
      </c>
      <c r="E359" s="9">
        <v>44075</v>
      </c>
      <c r="F359" t="s">
        <v>80</v>
      </c>
      <c r="G359"/>
      <c r="I359" t="s">
        <v>764</v>
      </c>
      <c r="J359">
        <v>-33.269111880313197</v>
      </c>
      <c r="K359">
        <v>-70.380149734407198</v>
      </c>
      <c r="L359">
        <v>20</v>
      </c>
      <c r="M359">
        <v>5</v>
      </c>
      <c r="N359">
        <v>24</v>
      </c>
      <c r="Q359" t="s">
        <v>23</v>
      </c>
      <c r="R359">
        <f>AVERAGE(38.67,43.75,52.85,34.33,40.08,43.61)</f>
        <v>42.215000000000003</v>
      </c>
      <c r="S359"/>
      <c r="T359">
        <f>AVERAGE(264.67,181.08,168.66,270.07,221.25,296.06)</f>
        <v>233.63166666666666</v>
      </c>
      <c r="U359">
        <f>AVERAGE(87.67,85.42,79.72,84,83.75,75.83)</f>
        <v>82.731666666666669</v>
      </c>
      <c r="Z359" t="s">
        <v>9</v>
      </c>
      <c r="AA359" s="8" t="s">
        <v>59</v>
      </c>
      <c r="AB359" s="2" t="s">
        <v>763</v>
      </c>
    </row>
    <row r="360" spans="1:28" x14ac:dyDescent="0.2">
      <c r="A360">
        <v>359</v>
      </c>
      <c r="B360" t="s">
        <v>766</v>
      </c>
      <c r="C360" t="s">
        <v>767</v>
      </c>
      <c r="D360" t="s">
        <v>81</v>
      </c>
      <c r="G360"/>
      <c r="R360"/>
      <c r="S360"/>
      <c r="AB360" s="2"/>
    </row>
    <row r="361" spans="1:28" x14ac:dyDescent="0.2">
      <c r="A361">
        <v>360</v>
      </c>
      <c r="B361" t="s">
        <v>768</v>
      </c>
      <c r="C361" t="s">
        <v>769</v>
      </c>
      <c r="D361" t="s">
        <v>81</v>
      </c>
      <c r="G361"/>
      <c r="R361"/>
      <c r="S361"/>
      <c r="AB361" s="2"/>
    </row>
    <row r="362" spans="1:28" x14ac:dyDescent="0.2">
      <c r="A362">
        <v>361</v>
      </c>
      <c r="B362" t="s">
        <v>770</v>
      </c>
      <c r="C362" t="s">
        <v>771</v>
      </c>
      <c r="D362" t="s">
        <v>81</v>
      </c>
      <c r="G362"/>
      <c r="R362"/>
      <c r="S362"/>
      <c r="AB362" s="2"/>
    </row>
    <row r="363" spans="1:28" x14ac:dyDescent="0.2">
      <c r="A363">
        <v>362</v>
      </c>
      <c r="B363" t="s">
        <v>772</v>
      </c>
      <c r="C363" t="s">
        <v>773</v>
      </c>
      <c r="D363" t="s">
        <v>81</v>
      </c>
      <c r="G363"/>
      <c r="R363"/>
      <c r="S363"/>
      <c r="AB363" s="2"/>
    </row>
    <row r="364" spans="1:28" x14ac:dyDescent="0.2">
      <c r="A364">
        <v>363</v>
      </c>
      <c r="B364" t="s">
        <v>774</v>
      </c>
      <c r="C364" t="s">
        <v>775</v>
      </c>
      <c r="D364" t="s">
        <v>81</v>
      </c>
      <c r="G364"/>
      <c r="R364"/>
      <c r="S364"/>
      <c r="AB364" s="2"/>
    </row>
    <row r="365" spans="1:28" x14ac:dyDescent="0.2">
      <c r="A365">
        <v>364</v>
      </c>
      <c r="B365" t="s">
        <v>776</v>
      </c>
      <c r="C365" t="s">
        <v>777</v>
      </c>
      <c r="D365" t="s">
        <v>81</v>
      </c>
      <c r="G365"/>
      <c r="R365"/>
      <c r="S365"/>
    </row>
    <row r="366" spans="1:28" x14ac:dyDescent="0.2">
      <c r="A366">
        <v>365</v>
      </c>
      <c r="D366"/>
      <c r="G366"/>
      <c r="R366"/>
      <c r="S366"/>
      <c r="AB366" s="2"/>
    </row>
    <row r="367" spans="1:28" x14ac:dyDescent="0.2">
      <c r="A367">
        <v>366</v>
      </c>
      <c r="D367"/>
      <c r="G367"/>
      <c r="R367"/>
      <c r="S367"/>
      <c r="AA367"/>
    </row>
    <row r="368" spans="1:28" x14ac:dyDescent="0.2">
      <c r="A368">
        <v>367</v>
      </c>
      <c r="D368"/>
      <c r="G368"/>
      <c r="R368"/>
      <c r="S368"/>
      <c r="AA368"/>
    </row>
    <row r="369" spans="1:27" x14ac:dyDescent="0.2">
      <c r="A369">
        <v>368</v>
      </c>
      <c r="D369"/>
      <c r="G369"/>
      <c r="R369"/>
      <c r="S369"/>
      <c r="AA369"/>
    </row>
    <row r="370" spans="1:27" x14ac:dyDescent="0.2">
      <c r="A370">
        <v>369</v>
      </c>
      <c r="D370"/>
      <c r="G370"/>
      <c r="R370"/>
      <c r="S370"/>
      <c r="AA370"/>
    </row>
    <row r="371" spans="1:27" x14ac:dyDescent="0.2">
      <c r="A371">
        <v>370</v>
      </c>
      <c r="D371"/>
      <c r="G371"/>
      <c r="R371"/>
      <c r="S371"/>
      <c r="AA371"/>
    </row>
    <row r="372" spans="1:27" x14ac:dyDescent="0.2">
      <c r="A372">
        <v>371</v>
      </c>
      <c r="D372"/>
      <c r="G372"/>
      <c r="R372"/>
      <c r="S372"/>
      <c r="AA372"/>
    </row>
    <row r="373" spans="1:27" x14ac:dyDescent="0.2">
      <c r="A373">
        <v>372</v>
      </c>
      <c r="D373"/>
      <c r="G373"/>
      <c r="R373"/>
      <c r="S373"/>
      <c r="AA373"/>
    </row>
    <row r="374" spans="1:27" x14ac:dyDescent="0.2">
      <c r="A374">
        <v>373</v>
      </c>
      <c r="D374"/>
      <c r="G374"/>
      <c r="R374"/>
      <c r="S374"/>
      <c r="AA374"/>
    </row>
    <row r="375" spans="1:27" x14ac:dyDescent="0.2">
      <c r="A375">
        <v>374</v>
      </c>
      <c r="D375"/>
      <c r="G375"/>
      <c r="R375"/>
      <c r="S375"/>
      <c r="AA375"/>
    </row>
    <row r="376" spans="1:27" x14ac:dyDescent="0.2">
      <c r="A376">
        <v>375</v>
      </c>
      <c r="D376"/>
      <c r="G376"/>
      <c r="R376"/>
      <c r="S376"/>
      <c r="AA376"/>
    </row>
    <row r="377" spans="1:27" x14ac:dyDescent="0.2">
      <c r="A377">
        <v>376</v>
      </c>
      <c r="D377"/>
      <c r="G377"/>
      <c r="R377"/>
      <c r="S377"/>
      <c r="AA377"/>
    </row>
    <row r="378" spans="1:27" x14ac:dyDescent="0.2">
      <c r="A378">
        <v>377</v>
      </c>
      <c r="D378"/>
      <c r="G378"/>
      <c r="R378"/>
      <c r="S378"/>
      <c r="AA378"/>
    </row>
    <row r="379" spans="1:27" x14ac:dyDescent="0.2">
      <c r="A379">
        <v>378</v>
      </c>
      <c r="D379"/>
      <c r="G379"/>
      <c r="R379"/>
      <c r="S379"/>
      <c r="AA379"/>
    </row>
    <row r="380" spans="1:27" x14ac:dyDescent="0.2">
      <c r="A380">
        <v>379</v>
      </c>
      <c r="D380"/>
      <c r="G380"/>
      <c r="R380"/>
      <c r="S380"/>
      <c r="AA380"/>
    </row>
    <row r="381" spans="1:27" x14ac:dyDescent="0.2">
      <c r="A381">
        <v>380</v>
      </c>
      <c r="D381"/>
      <c r="G381"/>
      <c r="R381"/>
      <c r="S381"/>
      <c r="AA381"/>
    </row>
    <row r="382" spans="1:27" x14ac:dyDescent="0.2">
      <c r="A382">
        <v>381</v>
      </c>
      <c r="D382"/>
      <c r="G382"/>
      <c r="R382"/>
      <c r="S382"/>
      <c r="AA382"/>
    </row>
    <row r="383" spans="1:27" x14ac:dyDescent="0.2">
      <c r="A383">
        <v>382</v>
      </c>
      <c r="D383"/>
      <c r="G383"/>
      <c r="R383"/>
      <c r="S383"/>
      <c r="AA383"/>
    </row>
    <row r="384" spans="1:27" x14ac:dyDescent="0.2">
      <c r="A384">
        <v>383</v>
      </c>
      <c r="D384"/>
      <c r="G384"/>
      <c r="R384"/>
      <c r="S384"/>
      <c r="AA384"/>
    </row>
    <row r="385" spans="1:27" x14ac:dyDescent="0.2">
      <c r="A385">
        <v>384</v>
      </c>
      <c r="D385"/>
      <c r="G385"/>
      <c r="R385"/>
      <c r="S385"/>
      <c r="AA385"/>
    </row>
    <row r="386" spans="1:27" x14ac:dyDescent="0.2">
      <c r="A386">
        <v>385</v>
      </c>
      <c r="D386"/>
      <c r="G386"/>
      <c r="R386"/>
      <c r="S386"/>
      <c r="AA386"/>
    </row>
    <row r="387" spans="1:27" x14ac:dyDescent="0.2">
      <c r="A387">
        <v>386</v>
      </c>
      <c r="D387"/>
      <c r="G387"/>
      <c r="R387"/>
      <c r="S387"/>
      <c r="AA387"/>
    </row>
    <row r="388" spans="1:27" x14ac:dyDescent="0.2">
      <c r="A388">
        <v>387</v>
      </c>
      <c r="D388"/>
      <c r="G388"/>
      <c r="R388"/>
      <c r="S388"/>
      <c r="AA388"/>
    </row>
    <row r="389" spans="1:27" x14ac:dyDescent="0.2">
      <c r="A389">
        <v>388</v>
      </c>
      <c r="D389"/>
      <c r="G389"/>
      <c r="R389"/>
      <c r="S389"/>
      <c r="AA389"/>
    </row>
    <row r="390" spans="1:27" x14ac:dyDescent="0.2">
      <c r="A390">
        <v>389</v>
      </c>
      <c r="D390"/>
      <c r="G390"/>
      <c r="R390"/>
      <c r="S390"/>
      <c r="AA390"/>
    </row>
    <row r="391" spans="1:27" x14ac:dyDescent="0.2">
      <c r="A391">
        <v>390</v>
      </c>
      <c r="D391"/>
      <c r="G391"/>
      <c r="R391"/>
      <c r="S391"/>
      <c r="AA391"/>
    </row>
    <row r="392" spans="1:27" x14ac:dyDescent="0.2">
      <c r="A392">
        <v>391</v>
      </c>
      <c r="D392"/>
      <c r="G392"/>
      <c r="R392"/>
      <c r="S392"/>
      <c r="AA392"/>
    </row>
    <row r="393" spans="1:27" x14ac:dyDescent="0.2">
      <c r="A393">
        <v>392</v>
      </c>
      <c r="D393"/>
      <c r="G393"/>
      <c r="R393"/>
      <c r="S393"/>
      <c r="AA393"/>
    </row>
    <row r="394" spans="1:27" x14ac:dyDescent="0.2">
      <c r="A394">
        <v>393</v>
      </c>
      <c r="D394"/>
      <c r="G394"/>
      <c r="R394"/>
      <c r="S394"/>
      <c r="AA394"/>
    </row>
    <row r="395" spans="1:27" x14ac:dyDescent="0.2">
      <c r="A395">
        <v>394</v>
      </c>
      <c r="D395"/>
      <c r="G395"/>
      <c r="R395"/>
      <c r="S395"/>
      <c r="AA395"/>
    </row>
    <row r="396" spans="1:27" x14ac:dyDescent="0.2">
      <c r="A396">
        <v>395</v>
      </c>
      <c r="D396"/>
      <c r="G396"/>
      <c r="R396"/>
      <c r="S396"/>
      <c r="AA396"/>
    </row>
    <row r="397" spans="1:27" x14ac:dyDescent="0.2">
      <c r="A397">
        <v>396</v>
      </c>
      <c r="D397"/>
      <c r="G397"/>
      <c r="R397"/>
      <c r="S397"/>
      <c r="AA397"/>
    </row>
    <row r="398" spans="1:27" x14ac:dyDescent="0.2">
      <c r="A398">
        <v>397</v>
      </c>
      <c r="D398"/>
      <c r="G398"/>
      <c r="R398"/>
      <c r="S398"/>
      <c r="AA398"/>
    </row>
    <row r="399" spans="1:27" x14ac:dyDescent="0.2">
      <c r="A399">
        <v>398</v>
      </c>
      <c r="D399"/>
      <c r="G399"/>
      <c r="R399"/>
      <c r="S399"/>
      <c r="AA399"/>
    </row>
    <row r="400" spans="1:27" x14ac:dyDescent="0.2">
      <c r="A400">
        <v>399</v>
      </c>
      <c r="D400"/>
      <c r="G400"/>
      <c r="R400"/>
      <c r="S400"/>
      <c r="AA400"/>
    </row>
    <row r="401" spans="1:27" x14ac:dyDescent="0.2">
      <c r="A401">
        <v>400</v>
      </c>
      <c r="D401"/>
      <c r="G401"/>
      <c r="R401"/>
      <c r="S401"/>
      <c r="AA401"/>
    </row>
    <row r="402" spans="1:27" x14ac:dyDescent="0.2">
      <c r="A402">
        <v>401</v>
      </c>
      <c r="D402"/>
      <c r="G402"/>
      <c r="R402"/>
      <c r="S402"/>
      <c r="AA402"/>
    </row>
    <row r="403" spans="1:27" x14ac:dyDescent="0.2">
      <c r="A403">
        <v>402</v>
      </c>
      <c r="D403"/>
      <c r="G403"/>
      <c r="R403"/>
      <c r="S403"/>
      <c r="AA403"/>
    </row>
    <row r="404" spans="1:27" x14ac:dyDescent="0.2">
      <c r="A404">
        <v>403</v>
      </c>
      <c r="D404"/>
      <c r="G404"/>
      <c r="R404"/>
      <c r="S404"/>
      <c r="AA404"/>
    </row>
    <row r="405" spans="1:27" x14ac:dyDescent="0.2">
      <c r="A405">
        <v>404</v>
      </c>
      <c r="D405"/>
      <c r="G405"/>
      <c r="R405"/>
      <c r="S405"/>
      <c r="AA405"/>
    </row>
    <row r="406" spans="1:27" x14ac:dyDescent="0.2">
      <c r="A406">
        <v>405</v>
      </c>
      <c r="D406"/>
      <c r="G406"/>
      <c r="R406"/>
      <c r="S406"/>
      <c r="AA406"/>
    </row>
    <row r="407" spans="1:27" x14ac:dyDescent="0.2">
      <c r="A407">
        <v>406</v>
      </c>
      <c r="D407"/>
      <c r="G407"/>
      <c r="R407"/>
      <c r="S407"/>
      <c r="AA407"/>
    </row>
    <row r="408" spans="1:27" x14ac:dyDescent="0.2">
      <c r="A408">
        <v>407</v>
      </c>
      <c r="D408"/>
      <c r="G408"/>
      <c r="R408"/>
      <c r="S408"/>
      <c r="AA408"/>
    </row>
    <row r="409" spans="1:27" x14ac:dyDescent="0.2">
      <c r="A409">
        <v>408</v>
      </c>
      <c r="D409"/>
      <c r="G409"/>
      <c r="R409"/>
      <c r="S409"/>
      <c r="AA409"/>
    </row>
    <row r="410" spans="1:27" x14ac:dyDescent="0.2">
      <c r="A410">
        <v>409</v>
      </c>
      <c r="D410"/>
      <c r="G410"/>
      <c r="R410"/>
      <c r="S410"/>
      <c r="AA410"/>
    </row>
    <row r="411" spans="1:27" x14ac:dyDescent="0.2">
      <c r="A411">
        <v>410</v>
      </c>
      <c r="D411"/>
      <c r="G411"/>
      <c r="R411"/>
      <c r="S411"/>
      <c r="AA411"/>
    </row>
    <row r="412" spans="1:27" x14ac:dyDescent="0.2">
      <c r="A412">
        <v>411</v>
      </c>
      <c r="D412"/>
      <c r="G412"/>
      <c r="R412"/>
      <c r="S412"/>
      <c r="AA412"/>
    </row>
    <row r="413" spans="1:27" x14ac:dyDescent="0.2">
      <c r="A413">
        <v>412</v>
      </c>
      <c r="D413"/>
      <c r="G413"/>
      <c r="R413"/>
      <c r="S413"/>
      <c r="AA413"/>
    </row>
    <row r="414" spans="1:27" x14ac:dyDescent="0.2">
      <c r="A414">
        <v>413</v>
      </c>
      <c r="D414"/>
      <c r="G414"/>
      <c r="R414"/>
      <c r="S414"/>
      <c r="AA414"/>
    </row>
    <row r="415" spans="1:27" x14ac:dyDescent="0.2">
      <c r="A415">
        <v>414</v>
      </c>
      <c r="D415"/>
      <c r="G415"/>
      <c r="R415"/>
      <c r="S415"/>
      <c r="AA415"/>
    </row>
    <row r="416" spans="1:27" x14ac:dyDescent="0.2">
      <c r="A416">
        <v>415</v>
      </c>
      <c r="D416"/>
      <c r="G416"/>
      <c r="R416"/>
      <c r="S416"/>
      <c r="AA416"/>
    </row>
    <row r="417" spans="1:27" x14ac:dyDescent="0.2">
      <c r="A417">
        <v>416</v>
      </c>
      <c r="D417"/>
      <c r="G417"/>
      <c r="R417"/>
      <c r="S417"/>
      <c r="AA417"/>
    </row>
    <row r="418" spans="1:27" x14ac:dyDescent="0.2">
      <c r="A418">
        <v>417</v>
      </c>
      <c r="D418"/>
      <c r="G418"/>
      <c r="R418"/>
      <c r="S418"/>
      <c r="AA418"/>
    </row>
    <row r="419" spans="1:27" x14ac:dyDescent="0.2">
      <c r="A419">
        <v>418</v>
      </c>
      <c r="D419"/>
      <c r="G419"/>
      <c r="R419"/>
      <c r="S419"/>
      <c r="AA419"/>
    </row>
    <row r="420" spans="1:27" x14ac:dyDescent="0.2">
      <c r="A420">
        <v>419</v>
      </c>
      <c r="D420"/>
      <c r="G420"/>
      <c r="R420"/>
      <c r="S420"/>
      <c r="AA420"/>
    </row>
    <row r="421" spans="1:27" x14ac:dyDescent="0.2">
      <c r="A421">
        <v>420</v>
      </c>
      <c r="D421"/>
      <c r="G421"/>
      <c r="R421"/>
      <c r="S421"/>
      <c r="AA421"/>
    </row>
    <row r="422" spans="1:27" x14ac:dyDescent="0.2">
      <c r="A422">
        <v>421</v>
      </c>
      <c r="D422"/>
      <c r="G422"/>
      <c r="R422"/>
      <c r="S422"/>
      <c r="AA422"/>
    </row>
    <row r="423" spans="1:27" x14ac:dyDescent="0.2">
      <c r="A423">
        <v>422</v>
      </c>
      <c r="D423"/>
      <c r="G423"/>
      <c r="R423"/>
      <c r="S423"/>
      <c r="AA423"/>
    </row>
    <row r="424" spans="1:27" x14ac:dyDescent="0.2">
      <c r="A424">
        <v>423</v>
      </c>
      <c r="D424"/>
      <c r="G424"/>
      <c r="R424"/>
      <c r="S424"/>
      <c r="AA424"/>
    </row>
    <row r="425" spans="1:27" x14ac:dyDescent="0.2">
      <c r="A425">
        <v>424</v>
      </c>
      <c r="D425"/>
      <c r="G425"/>
      <c r="R425"/>
      <c r="S425"/>
      <c r="AA425"/>
    </row>
    <row r="426" spans="1:27" x14ac:dyDescent="0.2">
      <c r="A426">
        <v>425</v>
      </c>
      <c r="D426"/>
      <c r="G426"/>
      <c r="R426"/>
      <c r="S426"/>
      <c r="AA426"/>
    </row>
    <row r="427" spans="1:27" x14ac:dyDescent="0.2">
      <c r="A427">
        <v>426</v>
      </c>
      <c r="D427"/>
      <c r="G427"/>
      <c r="R427"/>
      <c r="S427"/>
      <c r="AA427"/>
    </row>
    <row r="428" spans="1:27" x14ac:dyDescent="0.2">
      <c r="A428">
        <v>427</v>
      </c>
      <c r="D428"/>
      <c r="G428"/>
      <c r="R428"/>
      <c r="S428"/>
      <c r="AA428"/>
    </row>
    <row r="429" spans="1:27" x14ac:dyDescent="0.2">
      <c r="A429">
        <v>428</v>
      </c>
      <c r="D429"/>
      <c r="G429"/>
      <c r="R429"/>
      <c r="S429"/>
      <c r="AA429"/>
    </row>
    <row r="430" spans="1:27" x14ac:dyDescent="0.2">
      <c r="A430">
        <v>429</v>
      </c>
      <c r="D430"/>
      <c r="G430"/>
      <c r="R430"/>
      <c r="S430"/>
      <c r="AA430"/>
    </row>
    <row r="431" spans="1:27" x14ac:dyDescent="0.2">
      <c r="A431">
        <v>430</v>
      </c>
      <c r="D431"/>
      <c r="G431"/>
      <c r="R431"/>
      <c r="S431"/>
      <c r="AA431"/>
    </row>
    <row r="432" spans="1:27" x14ac:dyDescent="0.2">
      <c r="A432">
        <v>431</v>
      </c>
      <c r="D432"/>
      <c r="G432"/>
      <c r="R432"/>
      <c r="S432"/>
      <c r="AA432"/>
    </row>
    <row r="433" spans="1:27" x14ac:dyDescent="0.2">
      <c r="A433">
        <v>432</v>
      </c>
      <c r="D433"/>
      <c r="G433"/>
      <c r="R433"/>
      <c r="S433"/>
      <c r="AA433"/>
    </row>
    <row r="434" spans="1:27" x14ac:dyDescent="0.2">
      <c r="A434">
        <v>433</v>
      </c>
      <c r="D434"/>
      <c r="G434"/>
      <c r="R434"/>
      <c r="S434"/>
      <c r="AA434"/>
    </row>
    <row r="435" spans="1:27" x14ac:dyDescent="0.2">
      <c r="A435">
        <v>434</v>
      </c>
      <c r="D435"/>
      <c r="G435"/>
      <c r="R435"/>
      <c r="S435"/>
      <c r="AA435"/>
    </row>
    <row r="436" spans="1:27" x14ac:dyDescent="0.2">
      <c r="A436">
        <v>435</v>
      </c>
      <c r="D436"/>
      <c r="G436"/>
      <c r="R436"/>
      <c r="S436"/>
      <c r="AA436"/>
    </row>
    <row r="437" spans="1:27" x14ac:dyDescent="0.2">
      <c r="A437">
        <v>436</v>
      </c>
      <c r="D437"/>
      <c r="G437"/>
      <c r="R437"/>
      <c r="S437"/>
      <c r="AA437"/>
    </row>
    <row r="438" spans="1:27" x14ac:dyDescent="0.2">
      <c r="A438">
        <v>437</v>
      </c>
      <c r="D438"/>
      <c r="G438"/>
      <c r="R438"/>
      <c r="S438"/>
      <c r="AA438"/>
    </row>
    <row r="439" spans="1:27" x14ac:dyDescent="0.2">
      <c r="A439">
        <v>438</v>
      </c>
      <c r="D439"/>
      <c r="G439"/>
      <c r="R439"/>
      <c r="S439"/>
      <c r="AA439"/>
    </row>
    <row r="440" spans="1:27" x14ac:dyDescent="0.2">
      <c r="A440">
        <v>439</v>
      </c>
      <c r="D440"/>
      <c r="G440"/>
      <c r="R440"/>
      <c r="S440"/>
      <c r="AA440"/>
    </row>
    <row r="441" spans="1:27" x14ac:dyDescent="0.2">
      <c r="A441">
        <v>440</v>
      </c>
      <c r="D441"/>
      <c r="G441"/>
      <c r="R441"/>
      <c r="S441"/>
      <c r="AA441"/>
    </row>
    <row r="442" spans="1:27" x14ac:dyDescent="0.2">
      <c r="A442">
        <v>441</v>
      </c>
      <c r="D442"/>
      <c r="G442"/>
      <c r="R442"/>
      <c r="S442"/>
      <c r="AA442"/>
    </row>
    <row r="443" spans="1:27" x14ac:dyDescent="0.2">
      <c r="A443">
        <v>442</v>
      </c>
      <c r="D443"/>
      <c r="G443"/>
      <c r="R443"/>
      <c r="S443"/>
      <c r="AA443"/>
    </row>
    <row r="444" spans="1:27" x14ac:dyDescent="0.2">
      <c r="A444">
        <v>443</v>
      </c>
      <c r="D444"/>
      <c r="G444"/>
      <c r="R444"/>
      <c r="S444"/>
      <c r="AA444"/>
    </row>
    <row r="445" spans="1:27" x14ac:dyDescent="0.2">
      <c r="A445">
        <v>444</v>
      </c>
      <c r="D445"/>
      <c r="G445"/>
      <c r="R445"/>
      <c r="S445"/>
      <c r="AA445"/>
    </row>
    <row r="446" spans="1:27" x14ac:dyDescent="0.2">
      <c r="A446">
        <v>445</v>
      </c>
      <c r="D446"/>
      <c r="G446"/>
      <c r="R446"/>
      <c r="S446"/>
      <c r="AA446"/>
    </row>
    <row r="447" spans="1:27" x14ac:dyDescent="0.2">
      <c r="A447">
        <v>446</v>
      </c>
      <c r="D447"/>
      <c r="G447"/>
      <c r="R447"/>
      <c r="S447"/>
      <c r="AA447"/>
    </row>
    <row r="448" spans="1:27" x14ac:dyDescent="0.2">
      <c r="A448">
        <v>447</v>
      </c>
      <c r="D448"/>
      <c r="G448"/>
      <c r="R448"/>
      <c r="S448"/>
      <c r="AA448"/>
    </row>
    <row r="449" spans="1:27" x14ac:dyDescent="0.2">
      <c r="A449">
        <v>448</v>
      </c>
      <c r="D449"/>
      <c r="G449"/>
      <c r="R449"/>
      <c r="S449"/>
      <c r="AA449"/>
    </row>
    <row r="450" spans="1:27" x14ac:dyDescent="0.2">
      <c r="A450">
        <v>449</v>
      </c>
      <c r="D450"/>
      <c r="G450"/>
      <c r="R450"/>
      <c r="S450"/>
      <c r="AA450"/>
    </row>
    <row r="451" spans="1:27" x14ac:dyDescent="0.2">
      <c r="A451">
        <v>450</v>
      </c>
      <c r="D451"/>
      <c r="G451"/>
      <c r="R451"/>
      <c r="S451"/>
      <c r="AA451"/>
    </row>
    <row r="452" spans="1:27" x14ac:dyDescent="0.2">
      <c r="A452">
        <v>451</v>
      </c>
      <c r="D452"/>
      <c r="G452"/>
      <c r="R452"/>
      <c r="S452"/>
      <c r="AA452"/>
    </row>
    <row r="453" spans="1:27" x14ac:dyDescent="0.2">
      <c r="A453">
        <v>452</v>
      </c>
      <c r="D453"/>
      <c r="G453"/>
      <c r="R453"/>
      <c r="S453"/>
      <c r="AA453"/>
    </row>
    <row r="454" spans="1:27" x14ac:dyDescent="0.2">
      <c r="A454">
        <v>453</v>
      </c>
      <c r="D454"/>
      <c r="G454"/>
      <c r="R454"/>
      <c r="S454"/>
      <c r="AA454"/>
    </row>
    <row r="455" spans="1:27" x14ac:dyDescent="0.2">
      <c r="A455">
        <v>454</v>
      </c>
      <c r="D455"/>
      <c r="G455"/>
      <c r="R455"/>
      <c r="S455"/>
      <c r="AA455"/>
    </row>
    <row r="456" spans="1:27" x14ac:dyDescent="0.2">
      <c r="A456">
        <v>455</v>
      </c>
      <c r="D456"/>
      <c r="G456"/>
      <c r="R456"/>
      <c r="S456"/>
      <c r="AA456"/>
    </row>
    <row r="457" spans="1:27" x14ac:dyDescent="0.2">
      <c r="A457">
        <v>456</v>
      </c>
      <c r="D457"/>
      <c r="G457"/>
      <c r="R457"/>
      <c r="S457"/>
      <c r="AA457"/>
    </row>
    <row r="458" spans="1:27" x14ac:dyDescent="0.2">
      <c r="A458">
        <v>457</v>
      </c>
      <c r="D458"/>
      <c r="G458"/>
      <c r="R458"/>
      <c r="S458"/>
      <c r="AA458"/>
    </row>
    <row r="459" spans="1:27" x14ac:dyDescent="0.2">
      <c r="A459">
        <v>458</v>
      </c>
      <c r="D459"/>
      <c r="G459"/>
      <c r="R459"/>
      <c r="S459"/>
      <c r="AA459"/>
    </row>
    <row r="460" spans="1:27" x14ac:dyDescent="0.2">
      <c r="A460">
        <v>459</v>
      </c>
      <c r="D460"/>
      <c r="G460"/>
      <c r="R460"/>
      <c r="S460"/>
      <c r="AA460"/>
    </row>
    <row r="461" spans="1:27" x14ac:dyDescent="0.2">
      <c r="A461">
        <v>460</v>
      </c>
      <c r="D461"/>
      <c r="G461"/>
      <c r="R461"/>
      <c r="S461"/>
      <c r="AA461"/>
    </row>
    <row r="462" spans="1:27" x14ac:dyDescent="0.2">
      <c r="A462">
        <v>461</v>
      </c>
      <c r="D462"/>
      <c r="G462"/>
      <c r="R462"/>
      <c r="S462"/>
      <c r="AA462"/>
    </row>
    <row r="463" spans="1:27" x14ac:dyDescent="0.2">
      <c r="A463">
        <v>462</v>
      </c>
      <c r="D463"/>
      <c r="G463"/>
      <c r="R463"/>
      <c r="S463"/>
      <c r="AA463"/>
    </row>
    <row r="464" spans="1:27" x14ac:dyDescent="0.2">
      <c r="A464">
        <v>463</v>
      </c>
      <c r="D464"/>
      <c r="G464"/>
      <c r="R464"/>
      <c r="S464"/>
      <c r="AA464"/>
    </row>
    <row r="465" spans="1:27" x14ac:dyDescent="0.2">
      <c r="A465">
        <v>464</v>
      </c>
      <c r="D465"/>
      <c r="G465"/>
      <c r="R465"/>
      <c r="S465"/>
      <c r="AA465"/>
    </row>
    <row r="466" spans="1:27" x14ac:dyDescent="0.2">
      <c r="A466">
        <v>465</v>
      </c>
      <c r="D466"/>
      <c r="G466"/>
      <c r="R466"/>
      <c r="S466"/>
      <c r="AA466"/>
    </row>
    <row r="467" spans="1:27" x14ac:dyDescent="0.2">
      <c r="A467">
        <v>466</v>
      </c>
      <c r="D467"/>
      <c r="G467"/>
      <c r="R467"/>
      <c r="S467"/>
      <c r="AA467"/>
    </row>
    <row r="468" spans="1:27" x14ac:dyDescent="0.2">
      <c r="A468">
        <v>467</v>
      </c>
      <c r="D468"/>
      <c r="G468"/>
      <c r="R468"/>
      <c r="S468"/>
      <c r="AA468"/>
    </row>
    <row r="469" spans="1:27" x14ac:dyDescent="0.2">
      <c r="A469">
        <v>468</v>
      </c>
      <c r="D469"/>
      <c r="G469"/>
      <c r="R469"/>
      <c r="S469"/>
      <c r="AA469"/>
    </row>
    <row r="470" spans="1:27" x14ac:dyDescent="0.2">
      <c r="A470">
        <v>469</v>
      </c>
      <c r="D470"/>
      <c r="G470"/>
      <c r="R470"/>
      <c r="S470"/>
      <c r="AA470"/>
    </row>
    <row r="471" spans="1:27" x14ac:dyDescent="0.2">
      <c r="A471">
        <v>470</v>
      </c>
      <c r="D471"/>
      <c r="G471"/>
      <c r="R471"/>
      <c r="S471"/>
      <c r="AA471"/>
    </row>
    <row r="472" spans="1:27" x14ac:dyDescent="0.2">
      <c r="A472">
        <v>471</v>
      </c>
      <c r="D472"/>
      <c r="G472"/>
      <c r="R472"/>
      <c r="S472"/>
      <c r="AA472"/>
    </row>
    <row r="473" spans="1:27" x14ac:dyDescent="0.2">
      <c r="A473">
        <v>472</v>
      </c>
      <c r="D473"/>
      <c r="G473"/>
      <c r="R473"/>
      <c r="S473"/>
      <c r="AA473"/>
    </row>
    <row r="474" spans="1:27" x14ac:dyDescent="0.2">
      <c r="A474">
        <v>473</v>
      </c>
      <c r="D474"/>
      <c r="G474"/>
      <c r="R474"/>
      <c r="S474"/>
      <c r="AA474"/>
    </row>
    <row r="475" spans="1:27" x14ac:dyDescent="0.2">
      <c r="A475">
        <v>474</v>
      </c>
      <c r="D475"/>
      <c r="G475"/>
      <c r="R475"/>
      <c r="S475"/>
      <c r="AA475"/>
    </row>
    <row r="476" spans="1:27" x14ac:dyDescent="0.2">
      <c r="A476">
        <v>475</v>
      </c>
      <c r="D476"/>
      <c r="G476"/>
      <c r="R476"/>
      <c r="S476"/>
      <c r="AA476"/>
    </row>
    <row r="477" spans="1:27" x14ac:dyDescent="0.2">
      <c r="A477">
        <v>476</v>
      </c>
      <c r="D477"/>
      <c r="G477"/>
      <c r="R477"/>
      <c r="S477"/>
      <c r="AA477"/>
    </row>
    <row r="478" spans="1:27" x14ac:dyDescent="0.2">
      <c r="A478">
        <v>477</v>
      </c>
      <c r="D478"/>
      <c r="G478"/>
      <c r="R478"/>
      <c r="S478"/>
      <c r="AA478"/>
    </row>
    <row r="479" spans="1:27" x14ac:dyDescent="0.2">
      <c r="A479">
        <v>478</v>
      </c>
      <c r="D479"/>
      <c r="G479"/>
      <c r="R479"/>
      <c r="S479"/>
      <c r="AA479"/>
    </row>
    <row r="480" spans="1:27" x14ac:dyDescent="0.2">
      <c r="A480">
        <v>479</v>
      </c>
      <c r="D480"/>
      <c r="G480"/>
      <c r="R480"/>
      <c r="S480"/>
      <c r="AA480"/>
    </row>
    <row r="481" spans="1:27" x14ac:dyDescent="0.2">
      <c r="A481">
        <v>480</v>
      </c>
      <c r="D481"/>
      <c r="G481"/>
      <c r="R481"/>
      <c r="S481"/>
      <c r="AA481"/>
    </row>
    <row r="482" spans="1:27" x14ac:dyDescent="0.2">
      <c r="A482">
        <v>481</v>
      </c>
      <c r="D482"/>
      <c r="G482"/>
      <c r="R482"/>
      <c r="S482"/>
      <c r="AA482"/>
    </row>
    <row r="483" spans="1:27" x14ac:dyDescent="0.2">
      <c r="A483">
        <v>482</v>
      </c>
      <c r="D483"/>
      <c r="G483"/>
      <c r="R483"/>
      <c r="S483"/>
      <c r="AA483"/>
    </row>
    <row r="484" spans="1:27" x14ac:dyDescent="0.2">
      <c r="A484">
        <v>483</v>
      </c>
      <c r="D484"/>
      <c r="G484"/>
      <c r="R484"/>
      <c r="S484"/>
      <c r="AA484"/>
    </row>
    <row r="485" spans="1:27" x14ac:dyDescent="0.2">
      <c r="A485">
        <v>484</v>
      </c>
      <c r="D485"/>
      <c r="G485"/>
      <c r="R485"/>
      <c r="S485"/>
      <c r="AA485"/>
    </row>
    <row r="486" spans="1:27" x14ac:dyDescent="0.2">
      <c r="A486">
        <v>485</v>
      </c>
      <c r="D486"/>
      <c r="G486"/>
      <c r="R486"/>
      <c r="S486"/>
      <c r="AA486"/>
    </row>
    <row r="487" spans="1:27" x14ac:dyDescent="0.2">
      <c r="A487">
        <v>486</v>
      </c>
      <c r="D487"/>
      <c r="G487"/>
      <c r="R487"/>
      <c r="S487"/>
      <c r="AA487"/>
    </row>
    <row r="488" spans="1:27" x14ac:dyDescent="0.2">
      <c r="A488">
        <v>487</v>
      </c>
      <c r="D488"/>
      <c r="G488"/>
      <c r="R488"/>
      <c r="S488"/>
      <c r="AA488"/>
    </row>
    <row r="489" spans="1:27" x14ac:dyDescent="0.2">
      <c r="A489">
        <v>488</v>
      </c>
      <c r="D489"/>
      <c r="G489"/>
      <c r="R489"/>
      <c r="S489"/>
      <c r="AA489"/>
    </row>
    <row r="490" spans="1:27" x14ac:dyDescent="0.2">
      <c r="A490">
        <v>489</v>
      </c>
      <c r="D490"/>
      <c r="G490"/>
      <c r="R490"/>
      <c r="S490"/>
      <c r="AA490"/>
    </row>
    <row r="491" spans="1:27" x14ac:dyDescent="0.2">
      <c r="A491">
        <v>490</v>
      </c>
      <c r="D491"/>
      <c r="G491"/>
      <c r="R491"/>
      <c r="S491"/>
      <c r="AA491"/>
    </row>
    <row r="492" spans="1:27" x14ac:dyDescent="0.2">
      <c r="A492">
        <v>491</v>
      </c>
      <c r="D492"/>
      <c r="G492"/>
      <c r="R492"/>
      <c r="S492"/>
      <c r="AA492"/>
    </row>
    <row r="493" spans="1:27" x14ac:dyDescent="0.2">
      <c r="A493">
        <v>492</v>
      </c>
      <c r="D493"/>
      <c r="G493"/>
      <c r="R493"/>
      <c r="S493"/>
      <c r="AA493"/>
    </row>
    <row r="494" spans="1:27" x14ac:dyDescent="0.2">
      <c r="A494">
        <v>493</v>
      </c>
      <c r="D494"/>
      <c r="G494"/>
      <c r="R494"/>
      <c r="S494"/>
      <c r="AA494"/>
    </row>
    <row r="495" spans="1:27" x14ac:dyDescent="0.2">
      <c r="A495">
        <v>494</v>
      </c>
      <c r="D495"/>
      <c r="G495"/>
      <c r="R495"/>
      <c r="S495"/>
      <c r="AA495"/>
    </row>
    <row r="496" spans="1:27" x14ac:dyDescent="0.2">
      <c r="A496">
        <v>495</v>
      </c>
      <c r="D496"/>
      <c r="G496"/>
      <c r="R496"/>
      <c r="S496"/>
      <c r="AA496"/>
    </row>
    <row r="497" spans="1:27" x14ac:dyDescent="0.2">
      <c r="A497">
        <v>496</v>
      </c>
      <c r="D497"/>
      <c r="G497"/>
      <c r="R497"/>
      <c r="S497"/>
      <c r="AA497"/>
    </row>
    <row r="498" spans="1:27" x14ac:dyDescent="0.2">
      <c r="A498">
        <v>497</v>
      </c>
      <c r="D498"/>
      <c r="G498"/>
      <c r="R498"/>
      <c r="S498"/>
      <c r="AA498"/>
    </row>
    <row r="499" spans="1:27" x14ac:dyDescent="0.2">
      <c r="A499">
        <v>498</v>
      </c>
      <c r="D499"/>
      <c r="G499"/>
      <c r="R499"/>
      <c r="S499"/>
      <c r="AA499"/>
    </row>
    <row r="500" spans="1:27" x14ac:dyDescent="0.2">
      <c r="A500">
        <v>499</v>
      </c>
      <c r="D500"/>
      <c r="G500"/>
      <c r="R500"/>
      <c r="S500"/>
      <c r="AA500"/>
    </row>
    <row r="501" spans="1:27" x14ac:dyDescent="0.2">
      <c r="A501">
        <v>500</v>
      </c>
      <c r="D501"/>
      <c r="G501"/>
      <c r="R501"/>
      <c r="S501"/>
      <c r="AA501"/>
    </row>
  </sheetData>
  <phoneticPr fontId="19" type="noConversion"/>
  <hyperlinks>
    <hyperlink ref="AB2" r:id="rId1" xr:uid="{159DF83A-6ED7-214B-9AA3-FD6F88CBB596}"/>
    <hyperlink ref="AB3" r:id="rId2" xr:uid="{820D8E94-E384-BE4B-95AE-F55BD19B2BE0}"/>
    <hyperlink ref="AB15" r:id="rId3" xr:uid="{8EA51D9E-D540-A546-9AD9-2E67CC80C4C8}"/>
    <hyperlink ref="AB19" r:id="rId4" xr:uid="{F9D9588D-A8C2-E84E-81CB-7ABE126A5BCD}"/>
    <hyperlink ref="AB181" r:id="rId5" xr:uid="{A1F6D2C3-74EF-294B-B220-D066FA1BCE1F}"/>
    <hyperlink ref="AB9" r:id="rId6" xr:uid="{541423A7-1D4E-7148-92F7-A35429C311AA}"/>
    <hyperlink ref="AB10" r:id="rId7" xr:uid="{1FC13343-0E7B-7343-8B75-FEF1FC4A4090}"/>
    <hyperlink ref="AB11" r:id="rId8" xr:uid="{53AE6685-F58E-8947-872F-EF5FE9C0DB84}"/>
    <hyperlink ref="AB12" r:id="rId9" xr:uid="{F678D749-B4C3-7145-B518-46F255831BDA}"/>
    <hyperlink ref="AB13" r:id="rId10" xr:uid="{FF0E9B32-8FFF-2844-8D10-311E7A6B31F9}"/>
    <hyperlink ref="AB18" r:id="rId11" xr:uid="{FD10CBF3-33F8-254B-8A82-F817025D1B70}"/>
    <hyperlink ref="AB20" r:id="rId12" xr:uid="{2EEA8C99-C91C-5040-8129-ABE33958893C}"/>
    <hyperlink ref="AB21" r:id="rId13" xr:uid="{B0A9F96E-4C52-3744-8DDA-9B3D96E8A5EA}"/>
    <hyperlink ref="AB22" r:id="rId14" xr:uid="{AB3B00DF-0753-584D-91DC-FFEE57A1A56C}"/>
    <hyperlink ref="AB23" r:id="rId15" xr:uid="{010B8AE2-C78A-8945-ACF1-924EF7BC4A9F}"/>
    <hyperlink ref="AB27" r:id="rId16" xr:uid="{554C6C64-7E28-FC46-9CB3-CD0B3CD08144}"/>
    <hyperlink ref="AB24" r:id="rId17" xr:uid="{BB90E375-6E8B-4541-817B-069A13EC3004}"/>
    <hyperlink ref="AB25" r:id="rId18" xr:uid="{06CBB767-9A64-1247-9688-E453B88FF073}"/>
    <hyperlink ref="AB189" r:id="rId19" xr:uid="{E3E751A0-AB11-DF40-851E-4B8EDAE31A33}"/>
    <hyperlink ref="AB190" r:id="rId20" xr:uid="{2A9B96AD-7B3E-9E45-9A74-0669CFDDE448}"/>
    <hyperlink ref="AB191" r:id="rId21" xr:uid="{BDD19CF8-0402-4246-9F9E-B310DFEB52A3}"/>
    <hyperlink ref="AB245" r:id="rId22" xr:uid="{03121B0F-418A-3E46-9C57-07109B13F6E1}"/>
    <hyperlink ref="AB246" r:id="rId23" xr:uid="{19B16990-B4ED-7842-8831-B11948E504C3}"/>
    <hyperlink ref="AB247" r:id="rId24" xr:uid="{763ADDD8-3F9B-1542-BFA9-5A32BB1078EE}"/>
    <hyperlink ref="AB248" r:id="rId25" xr:uid="{B953D807-F99D-E64F-A860-48BE872F7D3B}"/>
    <hyperlink ref="AB249" r:id="rId26" xr:uid="{1A7C9939-AD98-874F-8A61-9F244AA95EE8}"/>
    <hyperlink ref="AB250" r:id="rId27" xr:uid="{FAC05E73-7C57-AD4E-AF01-1EDA760337B8}"/>
    <hyperlink ref="AB251" r:id="rId28" xr:uid="{262A1CE8-D62F-7D4F-A208-85A4FB2CE4F9}"/>
    <hyperlink ref="AB253" r:id="rId29" xr:uid="{FDC771C2-B35B-7645-9564-8E1B377E85D4}"/>
    <hyperlink ref="AB274" r:id="rId30" tooltip="Persistent link using digital object identifier" xr:uid="{57670D07-3D8C-F54A-BECB-A1E8EE4C75A7}"/>
    <hyperlink ref="AB275" r:id="rId31" tooltip="Persistent link using digital object identifier" xr:uid="{4A0D79BD-6F59-AD4A-BDD3-46BB39633252}"/>
    <hyperlink ref="AB276" r:id="rId32" tooltip="Persistent link using digital object identifier" xr:uid="{92BEAC71-A8AB-6A49-9959-E0F718A87551}"/>
    <hyperlink ref="AB277" r:id="rId33" xr:uid="{274173AF-BCA4-404F-A4C5-BFAFAAC49C89}"/>
    <hyperlink ref="AB278" r:id="rId34" xr:uid="{FB4AFF34-D1B9-1B46-A573-A058082C9E7A}"/>
    <hyperlink ref="AB279" r:id="rId35" xr:uid="{CDF40199-3A1C-7D4D-98BA-6F02CE481263}"/>
    <hyperlink ref="AB280" r:id="rId36" xr:uid="{2CDCC7A0-3D12-594D-9860-4EADA4D2844C}"/>
    <hyperlink ref="AB281" r:id="rId37" xr:uid="{4ECEB60B-0CE5-1742-8A60-B2C6E4F55288}"/>
    <hyperlink ref="AB282" r:id="rId38" xr:uid="{FCE030C1-5735-5E4F-B943-A4EAD694E483}"/>
    <hyperlink ref="AB283" r:id="rId39" xr:uid="{74703F21-DF1D-7542-96D4-775F246A6B8C}"/>
    <hyperlink ref="AB284" r:id="rId40" xr:uid="{0970A517-4F33-0B41-A886-3D5A7357F99B}"/>
    <hyperlink ref="AB285" r:id="rId41" xr:uid="{EAF0E2CD-35A6-C74D-AD17-BE123EEC83DB}"/>
    <hyperlink ref="AB286" r:id="rId42" tooltip="Persistent link using digital object identifier" xr:uid="{4C3A6908-0F8F-B349-A55E-124E99CDF570}"/>
    <hyperlink ref="AB287" r:id="rId43" xr:uid="{5F4D9B03-C72C-D24A-859C-63155B4DCE2C}"/>
    <hyperlink ref="AB288" r:id="rId44" xr:uid="{BE431EA2-E8A3-7D4B-B340-51E61B8BF0F8}"/>
    <hyperlink ref="AB289" r:id="rId45" xr:uid="{3FE77E55-FC21-2941-AB46-2498DFCB44E9}"/>
    <hyperlink ref="AB290" r:id="rId46" xr:uid="{B45923DF-8BF3-0E4E-B3F0-6BEBDD5B6B1C}"/>
    <hyperlink ref="AB58" r:id="rId47" xr:uid="{9EE3E1BD-B480-C34D-8D86-40842D1F0437}"/>
    <hyperlink ref="AB49" r:id="rId48" xr:uid="{A29E0B3B-9B09-B24E-B796-745EE174D532}"/>
    <hyperlink ref="AB48" r:id="rId49" xr:uid="{C1589CFF-DB3D-AD4E-85DC-25BEB81BC2C4}"/>
    <hyperlink ref="AB294" r:id="rId50" tooltip="Persistent link using digital object identifier" xr:uid="{6A0BA7C1-B1A8-3D4C-9FB6-551FDA431F36}"/>
    <hyperlink ref="AB295" r:id="rId51" tooltip="Persistent link using digital object identifier" xr:uid="{E702884B-D3D5-DF47-AE62-1C2953BFC054}"/>
    <hyperlink ref="AB296" r:id="rId52" xr:uid="{F799773D-85C8-7944-8D46-AE063DAC6A06}"/>
    <hyperlink ref="AB115" r:id="rId53" xr:uid="{8F138AC6-3594-3349-A561-CA5C387D8468}"/>
    <hyperlink ref="AB324" r:id="rId54" tooltip="Persistent link using digital object identifier" xr:uid="{BC578F07-8E6F-2E4B-A2D9-85A5FD16F655}"/>
    <hyperlink ref="AB336" r:id="rId55" xr:uid="{99FC54FC-43F4-8B49-B8E6-386CC41046A6}"/>
    <hyperlink ref="AB347" r:id="rId56" xr:uid="{BED8E7CB-1FD7-504F-9F5B-7BF7FA27312C}"/>
    <hyperlink ref="AB348" r:id="rId57" xr:uid="{84F989AC-201F-124E-9423-A953878A2D0C}"/>
    <hyperlink ref="AB349" r:id="rId58" xr:uid="{578B4CD6-093A-A04A-A20F-A3ECE8499446}"/>
    <hyperlink ref="AB350" r:id="rId59" tooltip="Persistent link using digital object identifier" xr:uid="{6A3151FA-7747-8949-843D-6DF06FEE3BA8}"/>
    <hyperlink ref="AB351" r:id="rId60" tooltip="Persistent link using digital object identifier" xr:uid="{D88F6D46-5EB8-DF46-B075-464B769F7122}"/>
    <hyperlink ref="AB352" r:id="rId61" xr:uid="{5C05107B-0788-2946-854D-21CEB66B7391}"/>
    <hyperlink ref="AB353" r:id="rId62" tooltip="Persistent link using digital object identifier" xr:uid="{B9C3C0C0-9324-EE4B-8EB4-03C148B85536}"/>
    <hyperlink ref="AB354" r:id="rId63" xr:uid="{D4788405-5B4B-0A43-A2B9-CED4C78BEE10}"/>
    <hyperlink ref="AB355" r:id="rId64" xr:uid="{40DDB605-EB6B-654B-9870-81DC6EF88AEE}"/>
    <hyperlink ref="AB356" r:id="rId65" xr:uid="{AB51C033-527B-7D43-B3D6-8C0EA82BF0C2}"/>
    <hyperlink ref="AB357" r:id="rId66" tooltip="Persistent link using digital object identifier" xr:uid="{FC0652EF-1A7D-384F-9E2E-DDDD29314ACB}"/>
    <hyperlink ref="AB358" r:id="rId67" xr:uid="{A7371822-B12A-FC48-8F6A-3DEAD6E966B5}"/>
    <hyperlink ref="AB359" r:id="rId68" tooltip="Persistent link using digital object identifier" xr:uid="{BEC32A03-2C4E-F54E-8888-6F5758D66FE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AF73-BEDB-3243-9F7A-38811E44E55C}">
  <dimension ref="A1:I117"/>
  <sheetViews>
    <sheetView tabSelected="1" workbookViewId="0">
      <pane ySplit="1" topLeftCell="A94" activePane="bottomLeft" state="frozen"/>
      <selection pane="bottomLeft" activeCell="G119" sqref="G119"/>
    </sheetView>
  </sheetViews>
  <sheetFormatPr baseColWidth="10" defaultRowHeight="16" x14ac:dyDescent="0.2"/>
  <cols>
    <col min="1" max="1" width="4.1640625" bestFit="1" customWidth="1"/>
    <col min="2" max="2" width="19.33203125" bestFit="1" customWidth="1"/>
    <col min="3" max="3" width="19" bestFit="1" customWidth="1"/>
    <col min="4" max="4" width="8.6640625" bestFit="1" customWidth="1"/>
    <col min="5" max="6" width="12.83203125" bestFit="1" customWidth="1"/>
    <col min="7" max="7" width="19.6640625" bestFit="1" customWidth="1"/>
    <col min="8" max="8" width="16.6640625" bestFit="1" customWidth="1"/>
    <col min="9" max="9" width="17" bestFit="1" customWidth="1"/>
  </cols>
  <sheetData>
    <row r="1" spans="1:9" s="1" customFormat="1" x14ac:dyDescent="0.2">
      <c r="A1" s="1" t="s">
        <v>61</v>
      </c>
      <c r="B1" s="1" t="s">
        <v>60</v>
      </c>
      <c r="C1" s="1" t="s">
        <v>107</v>
      </c>
      <c r="D1" s="1" t="s">
        <v>110</v>
      </c>
      <c r="E1" s="1" t="s">
        <v>1</v>
      </c>
      <c r="F1" s="1" t="s">
        <v>2</v>
      </c>
      <c r="G1" s="1" t="s">
        <v>82</v>
      </c>
      <c r="H1" s="1" t="s">
        <v>62</v>
      </c>
      <c r="I1" s="1" t="s">
        <v>58</v>
      </c>
    </row>
    <row r="2" spans="1:9" x14ac:dyDescent="0.2">
      <c r="A2">
        <v>1</v>
      </c>
      <c r="I2" t="s">
        <v>59</v>
      </c>
    </row>
    <row r="3" spans="1:9" x14ac:dyDescent="0.2">
      <c r="A3">
        <v>1</v>
      </c>
      <c r="I3" t="s">
        <v>64</v>
      </c>
    </row>
    <row r="4" spans="1:9" x14ac:dyDescent="0.2">
      <c r="A4">
        <v>1</v>
      </c>
      <c r="I4" t="s">
        <v>65</v>
      </c>
    </row>
    <row r="5" spans="1:9" x14ac:dyDescent="0.2">
      <c r="A5">
        <v>2</v>
      </c>
      <c r="H5" t="s">
        <v>8</v>
      </c>
      <c r="I5" t="s">
        <v>63</v>
      </c>
    </row>
    <row r="6" spans="1:9" x14ac:dyDescent="0.2">
      <c r="A6">
        <v>2</v>
      </c>
      <c r="H6" t="s">
        <v>24</v>
      </c>
      <c r="I6" t="s">
        <v>65</v>
      </c>
    </row>
    <row r="7" spans="1:9" x14ac:dyDescent="0.2">
      <c r="A7">
        <v>3</v>
      </c>
      <c r="E7">
        <v>37.254330000000003</v>
      </c>
      <c r="F7">
        <v>-93.305109999999999</v>
      </c>
      <c r="G7">
        <v>1</v>
      </c>
      <c r="I7" t="s">
        <v>59</v>
      </c>
    </row>
    <row r="8" spans="1:9" x14ac:dyDescent="0.2">
      <c r="A8">
        <v>3</v>
      </c>
      <c r="E8">
        <v>39.973759999999999</v>
      </c>
      <c r="F8">
        <v>-75.194339999999997</v>
      </c>
      <c r="G8">
        <v>3</v>
      </c>
      <c r="I8" t="s">
        <v>64</v>
      </c>
    </row>
    <row r="9" spans="1:9" x14ac:dyDescent="0.2">
      <c r="A9">
        <v>3</v>
      </c>
      <c r="E9">
        <v>33.097549999999998</v>
      </c>
      <c r="F9">
        <v>-116.99477</v>
      </c>
      <c r="G9">
        <v>6</v>
      </c>
      <c r="I9" t="s">
        <v>65</v>
      </c>
    </row>
    <row r="10" spans="1:9" x14ac:dyDescent="0.2">
      <c r="A10">
        <v>3</v>
      </c>
      <c r="E10">
        <v>38.887259999999998</v>
      </c>
      <c r="F10">
        <v>-78.163899999999998</v>
      </c>
      <c r="G10">
        <v>7</v>
      </c>
    </row>
    <row r="11" spans="1:9" x14ac:dyDescent="0.2">
      <c r="A11">
        <v>3</v>
      </c>
      <c r="E11">
        <v>30.937899999999999</v>
      </c>
      <c r="F11">
        <v>-81.699479999999994</v>
      </c>
      <c r="G11">
        <v>4</v>
      </c>
    </row>
    <row r="12" spans="1:9" x14ac:dyDescent="0.2">
      <c r="A12">
        <v>3</v>
      </c>
      <c r="E12">
        <v>43.140970000000003</v>
      </c>
      <c r="F12">
        <v>-123.42726999999999</v>
      </c>
      <c r="G12">
        <v>4</v>
      </c>
    </row>
    <row r="13" spans="1:9" x14ac:dyDescent="0.2">
      <c r="A13">
        <v>3</v>
      </c>
      <c r="E13">
        <v>40.005070000000003</v>
      </c>
      <c r="F13">
        <v>-81.731290000000001</v>
      </c>
      <c r="G13">
        <v>4</v>
      </c>
    </row>
    <row r="14" spans="1:9" x14ac:dyDescent="0.2">
      <c r="A14">
        <v>4</v>
      </c>
      <c r="I14" t="s">
        <v>59</v>
      </c>
    </row>
    <row r="15" spans="1:9" x14ac:dyDescent="0.2">
      <c r="A15">
        <v>4</v>
      </c>
      <c r="I15" t="s">
        <v>64</v>
      </c>
    </row>
    <row r="16" spans="1:9" x14ac:dyDescent="0.2">
      <c r="A16">
        <v>4</v>
      </c>
      <c r="I16" t="s">
        <v>65</v>
      </c>
    </row>
    <row r="17" spans="1:9" x14ac:dyDescent="0.2">
      <c r="A17">
        <v>5</v>
      </c>
      <c r="E17">
        <v>-20.484074476603901</v>
      </c>
      <c r="F17">
        <v>17.032209945633699</v>
      </c>
    </row>
    <row r="18" spans="1:9" x14ac:dyDescent="0.2">
      <c r="A18">
        <v>5</v>
      </c>
      <c r="E18">
        <v>-19.5480736715059</v>
      </c>
      <c r="F18">
        <v>15.771923734981799</v>
      </c>
    </row>
    <row r="19" spans="1:9" x14ac:dyDescent="0.2">
      <c r="A19">
        <v>6</v>
      </c>
      <c r="D19" t="s">
        <v>20</v>
      </c>
      <c r="E19">
        <v>-20.484019199140199</v>
      </c>
      <c r="F19">
        <v>17.0320811995505</v>
      </c>
      <c r="G19">
        <v>18</v>
      </c>
    </row>
    <row r="20" spans="1:9" x14ac:dyDescent="0.2">
      <c r="A20">
        <v>6</v>
      </c>
      <c r="D20" t="s">
        <v>209</v>
      </c>
      <c r="E20">
        <v>30.784870482381098</v>
      </c>
      <c r="F20">
        <v>-81.663382515892494</v>
      </c>
      <c r="G20">
        <v>3</v>
      </c>
    </row>
    <row r="21" spans="1:9" x14ac:dyDescent="0.2">
      <c r="A21">
        <v>6</v>
      </c>
      <c r="E21">
        <v>38.929786667779098</v>
      </c>
      <c r="F21">
        <v>-77.0494518095432</v>
      </c>
      <c r="G21">
        <v>1</v>
      </c>
    </row>
    <row r="22" spans="1:9" x14ac:dyDescent="0.2">
      <c r="A22">
        <v>7</v>
      </c>
      <c r="I22" t="s">
        <v>59</v>
      </c>
    </row>
    <row r="23" spans="1:9" x14ac:dyDescent="0.2">
      <c r="A23">
        <v>7</v>
      </c>
      <c r="I23" t="s">
        <v>64</v>
      </c>
    </row>
    <row r="24" spans="1:9" x14ac:dyDescent="0.2">
      <c r="A24">
        <v>7</v>
      </c>
      <c r="I24" t="s">
        <v>65</v>
      </c>
    </row>
    <row r="25" spans="1:9" x14ac:dyDescent="0.2">
      <c r="A25">
        <v>9</v>
      </c>
      <c r="E25">
        <v>32.1800670261593</v>
      </c>
      <c r="F25">
        <v>-97.796614924700805</v>
      </c>
    </row>
    <row r="26" spans="1:9" x14ac:dyDescent="0.2">
      <c r="A26">
        <v>9</v>
      </c>
      <c r="E26">
        <v>32.369624725252798</v>
      </c>
      <c r="F26">
        <v>-85.594834094186297</v>
      </c>
    </row>
    <row r="27" spans="1:9" x14ac:dyDescent="0.2">
      <c r="A27">
        <v>16</v>
      </c>
      <c r="E27">
        <v>-23.1910982793569</v>
      </c>
      <c r="F27">
        <v>-46.978827497023197</v>
      </c>
      <c r="G27">
        <v>2</v>
      </c>
    </row>
    <row r="28" spans="1:9" x14ac:dyDescent="0.2">
      <c r="A28">
        <v>16</v>
      </c>
      <c r="E28">
        <v>-22.765090326434599</v>
      </c>
      <c r="F28">
        <v>-47.153723040788599</v>
      </c>
      <c r="G28">
        <v>1</v>
      </c>
    </row>
    <row r="29" spans="1:9" x14ac:dyDescent="0.2">
      <c r="A29">
        <v>16</v>
      </c>
      <c r="E29">
        <v>-15.8574797751487</v>
      </c>
      <c r="F29">
        <v>-48.475948447021601</v>
      </c>
      <c r="G29">
        <v>3</v>
      </c>
    </row>
    <row r="30" spans="1:9" x14ac:dyDescent="0.2">
      <c r="A30">
        <v>15</v>
      </c>
      <c r="E30">
        <v>-16.843969393763601</v>
      </c>
      <c r="F30">
        <v>-57.492516681197799</v>
      </c>
      <c r="G30">
        <v>2</v>
      </c>
    </row>
    <row r="31" spans="1:9" x14ac:dyDescent="0.2">
      <c r="A31">
        <v>15</v>
      </c>
      <c r="E31">
        <v>-19.573153950516101</v>
      </c>
      <c r="F31">
        <v>-56.152466537907202</v>
      </c>
      <c r="G31">
        <v>2</v>
      </c>
    </row>
    <row r="32" spans="1:9" x14ac:dyDescent="0.2">
      <c r="A32">
        <v>15</v>
      </c>
      <c r="E32">
        <v>-8.6723100822040493</v>
      </c>
      <c r="F32">
        <v>-42.577917879738898</v>
      </c>
      <c r="G32">
        <v>1</v>
      </c>
    </row>
    <row r="33" spans="1:9" x14ac:dyDescent="0.2">
      <c r="A33">
        <v>18</v>
      </c>
      <c r="E33">
        <v>-23.6505864056764</v>
      </c>
      <c r="F33">
        <v>-46.620165613561397</v>
      </c>
      <c r="G33">
        <v>7</v>
      </c>
    </row>
    <row r="34" spans="1:9" x14ac:dyDescent="0.2">
      <c r="A34">
        <v>18</v>
      </c>
      <c r="E34">
        <v>-23.5051541227085</v>
      </c>
      <c r="F34">
        <v>-47.4370696409472</v>
      </c>
      <c r="G34">
        <v>3</v>
      </c>
    </row>
    <row r="35" spans="1:9" x14ac:dyDescent="0.2">
      <c r="A35">
        <v>19</v>
      </c>
      <c r="I35" t="s">
        <v>59</v>
      </c>
    </row>
    <row r="36" spans="1:9" x14ac:dyDescent="0.2">
      <c r="A36">
        <v>19</v>
      </c>
      <c r="I36" t="s">
        <v>64</v>
      </c>
    </row>
    <row r="37" spans="1:9" x14ac:dyDescent="0.2">
      <c r="A37">
        <v>19</v>
      </c>
      <c r="I37" t="s">
        <v>65</v>
      </c>
    </row>
    <row r="38" spans="1:9" x14ac:dyDescent="0.2">
      <c r="A38">
        <v>37</v>
      </c>
      <c r="I38" t="s">
        <v>59</v>
      </c>
    </row>
    <row r="39" spans="1:9" x14ac:dyDescent="0.2">
      <c r="A39">
        <v>37</v>
      </c>
      <c r="I39" t="s">
        <v>64</v>
      </c>
    </row>
    <row r="40" spans="1:9" x14ac:dyDescent="0.2">
      <c r="A40">
        <v>37</v>
      </c>
      <c r="I40" t="s">
        <v>65</v>
      </c>
    </row>
    <row r="41" spans="1:9" x14ac:dyDescent="0.2">
      <c r="A41">
        <v>27</v>
      </c>
      <c r="I41" t="s">
        <v>59</v>
      </c>
    </row>
    <row r="42" spans="1:9" x14ac:dyDescent="0.2">
      <c r="A42">
        <v>27</v>
      </c>
      <c r="I42" t="s">
        <v>64</v>
      </c>
    </row>
    <row r="43" spans="1:9" x14ac:dyDescent="0.2">
      <c r="A43">
        <v>27</v>
      </c>
      <c r="I43" t="s">
        <v>65</v>
      </c>
    </row>
    <row r="44" spans="1:9" x14ac:dyDescent="0.2">
      <c r="A44">
        <v>21</v>
      </c>
      <c r="I44" t="s">
        <v>65</v>
      </c>
    </row>
    <row r="45" spans="1:9" x14ac:dyDescent="0.2">
      <c r="A45">
        <v>21</v>
      </c>
      <c r="I45" t="s">
        <v>63</v>
      </c>
    </row>
    <row r="46" spans="1:9" x14ac:dyDescent="0.2">
      <c r="A46">
        <v>22</v>
      </c>
      <c r="E46">
        <v>-27.374163480586098</v>
      </c>
      <c r="F46">
        <v>26.6198967631681</v>
      </c>
      <c r="G46">
        <v>6</v>
      </c>
    </row>
    <row r="47" spans="1:9" x14ac:dyDescent="0.2">
      <c r="A47">
        <v>22</v>
      </c>
      <c r="E47">
        <v>-26.146468593127601</v>
      </c>
      <c r="F47">
        <v>28.034979751288599</v>
      </c>
      <c r="G47">
        <v>2</v>
      </c>
    </row>
    <row r="48" spans="1:9" x14ac:dyDescent="0.2">
      <c r="A48">
        <v>23</v>
      </c>
      <c r="I48" t="s">
        <v>63</v>
      </c>
    </row>
    <row r="49" spans="1:9" x14ac:dyDescent="0.2">
      <c r="A49">
        <v>23</v>
      </c>
      <c r="I49" t="s">
        <v>65</v>
      </c>
    </row>
    <row r="50" spans="1:9" x14ac:dyDescent="0.2">
      <c r="A50">
        <v>25</v>
      </c>
      <c r="E50">
        <v>13.2150273264535</v>
      </c>
      <c r="F50">
        <v>101.057237029969</v>
      </c>
      <c r="G50">
        <v>3</v>
      </c>
    </row>
    <row r="51" spans="1:9" x14ac:dyDescent="0.2">
      <c r="A51">
        <v>25</v>
      </c>
      <c r="E51">
        <v>14.850570370365499</v>
      </c>
      <c r="F51">
        <v>102.07494344534101</v>
      </c>
      <c r="G51">
        <v>2</v>
      </c>
    </row>
    <row r="52" spans="1:9" x14ac:dyDescent="0.2">
      <c r="A52">
        <v>25</v>
      </c>
      <c r="E52">
        <v>18.810774854151902</v>
      </c>
      <c r="F52">
        <v>98.948188558922993</v>
      </c>
      <c r="G52">
        <v>1</v>
      </c>
    </row>
    <row r="53" spans="1:9" x14ac:dyDescent="0.2">
      <c r="A53">
        <v>25</v>
      </c>
      <c r="E53">
        <v>7.1480917200824798</v>
      </c>
      <c r="F53">
        <v>100.609313499203</v>
      </c>
      <c r="G53">
        <v>2</v>
      </c>
    </row>
    <row r="54" spans="1:9" x14ac:dyDescent="0.2">
      <c r="A54">
        <v>29</v>
      </c>
      <c r="I54" t="s">
        <v>59</v>
      </c>
    </row>
    <row r="55" spans="1:9" x14ac:dyDescent="0.2">
      <c r="A55">
        <v>29</v>
      </c>
      <c r="I55" t="s">
        <v>64</v>
      </c>
    </row>
    <row r="56" spans="1:9" x14ac:dyDescent="0.2">
      <c r="A56">
        <v>29</v>
      </c>
      <c r="I56" t="s">
        <v>101</v>
      </c>
    </row>
    <row r="57" spans="1:9" x14ac:dyDescent="0.2">
      <c r="A57">
        <v>30</v>
      </c>
      <c r="I57" t="s">
        <v>64</v>
      </c>
    </row>
    <row r="58" spans="1:9" x14ac:dyDescent="0.2">
      <c r="A58">
        <v>30</v>
      </c>
      <c r="I58" t="s">
        <v>63</v>
      </c>
    </row>
    <row r="59" spans="1:9" x14ac:dyDescent="0.2">
      <c r="A59">
        <v>30</v>
      </c>
      <c r="I59" t="s">
        <v>101</v>
      </c>
    </row>
    <row r="60" spans="1:9" x14ac:dyDescent="0.2">
      <c r="A60">
        <v>30</v>
      </c>
      <c r="I60" t="s">
        <v>59</v>
      </c>
    </row>
    <row r="61" spans="1:9" x14ac:dyDescent="0.2">
      <c r="A61">
        <v>33</v>
      </c>
      <c r="B61" t="s">
        <v>104</v>
      </c>
      <c r="C61">
        <v>10</v>
      </c>
    </row>
    <row r="62" spans="1:9" x14ac:dyDescent="0.2">
      <c r="A62">
        <v>33</v>
      </c>
      <c r="B62" t="s">
        <v>105</v>
      </c>
      <c r="C62">
        <v>1</v>
      </c>
    </row>
    <row r="63" spans="1:9" x14ac:dyDescent="0.2">
      <c r="A63">
        <v>33</v>
      </c>
      <c r="B63" t="s">
        <v>106</v>
      </c>
      <c r="C63">
        <v>3</v>
      </c>
    </row>
    <row r="64" spans="1:9" x14ac:dyDescent="0.2">
      <c r="A64">
        <v>34</v>
      </c>
      <c r="B64" t="s">
        <v>104</v>
      </c>
      <c r="C64">
        <v>1</v>
      </c>
      <c r="E64">
        <v>39.831021524330701</v>
      </c>
      <c r="F64">
        <v>-81.730676999151896</v>
      </c>
      <c r="G64">
        <v>2</v>
      </c>
      <c r="I64" t="s">
        <v>64</v>
      </c>
    </row>
    <row r="65" spans="1:9" x14ac:dyDescent="0.2">
      <c r="A65">
        <v>34</v>
      </c>
      <c r="B65" t="s">
        <v>105</v>
      </c>
      <c r="C65">
        <v>4</v>
      </c>
      <c r="E65">
        <v>39.1428356711058</v>
      </c>
      <c r="F65">
        <v>-84.509021982656094</v>
      </c>
      <c r="G65">
        <v>2</v>
      </c>
      <c r="I65" t="s">
        <v>65</v>
      </c>
    </row>
    <row r="66" spans="1:9" x14ac:dyDescent="0.2">
      <c r="A66">
        <v>34</v>
      </c>
      <c r="B66" t="s">
        <v>106</v>
      </c>
      <c r="C66">
        <v>2</v>
      </c>
      <c r="E66">
        <v>30.7321959965108</v>
      </c>
      <c r="F66">
        <v>-81.700555010101496</v>
      </c>
      <c r="G66">
        <v>3</v>
      </c>
    </row>
    <row r="67" spans="1:9" x14ac:dyDescent="0.2">
      <c r="A67">
        <v>35</v>
      </c>
      <c r="D67" t="s">
        <v>220</v>
      </c>
      <c r="E67">
        <v>-37.922517004885201</v>
      </c>
      <c r="F67">
        <v>144.66734108475299</v>
      </c>
      <c r="G67">
        <f>6/4</f>
        <v>1.5</v>
      </c>
    </row>
    <row r="68" spans="1:9" x14ac:dyDescent="0.2">
      <c r="A68">
        <v>35</v>
      </c>
      <c r="D68" t="s">
        <v>221</v>
      </c>
      <c r="E68">
        <v>-35.795208329109798</v>
      </c>
      <c r="F68">
        <v>150.159496613491</v>
      </c>
      <c r="G68">
        <f t="shared" ref="G68:G70" si="0">6/4</f>
        <v>1.5</v>
      </c>
    </row>
    <row r="69" spans="1:9" x14ac:dyDescent="0.2">
      <c r="A69">
        <v>35</v>
      </c>
      <c r="D69" t="s">
        <v>222</v>
      </c>
      <c r="E69">
        <v>-35.087652232300201</v>
      </c>
      <c r="F69">
        <v>139.16270366928299</v>
      </c>
      <c r="G69">
        <f t="shared" si="0"/>
        <v>1.5</v>
      </c>
    </row>
    <row r="70" spans="1:9" x14ac:dyDescent="0.2">
      <c r="A70">
        <v>35</v>
      </c>
      <c r="E70">
        <v>-37.147066880365898</v>
      </c>
      <c r="F70">
        <v>142.56371034054001</v>
      </c>
      <c r="G70">
        <f t="shared" si="0"/>
        <v>1.5</v>
      </c>
    </row>
    <row r="71" spans="1:9" x14ac:dyDescent="0.2">
      <c r="A71">
        <v>35</v>
      </c>
      <c r="E71">
        <v>47.756680263123201</v>
      </c>
      <c r="F71">
        <v>13.0660057392393</v>
      </c>
      <c r="G71">
        <f>4/3</f>
        <v>1.3333333333333333</v>
      </c>
    </row>
    <row r="72" spans="1:9" x14ac:dyDescent="0.2">
      <c r="A72">
        <v>35</v>
      </c>
      <c r="E72">
        <v>58.665337500281701</v>
      </c>
      <c r="F72">
        <v>16.4656669975776</v>
      </c>
      <c r="G72">
        <f t="shared" ref="G72:G73" si="1">4/3</f>
        <v>1.3333333333333333</v>
      </c>
    </row>
    <row r="73" spans="1:9" x14ac:dyDescent="0.2">
      <c r="A73">
        <v>35</v>
      </c>
      <c r="E73">
        <v>39.478279836423297</v>
      </c>
      <c r="F73">
        <v>-0.40755311973542102</v>
      </c>
      <c r="G73">
        <f t="shared" si="1"/>
        <v>1.3333333333333333</v>
      </c>
    </row>
    <row r="74" spans="1:9" x14ac:dyDescent="0.2">
      <c r="A74">
        <v>39</v>
      </c>
      <c r="E74">
        <v>38.9297574562855</v>
      </c>
      <c r="F74">
        <v>-77.049762945881795</v>
      </c>
      <c r="G74">
        <v>4</v>
      </c>
    </row>
    <row r="75" spans="1:9" x14ac:dyDescent="0.2">
      <c r="A75">
        <v>39</v>
      </c>
      <c r="E75">
        <v>39.829614099459903</v>
      </c>
      <c r="F75">
        <v>-81.733050131989103</v>
      </c>
      <c r="G75">
        <v>3</v>
      </c>
    </row>
    <row r="76" spans="1:9" x14ac:dyDescent="0.2">
      <c r="A76">
        <v>39</v>
      </c>
      <c r="E76">
        <v>40.850279435367099</v>
      </c>
      <c r="F76">
        <v>-73.876710974622995</v>
      </c>
      <c r="G76">
        <v>2</v>
      </c>
    </row>
    <row r="77" spans="1:9" x14ac:dyDescent="0.2">
      <c r="A77">
        <v>46</v>
      </c>
      <c r="D77" t="s">
        <v>216</v>
      </c>
      <c r="E77">
        <v>30.733130360507499</v>
      </c>
      <c r="F77">
        <v>104.14578853851501</v>
      </c>
      <c r="G77">
        <v>2</v>
      </c>
    </row>
    <row r="78" spans="1:9" x14ac:dyDescent="0.2">
      <c r="A78">
        <v>46</v>
      </c>
      <c r="D78" t="s">
        <v>20</v>
      </c>
      <c r="E78">
        <v>32.736164557459297</v>
      </c>
      <c r="F78">
        <v>-117.15095442964601</v>
      </c>
      <c r="G78">
        <v>1</v>
      </c>
    </row>
    <row r="79" spans="1:9" x14ac:dyDescent="0.2">
      <c r="A79">
        <v>47</v>
      </c>
      <c r="E79">
        <v>-22.530899999999999</v>
      </c>
      <c r="F79">
        <v>-48.264200000000002</v>
      </c>
      <c r="G79">
        <v>1</v>
      </c>
    </row>
    <row r="80" spans="1:9" x14ac:dyDescent="0.2">
      <c r="A80">
        <v>47</v>
      </c>
      <c r="E80">
        <v>-20.389568379568299</v>
      </c>
      <c r="F80">
        <v>-55.277775560280801</v>
      </c>
      <c r="G80">
        <v>7</v>
      </c>
    </row>
    <row r="81" spans="1:9" x14ac:dyDescent="0.2">
      <c r="A81">
        <v>53</v>
      </c>
      <c r="E81">
        <v>37.042900144219999</v>
      </c>
      <c r="F81">
        <v>-6.4344574321077301</v>
      </c>
    </row>
    <row r="82" spans="1:9" x14ac:dyDescent="0.2">
      <c r="A82">
        <v>53</v>
      </c>
      <c r="E82">
        <v>38.3705036941072</v>
      </c>
      <c r="F82">
        <v>-3.83004296505757</v>
      </c>
    </row>
    <row r="83" spans="1:9" x14ac:dyDescent="0.2">
      <c r="A83">
        <v>53</v>
      </c>
      <c r="E83">
        <v>36.6853960239442</v>
      </c>
      <c r="F83">
        <v>-6.12813609234873</v>
      </c>
    </row>
    <row r="84" spans="1:9" x14ac:dyDescent="0.2">
      <c r="A84">
        <v>58</v>
      </c>
      <c r="E84">
        <v>-23.50515412271</v>
      </c>
      <c r="F84">
        <v>-47.437273488811201</v>
      </c>
      <c r="G84">
        <v>3</v>
      </c>
    </row>
    <row r="85" spans="1:9" x14ac:dyDescent="0.2">
      <c r="A85">
        <v>58</v>
      </c>
      <c r="E85">
        <v>-22.340365541606101</v>
      </c>
      <c r="F85">
        <v>-49.019902832907903</v>
      </c>
      <c r="G85">
        <v>2</v>
      </c>
    </row>
    <row r="86" spans="1:9" x14ac:dyDescent="0.2">
      <c r="A86">
        <v>58</v>
      </c>
      <c r="E86">
        <v>-23.4425604299004</v>
      </c>
      <c r="F86">
        <v>-46.552304159987301</v>
      </c>
      <c r="G86">
        <v>1</v>
      </c>
    </row>
    <row r="87" spans="1:9" x14ac:dyDescent="0.2">
      <c r="A87">
        <v>58</v>
      </c>
      <c r="E87">
        <v>-23.0463379831906</v>
      </c>
      <c r="F87">
        <v>-46.747156490256998</v>
      </c>
      <c r="G87">
        <v>4</v>
      </c>
    </row>
    <row r="88" spans="1:9" x14ac:dyDescent="0.2">
      <c r="A88">
        <v>58</v>
      </c>
      <c r="E88">
        <v>-21.172552706895701</v>
      </c>
      <c r="F88">
        <v>-47.802830204230702</v>
      </c>
      <c r="G88">
        <v>2</v>
      </c>
    </row>
    <row r="89" spans="1:9" x14ac:dyDescent="0.2">
      <c r="A89">
        <v>58</v>
      </c>
      <c r="E89">
        <v>-23.422375153682701</v>
      </c>
      <c r="F89">
        <v>-47.306304091963298</v>
      </c>
      <c r="G89">
        <v>1</v>
      </c>
    </row>
    <row r="90" spans="1:9" x14ac:dyDescent="0.2">
      <c r="A90">
        <v>67</v>
      </c>
      <c r="E90">
        <v>41.226010019369802</v>
      </c>
      <c r="F90">
        <v>-95.927141489807795</v>
      </c>
      <c r="G90">
        <v>1</v>
      </c>
      <c r="I90" t="s">
        <v>59</v>
      </c>
    </row>
    <row r="91" spans="1:9" x14ac:dyDescent="0.2">
      <c r="A91">
        <v>67</v>
      </c>
      <c r="E91">
        <v>39.0073818268338</v>
      </c>
      <c r="F91">
        <v>-94.529333574573002</v>
      </c>
      <c r="G91">
        <v>1</v>
      </c>
      <c r="I91" t="s">
        <v>63</v>
      </c>
    </row>
    <row r="92" spans="1:9" x14ac:dyDescent="0.2">
      <c r="A92">
        <v>68</v>
      </c>
      <c r="H92" t="s">
        <v>8</v>
      </c>
    </row>
    <row r="93" spans="1:9" x14ac:dyDescent="0.2">
      <c r="A93">
        <v>68</v>
      </c>
      <c r="H93" t="s">
        <v>24</v>
      </c>
    </row>
    <row r="94" spans="1:9" x14ac:dyDescent="0.2">
      <c r="A94">
        <v>68</v>
      </c>
      <c r="H94" t="s">
        <v>49</v>
      </c>
    </row>
    <row r="95" spans="1:9" x14ac:dyDescent="0.2">
      <c r="A95">
        <v>69</v>
      </c>
      <c r="D95" t="s">
        <v>223</v>
      </c>
      <c r="E95">
        <v>50.434997883645202</v>
      </c>
      <c r="F95">
        <v>15.798630810696899</v>
      </c>
      <c r="G95">
        <v>2</v>
      </c>
    </row>
    <row r="96" spans="1:9" x14ac:dyDescent="0.2">
      <c r="A96">
        <v>69</v>
      </c>
      <c r="D96" t="s">
        <v>224</v>
      </c>
      <c r="E96">
        <v>48.156816599990897</v>
      </c>
      <c r="F96">
        <v>17.075719868236899</v>
      </c>
      <c r="G96">
        <v>1</v>
      </c>
    </row>
    <row r="97" spans="1:9" x14ac:dyDescent="0.2">
      <c r="A97">
        <v>75</v>
      </c>
      <c r="E97">
        <v>40.755258810510497</v>
      </c>
      <c r="F97">
        <v>-104.99071888061501</v>
      </c>
    </row>
    <row r="98" spans="1:9" x14ac:dyDescent="0.2">
      <c r="A98">
        <v>75</v>
      </c>
      <c r="E98">
        <v>38.887280290067501</v>
      </c>
      <c r="F98">
        <v>-78.165336961086894</v>
      </c>
    </row>
    <row r="99" spans="1:9" x14ac:dyDescent="0.2">
      <c r="A99">
        <v>77</v>
      </c>
      <c r="H99" t="s">
        <v>49</v>
      </c>
    </row>
    <row r="100" spans="1:9" x14ac:dyDescent="0.2">
      <c r="A100">
        <v>77</v>
      </c>
      <c r="H100" t="s">
        <v>24</v>
      </c>
    </row>
    <row r="101" spans="1:9" x14ac:dyDescent="0.2">
      <c r="A101">
        <v>111</v>
      </c>
      <c r="H101" t="s">
        <v>8</v>
      </c>
    </row>
    <row r="102" spans="1:9" x14ac:dyDescent="0.2">
      <c r="A102">
        <v>111</v>
      </c>
      <c r="H102" t="s">
        <v>49</v>
      </c>
    </row>
    <row r="103" spans="1:9" x14ac:dyDescent="0.2">
      <c r="A103">
        <v>188</v>
      </c>
      <c r="E103">
        <v>-2.3191309694974702</v>
      </c>
      <c r="F103">
        <v>34.834714561585997</v>
      </c>
    </row>
    <row r="104" spans="1:9" x14ac:dyDescent="0.2">
      <c r="A104">
        <v>188</v>
      </c>
      <c r="E104">
        <v>-3.1648892107226998</v>
      </c>
      <c r="F104">
        <v>35.545249593461101</v>
      </c>
    </row>
    <row r="105" spans="1:9" x14ac:dyDescent="0.2">
      <c r="A105">
        <v>189</v>
      </c>
      <c r="E105">
        <v>17.351984211326201</v>
      </c>
      <c r="F105">
        <v>78.451436967500996</v>
      </c>
    </row>
    <row r="106" spans="1:9" x14ac:dyDescent="0.2">
      <c r="A106">
        <v>189</v>
      </c>
      <c r="E106">
        <v>21.542013922933901</v>
      </c>
      <c r="F106">
        <v>70.464606038201097</v>
      </c>
    </row>
    <row r="107" spans="1:9" x14ac:dyDescent="0.2">
      <c r="A107">
        <v>189</v>
      </c>
      <c r="E107">
        <v>20.3963944611308</v>
      </c>
      <c r="F107">
        <v>85.826089062821893</v>
      </c>
    </row>
    <row r="108" spans="1:9" x14ac:dyDescent="0.2">
      <c r="A108">
        <v>190</v>
      </c>
      <c r="E108">
        <v>17.351984211326201</v>
      </c>
      <c r="F108">
        <v>78.451436967500996</v>
      </c>
    </row>
    <row r="109" spans="1:9" x14ac:dyDescent="0.2">
      <c r="A109">
        <v>190</v>
      </c>
      <c r="E109">
        <v>21.542013922933901</v>
      </c>
      <c r="F109">
        <v>70.464606038201097</v>
      </c>
    </row>
    <row r="110" spans="1:9" x14ac:dyDescent="0.2">
      <c r="A110">
        <v>190</v>
      </c>
      <c r="E110">
        <v>20.3963944611308</v>
      </c>
      <c r="F110">
        <v>85.826089062821893</v>
      </c>
    </row>
    <row r="111" spans="1:9" x14ac:dyDescent="0.2">
      <c r="A111">
        <v>245</v>
      </c>
      <c r="I111" t="s">
        <v>64</v>
      </c>
    </row>
    <row r="112" spans="1:9" x14ac:dyDescent="0.2">
      <c r="A112">
        <v>245</v>
      </c>
      <c r="I112" t="s">
        <v>65</v>
      </c>
    </row>
    <row r="113" spans="1:9" x14ac:dyDescent="0.2">
      <c r="A113">
        <v>285</v>
      </c>
      <c r="E113">
        <v>38.887279840781197</v>
      </c>
      <c r="F113">
        <v>-78.165331865526994</v>
      </c>
      <c r="I113" t="s">
        <v>59</v>
      </c>
    </row>
    <row r="114" spans="1:9" x14ac:dyDescent="0.2">
      <c r="A114">
        <v>285</v>
      </c>
      <c r="E114">
        <v>30.731053089262598</v>
      </c>
      <c r="F114">
        <v>-81.718630905824099</v>
      </c>
      <c r="I114" t="s">
        <v>63</v>
      </c>
    </row>
    <row r="115" spans="1:9" x14ac:dyDescent="0.2">
      <c r="A115">
        <v>288</v>
      </c>
      <c r="E115">
        <v>30.731053089262598</v>
      </c>
      <c r="F115">
        <v>-81.718630905824099</v>
      </c>
      <c r="G115">
        <v>6</v>
      </c>
      <c r="I115" t="s">
        <v>59</v>
      </c>
    </row>
    <row r="116" spans="1:9" x14ac:dyDescent="0.2">
      <c r="A116">
        <v>288</v>
      </c>
      <c r="E116">
        <v>29.218048600245901</v>
      </c>
      <c r="F116">
        <v>-82.057023507401496</v>
      </c>
      <c r="G116">
        <v>3</v>
      </c>
      <c r="I116" t="s">
        <v>63</v>
      </c>
    </row>
    <row r="117" spans="1:9" x14ac:dyDescent="0.2">
      <c r="A117">
        <v>288</v>
      </c>
      <c r="E117">
        <v>35.523963693867003</v>
      </c>
      <c r="F117">
        <v>-97.472493203564198</v>
      </c>
      <c r="G117">
        <v>1</v>
      </c>
      <c r="I11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Sperm_Abnormality_Database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nozo0116@student.ubc.ca</dc:creator>
  <cp:lastModifiedBy>nozo0116@student.ubc.ca</cp:lastModifiedBy>
  <dcterms:created xsi:type="dcterms:W3CDTF">2023-08-07T23:47:37Z</dcterms:created>
  <dcterms:modified xsi:type="dcterms:W3CDTF">2024-03-01T20:21:49Z</dcterms:modified>
</cp:coreProperties>
</file>