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10" windowWidth="14810" windowHeight="8010" activeTab="1"/>
  </bookViews>
  <sheets>
    <sheet name="Readme - how to use" sheetId="1" r:id="rId1"/>
    <sheet name="Dashboard" sheetId="2" r:id="rId2"/>
    <sheet name="Historical trends" sheetId="3" r:id="rId3"/>
    <sheet name="Data" sheetId="4" r:id="rId4"/>
    <sheet name="Calcs" sheetId="7" r:id="rId5"/>
  </sheets>
  <definedNames>
    <definedName name="budget_stn">Dashboard!#REF!</definedName>
    <definedName name="current_budget">Calcs!$B$14</definedName>
    <definedName name="dashboard_now">Dashboard!$F$1</definedName>
    <definedName name="exp_number_of_options">Dashboard!$B$49</definedName>
    <definedName name="total_daily_capacity">Calcs!$B$12</definedName>
  </definedNames>
  <calcPr calcId="152511"/>
</workbook>
</file>

<file path=xl/calcChain.xml><?xml version="1.0" encoding="utf-8"?>
<calcChain xmlns="http://schemas.openxmlformats.org/spreadsheetml/2006/main">
  <c r="BP17" i="7" l="1"/>
  <c r="BO17" i="7"/>
  <c r="R17" i="7"/>
  <c r="Q17" i="7"/>
  <c r="P17" i="7"/>
  <c r="O17" i="7"/>
  <c r="N17" i="7"/>
  <c r="M17" i="7"/>
  <c r="L17" i="7"/>
  <c r="K17" i="7"/>
  <c r="AP17" i="7"/>
  <c r="AO17" i="7"/>
  <c r="AN17" i="7"/>
  <c r="AM17" i="7"/>
  <c r="AL17" i="7"/>
  <c r="AK17" i="7"/>
  <c r="AJ17" i="7"/>
  <c r="AI17" i="7"/>
  <c r="AH17" i="7"/>
  <c r="AG17" i="7"/>
  <c r="AF17" i="7"/>
  <c r="AE17" i="7"/>
  <c r="AD17" i="7"/>
  <c r="AC17" i="7"/>
  <c r="AB17" i="7"/>
  <c r="AA17" i="7"/>
  <c r="Z17" i="7"/>
  <c r="Y17" i="7"/>
  <c r="X17" i="7"/>
  <c r="W17" i="7"/>
  <c r="V17" i="7"/>
  <c r="U17" i="7"/>
  <c r="T17" i="7"/>
  <c r="S17" i="7"/>
  <c r="J17" i="7"/>
  <c r="I17" i="7"/>
  <c r="H17" i="7"/>
  <c r="G17" i="7"/>
  <c r="F17" i="7"/>
  <c r="E17" i="7"/>
  <c r="D17" i="7"/>
  <c r="C17" i="7"/>
  <c r="BK17" i="7"/>
  <c r="BJ17" i="7"/>
  <c r="BI17" i="7"/>
  <c r="BH17" i="7"/>
  <c r="BD17" i="7"/>
  <c r="BC17" i="7"/>
  <c r="BB17" i="7"/>
  <c r="BA17" i="7"/>
  <c r="AJ36" i="4"/>
  <c r="AI36" i="4"/>
  <c r="X36" i="4"/>
  <c r="Y36" i="4"/>
  <c r="AO3" i="4"/>
  <c r="AO4" i="4"/>
  <c r="AO5" i="4"/>
  <c r="AO6" i="4"/>
  <c r="AO7" i="4"/>
  <c r="AO8" i="4"/>
  <c r="AO9" i="4"/>
  <c r="AO10" i="4"/>
  <c r="AO11" i="4"/>
  <c r="AO12" i="4"/>
  <c r="AO13" i="4"/>
  <c r="AO14" i="4"/>
  <c r="AO15" i="4"/>
  <c r="AO16" i="4"/>
  <c r="AO17" i="4"/>
  <c r="AO18" i="4"/>
  <c r="AO19" i="4"/>
  <c r="AO20" i="4"/>
  <c r="AO21" i="4"/>
  <c r="AO22" i="4"/>
  <c r="AO23" i="4"/>
  <c r="AO24" i="4"/>
  <c r="AO25" i="4"/>
  <c r="AO26" i="4"/>
  <c r="AO27" i="4"/>
  <c r="AO28" i="4"/>
  <c r="AO29" i="4"/>
  <c r="AO30" i="4"/>
  <c r="AO31" i="4"/>
  <c r="AO32" i="4"/>
  <c r="AO33" i="4"/>
  <c r="AO34" i="4"/>
  <c r="AO35" i="4"/>
  <c r="AO2" i="4"/>
  <c r="AD3" i="4"/>
  <c r="AD4" i="4"/>
  <c r="AD5" i="4"/>
  <c r="AD6" i="4"/>
  <c r="AD7" i="4"/>
  <c r="AD8" i="4"/>
  <c r="AD9" i="4"/>
  <c r="AD10" i="4"/>
  <c r="AD11" i="4"/>
  <c r="AD12" i="4"/>
  <c r="AD13" i="4"/>
  <c r="AD14" i="4"/>
  <c r="AD15" i="4"/>
  <c r="AD16" i="4"/>
  <c r="AD17" i="4"/>
  <c r="AD18" i="4"/>
  <c r="AD19" i="4"/>
  <c r="AD20" i="4"/>
  <c r="AD21" i="4"/>
  <c r="AD22" i="4"/>
  <c r="AD23" i="4"/>
  <c r="AD24" i="4"/>
  <c r="AD25" i="4"/>
  <c r="AD26" i="4"/>
  <c r="AD27" i="4"/>
  <c r="AD28" i="4"/>
  <c r="AD29" i="4"/>
  <c r="AD30" i="4"/>
  <c r="AD31" i="4"/>
  <c r="AD32" i="4"/>
  <c r="AD33" i="4"/>
  <c r="AD34" i="4"/>
  <c r="AD35" i="4"/>
  <c r="AD2" i="4"/>
  <c r="AK3" i="4"/>
  <c r="AN3" i="4" s="1"/>
  <c r="AK4" i="4"/>
  <c r="AN4" i="4" s="1"/>
  <c r="AK5" i="4"/>
  <c r="AN5" i="4" s="1"/>
  <c r="AK6" i="4"/>
  <c r="AN6" i="4" s="1"/>
  <c r="AK7" i="4"/>
  <c r="AN7" i="4" s="1"/>
  <c r="AK8" i="4"/>
  <c r="AN8" i="4" s="1"/>
  <c r="AK9" i="4"/>
  <c r="AN9" i="4" s="1"/>
  <c r="AK10" i="4"/>
  <c r="AN10" i="4" s="1"/>
  <c r="AK11" i="4"/>
  <c r="AN11" i="4" s="1"/>
  <c r="AK12" i="4"/>
  <c r="AN12" i="4" s="1"/>
  <c r="AK13" i="4"/>
  <c r="AN13" i="4" s="1"/>
  <c r="AK14" i="4"/>
  <c r="AN14" i="4" s="1"/>
  <c r="AK15" i="4"/>
  <c r="AN15" i="4" s="1"/>
  <c r="AK16" i="4"/>
  <c r="AN16" i="4" s="1"/>
  <c r="AK17" i="4"/>
  <c r="AN17" i="4" s="1"/>
  <c r="AK18" i="4"/>
  <c r="AN18" i="4" s="1"/>
  <c r="AK19" i="4"/>
  <c r="AN19" i="4" s="1"/>
  <c r="AK20" i="4"/>
  <c r="AN20" i="4" s="1"/>
  <c r="AK21" i="4"/>
  <c r="AN21" i="4" s="1"/>
  <c r="AK22" i="4"/>
  <c r="AN22" i="4" s="1"/>
  <c r="AK23" i="4"/>
  <c r="AN23" i="4" s="1"/>
  <c r="AK24" i="4"/>
  <c r="AN24" i="4" s="1"/>
  <c r="AK25" i="4"/>
  <c r="AN25" i="4" s="1"/>
  <c r="AK26" i="4"/>
  <c r="AN26" i="4" s="1"/>
  <c r="AK27" i="4"/>
  <c r="AN27" i="4" s="1"/>
  <c r="AK28" i="4"/>
  <c r="AN28" i="4" s="1"/>
  <c r="AK29" i="4"/>
  <c r="AN29" i="4" s="1"/>
  <c r="AK30" i="4"/>
  <c r="AN30" i="4" s="1"/>
  <c r="AK31" i="4"/>
  <c r="AN31" i="4" s="1"/>
  <c r="AK32" i="4"/>
  <c r="AN32" i="4" s="1"/>
  <c r="AK33" i="4"/>
  <c r="AN33" i="4" s="1"/>
  <c r="AK34" i="4"/>
  <c r="AN34" i="4" s="1"/>
  <c r="AK35" i="4"/>
  <c r="AN35" i="4" s="1"/>
  <c r="AK2" i="4"/>
  <c r="AN2" i="4" s="1"/>
  <c r="Z3" i="4"/>
  <c r="AC3" i="4" s="1"/>
  <c r="Z4" i="4"/>
  <c r="AC4" i="4" s="1"/>
  <c r="Z5" i="4"/>
  <c r="AC5" i="4" s="1"/>
  <c r="Z6" i="4"/>
  <c r="AC6" i="4" s="1"/>
  <c r="Z7" i="4"/>
  <c r="AC7" i="4" s="1"/>
  <c r="Z8" i="4"/>
  <c r="AC8" i="4" s="1"/>
  <c r="Z9" i="4"/>
  <c r="AC9" i="4" s="1"/>
  <c r="Z10" i="4"/>
  <c r="AC10" i="4" s="1"/>
  <c r="Z11" i="4"/>
  <c r="AC11" i="4" s="1"/>
  <c r="Z12" i="4"/>
  <c r="AC12" i="4" s="1"/>
  <c r="Z13" i="4"/>
  <c r="AC13" i="4" s="1"/>
  <c r="Z14" i="4"/>
  <c r="AC14" i="4" s="1"/>
  <c r="Z15" i="4"/>
  <c r="AC15" i="4" s="1"/>
  <c r="Z16" i="4"/>
  <c r="AC16" i="4" s="1"/>
  <c r="Z17" i="4"/>
  <c r="AC17" i="4" s="1"/>
  <c r="Z18" i="4"/>
  <c r="AC18" i="4" s="1"/>
  <c r="Z19" i="4"/>
  <c r="AC19" i="4" s="1"/>
  <c r="Z20" i="4"/>
  <c r="AC20" i="4" s="1"/>
  <c r="Z21" i="4"/>
  <c r="AC21" i="4" s="1"/>
  <c r="Z22" i="4"/>
  <c r="AC22" i="4" s="1"/>
  <c r="Z23" i="4"/>
  <c r="AC23" i="4" s="1"/>
  <c r="Z24" i="4"/>
  <c r="AC24" i="4" s="1"/>
  <c r="Z25" i="4"/>
  <c r="AC25" i="4" s="1"/>
  <c r="Z26" i="4"/>
  <c r="AC26" i="4" s="1"/>
  <c r="Z27" i="4"/>
  <c r="AC27" i="4" s="1"/>
  <c r="Z28" i="4"/>
  <c r="AC28" i="4" s="1"/>
  <c r="Z29" i="4"/>
  <c r="AC29" i="4" s="1"/>
  <c r="Z30" i="4"/>
  <c r="AC30" i="4" s="1"/>
  <c r="Z31" i="4"/>
  <c r="AC31" i="4" s="1"/>
  <c r="Z32" i="4"/>
  <c r="AC32" i="4" s="1"/>
  <c r="Z33" i="4"/>
  <c r="AC33" i="4" s="1"/>
  <c r="Z34" i="4"/>
  <c r="AC34" i="4" s="1"/>
  <c r="Z35" i="4"/>
  <c r="AC35" i="4" s="1"/>
  <c r="Z2" i="4"/>
  <c r="AC2" i="4" s="1"/>
  <c r="AJ3" i="4"/>
  <c r="AJ4" i="4"/>
  <c r="AJ5" i="4"/>
  <c r="AJ6" i="4"/>
  <c r="AJ7" i="4"/>
  <c r="AJ8" i="4"/>
  <c r="AJ9" i="4"/>
  <c r="AJ10" i="4"/>
  <c r="AJ11" i="4"/>
  <c r="AJ12" i="4"/>
  <c r="AJ13" i="4"/>
  <c r="AJ14" i="4"/>
  <c r="AJ15" i="4"/>
  <c r="AJ16" i="4"/>
  <c r="AJ17" i="4"/>
  <c r="AJ18" i="4"/>
  <c r="AJ19" i="4"/>
  <c r="AJ20" i="4"/>
  <c r="AJ21" i="4"/>
  <c r="AJ22" i="4"/>
  <c r="AJ23" i="4"/>
  <c r="AJ24" i="4"/>
  <c r="AJ25" i="4"/>
  <c r="AJ26" i="4"/>
  <c r="AJ27" i="4"/>
  <c r="AJ28" i="4"/>
  <c r="AJ29" i="4"/>
  <c r="AJ30" i="4"/>
  <c r="AJ31" i="4"/>
  <c r="AJ32" i="4"/>
  <c r="AJ33" i="4"/>
  <c r="AJ34" i="4"/>
  <c r="AJ35" i="4"/>
  <c r="AJ2" i="4"/>
  <c r="Y3" i="4"/>
  <c r="Y4" i="4"/>
  <c r="Y5" i="4"/>
  <c r="Y6" i="4"/>
  <c r="Y7" i="4"/>
  <c r="Y8" i="4"/>
  <c r="Y9" i="4"/>
  <c r="Y10" i="4"/>
  <c r="Y11" i="4"/>
  <c r="Y12" i="4"/>
  <c r="Y13" i="4"/>
  <c r="Y14" i="4"/>
  <c r="Y15" i="4"/>
  <c r="Y16" i="4"/>
  <c r="Y17" i="4"/>
  <c r="Y18" i="4"/>
  <c r="Y19" i="4"/>
  <c r="Y20" i="4"/>
  <c r="Y21" i="4"/>
  <c r="Y22" i="4"/>
  <c r="Y23" i="4"/>
  <c r="Y24" i="4"/>
  <c r="Y25" i="4"/>
  <c r="Y26" i="4"/>
  <c r="Y27" i="4"/>
  <c r="Y28" i="4"/>
  <c r="Y29" i="4"/>
  <c r="Y30" i="4"/>
  <c r="Y31" i="4"/>
  <c r="Y32" i="4"/>
  <c r="Y33" i="4"/>
  <c r="Y34" i="4"/>
  <c r="Y35" i="4"/>
  <c r="Y2" i="4"/>
  <c r="N16" i="4"/>
  <c r="M16" i="4"/>
  <c r="C16" i="4"/>
  <c r="B16" i="4"/>
  <c r="F1" i="2"/>
  <c r="B14" i="7" s="1"/>
  <c r="AI35" i="4"/>
  <c r="AI34" i="4" s="1"/>
  <c r="AI33" i="4" s="1"/>
  <c r="AI32" i="4" s="1"/>
  <c r="AI31" i="4" s="1"/>
  <c r="AI30" i="4" s="1"/>
  <c r="AI29" i="4" s="1"/>
  <c r="AI28" i="4" s="1"/>
  <c r="AI27" i="4" s="1"/>
  <c r="AI26" i="4" s="1"/>
  <c r="AI25" i="4" s="1"/>
  <c r="AI24" i="4" s="1"/>
  <c r="AI23" i="4" s="1"/>
  <c r="AI22" i="4" s="1"/>
  <c r="AI21" i="4" s="1"/>
  <c r="AI20" i="4" s="1"/>
  <c r="AI19" i="4" s="1"/>
  <c r="AI18" i="4" s="1"/>
  <c r="AI17" i="4" s="1"/>
  <c r="AI16" i="4" s="1"/>
  <c r="AI15" i="4" s="1"/>
  <c r="AI14" i="4" s="1"/>
  <c r="AI13" i="4" s="1"/>
  <c r="AI12" i="4" s="1"/>
  <c r="AI11" i="4" s="1"/>
  <c r="AI10" i="4" s="1"/>
  <c r="AI9" i="4" s="1"/>
  <c r="AI8" i="4" s="1"/>
  <c r="AI7" i="4" s="1"/>
  <c r="AI6" i="4" s="1"/>
  <c r="AI5" i="4" s="1"/>
  <c r="AI4" i="4" s="1"/>
  <c r="AI3" i="4" s="1"/>
  <c r="AI2" i="4" s="1"/>
  <c r="X35" i="4"/>
  <c r="X34" i="4" s="1"/>
  <c r="X33" i="4" s="1"/>
  <c r="X32" i="4" s="1"/>
  <c r="X31" i="4" s="1"/>
  <c r="X30" i="4" s="1"/>
  <c r="X29" i="4" s="1"/>
  <c r="X28" i="4" s="1"/>
  <c r="X27" i="4" s="1"/>
  <c r="X26" i="4" s="1"/>
  <c r="X25" i="4" s="1"/>
  <c r="X24" i="4" s="1"/>
  <c r="X23" i="4" s="1"/>
  <c r="X22" i="4" s="1"/>
  <c r="X21" i="4" s="1"/>
  <c r="X20" i="4" s="1"/>
  <c r="X19" i="4" s="1"/>
  <c r="X18" i="4" s="1"/>
  <c r="X17" i="4" s="1"/>
  <c r="X16" i="4" s="1"/>
  <c r="X15" i="4" s="1"/>
  <c r="X14" i="4" s="1"/>
  <c r="X13" i="4" s="1"/>
  <c r="X12" i="4" s="1"/>
  <c r="X11" i="4" s="1"/>
  <c r="X10" i="4" s="1"/>
  <c r="X9" i="4" s="1"/>
  <c r="X8" i="4" s="1"/>
  <c r="X7" i="4" s="1"/>
  <c r="X6" i="4" s="1"/>
  <c r="X5" i="4" s="1"/>
  <c r="X4" i="4" s="1"/>
  <c r="X3" i="4" s="1"/>
  <c r="X2" i="4" s="1"/>
  <c r="M15" i="4"/>
  <c r="M14" i="4" s="1"/>
  <c r="M13" i="4" s="1"/>
  <c r="M12" i="4" s="1"/>
  <c r="M11" i="4" s="1"/>
  <c r="M10" i="4" s="1"/>
  <c r="M9" i="4" s="1"/>
  <c r="M8" i="4" s="1"/>
  <c r="M7" i="4" s="1"/>
  <c r="M6" i="4" s="1"/>
  <c r="M5" i="4" s="1"/>
  <c r="M4" i="4" s="1"/>
  <c r="M3" i="4" s="1"/>
  <c r="M2" i="4" s="1"/>
  <c r="B15" i="4"/>
  <c r="B14" i="4" s="1"/>
  <c r="B13" i="4" s="1"/>
  <c r="B12" i="4" s="1"/>
  <c r="B11" i="4" s="1"/>
  <c r="B10" i="4" s="1"/>
  <c r="B9" i="4" s="1"/>
  <c r="B8" i="4" s="1"/>
  <c r="B7" i="4" s="1"/>
  <c r="B6" i="4" s="1"/>
  <c r="B5" i="4" s="1"/>
  <c r="B4" i="4" s="1"/>
  <c r="B3" i="4" s="1"/>
  <c r="B2" i="4" s="1"/>
  <c r="N3" i="4"/>
  <c r="O3" i="4"/>
  <c r="R3" i="4" s="1"/>
  <c r="P3" i="4"/>
  <c r="S3" i="4"/>
  <c r="N4" i="4"/>
  <c r="O4" i="4"/>
  <c r="R4" i="4" s="1"/>
  <c r="P4" i="4"/>
  <c r="S4" i="4"/>
  <c r="N5" i="4"/>
  <c r="O5" i="4"/>
  <c r="R5" i="4" s="1"/>
  <c r="P5" i="4"/>
  <c r="S5" i="4"/>
  <c r="N6" i="4"/>
  <c r="O6" i="4"/>
  <c r="R6" i="4" s="1"/>
  <c r="P6" i="4"/>
  <c r="S6" i="4"/>
  <c r="N7" i="4"/>
  <c r="O7" i="4"/>
  <c r="R7" i="4" s="1"/>
  <c r="P7" i="4"/>
  <c r="S7" i="4"/>
  <c r="N8" i="4"/>
  <c r="O8" i="4"/>
  <c r="R8" i="4" s="1"/>
  <c r="P8" i="4"/>
  <c r="S8" i="4"/>
  <c r="N9" i="4"/>
  <c r="O9" i="4"/>
  <c r="R9" i="4" s="1"/>
  <c r="P9" i="4"/>
  <c r="S9" i="4"/>
  <c r="N10" i="4"/>
  <c r="O10" i="4"/>
  <c r="R10" i="4" s="1"/>
  <c r="P10" i="4"/>
  <c r="S10" i="4"/>
  <c r="N11" i="4"/>
  <c r="O11" i="4"/>
  <c r="R11" i="4" s="1"/>
  <c r="P11" i="4"/>
  <c r="S11" i="4"/>
  <c r="N12" i="4"/>
  <c r="O12" i="4"/>
  <c r="R12" i="4" s="1"/>
  <c r="P12" i="4"/>
  <c r="S12" i="4"/>
  <c r="N13" i="4"/>
  <c r="O13" i="4"/>
  <c r="R13" i="4" s="1"/>
  <c r="P13" i="4"/>
  <c r="S13" i="4"/>
  <c r="N14" i="4"/>
  <c r="O14" i="4"/>
  <c r="R14" i="4" s="1"/>
  <c r="P14" i="4"/>
  <c r="S14" i="4"/>
  <c r="N15" i="4"/>
  <c r="O15" i="4"/>
  <c r="R15" i="4" s="1"/>
  <c r="P15" i="4"/>
  <c r="S15" i="4"/>
  <c r="S2" i="4"/>
  <c r="P2" i="4"/>
  <c r="O2" i="4"/>
  <c r="R2" i="4" s="1"/>
  <c r="N2" i="4"/>
  <c r="H3" i="4"/>
  <c r="H4" i="4"/>
  <c r="H5" i="4"/>
  <c r="H6" i="4"/>
  <c r="H7" i="4"/>
  <c r="H8" i="4"/>
  <c r="H9" i="4"/>
  <c r="H10" i="4"/>
  <c r="H11" i="4"/>
  <c r="H12" i="4"/>
  <c r="H13" i="4"/>
  <c r="H14" i="4"/>
  <c r="H15" i="4"/>
  <c r="H2" i="4"/>
  <c r="E3" i="4"/>
  <c r="E4" i="4"/>
  <c r="E5" i="4"/>
  <c r="E6" i="4"/>
  <c r="E7" i="4"/>
  <c r="E8" i="4"/>
  <c r="E9" i="4"/>
  <c r="E10" i="4"/>
  <c r="E11" i="4"/>
  <c r="E12" i="4"/>
  <c r="E13" i="4"/>
  <c r="E14" i="4"/>
  <c r="E15" i="4"/>
  <c r="E2" i="4"/>
  <c r="D3" i="4"/>
  <c r="G3" i="4" s="1"/>
  <c r="D4" i="4"/>
  <c r="G4" i="4" s="1"/>
  <c r="D5" i="4"/>
  <c r="G5" i="4" s="1"/>
  <c r="D6" i="4"/>
  <c r="G6" i="4" s="1"/>
  <c r="D7" i="4"/>
  <c r="G7" i="4" s="1"/>
  <c r="D8" i="4"/>
  <c r="G8" i="4" s="1"/>
  <c r="D9" i="4"/>
  <c r="G9" i="4" s="1"/>
  <c r="D10" i="4"/>
  <c r="G10" i="4" s="1"/>
  <c r="D11" i="4"/>
  <c r="G11" i="4" s="1"/>
  <c r="D12" i="4"/>
  <c r="G12" i="4" s="1"/>
  <c r="D13" i="4"/>
  <c r="G13" i="4" s="1"/>
  <c r="D14" i="4"/>
  <c r="G14" i="4" s="1"/>
  <c r="D15" i="4"/>
  <c r="G15" i="4" s="1"/>
  <c r="D2" i="4"/>
  <c r="G2" i="4" s="1"/>
  <c r="C3" i="4"/>
  <c r="C4" i="4"/>
  <c r="C5" i="4"/>
  <c r="C6" i="4"/>
  <c r="C7" i="4"/>
  <c r="C8" i="4"/>
  <c r="C9" i="4"/>
  <c r="C10" i="4"/>
  <c r="C11" i="4"/>
  <c r="C12" i="4"/>
  <c r="C13" i="4"/>
  <c r="C14" i="4"/>
  <c r="C15" i="4"/>
  <c r="C2" i="4"/>
  <c r="A18" i="7" l="1"/>
  <c r="A19" i="7" s="1"/>
  <c r="A20" i="7" s="1"/>
  <c r="A21" i="7" s="1"/>
  <c r="A22" i="7" s="1"/>
  <c r="A23" i="7" s="1"/>
  <c r="A24" i="7" s="1"/>
  <c r="A25" i="7" s="1"/>
  <c r="A26" i="7" s="1"/>
  <c r="A27" i="7" s="1"/>
  <c r="A28" i="7" s="1"/>
  <c r="A29" i="7" s="1"/>
  <c r="A30" i="7" s="1"/>
  <c r="A31" i="7" s="1"/>
  <c r="A32" i="7" s="1"/>
  <c r="A33" i="7" s="1"/>
  <c r="A34" i="7" s="1"/>
  <c r="A35" i="7" s="1"/>
  <c r="A36" i="7" s="1"/>
  <c r="A37" i="7" s="1"/>
  <c r="A38" i="7" s="1"/>
  <c r="B6" i="7"/>
  <c r="C6" i="7" s="1"/>
  <c r="B7" i="7"/>
  <c r="C7" i="7" s="1"/>
  <c r="B4" i="7"/>
  <c r="B5" i="7"/>
  <c r="C5" i="7" s="1"/>
  <c r="E7" i="7"/>
  <c r="M7" i="7" s="1"/>
  <c r="E5" i="7"/>
  <c r="M5" i="7" s="1"/>
  <c r="E6" i="7"/>
  <c r="M6" i="7" s="1"/>
  <c r="E4" i="7"/>
  <c r="M4" i="7" s="1"/>
  <c r="AM3" i="4"/>
  <c r="AB11" i="4"/>
  <c r="AM19" i="4"/>
  <c r="AM11" i="4"/>
  <c r="AM35" i="4"/>
  <c r="AM24" i="4"/>
  <c r="AM7" i="4"/>
  <c r="Q14" i="4"/>
  <c r="AB28" i="4"/>
  <c r="AM31" i="4"/>
  <c r="AM29" i="4"/>
  <c r="AB3" i="4"/>
  <c r="AM27" i="4"/>
  <c r="AM25" i="4"/>
  <c r="AM20" i="4"/>
  <c r="AM5" i="4"/>
  <c r="AB33" i="4"/>
  <c r="AB25" i="4"/>
  <c r="AM32" i="4"/>
  <c r="AM23" i="4"/>
  <c r="AM21" i="4"/>
  <c r="AM15" i="4"/>
  <c r="Q10" i="4"/>
  <c r="AB17" i="4"/>
  <c r="AM33" i="4"/>
  <c r="AM28" i="4"/>
  <c r="AB29" i="4"/>
  <c r="AB24" i="4"/>
  <c r="AB13" i="4"/>
  <c r="AB9" i="4"/>
  <c r="AM16" i="4"/>
  <c r="AM13" i="4"/>
  <c r="Q4" i="4"/>
  <c r="AB20" i="4"/>
  <c r="AB7" i="4"/>
  <c r="AM12" i="4"/>
  <c r="AM9" i="4"/>
  <c r="AM8" i="4"/>
  <c r="AM4" i="4"/>
  <c r="AB32" i="4"/>
  <c r="AB21" i="4"/>
  <c r="AB16" i="4"/>
  <c r="AM17" i="4"/>
  <c r="AB4" i="4"/>
  <c r="AM34" i="4"/>
  <c r="AM30" i="4"/>
  <c r="AM26" i="4"/>
  <c r="AM22" i="4"/>
  <c r="AM18" i="4"/>
  <c r="AM14" i="4"/>
  <c r="AM10" i="4"/>
  <c r="AM6" i="4"/>
  <c r="AB12" i="4"/>
  <c r="AB8" i="4"/>
  <c r="Q3" i="4"/>
  <c r="Q6" i="4"/>
  <c r="AB35" i="4"/>
  <c r="AB31" i="4"/>
  <c r="AB27" i="4"/>
  <c r="AB23" i="4"/>
  <c r="AB19" i="4"/>
  <c r="AB15" i="4"/>
  <c r="AB5" i="4"/>
  <c r="AB34" i="4"/>
  <c r="AB30" i="4"/>
  <c r="AB26" i="4"/>
  <c r="AB22" i="4"/>
  <c r="AB18" i="4"/>
  <c r="AB14" i="4"/>
  <c r="AB10" i="4"/>
  <c r="AB6" i="4"/>
  <c r="Q15" i="4"/>
  <c r="Q12" i="4"/>
  <c r="Q11" i="4"/>
  <c r="Q8" i="4"/>
  <c r="Q7" i="4"/>
  <c r="Q13" i="4"/>
  <c r="Q9" i="4"/>
  <c r="Q5" i="4"/>
  <c r="AM2" i="4"/>
  <c r="AB2" i="4"/>
  <c r="Q2" i="4"/>
  <c r="F6" i="4"/>
  <c r="F10" i="4"/>
  <c r="F8" i="4"/>
  <c r="F4" i="4"/>
  <c r="F12" i="4"/>
  <c r="F14" i="4"/>
  <c r="K14" i="4" s="1"/>
  <c r="F15" i="4"/>
  <c r="K15" i="4" s="1"/>
  <c r="F11" i="4"/>
  <c r="K11" i="4" s="1"/>
  <c r="F7" i="4"/>
  <c r="K7" i="4" s="1"/>
  <c r="F13" i="4"/>
  <c r="K13" i="4" s="1"/>
  <c r="F9" i="4"/>
  <c r="K9" i="4" s="1"/>
  <c r="F5" i="4"/>
  <c r="K5" i="4" s="1"/>
  <c r="F3" i="4"/>
  <c r="F2" i="4"/>
  <c r="AP6" i="4" l="1"/>
  <c r="AR6" i="4"/>
  <c r="AQ6" i="4"/>
  <c r="AP22" i="4"/>
  <c r="AR22" i="4"/>
  <c r="AQ22" i="4"/>
  <c r="AQ12" i="4"/>
  <c r="AR12" i="4"/>
  <c r="AQ13" i="4"/>
  <c r="AR13" i="4"/>
  <c r="AP10" i="4"/>
  <c r="AR10" i="4"/>
  <c r="AQ10" i="4"/>
  <c r="AR26" i="4"/>
  <c r="AQ26" i="4"/>
  <c r="AP17" i="4"/>
  <c r="AQ17" i="4"/>
  <c r="AR17" i="4"/>
  <c r="AQ4" i="4"/>
  <c r="AR4" i="4"/>
  <c r="AQ16" i="4"/>
  <c r="AR16" i="4"/>
  <c r="AP32" i="4"/>
  <c r="AR32" i="4"/>
  <c r="AQ32" i="4"/>
  <c r="AQ20" i="4"/>
  <c r="AR20" i="4"/>
  <c r="AR29" i="4"/>
  <c r="AQ29" i="4"/>
  <c r="AQ7" i="4"/>
  <c r="AR7" i="4"/>
  <c r="AQ19" i="4"/>
  <c r="AR19" i="4"/>
  <c r="AP14" i="4"/>
  <c r="AR14" i="4"/>
  <c r="AQ14" i="4"/>
  <c r="AP30" i="4"/>
  <c r="AQ30" i="4"/>
  <c r="AR30" i="4"/>
  <c r="AQ8" i="4"/>
  <c r="AR8" i="4"/>
  <c r="AQ28" i="4"/>
  <c r="AR28" i="4"/>
  <c r="AQ15" i="4"/>
  <c r="AR15" i="4"/>
  <c r="AR25" i="4"/>
  <c r="AQ25" i="4"/>
  <c r="AR31" i="4"/>
  <c r="AQ31" i="4"/>
  <c r="AQ24" i="4"/>
  <c r="AR24" i="4"/>
  <c r="AR18" i="4"/>
  <c r="AQ18" i="4"/>
  <c r="AP34" i="4"/>
  <c r="AQ34" i="4"/>
  <c r="AR34" i="4"/>
  <c r="AQ9" i="4"/>
  <c r="AR9" i="4"/>
  <c r="AR33" i="4"/>
  <c r="AQ33" i="4"/>
  <c r="AQ21" i="4"/>
  <c r="AR21" i="4"/>
  <c r="AP27" i="4"/>
  <c r="AR27" i="4"/>
  <c r="AQ27" i="4"/>
  <c r="AR35" i="4"/>
  <c r="AQ35" i="4"/>
  <c r="AQ3" i="4"/>
  <c r="AR3" i="4"/>
  <c r="AQ23" i="4"/>
  <c r="AR23" i="4"/>
  <c r="AQ5" i="4"/>
  <c r="AR5" i="4"/>
  <c r="AQ11" i="4"/>
  <c r="AR11" i="4"/>
  <c r="AQ2" i="4"/>
  <c r="AR2" i="4"/>
  <c r="AE6" i="4"/>
  <c r="AF6" i="4"/>
  <c r="AG6" i="4"/>
  <c r="AF27" i="4"/>
  <c r="AG27" i="4"/>
  <c r="AF7" i="4"/>
  <c r="AG7" i="4"/>
  <c r="AE29" i="4"/>
  <c r="AF29" i="4"/>
  <c r="AG29" i="4"/>
  <c r="AG10" i="4"/>
  <c r="AF10" i="4"/>
  <c r="AG26" i="4"/>
  <c r="AF26" i="4"/>
  <c r="AE15" i="4"/>
  <c r="AF15" i="4"/>
  <c r="AG15" i="4"/>
  <c r="AE31" i="4"/>
  <c r="AF31" i="4"/>
  <c r="AG31" i="4"/>
  <c r="AG8" i="4"/>
  <c r="AF8" i="4"/>
  <c r="AG16" i="4"/>
  <c r="AF16" i="4"/>
  <c r="AF20" i="4"/>
  <c r="AG20" i="4"/>
  <c r="AF9" i="4"/>
  <c r="AG9" i="4"/>
  <c r="AF25" i="4"/>
  <c r="AG25" i="4"/>
  <c r="AF11" i="4"/>
  <c r="AG11" i="4"/>
  <c r="AE5" i="4"/>
  <c r="AF5" i="4"/>
  <c r="AG5" i="4"/>
  <c r="AE14" i="4"/>
  <c r="AF14" i="4"/>
  <c r="AG14" i="4"/>
  <c r="AE30" i="4"/>
  <c r="AF30" i="4"/>
  <c r="AG30" i="4"/>
  <c r="AE19" i="4"/>
  <c r="AF19" i="4"/>
  <c r="AG19" i="4"/>
  <c r="AE35" i="4"/>
  <c r="AF35" i="4"/>
  <c r="AG35" i="4"/>
  <c r="AG12" i="4"/>
  <c r="AF12" i="4"/>
  <c r="AF21" i="4"/>
  <c r="AG21" i="4"/>
  <c r="AE13" i="4"/>
  <c r="AF13" i="4"/>
  <c r="AG13" i="4"/>
  <c r="AE33" i="4"/>
  <c r="AF33" i="4"/>
  <c r="AG33" i="4"/>
  <c r="AG28" i="4"/>
  <c r="AF28" i="4"/>
  <c r="AG22" i="4"/>
  <c r="AF22" i="4"/>
  <c r="AG18" i="4"/>
  <c r="AF18" i="4"/>
  <c r="AE34" i="4"/>
  <c r="AG34" i="4"/>
  <c r="AF34" i="4"/>
  <c r="AF23" i="4"/>
  <c r="AG23" i="4"/>
  <c r="AG4" i="4"/>
  <c r="AF4" i="4"/>
  <c r="AE32" i="4"/>
  <c r="AG32" i="4"/>
  <c r="AF32" i="4"/>
  <c r="AE24" i="4"/>
  <c r="AG24" i="4"/>
  <c r="AF24" i="4"/>
  <c r="AF17" i="4"/>
  <c r="AG17" i="4"/>
  <c r="AE3" i="4"/>
  <c r="AF3" i="4"/>
  <c r="AG3" i="4"/>
  <c r="AF2" i="4"/>
  <c r="AG2" i="4"/>
  <c r="U3" i="4"/>
  <c r="V3" i="4"/>
  <c r="U9" i="4"/>
  <c r="V9" i="4"/>
  <c r="T11" i="4"/>
  <c r="U11" i="4"/>
  <c r="V11" i="4"/>
  <c r="U13" i="4"/>
  <c r="V13" i="4"/>
  <c r="V12" i="4"/>
  <c r="U12" i="4"/>
  <c r="U4" i="4"/>
  <c r="V4" i="4"/>
  <c r="T5" i="4"/>
  <c r="U5" i="4"/>
  <c r="V5" i="4"/>
  <c r="T8" i="4"/>
  <c r="V8" i="4"/>
  <c r="U8" i="4"/>
  <c r="T10" i="4"/>
  <c r="U10" i="4"/>
  <c r="V10" i="4"/>
  <c r="U7" i="4"/>
  <c r="V7" i="4"/>
  <c r="U15" i="4"/>
  <c r="V15" i="4"/>
  <c r="V6" i="4"/>
  <c r="U6" i="4"/>
  <c r="T14" i="4"/>
  <c r="V14" i="4"/>
  <c r="U14" i="4"/>
  <c r="U2" i="4"/>
  <c r="V2" i="4"/>
  <c r="J12" i="4"/>
  <c r="K12" i="4"/>
  <c r="J4" i="4"/>
  <c r="K4" i="4"/>
  <c r="J6" i="4"/>
  <c r="K6" i="4"/>
  <c r="J8" i="4"/>
  <c r="K8" i="4"/>
  <c r="J3" i="4"/>
  <c r="K3" i="4"/>
  <c r="J10" i="4"/>
  <c r="K10" i="4"/>
  <c r="J2" i="4"/>
  <c r="K2" i="4"/>
  <c r="J5" i="4"/>
  <c r="J11" i="4"/>
  <c r="J9" i="4"/>
  <c r="J15" i="4"/>
  <c r="J7" i="4"/>
  <c r="J13" i="4"/>
  <c r="J14" i="4"/>
  <c r="AP19" i="4"/>
  <c r="F18" i="7"/>
  <c r="R18" i="7" s="1"/>
  <c r="B18" i="7"/>
  <c r="AS18" i="7" s="1"/>
  <c r="AU18" i="7" s="1"/>
  <c r="D18" i="7"/>
  <c r="P18" i="7" s="1"/>
  <c r="E18" i="7"/>
  <c r="Q18" i="7" s="1"/>
  <c r="C18" i="7"/>
  <c r="O18" i="7" s="1"/>
  <c r="B19" i="7"/>
  <c r="AS19" i="7" s="1"/>
  <c r="F6" i="7"/>
  <c r="F5" i="7"/>
  <c r="F7" i="7"/>
  <c r="F4" i="7"/>
  <c r="D5" i="7"/>
  <c r="I5" i="7" s="1"/>
  <c r="D6" i="7"/>
  <c r="I6" i="7" s="1"/>
  <c r="D7" i="7"/>
  <c r="I7" i="7" s="1"/>
  <c r="D4" i="7"/>
  <c r="I4" i="7" s="1"/>
  <c r="C4" i="7"/>
  <c r="AP3" i="4"/>
  <c r="AP29" i="4"/>
  <c r="AE12" i="4"/>
  <c r="AP7" i="4"/>
  <c r="AP5" i="4"/>
  <c r="AE11" i="4"/>
  <c r="AE9" i="4"/>
  <c r="AP9" i="4"/>
  <c r="AP21" i="4"/>
  <c r="AP33" i="4"/>
  <c r="AE21" i="4"/>
  <c r="AP8" i="4"/>
  <c r="AP15" i="4"/>
  <c r="AE25" i="4"/>
  <c r="AP24" i="4"/>
  <c r="AP25" i="4"/>
  <c r="AP31" i="4"/>
  <c r="AP28" i="4"/>
  <c r="T3" i="4"/>
  <c r="AE7" i="4"/>
  <c r="AE4" i="4"/>
  <c r="AE16" i="4"/>
  <c r="AE20" i="4"/>
  <c r="AP11" i="4"/>
  <c r="AP35" i="4"/>
  <c r="AE28" i="4"/>
  <c r="AE17" i="4"/>
  <c r="AP23" i="4"/>
  <c r="T7" i="4"/>
  <c r="T6" i="4"/>
  <c r="T15" i="4"/>
  <c r="T12" i="4"/>
  <c r="AP12" i="4"/>
  <c r="AP13" i="4"/>
  <c r="T4" i="4"/>
  <c r="AP20" i="4"/>
  <c r="AE8" i="4"/>
  <c r="AP16" i="4"/>
  <c r="AP4" i="4"/>
  <c r="AP2" i="4"/>
  <c r="AE23" i="4"/>
  <c r="AP18" i="4"/>
  <c r="AE27" i="4"/>
  <c r="AP26" i="4"/>
  <c r="AE10" i="4"/>
  <c r="AE22" i="4"/>
  <c r="AE18" i="4"/>
  <c r="AE26" i="4"/>
  <c r="T13" i="4"/>
  <c r="T9" i="4"/>
  <c r="AE2" i="4"/>
  <c r="I6" i="4"/>
  <c r="T2" i="4"/>
  <c r="I10" i="4"/>
  <c r="I8" i="4"/>
  <c r="I4" i="4"/>
  <c r="I12" i="4"/>
  <c r="I13" i="4"/>
  <c r="I7" i="4"/>
  <c r="I9" i="4"/>
  <c r="I15" i="4"/>
  <c r="I3" i="4"/>
  <c r="I5" i="4"/>
  <c r="I11" i="4"/>
  <c r="I14" i="4"/>
  <c r="I2" i="4"/>
  <c r="L18" i="7" l="1"/>
  <c r="K18" i="7"/>
  <c r="N18" i="7"/>
  <c r="M18" i="7"/>
  <c r="AE18" i="7"/>
  <c r="AH18" i="7"/>
  <c r="AF18" i="7"/>
  <c r="AG18" i="7"/>
  <c r="AD18" i="7"/>
  <c r="AC18" i="7"/>
  <c r="AB18" i="7"/>
  <c r="AA18" i="7"/>
  <c r="Y18" i="7"/>
  <c r="X18" i="7"/>
  <c r="J18" i="7"/>
  <c r="H5" i="7"/>
  <c r="G5" i="7" s="1"/>
  <c r="L5" i="7" s="1"/>
  <c r="N5" i="7" s="1"/>
  <c r="H6" i="7"/>
  <c r="O6" i="7" s="1"/>
  <c r="H4" i="7"/>
  <c r="G4" i="7" s="1"/>
  <c r="H7" i="7"/>
  <c r="O7" i="7" s="1"/>
  <c r="Z18" i="7"/>
  <c r="AT19" i="7"/>
  <c r="AU19" i="7"/>
  <c r="AR18" i="7"/>
  <c r="AT18" i="7"/>
  <c r="AQ19" i="7"/>
  <c r="AR19" i="7"/>
  <c r="AQ18" i="7"/>
  <c r="H18" i="7"/>
  <c r="I18" i="7"/>
  <c r="AO18" i="7" s="1"/>
  <c r="G18" i="7"/>
  <c r="W18" i="7"/>
  <c r="J6" i="7"/>
  <c r="K6" i="7" s="1"/>
  <c r="C19" i="7"/>
  <c r="D19" i="7"/>
  <c r="F19" i="7"/>
  <c r="E19" i="7"/>
  <c r="V18" i="7"/>
  <c r="U18" i="7"/>
  <c r="T18" i="7"/>
  <c r="BI18" i="7" s="1"/>
  <c r="S18" i="7"/>
  <c r="BH18" i="7" s="1"/>
  <c r="B20" i="7"/>
  <c r="AS20" i="7" s="1"/>
  <c r="J5" i="7"/>
  <c r="K5" i="7" s="1"/>
  <c r="J4" i="7"/>
  <c r="K4" i="7" s="1"/>
  <c r="J7" i="7"/>
  <c r="K7" i="7" s="1"/>
  <c r="BP18" i="7" l="1"/>
  <c r="BO18" i="7"/>
  <c r="BK18" i="7"/>
  <c r="BJ18" i="7"/>
  <c r="R19" i="7"/>
  <c r="N19" i="7"/>
  <c r="L19" i="7"/>
  <c r="P19" i="7"/>
  <c r="M19" i="7"/>
  <c r="Q19" i="7"/>
  <c r="K19" i="7"/>
  <c r="O19" i="7"/>
  <c r="AB19" i="7"/>
  <c r="AF19" i="7"/>
  <c r="AA19" i="7"/>
  <c r="AE19" i="7"/>
  <c r="AC19" i="7"/>
  <c r="AG19" i="7"/>
  <c r="AD19" i="7"/>
  <c r="AH19" i="7"/>
  <c r="G6" i="7"/>
  <c r="D9" i="2" s="1"/>
  <c r="O5" i="7"/>
  <c r="AL18" i="7"/>
  <c r="AP18" i="7"/>
  <c r="AN18" i="7"/>
  <c r="O4" i="7"/>
  <c r="D11" i="7"/>
  <c r="H9" i="2" s="1"/>
  <c r="G7" i="7"/>
  <c r="L7" i="7" s="1"/>
  <c r="N7" i="7" s="1"/>
  <c r="AT20" i="7"/>
  <c r="AU20" i="7"/>
  <c r="AQ20" i="7"/>
  <c r="AR20" i="7"/>
  <c r="AK18" i="7"/>
  <c r="BC18" i="7" s="1"/>
  <c r="AI18" i="7"/>
  <c r="AJ18" i="7"/>
  <c r="AM18" i="7"/>
  <c r="G19" i="7"/>
  <c r="J19" i="7"/>
  <c r="H19" i="7"/>
  <c r="I19" i="7"/>
  <c r="C20" i="7"/>
  <c r="D20" i="7"/>
  <c r="E20" i="7"/>
  <c r="F20" i="7"/>
  <c r="T19" i="7"/>
  <c r="X19" i="7"/>
  <c r="S19" i="7"/>
  <c r="W19" i="7"/>
  <c r="V19" i="7"/>
  <c r="Z19" i="7"/>
  <c r="U19" i="7"/>
  <c r="Y19" i="7"/>
  <c r="B21" i="7"/>
  <c r="AS21" i="7" s="1"/>
  <c r="L4" i="7"/>
  <c r="D8" i="2"/>
  <c r="B10" i="7"/>
  <c r="B11" i="7"/>
  <c r="BO19" i="7" l="1"/>
  <c r="BP19" i="7"/>
  <c r="BH19" i="7"/>
  <c r="BI19" i="7"/>
  <c r="D10" i="7"/>
  <c r="BK19" i="7"/>
  <c r="BJ19" i="7"/>
  <c r="M20" i="7"/>
  <c r="Q20" i="7"/>
  <c r="L20" i="7"/>
  <c r="P20" i="7"/>
  <c r="R20" i="7"/>
  <c r="N20" i="7"/>
  <c r="K20" i="7"/>
  <c r="O20" i="7"/>
  <c r="BD18" i="7"/>
  <c r="L6" i="7"/>
  <c r="N6" i="7" s="1"/>
  <c r="F11" i="7" s="1"/>
  <c r="AB20" i="7"/>
  <c r="AF20" i="7"/>
  <c r="AA20" i="7"/>
  <c r="AE20" i="7"/>
  <c r="AC20" i="7"/>
  <c r="AG20" i="7"/>
  <c r="AD20" i="7"/>
  <c r="AH20" i="7"/>
  <c r="BB18" i="7"/>
  <c r="AM19" i="7"/>
  <c r="D12" i="7"/>
  <c r="BA18" i="7"/>
  <c r="AT21" i="7"/>
  <c r="AU21" i="7"/>
  <c r="AQ21" i="7"/>
  <c r="AR21" i="7"/>
  <c r="AJ19" i="7"/>
  <c r="AN19" i="7"/>
  <c r="AW18" i="7"/>
  <c r="H8" i="2"/>
  <c r="AI19" i="7"/>
  <c r="AO19" i="7"/>
  <c r="AP19" i="7"/>
  <c r="AL19" i="7"/>
  <c r="AK19" i="7"/>
  <c r="G20" i="7"/>
  <c r="H20" i="7"/>
  <c r="I20" i="7"/>
  <c r="J20" i="7"/>
  <c r="C21" i="7"/>
  <c r="F21" i="7"/>
  <c r="D21" i="7"/>
  <c r="E21" i="7"/>
  <c r="T20" i="7"/>
  <c r="X20" i="7"/>
  <c r="V20" i="7"/>
  <c r="Z20" i="7"/>
  <c r="S20" i="7"/>
  <c r="W20" i="7"/>
  <c r="U20" i="7"/>
  <c r="Y20" i="7"/>
  <c r="B22" i="7"/>
  <c r="AS22" i="7" s="1"/>
  <c r="N4" i="7"/>
  <c r="F10" i="7" s="1"/>
  <c r="E10" i="7"/>
  <c r="B12" i="7"/>
  <c r="C10" i="7" s="1"/>
  <c r="F8" i="2" s="1"/>
  <c r="BO20" i="7" l="1"/>
  <c r="BP20" i="7"/>
  <c r="BH20" i="7"/>
  <c r="BI20" i="7"/>
  <c r="BJ20" i="7"/>
  <c r="BK20" i="7"/>
  <c r="E11" i="7"/>
  <c r="K21" i="7"/>
  <c r="O21" i="7"/>
  <c r="M21" i="7"/>
  <c r="Q21" i="7"/>
  <c r="L21" i="7"/>
  <c r="P21" i="7"/>
  <c r="N21" i="7"/>
  <c r="R21" i="7"/>
  <c r="AB21" i="7"/>
  <c r="AF21" i="7"/>
  <c r="AD21" i="7"/>
  <c r="AH21" i="7"/>
  <c r="AA21" i="7"/>
  <c r="AE21" i="7"/>
  <c r="AC21" i="7"/>
  <c r="AG21" i="7"/>
  <c r="BA19" i="7"/>
  <c r="BC19" i="7"/>
  <c r="BB19" i="7"/>
  <c r="BD19" i="7"/>
  <c r="AT22" i="7"/>
  <c r="AU22" i="7"/>
  <c r="AQ22" i="7"/>
  <c r="AR22" i="7"/>
  <c r="AL20" i="7"/>
  <c r="AO20" i="7"/>
  <c r="AJ20" i="7"/>
  <c r="AW19" i="7"/>
  <c r="AN20" i="7"/>
  <c r="AP20" i="7"/>
  <c r="AM20" i="7"/>
  <c r="AI20" i="7"/>
  <c r="AK20" i="7"/>
  <c r="G21" i="7"/>
  <c r="H21" i="7"/>
  <c r="J21" i="7"/>
  <c r="I21" i="7"/>
  <c r="C22" i="7"/>
  <c r="D22" i="7"/>
  <c r="F22" i="7"/>
  <c r="E22" i="7"/>
  <c r="T21" i="7"/>
  <c r="X21" i="7"/>
  <c r="S21" i="7"/>
  <c r="W21" i="7"/>
  <c r="V21" i="7"/>
  <c r="Z21" i="7"/>
  <c r="U21" i="7"/>
  <c r="Y21" i="7"/>
  <c r="B23" i="7"/>
  <c r="AS23" i="7" s="1"/>
  <c r="H10" i="7"/>
  <c r="L8" i="2" s="1"/>
  <c r="G11" i="7"/>
  <c r="J9" i="2" s="1"/>
  <c r="G10" i="7"/>
  <c r="J8" i="2" s="1"/>
  <c r="C11" i="7"/>
  <c r="F9" i="2" s="1"/>
  <c r="BO21" i="7" l="1"/>
  <c r="BP21" i="7"/>
  <c r="BH21" i="7"/>
  <c r="BI21" i="7"/>
  <c r="BJ21" i="7"/>
  <c r="BK21" i="7"/>
  <c r="L22" i="7"/>
  <c r="P22" i="7"/>
  <c r="R22" i="7"/>
  <c r="N22" i="7"/>
  <c r="K22" i="7"/>
  <c r="O22" i="7"/>
  <c r="M22" i="7"/>
  <c r="Q22" i="7"/>
  <c r="AB22" i="7"/>
  <c r="AF22" i="7"/>
  <c r="AD22" i="7"/>
  <c r="AH22" i="7"/>
  <c r="AA22" i="7"/>
  <c r="AE22" i="7"/>
  <c r="AC22" i="7"/>
  <c r="AG22" i="7"/>
  <c r="BC20" i="7"/>
  <c r="BB20" i="7"/>
  <c r="BD20" i="7"/>
  <c r="BA20" i="7"/>
  <c r="AT23" i="7"/>
  <c r="AU23" i="7"/>
  <c r="AQ23" i="7"/>
  <c r="AR23" i="7"/>
  <c r="AN21" i="7"/>
  <c r="AJ21" i="7"/>
  <c r="AM21" i="7"/>
  <c r="AW20" i="7"/>
  <c r="AP21" i="7"/>
  <c r="AK21" i="7"/>
  <c r="AO21" i="7"/>
  <c r="AI21" i="7"/>
  <c r="AL21" i="7"/>
  <c r="BD21" i="7" s="1"/>
  <c r="G22" i="7"/>
  <c r="H22" i="7"/>
  <c r="J22" i="7"/>
  <c r="I22" i="7"/>
  <c r="C23" i="7"/>
  <c r="F23" i="7"/>
  <c r="D23" i="7"/>
  <c r="E23" i="7"/>
  <c r="T22" i="7"/>
  <c r="X22" i="7"/>
  <c r="U22" i="7"/>
  <c r="Y22" i="7"/>
  <c r="S22" i="7"/>
  <c r="W22" i="7"/>
  <c r="V22" i="7"/>
  <c r="Z22" i="7"/>
  <c r="B24" i="7"/>
  <c r="AS24" i="7" s="1"/>
  <c r="H11" i="7"/>
  <c r="L9" i="2" s="1"/>
  <c r="BO22" i="7" l="1"/>
  <c r="BP22" i="7"/>
  <c r="BH22" i="7"/>
  <c r="BI22" i="7"/>
  <c r="BK22" i="7"/>
  <c r="BJ22" i="7"/>
  <c r="L23" i="7"/>
  <c r="P23" i="7"/>
  <c r="N23" i="7"/>
  <c r="R23" i="7"/>
  <c r="M23" i="7"/>
  <c r="Q23" i="7"/>
  <c r="K23" i="7"/>
  <c r="O23" i="7"/>
  <c r="AD23" i="7"/>
  <c r="AH23" i="7"/>
  <c r="AA23" i="7"/>
  <c r="AE23" i="7"/>
  <c r="AB23" i="7"/>
  <c r="AF23" i="7"/>
  <c r="AC23" i="7"/>
  <c r="AG23" i="7"/>
  <c r="BC21" i="7"/>
  <c r="BB21" i="7"/>
  <c r="BA21" i="7"/>
  <c r="AT24" i="7"/>
  <c r="AU24" i="7"/>
  <c r="AO22" i="7"/>
  <c r="AQ24" i="7"/>
  <c r="AR24" i="7"/>
  <c r="AJ22" i="7"/>
  <c r="AP22" i="7"/>
  <c r="AK22" i="7"/>
  <c r="AW21" i="7"/>
  <c r="AM22" i="7"/>
  <c r="AI22" i="7"/>
  <c r="AN22" i="7"/>
  <c r="AL22" i="7"/>
  <c r="G23" i="7"/>
  <c r="J23" i="7"/>
  <c r="H23" i="7"/>
  <c r="I23" i="7"/>
  <c r="C24" i="7"/>
  <c r="D24" i="7"/>
  <c r="E24" i="7"/>
  <c r="F24" i="7"/>
  <c r="V23" i="7"/>
  <c r="Z23" i="7"/>
  <c r="T23" i="7"/>
  <c r="X23" i="7"/>
  <c r="S23" i="7"/>
  <c r="W23" i="7"/>
  <c r="U23" i="7"/>
  <c r="Y23" i="7"/>
  <c r="B25" i="7"/>
  <c r="AS25" i="7" s="1"/>
  <c r="BO23" i="7" l="1"/>
  <c r="BP23" i="7"/>
  <c r="BH23" i="7"/>
  <c r="BK23" i="7"/>
  <c r="BD22" i="7"/>
  <c r="BJ23" i="7"/>
  <c r="BI23" i="7"/>
  <c r="N24" i="7"/>
  <c r="R24" i="7"/>
  <c r="M24" i="7"/>
  <c r="Q24" i="7"/>
  <c r="L24" i="7"/>
  <c r="P24" i="7"/>
  <c r="K24" i="7"/>
  <c r="O24" i="7"/>
  <c r="AD24" i="7"/>
  <c r="AH24" i="7"/>
  <c r="AC24" i="7"/>
  <c r="AG24" i="7"/>
  <c r="AB24" i="7"/>
  <c r="AF24" i="7"/>
  <c r="AA24" i="7"/>
  <c r="AE24" i="7"/>
  <c r="BA22" i="7"/>
  <c r="BC22" i="7"/>
  <c r="BB22" i="7"/>
  <c r="AT25" i="7"/>
  <c r="AU25" i="7"/>
  <c r="AQ25" i="7"/>
  <c r="AR25" i="7"/>
  <c r="AK23" i="7"/>
  <c r="AN23" i="7"/>
  <c r="AW22" i="7"/>
  <c r="AM23" i="7"/>
  <c r="AO23" i="7"/>
  <c r="AL23" i="7"/>
  <c r="AP23" i="7"/>
  <c r="AI23" i="7"/>
  <c r="BA23" i="7" s="1"/>
  <c r="AJ23" i="7"/>
  <c r="G24" i="7"/>
  <c r="H24" i="7"/>
  <c r="J24" i="7"/>
  <c r="I24" i="7"/>
  <c r="C25" i="7"/>
  <c r="D25" i="7"/>
  <c r="F25" i="7"/>
  <c r="E25" i="7"/>
  <c r="U24" i="7"/>
  <c r="Y24" i="7"/>
  <c r="T24" i="7"/>
  <c r="X24" i="7"/>
  <c r="S24" i="7"/>
  <c r="W24" i="7"/>
  <c r="V24" i="7"/>
  <c r="Z24" i="7"/>
  <c r="B26" i="7"/>
  <c r="AS26" i="7" s="1"/>
  <c r="BO24" i="7" l="1"/>
  <c r="BP24" i="7"/>
  <c r="BH24" i="7"/>
  <c r="BJ24" i="7"/>
  <c r="BK24" i="7"/>
  <c r="BI24" i="7"/>
  <c r="N25" i="7"/>
  <c r="R25" i="7"/>
  <c r="L25" i="7"/>
  <c r="P25" i="7"/>
  <c r="M25" i="7"/>
  <c r="Q25" i="7"/>
  <c r="K25" i="7"/>
  <c r="O25" i="7"/>
  <c r="AD25" i="7"/>
  <c r="AH25" i="7"/>
  <c r="AB25" i="7"/>
  <c r="AF25" i="7"/>
  <c r="AC25" i="7"/>
  <c r="AG25" i="7"/>
  <c r="AA25" i="7"/>
  <c r="AE25" i="7"/>
  <c r="BD23" i="7"/>
  <c r="BB23" i="7"/>
  <c r="BC23" i="7"/>
  <c r="AT26" i="7"/>
  <c r="AU26" i="7"/>
  <c r="AQ26" i="7"/>
  <c r="AR26" i="7"/>
  <c r="AI24" i="7"/>
  <c r="AM24" i="7"/>
  <c r="AN24" i="7"/>
  <c r="AW23" i="7"/>
  <c r="AP24" i="7"/>
  <c r="AO24" i="7"/>
  <c r="AJ24" i="7"/>
  <c r="BB24" i="7" s="1"/>
  <c r="AL24" i="7"/>
  <c r="AK24" i="7"/>
  <c r="G25" i="7"/>
  <c r="J25" i="7"/>
  <c r="H25" i="7"/>
  <c r="I25" i="7"/>
  <c r="C26" i="7"/>
  <c r="F26" i="7"/>
  <c r="D26" i="7"/>
  <c r="E26" i="7"/>
  <c r="T25" i="7"/>
  <c r="X25" i="7"/>
  <c r="V25" i="7"/>
  <c r="Z25" i="7"/>
  <c r="S25" i="7"/>
  <c r="W25" i="7"/>
  <c r="U25" i="7"/>
  <c r="Y25" i="7"/>
  <c r="B27" i="7"/>
  <c r="AS27" i="7" s="1"/>
  <c r="BP25" i="7" l="1"/>
  <c r="BO25" i="7"/>
  <c r="BH25" i="7"/>
  <c r="BI25" i="7"/>
  <c r="BJ25" i="7"/>
  <c r="BK25" i="7"/>
  <c r="L26" i="7"/>
  <c r="P26" i="7"/>
  <c r="N26" i="7"/>
  <c r="R26" i="7"/>
  <c r="M26" i="7"/>
  <c r="Q26" i="7"/>
  <c r="K26" i="7"/>
  <c r="O26" i="7"/>
  <c r="AC26" i="7"/>
  <c r="AG26" i="7"/>
  <c r="AB26" i="7"/>
  <c r="AF26" i="7"/>
  <c r="AD26" i="7"/>
  <c r="AH26" i="7"/>
  <c r="AA26" i="7"/>
  <c r="AE26" i="7"/>
  <c r="BD24" i="7"/>
  <c r="BC24" i="7"/>
  <c r="BA24" i="7"/>
  <c r="AT27" i="7"/>
  <c r="AU27" i="7"/>
  <c r="AQ27" i="7"/>
  <c r="AR27" i="7"/>
  <c r="AP25" i="7"/>
  <c r="AN25" i="7"/>
  <c r="AW24" i="7"/>
  <c r="AK25" i="7"/>
  <c r="AM25" i="7"/>
  <c r="AO25" i="7"/>
  <c r="AI25" i="7"/>
  <c r="AJ25" i="7"/>
  <c r="AL25" i="7"/>
  <c r="BD25" i="7" s="1"/>
  <c r="G26" i="7"/>
  <c r="H26" i="7"/>
  <c r="J26" i="7"/>
  <c r="I26" i="7"/>
  <c r="C27" i="7"/>
  <c r="D27" i="7"/>
  <c r="E27" i="7"/>
  <c r="F27" i="7"/>
  <c r="U26" i="7"/>
  <c r="Y26" i="7"/>
  <c r="T26" i="7"/>
  <c r="X26" i="7"/>
  <c r="S26" i="7"/>
  <c r="W26" i="7"/>
  <c r="V26" i="7"/>
  <c r="Z26" i="7"/>
  <c r="B28" i="7"/>
  <c r="AS28" i="7" s="1"/>
  <c r="BP26" i="7" l="1"/>
  <c r="BO26" i="7"/>
  <c r="BK26" i="7"/>
  <c r="BH26" i="7"/>
  <c r="BI26" i="7"/>
  <c r="BJ26" i="7"/>
  <c r="M27" i="7"/>
  <c r="Q27" i="7"/>
  <c r="N27" i="7"/>
  <c r="R27" i="7"/>
  <c r="L27" i="7"/>
  <c r="P27" i="7"/>
  <c r="K27" i="7"/>
  <c r="O27" i="7"/>
  <c r="AC27" i="7"/>
  <c r="AG27" i="7"/>
  <c r="AD27" i="7"/>
  <c r="AH27" i="7"/>
  <c r="AB27" i="7"/>
  <c r="AF27" i="7"/>
  <c r="AA27" i="7"/>
  <c r="AE27" i="7"/>
  <c r="BA25" i="7"/>
  <c r="BB25" i="7"/>
  <c r="BC25" i="7"/>
  <c r="AL26" i="7"/>
  <c r="AT28" i="7"/>
  <c r="AU28" i="7"/>
  <c r="AQ28" i="7"/>
  <c r="AR28" i="7"/>
  <c r="AM26" i="7"/>
  <c r="AN26" i="7"/>
  <c r="AW25" i="7"/>
  <c r="AP26" i="7"/>
  <c r="AO26" i="7"/>
  <c r="AK26" i="7"/>
  <c r="AI26" i="7"/>
  <c r="AJ26" i="7"/>
  <c r="G27" i="7"/>
  <c r="J27" i="7"/>
  <c r="H27" i="7"/>
  <c r="I27" i="7"/>
  <c r="C28" i="7"/>
  <c r="D28" i="7"/>
  <c r="F28" i="7"/>
  <c r="E28" i="7"/>
  <c r="V27" i="7"/>
  <c r="Z27" i="7"/>
  <c r="T27" i="7"/>
  <c r="X27" i="7"/>
  <c r="S27" i="7"/>
  <c r="W27" i="7"/>
  <c r="U27" i="7"/>
  <c r="Y27" i="7"/>
  <c r="B29" i="7"/>
  <c r="AS29" i="7" s="1"/>
  <c r="BP27" i="7" l="1"/>
  <c r="BO27" i="7"/>
  <c r="BJ27" i="7"/>
  <c r="BI27" i="7"/>
  <c r="BH27" i="7"/>
  <c r="BK27" i="7"/>
  <c r="R28" i="7"/>
  <c r="N28" i="7"/>
  <c r="M28" i="7"/>
  <c r="Q28" i="7"/>
  <c r="L28" i="7"/>
  <c r="P28" i="7"/>
  <c r="K28" i="7"/>
  <c r="O28" i="7"/>
  <c r="AD28" i="7"/>
  <c r="AH28" i="7"/>
  <c r="AB28" i="7"/>
  <c r="AF28" i="7"/>
  <c r="AC28" i="7"/>
  <c r="AG28" i="7"/>
  <c r="AA28" i="7"/>
  <c r="AE28" i="7"/>
  <c r="BB26" i="7"/>
  <c r="AI27" i="7"/>
  <c r="BD26" i="7"/>
  <c r="BA26" i="7"/>
  <c r="BC26" i="7"/>
  <c r="AT29" i="7"/>
  <c r="AU29" i="7"/>
  <c r="AQ29" i="7"/>
  <c r="AR29" i="7"/>
  <c r="AM27" i="7"/>
  <c r="BA27" i="7" s="1"/>
  <c r="AP27" i="7"/>
  <c r="AN27" i="7"/>
  <c r="AK27" i="7"/>
  <c r="AL27" i="7"/>
  <c r="AW26" i="7"/>
  <c r="AO27" i="7"/>
  <c r="AJ27" i="7"/>
  <c r="G28" i="7"/>
  <c r="H28" i="7"/>
  <c r="I28" i="7"/>
  <c r="J28" i="7"/>
  <c r="C29" i="7"/>
  <c r="F29" i="7"/>
  <c r="D29" i="7"/>
  <c r="E29" i="7"/>
  <c r="U28" i="7"/>
  <c r="Y28" i="7"/>
  <c r="T28" i="7"/>
  <c r="X28" i="7"/>
  <c r="S28" i="7"/>
  <c r="W28" i="7"/>
  <c r="V28" i="7"/>
  <c r="Z28" i="7"/>
  <c r="B30" i="7"/>
  <c r="AS30" i="7" s="1"/>
  <c r="BP28" i="7" l="1"/>
  <c r="BO28" i="7"/>
  <c r="BJ28" i="7"/>
  <c r="BH28" i="7"/>
  <c r="BK28" i="7"/>
  <c r="BI28" i="7"/>
  <c r="R29" i="7"/>
  <c r="N29" i="7"/>
  <c r="K29" i="7"/>
  <c r="O29" i="7"/>
  <c r="L29" i="7"/>
  <c r="P29" i="7"/>
  <c r="M29" i="7"/>
  <c r="Q29" i="7"/>
  <c r="AB29" i="7"/>
  <c r="AF29" i="7"/>
  <c r="AD29" i="7"/>
  <c r="AH29" i="7"/>
  <c r="AA29" i="7"/>
  <c r="AE29" i="7"/>
  <c r="AC29" i="7"/>
  <c r="AG29" i="7"/>
  <c r="BD27" i="7"/>
  <c r="BB27" i="7"/>
  <c r="BC27" i="7"/>
  <c r="AP28" i="7"/>
  <c r="AT30" i="7"/>
  <c r="AU30" i="7"/>
  <c r="AQ30" i="7"/>
  <c r="AR30" i="7"/>
  <c r="AI28" i="7"/>
  <c r="AM28" i="7"/>
  <c r="AO28" i="7"/>
  <c r="AL28" i="7"/>
  <c r="BD28" i="7" s="1"/>
  <c r="AW27" i="7"/>
  <c r="AN28" i="7"/>
  <c r="AJ28" i="7"/>
  <c r="AK28" i="7"/>
  <c r="G29" i="7"/>
  <c r="H29" i="7"/>
  <c r="J29" i="7"/>
  <c r="I29" i="7"/>
  <c r="C30" i="7"/>
  <c r="D30" i="7"/>
  <c r="E30" i="7"/>
  <c r="F30" i="7"/>
  <c r="V29" i="7"/>
  <c r="Z29" i="7"/>
  <c r="T29" i="7"/>
  <c r="X29" i="7"/>
  <c r="S29" i="7"/>
  <c r="W29" i="7"/>
  <c r="U29" i="7"/>
  <c r="Y29" i="7"/>
  <c r="B31" i="7"/>
  <c r="AS31" i="7" s="1"/>
  <c r="BO29" i="7" l="1"/>
  <c r="BP29" i="7"/>
  <c r="BJ29" i="7"/>
  <c r="BH29" i="7"/>
  <c r="BK29" i="7"/>
  <c r="BI29" i="7"/>
  <c r="M30" i="7"/>
  <c r="Q30" i="7"/>
  <c r="R30" i="7"/>
  <c r="N30" i="7"/>
  <c r="L30" i="7"/>
  <c r="P30" i="7"/>
  <c r="K30" i="7"/>
  <c r="O30" i="7"/>
  <c r="AC30" i="7"/>
  <c r="AG30" i="7"/>
  <c r="AB30" i="7"/>
  <c r="AF30" i="7"/>
  <c r="AD30" i="7"/>
  <c r="AH30" i="7"/>
  <c r="AA30" i="7"/>
  <c r="AE30" i="7"/>
  <c r="BB28" i="7"/>
  <c r="AO29" i="7"/>
  <c r="BA28" i="7"/>
  <c r="BC28" i="7"/>
  <c r="AT31" i="7"/>
  <c r="AU31" i="7"/>
  <c r="AQ31" i="7"/>
  <c r="AR31" i="7"/>
  <c r="AW28" i="7"/>
  <c r="AP29" i="7"/>
  <c r="AK29" i="7"/>
  <c r="AN29" i="7"/>
  <c r="AJ29" i="7"/>
  <c r="AM29" i="7"/>
  <c r="AI29" i="7"/>
  <c r="AL29" i="7"/>
  <c r="G30" i="7"/>
  <c r="J30" i="7"/>
  <c r="H30" i="7"/>
  <c r="I30" i="7"/>
  <c r="C31" i="7"/>
  <c r="F31" i="7"/>
  <c r="D31" i="7"/>
  <c r="E31" i="7"/>
  <c r="T30" i="7"/>
  <c r="X30" i="7"/>
  <c r="S30" i="7"/>
  <c r="W30" i="7"/>
  <c r="U30" i="7"/>
  <c r="Y30" i="7"/>
  <c r="V30" i="7"/>
  <c r="Z30" i="7"/>
  <c r="B32" i="7"/>
  <c r="AS32" i="7" s="1"/>
  <c r="BP30" i="7" l="1"/>
  <c r="BO30" i="7"/>
  <c r="BK30" i="7"/>
  <c r="BH30" i="7"/>
  <c r="BJ30" i="7"/>
  <c r="BD29" i="7"/>
  <c r="BI30" i="7"/>
  <c r="L31" i="7"/>
  <c r="P31" i="7"/>
  <c r="N31" i="7"/>
  <c r="R31" i="7"/>
  <c r="M31" i="7"/>
  <c r="Q31" i="7"/>
  <c r="K31" i="7"/>
  <c r="O31" i="7"/>
  <c r="BC29" i="7"/>
  <c r="AC31" i="7"/>
  <c r="AG31" i="7"/>
  <c r="AB31" i="7"/>
  <c r="AF31" i="7"/>
  <c r="AD31" i="7"/>
  <c r="AH31" i="7"/>
  <c r="AA31" i="7"/>
  <c r="AE31" i="7"/>
  <c r="BA29" i="7"/>
  <c r="BB29" i="7"/>
  <c r="AT32" i="7"/>
  <c r="AU32" i="7"/>
  <c r="AQ32" i="7"/>
  <c r="AR32" i="7"/>
  <c r="AK30" i="7"/>
  <c r="AO30" i="7"/>
  <c r="AW29" i="7"/>
  <c r="AN30" i="7"/>
  <c r="AM30" i="7"/>
  <c r="AP30" i="7"/>
  <c r="AL30" i="7"/>
  <c r="AJ30" i="7"/>
  <c r="BB30" i="7" s="1"/>
  <c r="AI30" i="7"/>
  <c r="BA30" i="7" s="1"/>
  <c r="G31" i="7"/>
  <c r="H31" i="7"/>
  <c r="J31" i="7"/>
  <c r="I31" i="7"/>
  <c r="C32" i="7"/>
  <c r="D32" i="7"/>
  <c r="F32" i="7"/>
  <c r="E32" i="7"/>
  <c r="T31" i="7"/>
  <c r="X31" i="7"/>
  <c r="S31" i="7"/>
  <c r="W31" i="7"/>
  <c r="V31" i="7"/>
  <c r="Z31" i="7"/>
  <c r="U31" i="7"/>
  <c r="Y31" i="7"/>
  <c r="B33" i="7"/>
  <c r="AS33" i="7" s="1"/>
  <c r="BO31" i="7" l="1"/>
  <c r="BP31" i="7"/>
  <c r="BK31" i="7"/>
  <c r="BI31" i="7"/>
  <c r="BJ31" i="7"/>
  <c r="BH31" i="7"/>
  <c r="N32" i="7"/>
  <c r="R32" i="7"/>
  <c r="M32" i="7"/>
  <c r="Q32" i="7"/>
  <c r="L32" i="7"/>
  <c r="P32" i="7"/>
  <c r="K32" i="7"/>
  <c r="O32" i="7"/>
  <c r="AC32" i="7"/>
  <c r="AG32" i="7"/>
  <c r="AA32" i="7"/>
  <c r="AE32" i="7"/>
  <c r="AH32" i="7"/>
  <c r="AD32" i="7"/>
  <c r="AB32" i="7"/>
  <c r="AF32" i="7"/>
  <c r="AN31" i="7"/>
  <c r="BD30" i="7"/>
  <c r="BC30" i="7"/>
  <c r="AT33" i="7"/>
  <c r="AU33" i="7"/>
  <c r="AQ33" i="7"/>
  <c r="AR33" i="7"/>
  <c r="AJ31" i="7"/>
  <c r="AK31" i="7"/>
  <c r="AM31" i="7"/>
  <c r="AW30" i="7"/>
  <c r="AP31" i="7"/>
  <c r="AL31" i="7"/>
  <c r="AO31" i="7"/>
  <c r="AI31" i="7"/>
  <c r="G32" i="7"/>
  <c r="H32" i="7"/>
  <c r="I32" i="7"/>
  <c r="J32" i="7"/>
  <c r="C33" i="7"/>
  <c r="D33" i="7"/>
  <c r="E33" i="7"/>
  <c r="F33" i="7"/>
  <c r="U32" i="7"/>
  <c r="Y32" i="7"/>
  <c r="T32" i="7"/>
  <c r="X32" i="7"/>
  <c r="S32" i="7"/>
  <c r="W32" i="7"/>
  <c r="V32" i="7"/>
  <c r="Z32" i="7"/>
  <c r="B34" i="7"/>
  <c r="AS34" i="7" s="1"/>
  <c r="BP32" i="7" l="1"/>
  <c r="BO32" i="7"/>
  <c r="BH32" i="7"/>
  <c r="BJ32" i="7"/>
  <c r="BK32" i="7"/>
  <c r="BI32" i="7"/>
  <c r="L33" i="7"/>
  <c r="P33" i="7"/>
  <c r="R33" i="7"/>
  <c r="N33" i="7"/>
  <c r="K33" i="7"/>
  <c r="O33" i="7"/>
  <c r="M33" i="7"/>
  <c r="Q33" i="7"/>
  <c r="AD33" i="7"/>
  <c r="AH33" i="7"/>
  <c r="AC33" i="7"/>
  <c r="AG33" i="7"/>
  <c r="AA33" i="7"/>
  <c r="AE33" i="7"/>
  <c r="AB33" i="7"/>
  <c r="AF33" i="7"/>
  <c r="BB31" i="7"/>
  <c r="BD31" i="7"/>
  <c r="BC31" i="7"/>
  <c r="BA31" i="7"/>
  <c r="AT34" i="7"/>
  <c r="AU34" i="7"/>
  <c r="AQ34" i="7"/>
  <c r="AR34" i="7"/>
  <c r="AI32" i="7"/>
  <c r="AM32" i="7"/>
  <c r="AW31" i="7"/>
  <c r="AP32" i="7"/>
  <c r="AL32" i="7"/>
  <c r="AO32" i="7"/>
  <c r="AN32" i="7"/>
  <c r="AK32" i="7"/>
  <c r="AJ32" i="7"/>
  <c r="G33" i="7"/>
  <c r="J33" i="7"/>
  <c r="H33" i="7"/>
  <c r="I33" i="7"/>
  <c r="C34" i="7"/>
  <c r="F34" i="7"/>
  <c r="D34" i="7"/>
  <c r="E34" i="7"/>
  <c r="T33" i="7"/>
  <c r="X33" i="7"/>
  <c r="S33" i="7"/>
  <c r="W33" i="7"/>
  <c r="V33" i="7"/>
  <c r="Z33" i="7"/>
  <c r="U33" i="7"/>
  <c r="BJ33" i="7" s="1"/>
  <c r="Y33" i="7"/>
  <c r="B35" i="7"/>
  <c r="AS35" i="7" s="1"/>
  <c r="BO33" i="7" l="1"/>
  <c r="BP33" i="7"/>
  <c r="BH33" i="7"/>
  <c r="BI33" i="7"/>
  <c r="BK33" i="7"/>
  <c r="L34" i="7"/>
  <c r="P34" i="7"/>
  <c r="N34" i="7"/>
  <c r="R34" i="7"/>
  <c r="K34" i="7"/>
  <c r="O34" i="7"/>
  <c r="M34" i="7"/>
  <c r="Q34" i="7"/>
  <c r="AD34" i="7"/>
  <c r="AH34" i="7"/>
  <c r="AB34" i="7"/>
  <c r="AF34" i="7"/>
  <c r="AA34" i="7"/>
  <c r="AE34" i="7"/>
  <c r="AC34" i="7"/>
  <c r="AG34" i="7"/>
  <c r="AP33" i="7"/>
  <c r="BC32" i="7"/>
  <c r="AO33" i="7"/>
  <c r="BB32" i="7"/>
  <c r="BD32" i="7"/>
  <c r="BA32" i="7"/>
  <c r="AT35" i="7"/>
  <c r="AU35" i="7"/>
  <c r="AQ35" i="7"/>
  <c r="AR35" i="7"/>
  <c r="AL33" i="7"/>
  <c r="AN33" i="7"/>
  <c r="AK33" i="7"/>
  <c r="AJ33" i="7"/>
  <c r="AW32" i="7"/>
  <c r="AM33" i="7"/>
  <c r="AI33" i="7"/>
  <c r="G34" i="7"/>
  <c r="H34" i="7"/>
  <c r="J34" i="7"/>
  <c r="I34" i="7"/>
  <c r="C35" i="7"/>
  <c r="D35" i="7"/>
  <c r="E35" i="7"/>
  <c r="F35" i="7"/>
  <c r="V34" i="7"/>
  <c r="Z34" i="7"/>
  <c r="U34" i="7"/>
  <c r="Y34" i="7"/>
  <c r="T34" i="7"/>
  <c r="X34" i="7"/>
  <c r="S34" i="7"/>
  <c r="W34" i="7"/>
  <c r="B36" i="7"/>
  <c r="AS36" i="7" s="1"/>
  <c r="BP34" i="7" l="1"/>
  <c r="BO34" i="7"/>
  <c r="BH34" i="7"/>
  <c r="BI34" i="7"/>
  <c r="BK34" i="7"/>
  <c r="BJ34" i="7"/>
  <c r="M35" i="7"/>
  <c r="Q35" i="7"/>
  <c r="L35" i="7"/>
  <c r="P35" i="7"/>
  <c r="K35" i="7"/>
  <c r="O35" i="7"/>
  <c r="N35" i="7"/>
  <c r="R35" i="7"/>
  <c r="AC35" i="7"/>
  <c r="AG35" i="7"/>
  <c r="AB35" i="7"/>
  <c r="AF35" i="7"/>
  <c r="AA35" i="7"/>
  <c r="AE35" i="7"/>
  <c r="AD35" i="7"/>
  <c r="AH35" i="7"/>
  <c r="BC33" i="7"/>
  <c r="BD33" i="7"/>
  <c r="AN34" i="7"/>
  <c r="BB33" i="7"/>
  <c r="BA33" i="7"/>
  <c r="AO34" i="7"/>
  <c r="AT36" i="7"/>
  <c r="AU36" i="7"/>
  <c r="AQ36" i="7"/>
  <c r="AR36" i="7"/>
  <c r="AJ34" i="7"/>
  <c r="BB34" i="7" s="1"/>
  <c r="AK34" i="7"/>
  <c r="AW33" i="7"/>
  <c r="AM34" i="7"/>
  <c r="AI34" i="7"/>
  <c r="AP34" i="7"/>
  <c r="AL34" i="7"/>
  <c r="G35" i="7"/>
  <c r="J35" i="7"/>
  <c r="H35" i="7"/>
  <c r="I35" i="7"/>
  <c r="C36" i="7"/>
  <c r="D36" i="7"/>
  <c r="F36" i="7"/>
  <c r="E36" i="7"/>
  <c r="T35" i="7"/>
  <c r="X35" i="7"/>
  <c r="V35" i="7"/>
  <c r="Z35" i="7"/>
  <c r="S35" i="7"/>
  <c r="W35" i="7"/>
  <c r="U35" i="7"/>
  <c r="Y35" i="7"/>
  <c r="B37" i="7"/>
  <c r="AS37" i="7" s="1"/>
  <c r="BO35" i="7" l="1"/>
  <c r="BP35" i="7"/>
  <c r="BH35" i="7"/>
  <c r="BI35" i="7"/>
  <c r="BK35" i="7"/>
  <c r="BJ35" i="7"/>
  <c r="N36" i="7"/>
  <c r="R36" i="7"/>
  <c r="L36" i="7"/>
  <c r="P36" i="7"/>
  <c r="K36" i="7"/>
  <c r="O36" i="7"/>
  <c r="M36" i="7"/>
  <c r="Q36" i="7"/>
  <c r="AB36" i="7"/>
  <c r="AF36" i="7"/>
  <c r="AH36" i="7"/>
  <c r="AD36" i="7"/>
  <c r="AA36" i="7"/>
  <c r="AE36" i="7"/>
  <c r="AC36" i="7"/>
  <c r="AG36" i="7"/>
  <c r="BC34" i="7"/>
  <c r="BA34" i="7"/>
  <c r="BD34" i="7"/>
  <c r="AO35" i="7"/>
  <c r="AT37" i="7"/>
  <c r="AU37" i="7"/>
  <c r="AQ37" i="7"/>
  <c r="AR37" i="7"/>
  <c r="AI35" i="7"/>
  <c r="AM35" i="7"/>
  <c r="AK35" i="7"/>
  <c r="AW34" i="7"/>
  <c r="AN35" i="7"/>
  <c r="AP35" i="7"/>
  <c r="AJ35" i="7"/>
  <c r="AL35" i="7"/>
  <c r="G36" i="7"/>
  <c r="H36" i="7"/>
  <c r="I36" i="7"/>
  <c r="J36" i="7"/>
  <c r="C37" i="7"/>
  <c r="F37" i="7"/>
  <c r="D37" i="7"/>
  <c r="E37" i="7"/>
  <c r="U36" i="7"/>
  <c r="Y36" i="7"/>
  <c r="T36" i="7"/>
  <c r="X36" i="7"/>
  <c r="S36" i="7"/>
  <c r="W36" i="7"/>
  <c r="V36" i="7"/>
  <c r="Z36" i="7"/>
  <c r="B38" i="7"/>
  <c r="AS38" i="7" s="1"/>
  <c r="BO36" i="7" l="1"/>
  <c r="BP36" i="7"/>
  <c r="BH36" i="7"/>
  <c r="BK36" i="7"/>
  <c r="BI36" i="7"/>
  <c r="BJ36" i="7"/>
  <c r="L37" i="7"/>
  <c r="P37" i="7"/>
  <c r="M37" i="7"/>
  <c r="Q37" i="7"/>
  <c r="R37" i="7"/>
  <c r="N37" i="7"/>
  <c r="K37" i="7"/>
  <c r="O37" i="7"/>
  <c r="BD35" i="7"/>
  <c r="AC37" i="7"/>
  <c r="AG37" i="7"/>
  <c r="AB37" i="7"/>
  <c r="AF37" i="7"/>
  <c r="AD37" i="7"/>
  <c r="AH37" i="7"/>
  <c r="AA37" i="7"/>
  <c r="AE37" i="7"/>
  <c r="AP36" i="7"/>
  <c r="BB35" i="7"/>
  <c r="BA35" i="7"/>
  <c r="BC35" i="7"/>
  <c r="AT38" i="7"/>
  <c r="AU38" i="7"/>
  <c r="AQ38" i="7"/>
  <c r="AR38" i="7"/>
  <c r="AN36" i="7"/>
  <c r="AW35" i="7"/>
  <c r="AL36" i="7"/>
  <c r="AO36" i="7"/>
  <c r="AK36" i="7"/>
  <c r="AM36" i="7"/>
  <c r="AI36" i="7"/>
  <c r="AJ36" i="7"/>
  <c r="G37" i="7"/>
  <c r="H37" i="7"/>
  <c r="J37" i="7"/>
  <c r="I37" i="7"/>
  <c r="C38" i="7"/>
  <c r="D38" i="7"/>
  <c r="E38" i="7"/>
  <c r="F38" i="7"/>
  <c r="V37" i="7"/>
  <c r="Z37" i="7"/>
  <c r="T37" i="7"/>
  <c r="X37" i="7"/>
  <c r="S37" i="7"/>
  <c r="W37" i="7"/>
  <c r="U37" i="7"/>
  <c r="Y37" i="7"/>
  <c r="BK37" i="7" l="1"/>
  <c r="BP37" i="7"/>
  <c r="BO37" i="7"/>
  <c r="BI37" i="7"/>
  <c r="BH37" i="7"/>
  <c r="BJ37" i="7"/>
  <c r="L38" i="7"/>
  <c r="P38" i="7"/>
  <c r="K38" i="7"/>
  <c r="O38" i="7"/>
  <c r="M38" i="7"/>
  <c r="Q38" i="7"/>
  <c r="R38" i="7"/>
  <c r="N38" i="7"/>
  <c r="BD36" i="7"/>
  <c r="AC38" i="7"/>
  <c r="AG38" i="7"/>
  <c r="AB38" i="7"/>
  <c r="AF38" i="7"/>
  <c r="AD38" i="7"/>
  <c r="AH38" i="7"/>
  <c r="AA38" i="7"/>
  <c r="AE38" i="7"/>
  <c r="BB36" i="7"/>
  <c r="BA36" i="7"/>
  <c r="BC36" i="7"/>
  <c r="AO37" i="7"/>
  <c r="AK37" i="7"/>
  <c r="AP37" i="7"/>
  <c r="AN37" i="7"/>
  <c r="AW36" i="7"/>
  <c r="AM37" i="7"/>
  <c r="AI37" i="7"/>
  <c r="AL37" i="7"/>
  <c r="AJ37" i="7"/>
  <c r="G38" i="7"/>
  <c r="J38" i="7"/>
  <c r="H38" i="7"/>
  <c r="I38" i="7"/>
  <c r="V38" i="7"/>
  <c r="Z38" i="7"/>
  <c r="U38" i="7"/>
  <c r="Y38" i="7"/>
  <c r="T38" i="7"/>
  <c r="X38" i="7"/>
  <c r="S38" i="7"/>
  <c r="W38" i="7"/>
  <c r="BH38" i="7" l="1"/>
  <c r="BP38" i="7"/>
  <c r="BO38" i="7"/>
  <c r="BK38" i="7"/>
  <c r="BI38" i="7"/>
  <c r="BJ38" i="7"/>
  <c r="BC37" i="7"/>
  <c r="BD37" i="7"/>
  <c r="BB37" i="7"/>
  <c r="BA37" i="7"/>
  <c r="AM38" i="7"/>
  <c r="AW37" i="7"/>
  <c r="AN38" i="7"/>
  <c r="AJ38" i="7"/>
  <c r="AP38" i="7"/>
  <c r="AK38" i="7"/>
  <c r="AO38" i="7"/>
  <c r="AI38" i="7"/>
  <c r="AL38" i="7"/>
  <c r="BD38" i="7" s="1"/>
  <c r="BA38" i="7" l="1"/>
  <c r="BB38" i="7"/>
  <c r="BC38" i="7"/>
  <c r="AW38" i="7"/>
</calcChain>
</file>

<file path=xl/comments1.xml><?xml version="1.0" encoding="utf-8"?>
<comments xmlns="http://schemas.openxmlformats.org/spreadsheetml/2006/main">
  <authors>
    <author>Author</author>
  </authors>
  <commentList>
    <comment ref="F1" authorId="0" shapeId="0">
      <text>
        <r>
          <rPr>
            <b/>
            <sz val="9"/>
            <color indexed="81"/>
            <rFont val="Tahoma"/>
            <family val="2"/>
          </rPr>
          <t>Author:</t>
        </r>
        <r>
          <rPr>
            <sz val="9"/>
            <color indexed="81"/>
            <rFont val="Tahoma"/>
            <family val="2"/>
          </rPr>
          <t xml:space="preserve">
If this is a demo date, make sure you have completed the actuals and set the next demo date. Otherwise calculations will happen as if you completed 0 work since the last demo.</t>
        </r>
      </text>
    </comment>
    <comment ref="D4" authorId="0" shapeId="0">
      <text>
        <r>
          <rPr>
            <b/>
            <sz val="9"/>
            <color indexed="81"/>
            <rFont val="Tahoma"/>
            <family val="2"/>
          </rPr>
          <t>Author:</t>
        </r>
        <r>
          <rPr>
            <sz val="9"/>
            <color indexed="81"/>
            <rFont val="Tahoma"/>
            <family val="2"/>
          </rPr>
          <t xml:space="preserve">
Demos are treated as happening at the end of the day.
Thus, all work on demo day is treated as being expected to be in that demo. And all planned capacity starts the morning of the day after demo day.</t>
        </r>
      </text>
    </comment>
    <comment ref="J5" authorId="0" shapeId="0">
      <text>
        <r>
          <rPr>
            <b/>
            <sz val="9"/>
            <color indexed="81"/>
            <rFont val="Tahoma"/>
            <family val="2"/>
          </rPr>
          <t>Author:</t>
        </r>
        <r>
          <rPr>
            <sz val="9"/>
            <color indexed="81"/>
            <rFont val="Tahoma"/>
            <family val="2"/>
          </rPr>
          <t xml:space="preserve">
This is just a straight linear regression across the time period. It basically assumes that stories all take &lt;1day to complete. Because stories actually take time to get done, you might be a day or so behind this and still OK.</t>
        </r>
      </text>
    </comment>
  </commentList>
</comments>
</file>

<file path=xl/comments2.xml><?xml version="1.0" encoding="utf-8"?>
<comments xmlns="http://schemas.openxmlformats.org/spreadsheetml/2006/main">
  <authors>
    <author>Author</author>
  </authors>
  <commentList>
    <comment ref="A1" authorId="0" shapeId="0">
      <text>
        <r>
          <rPr>
            <b/>
            <sz val="9"/>
            <color indexed="81"/>
            <rFont val="Tahoma"/>
            <family val="2"/>
          </rPr>
          <t>Author:</t>
        </r>
        <r>
          <rPr>
            <sz val="9"/>
            <color indexed="81"/>
            <rFont val="Tahoma"/>
            <family val="2"/>
          </rPr>
          <t xml:space="preserve">
All columns except Date are story card counts.
Blue work items are product work improvements. This means they relate to any aspect of the business's product and we have evidence that they implement the right solution to an important problem.
Their purpose is to realize value, turning our knowledge of the customer into product advantage.</t>
        </r>
      </text>
    </comment>
    <comment ref="B1" authorId="0" shapeId="0">
      <text>
        <r>
          <rPr>
            <b/>
            <sz val="9"/>
            <color indexed="81"/>
            <rFont val="Tahoma"/>
            <family val="2"/>
          </rPr>
          <t>Author:</t>
        </r>
        <r>
          <rPr>
            <sz val="9"/>
            <color indexed="81"/>
            <rFont val="Tahoma"/>
            <family val="2"/>
          </rPr>
          <t xml:space="preserve">
Fill this in when you reach the end of a period and wish to do a demo. Your current sprint / items in the queue will be on a line with no specified date, and just the "taken into plan" field present.</t>
        </r>
      </text>
    </comment>
    <comment ref="C1" authorId="0" shapeId="0">
      <text>
        <r>
          <rPr>
            <b/>
            <sz val="9"/>
            <color indexed="81"/>
            <rFont val="Tahoma"/>
            <family val="2"/>
          </rPr>
          <t>Author:</t>
        </r>
        <r>
          <rPr>
            <sz val="9"/>
            <color indexed="81"/>
            <rFont val="Tahoma"/>
            <family val="2"/>
          </rPr>
          <t xml:space="preserve">
Cards added to the near-future plan, such as the sprint commitment or the ready for work queue.
These represent the planned objectives, either strategic or tactical.</t>
        </r>
      </text>
    </comment>
    <comment ref="D1" authorId="0" shapeId="0">
      <text>
        <r>
          <rPr>
            <b/>
            <sz val="9"/>
            <color indexed="81"/>
            <rFont val="Tahoma"/>
            <family val="2"/>
          </rPr>
          <t>Author:</t>
        </r>
        <r>
          <rPr>
            <sz val="9"/>
            <color indexed="81"/>
            <rFont val="Tahoma"/>
            <family val="2"/>
          </rPr>
          <t xml:space="preserve">
Cards added to work that bypassed the planning cycle, such as during-sprint adds to the sprint or urgent work that bypasses the ready queue and takes the urgent item swimlane.
Special note: bugs should always be added additional work, even if they are later removed or were known at the sprint start. Bugs are never planned work, even if they were triaged and scheduled.
Bugs are also always product improvements (blue work). A bug fix is never an experiment (you know the value), and it is never a sustainability item (an action taken to prevent a certain category of bug from ever happening again would be a sustainability item).
Your team needs to agree about what a bug means. But think of it in terms of measurability. A bug means that a story or part of a story, while bellieved to be done, was done in such a way that the measures of impact don't actually assess the worth of the idea - something gets in the way and changes user behavior. This means that the team has to do additional work in order for the system to actually measure impact of the stories in question.
These represent additional work the team has to do that do not further its plan, such as bug fixes, emergencies, special projects, or overhead.</t>
        </r>
      </text>
    </comment>
    <comment ref="E1" authorId="0" shapeId="0">
      <text>
        <r>
          <rPr>
            <b/>
            <sz val="9"/>
            <color indexed="81"/>
            <rFont val="Tahoma"/>
            <family val="2"/>
          </rPr>
          <t>Author:</t>
        </r>
        <r>
          <rPr>
            <sz val="9"/>
            <color indexed="81"/>
            <rFont val="Tahoma"/>
            <family val="2"/>
          </rPr>
          <t xml:space="preserve">
Work items that are removed from the plan without being done.
These aren't just delayed until later. Instead, the team decides to not do them. They are no longer intended to be part of the product.
Note: all items here are planned work only. Don't record additional adds that were removed without being done. Just take those out of the added additional as if they were never there. If you did partial progress on an added work item and then dropped the rest, consider it as completed additional work.
They represent places where the team has gained information that allowed them to realize some work would not be worth doing, and then make the choice to not do that work.</t>
        </r>
      </text>
    </comment>
    <comment ref="F1" authorId="0" shapeId="0">
      <text>
        <r>
          <rPr>
            <b/>
            <sz val="9"/>
            <color indexed="81"/>
            <rFont val="Tahoma"/>
            <family val="2"/>
          </rPr>
          <t>Author:</t>
        </r>
        <r>
          <rPr>
            <sz val="9"/>
            <color indexed="81"/>
            <rFont val="Tahoma"/>
            <family val="2"/>
          </rPr>
          <t xml:space="preserve">
Completed stories that were planned (as in, showed up in the added to plan column at some point in the past and were never removed).
A story is completed if, and only if, its implementation measure is met. This is true whether it is an improvement or an experiment.
These represent progress towards the planned objectives for the product.</t>
        </r>
      </text>
    </comment>
    <comment ref="G1" authorId="0" shapeId="0">
      <text>
        <r>
          <rPr>
            <b/>
            <sz val="9"/>
            <color indexed="81"/>
            <rFont val="Tahoma"/>
            <family val="2"/>
          </rPr>
          <t>Author:</t>
        </r>
        <r>
          <rPr>
            <sz val="9"/>
            <color indexed="81"/>
            <rFont val="Tahoma"/>
            <family val="2"/>
          </rPr>
          <t xml:space="preserve">
Completed work items that bypassed the plan.
These represent effort expended that did not accrue to the planned objectives.</t>
        </r>
      </text>
    </comment>
    <comment ref="H1" authorId="0" shapeId="0">
      <text>
        <r>
          <rPr>
            <b/>
            <sz val="9"/>
            <color indexed="81"/>
            <rFont val="Tahoma"/>
            <family val="2"/>
          </rPr>
          <t>Author:</t>
        </r>
        <r>
          <rPr>
            <sz val="9"/>
            <color indexed="81"/>
            <rFont val="Tahoma"/>
            <family val="2"/>
          </rPr>
          <t xml:space="preserve">
Work items that were neither completed nor removed. It will be carried over into the future, into the backlog for future plans.
This represents work that is not yet done, but we intend to do some day.</t>
        </r>
      </text>
    </comment>
    <comment ref="I1" authorId="0" shapeId="0">
      <text>
        <r>
          <rPr>
            <b/>
            <sz val="9"/>
            <color indexed="81"/>
            <rFont val="Tahoma"/>
            <family val="2"/>
          </rPr>
          <t>Author:</t>
        </r>
        <r>
          <rPr>
            <sz val="9"/>
            <color indexed="81"/>
            <rFont val="Tahoma"/>
            <family val="2"/>
          </rPr>
          <t xml:space="preserve">
The work should balance for any period. The amount of work taken into the immediate-term plan - (done + removed from plan + remaining) should be zero. Use this to check that you didn't miss anything.</t>
        </r>
      </text>
    </comment>
    <comment ref="J1" authorId="0" shapeId="0">
      <text>
        <r>
          <rPr>
            <b/>
            <sz val="9"/>
            <color indexed="81"/>
            <rFont val="Tahoma"/>
            <family val="2"/>
          </rPr>
          <t>Author:</t>
        </r>
        <r>
          <rPr>
            <sz val="9"/>
            <color indexed="81"/>
            <rFont val="Tahoma"/>
            <family val="2"/>
          </rPr>
          <t xml:space="preserve">
Stories that were not only completed, but had the expected impact.
This is not about acceptance criteria. Acceptance criteria tell you when a story is done: those allow a story to be added to the done columns.
This is about impact criteria: how did the story impact the customer behavior? Frequently we will do good work that does what we intend, but it will have different custommer impacts than we had hoped. This column represents stories that had the measurable impact that we had hoped for.
This represents actual value accrual for the company. The story materially changed the company's revenue or revenue-leading measures.</t>
        </r>
      </text>
    </comment>
    <comment ref="K1" authorId="0" shapeId="0">
      <text>
        <r>
          <rPr>
            <b/>
            <sz val="9"/>
            <color indexed="81"/>
            <rFont val="Tahoma"/>
            <family val="2"/>
          </rPr>
          <t>Author:</t>
        </r>
        <r>
          <rPr>
            <sz val="9"/>
            <color indexed="81"/>
            <rFont val="Tahoma"/>
            <family val="2"/>
          </rPr>
          <t xml:space="preserve">
Stories that were not only completed, but we incorporated any learning into our future plans.
Whether the story had the desired impact or not, we learned something about what does and doesn't work in our system. For how many stories did we incorporate that into future plans?
Incorporating learning into future plans means adjusting the long-term plan to take the new knowledge into account. This may entail creating new stories (to capture value we now know about), creating new experiments (we now see a new unknown and wish to learn about it), or removing planned stories or experiments (we can now see that they are unlikely to deliver the desired value, and no longer worth running).
If the team keeps some data model representation of its knowledge (about the customers for product items, about itself for sustainability items), then incorporating learning also entails updating that data model as needed for this story.
This represents realized learning. The company gained information and applied it to either change or reinforce a strategy.</t>
        </r>
      </text>
    </comment>
    <comment ref="L1" authorId="0" shapeId="0">
      <text>
        <r>
          <rPr>
            <b/>
            <sz val="9"/>
            <color indexed="81"/>
            <rFont val="Tahoma"/>
            <family val="2"/>
          </rPr>
          <t>Author:</t>
        </r>
        <r>
          <rPr>
            <sz val="9"/>
            <color indexed="81"/>
            <rFont val="Tahoma"/>
            <family val="2"/>
          </rPr>
          <t xml:space="preserve">
All columns except Date are story card counts.
Green work items are product work experiments. This means they relate to any aspect of the business's product and we know what problem they are trying to solve, but don't have evidence yet what solution will best address that problem.
Their purpose is to try out a potential solution and gain information about what works.</t>
        </r>
      </text>
    </comment>
    <comment ref="W1" authorId="0" shapeId="0">
      <text>
        <r>
          <rPr>
            <b/>
            <sz val="9"/>
            <color indexed="81"/>
            <rFont val="Tahoma"/>
            <family val="2"/>
          </rPr>
          <t>Author:</t>
        </r>
        <r>
          <rPr>
            <sz val="9"/>
            <color indexed="81"/>
            <rFont val="Tahoma"/>
            <family val="2"/>
          </rPr>
          <t xml:space="preserve">
All columns except Date are story card counts.
Purple work items are sustainabillity work improvements. This means they relate to any aspect of improving your capacity to do business and we have evidence that they implement the right solution to an important problem.
Their purpose is to realize a process or habit change, turning our knowledge of the system into a business advantage.</t>
        </r>
      </text>
    </comment>
    <comment ref="AH1" authorId="0" shapeId="0">
      <text>
        <r>
          <rPr>
            <b/>
            <sz val="9"/>
            <color indexed="81"/>
            <rFont val="Tahoma"/>
            <family val="2"/>
          </rPr>
          <t>Author:</t>
        </r>
        <r>
          <rPr>
            <sz val="9"/>
            <color indexed="81"/>
            <rFont val="Tahoma"/>
            <family val="2"/>
          </rPr>
          <t xml:space="preserve">
All columns except Date are story card counts.
Orange work items are sustainability work experiments. This means they relate to any aspect of the team's capacity to do business and we know what problem they are trying to solve, but don't have evidence yet what solution will best address that problem.
Their purpose is to try out a potential solution and gain information about what works.</t>
        </r>
      </text>
    </comment>
  </commentList>
</comments>
</file>

<file path=xl/sharedStrings.xml><?xml version="1.0" encoding="utf-8"?>
<sst xmlns="http://schemas.openxmlformats.org/spreadsheetml/2006/main" count="149" uniqueCount="102">
  <si>
    <t>How to use this workbook</t>
  </si>
  <si>
    <t>When you start</t>
  </si>
  <si>
    <t>Familiarize yourself with the terms and cycle structure. There are comments on various headers (especially on the data table) to help you out.</t>
  </si>
  <si>
    <t>Welcome to the Quantitative Improvement tracking and reporting spreadsheet. This provides a simple and consistent way for a team to see their long-term results as they improve themselves.</t>
  </si>
  <si>
    <t>Set up any recurring meetings, such as the sustainability planning and demo sessions.</t>
  </si>
  <si>
    <t>Assumptions: your team uses a recurring, regularly-scheduled demo for product work. Your team will do the same for sustainability work. Your planning may be iterative or continuous-form, but demos happen on a cadence.</t>
  </si>
  <si>
    <t>Date</t>
  </si>
  <si>
    <t>Product</t>
  </si>
  <si>
    <t>Additional done</t>
  </si>
  <si>
    <t>Planned done</t>
  </si>
  <si>
    <t>Had expected impact</t>
  </si>
  <si>
    <t>Product Improvements</t>
  </si>
  <si>
    <t>Product Experiments</t>
  </si>
  <si>
    <t>Sustainability Improvements</t>
  </si>
  <si>
    <t>Sustainability Experiments</t>
  </si>
  <si>
    <t>Added Additional</t>
  </si>
  <si>
    <t>Especially note the special note about bugs. Bugs are always blue work, and are always additional added items (not planned work). This is true whether they were triaged (delayed until future planning) or not.</t>
  </si>
  <si>
    <t>Actual total work done, for each color, showing planned and total</t>
  </si>
  <si>
    <t>Taken into Immediate Future Plan</t>
  </si>
  <si>
    <t>CFD with short- and long- term plan work, improvements only</t>
  </si>
  <si>
    <t>Remaining Planned</t>
  </si>
  <si>
    <t>Removed Planned</t>
  </si>
  <si>
    <t>Familiarize yourself with this workbook. Tracking / data entry will happen on the Data sheet. Reporting / results are split between the Dashboard (visualizations that help you course-correct based on current data) and Historical trends (visualizations that help you see how the team has changed over time). You can ignore the calcs sheet unless you need to debug some chart (it just contains tables that power various charts).</t>
  </si>
  <si>
    <t>End Date</t>
  </si>
  <si>
    <t>Each time you plan (product or sustainability)</t>
  </si>
  <si>
    <t>Each time you demo (product or sustainability)</t>
  </si>
  <si>
    <t>Balance</t>
  </si>
  <si>
    <t>Incorporated Learning into Future Plans</t>
  </si>
  <si>
    <t>Right before demo: update the last line in the right tables on the data sheet (product or sustainability), adding the date and actuals (all columns except taken into plan). Again, each is the number of cards. Copy down the balance calculation and make sure it is zero. this ensures you didn't miss or double-count any cards.</t>
  </si>
  <si>
    <t>Congratulations!</t>
  </si>
  <si>
    <t>If you complete all planned work early (and are using sprints)</t>
  </si>
  <si>
    <t>Capacity</t>
  </si>
  <si>
    <t>Planned dates for next demo</t>
  </si>
  <si>
    <t>Right before meeting: update the date for your next demo and determine your available capacity (see dashboard). This is based on your budget (the spending ratio between product and sustainability stories) and historical actuals.</t>
  </si>
  <si>
    <t>Just finish out the current row in the right tables (product or sustainability) as if you were preparing for a demo. Then do another planning meeting (for the remaining time in your sprint), starting by doing the updates under "each time you plan" but without changing the demo date.</t>
  </si>
  <si>
    <t>Sustainability</t>
  </si>
  <si>
    <t>Team dashboard as of</t>
  </si>
  <si>
    <t>Plannable Capacity</t>
  </si>
  <si>
    <t>Amount actually planned</t>
  </si>
  <si>
    <t>first end date to include</t>
  </si>
  <si>
    <t>kind</t>
  </si>
  <si>
    <t>prd imp</t>
  </si>
  <si>
    <t>prd exp</t>
  </si>
  <si>
    <t>stn imp</t>
  </si>
  <si>
    <t>stn exp</t>
  </si>
  <si>
    <t>start date for first range</t>
  </si>
  <si>
    <t>last date with full data</t>
  </si>
  <si>
    <t>total workdays</t>
  </si>
  <si>
    <t>Total planned work done</t>
  </si>
  <si>
    <t>row number</t>
  </si>
  <si>
    <t>daily mean planned done</t>
  </si>
  <si>
    <t>sustainability</t>
  </si>
  <si>
    <t>Historical daily velocity</t>
  </si>
  <si>
    <t>total</t>
  </si>
  <si>
    <t>next demo date after "today"</t>
  </si>
  <si>
    <t>Min number of work days in rolling average:</t>
  </si>
  <si>
    <t>work days between demos</t>
  </si>
  <si>
    <t>total predicted</t>
  </si>
  <si>
    <t>work days remaining</t>
  </si>
  <si>
    <t>Budget vs Spending</t>
  </si>
  <si>
    <t>Target budget for sustainability (as % of whole spend)</t>
  </si>
  <si>
    <t>Budget</t>
  </si>
  <si>
    <t>current budget target</t>
  </si>
  <si>
    <t>total planned this period</t>
  </si>
  <si>
    <t>planned work for current/next period</t>
  </si>
  <si>
    <t>days of this period already spent</t>
  </si>
  <si>
    <t>capacity spent</t>
  </si>
  <si>
    <t>capacity remaining</t>
  </si>
  <si>
    <t>est remaining capacity</t>
  </si>
  <si>
    <t>est to be on track with plan</t>
  </si>
  <si>
    <t>At end of meeting: update the line for the next demo on the right tables on the data sheet (product or sustainability) with the number of planned improvements and experiments (just count cards - don't worry about estimates). Leave the actuals blank.</t>
  </si>
  <si>
    <t>At end of meeting: add a new line to the right tables on the data sheet (product or sustainability) with the date of the next demo. Leave everything else blank.</t>
  </si>
  <si>
    <t>Recent health check</t>
  </si>
  <si>
    <t>When running experiments, how many options do you want to examine by default? An A/B test would be two options. Other approaches might examine 3 or more options in parallel.</t>
  </si>
  <si>
    <t>Insert chart here: actual % with impact (same % calc method), for the two experiment colors, with control band green in range around 1/# of experiments</t>
  </si>
  <si>
    <t>Insert chart here: actual % with incorporated learning (same % calc method), for each of the 4 colors, with control band (seeking 100%, green above 95%).</t>
  </si>
  <si>
    <t>Approximate amount that should done to be on plan</t>
  </si>
  <si>
    <t>that cycle's line index</t>
  </si>
  <si>
    <t>budget plan</t>
  </si>
  <si>
    <t>Actual</t>
  </si>
  <si>
    <t>Spend ratio</t>
  </si>
  <si>
    <t>Cycle length</t>
  </si>
  <si>
    <t>Planned done per day</t>
  </si>
  <si>
    <t>Additional done per day</t>
  </si>
  <si>
    <t>Sum</t>
  </si>
  <si>
    <t>Average</t>
  </si>
  <si>
    <t>Running Total</t>
  </si>
  <si>
    <t>Count</t>
  </si>
  <si>
    <t>Way low</t>
  </si>
  <si>
    <t>Low</t>
  </si>
  <si>
    <t>High</t>
  </si>
  <si>
    <t>Way High</t>
  </si>
  <si>
    <t>Good</t>
  </si>
  <si>
    <t>Estimated capacity for current cycle</t>
  </si>
  <si>
    <t>Estimated remaining capacity before next demo</t>
  </si>
  <si>
    <t>Had Impact</t>
  </si>
  <si>
    <t>Incorporated Learning</t>
  </si>
  <si>
    <t>Percent spend that is planned</t>
  </si>
  <si>
    <t>Percent of planned items that got done</t>
  </si>
  <si>
    <t>Plan</t>
  </si>
  <si>
    <t>Removed from plan</t>
  </si>
  <si>
    <t>Improvements percent with impact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</si>
</sst>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0" formatCode="m/d;@"/>
  </numFmts>
  <fonts count="9" x14ac:knownFonts="1">
    <font>
      <sz val="11"/>
      <color theme="1"/>
      <name val="Calibri"/>
      <family val="2"/>
      <scheme val="minor"/>
    </font>
    <font>
      <sz val="11"/>
      <color theme="1"/>
      <name val="Calibri"/>
      <family val="2"/>
      <scheme val="minor"/>
    </font>
    <font>
      <sz val="18"/>
      <color theme="3"/>
      <name val="Cambria"/>
      <family val="2"/>
      <scheme val="major"/>
    </font>
    <font>
      <b/>
      <sz val="15"/>
      <color theme="3"/>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sz val="9"/>
      <color indexed="81"/>
      <name val="Tahoma"/>
      <family val="2"/>
    </font>
    <font>
      <b/>
      <sz val="9"/>
      <color indexed="81"/>
      <name val="Tahoma"/>
      <family val="2"/>
    </font>
  </fonts>
  <fills count="6">
    <fill>
      <patternFill patternType="none"/>
    </fill>
    <fill>
      <patternFill patternType="gray125"/>
    </fill>
    <fill>
      <patternFill patternType="solid">
        <fgColor theme="4"/>
      </patternFill>
    </fill>
    <fill>
      <patternFill patternType="solid">
        <fgColor theme="6"/>
      </patternFill>
    </fill>
    <fill>
      <patternFill patternType="solid">
        <fgColor theme="7"/>
      </patternFill>
    </fill>
    <fill>
      <patternFill patternType="solid">
        <fgColor theme="9"/>
      </patternFill>
    </fill>
  </fills>
  <borders count="25">
    <border>
      <left/>
      <right/>
      <top/>
      <bottom/>
      <diagonal/>
    </border>
    <border>
      <left/>
      <right/>
      <top/>
      <bottom style="thick">
        <color theme="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bottom/>
      <diagonal/>
    </border>
    <border>
      <left/>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s>
  <cellStyleXfs count="8">
    <xf numFmtId="0" fontId="0" fillId="0" borderId="0"/>
    <xf numFmtId="9"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6" fillId="2" borderId="0" applyNumberFormat="0" applyBorder="0" applyAlignment="0" applyProtection="0"/>
    <xf numFmtId="0" fontId="6" fillId="3" borderId="0" applyNumberFormat="0" applyBorder="0" applyAlignment="0" applyProtection="0"/>
    <xf numFmtId="0" fontId="6" fillId="4" borderId="0" applyNumberFormat="0" applyBorder="0" applyAlignment="0" applyProtection="0"/>
    <xf numFmtId="0" fontId="6" fillId="5" borderId="0" applyNumberFormat="0" applyBorder="0" applyAlignment="0" applyProtection="0"/>
  </cellStyleXfs>
  <cellXfs count="54">
    <xf numFmtId="0" fontId="0" fillId="0" borderId="0" xfId="0"/>
    <xf numFmtId="0" fontId="0" fillId="0" borderId="0" xfId="0" applyAlignment="1">
      <alignment wrapText="1"/>
    </xf>
    <xf numFmtId="0" fontId="3" fillId="0" borderId="1" xfId="3" applyAlignment="1">
      <alignment wrapText="1"/>
    </xf>
    <xf numFmtId="0" fontId="2" fillId="0" borderId="0" xfId="2" applyAlignment="1">
      <alignment wrapText="1"/>
    </xf>
    <xf numFmtId="14" fontId="0" fillId="0" borderId="0" xfId="0" applyNumberFormat="1"/>
    <xf numFmtId="0" fontId="3" fillId="0" borderId="1" xfId="3"/>
    <xf numFmtId="0" fontId="2" fillId="0" borderId="0" xfId="2"/>
    <xf numFmtId="0" fontId="4" fillId="2" borderId="0" xfId="4" applyFont="1" applyAlignment="1">
      <alignment horizontal="center" vertical="center" textRotation="90" wrapText="1"/>
    </xf>
    <xf numFmtId="0" fontId="4" fillId="3" borderId="0" xfId="5" applyFont="1" applyAlignment="1">
      <alignment horizontal="center" vertical="center" textRotation="90" wrapText="1"/>
    </xf>
    <xf numFmtId="0" fontId="0" fillId="0" borderId="0" xfId="0" applyAlignment="1">
      <alignment horizontal="center" vertical="center" wrapText="1"/>
    </xf>
    <xf numFmtId="0" fontId="4" fillId="4" borderId="0" xfId="6" applyFont="1" applyAlignment="1">
      <alignment horizontal="center" vertical="center" textRotation="90" wrapText="1"/>
    </xf>
    <xf numFmtId="0" fontId="4" fillId="5" borderId="0" xfId="7" applyFont="1" applyAlignment="1">
      <alignment horizontal="center" vertical="center" textRotation="90" wrapText="1"/>
    </xf>
    <xf numFmtId="0" fontId="0" fillId="0" borderId="0" xfId="0" applyAlignment="1">
      <alignment horizontal="center"/>
    </xf>
    <xf numFmtId="0" fontId="5" fillId="0" borderId="2" xfId="0" applyFont="1" applyBorder="1" applyAlignment="1">
      <alignment horizontal="left"/>
    </xf>
    <xf numFmtId="0" fontId="2" fillId="0" borderId="0" xfId="2"/>
    <xf numFmtId="14" fontId="2" fillId="0" borderId="6" xfId="2" applyNumberFormat="1" applyBorder="1" applyAlignment="1">
      <alignment horizontal="center"/>
    </xf>
    <xf numFmtId="0" fontId="2" fillId="0" borderId="7" xfId="2" applyBorder="1" applyAlignment="1">
      <alignment horizontal="center"/>
    </xf>
    <xf numFmtId="0" fontId="5" fillId="0" borderId="11" xfId="0" applyFont="1" applyBorder="1" applyAlignment="1">
      <alignment horizontal="left"/>
    </xf>
    <xf numFmtId="0" fontId="5" fillId="0" borderId="12" xfId="0" applyFont="1" applyBorder="1" applyAlignment="1">
      <alignment horizontal="left"/>
    </xf>
    <xf numFmtId="0" fontId="0" fillId="0" borderId="0" xfId="0" applyAlignment="1">
      <alignment horizontal="left" wrapText="1"/>
    </xf>
    <xf numFmtId="0" fontId="0" fillId="0" borderId="2" xfId="0" applyBorder="1"/>
    <xf numFmtId="14" fontId="0" fillId="0" borderId="2" xfId="0" applyNumberFormat="1" applyBorder="1"/>
    <xf numFmtId="0" fontId="5" fillId="0" borderId="16" xfId="0" applyFont="1" applyBorder="1" applyAlignment="1">
      <alignment horizontal="left"/>
    </xf>
    <xf numFmtId="0" fontId="0" fillId="0" borderId="17" xfId="0" applyBorder="1"/>
    <xf numFmtId="14" fontId="0" fillId="0" borderId="12" xfId="0" applyNumberFormat="1" applyBorder="1"/>
    <xf numFmtId="0" fontId="0" fillId="0" borderId="12" xfId="0" applyBorder="1"/>
    <xf numFmtId="0" fontId="0" fillId="0" borderId="13" xfId="0" applyBorder="1"/>
    <xf numFmtId="0" fontId="5" fillId="0" borderId="8" xfId="0" applyFont="1" applyBorder="1"/>
    <xf numFmtId="0" fontId="5" fillId="0" borderId="9" xfId="0" applyFont="1" applyBorder="1"/>
    <xf numFmtId="0" fontId="5" fillId="0" borderId="15" xfId="0" applyFont="1" applyBorder="1" applyAlignment="1">
      <alignment wrapText="1"/>
    </xf>
    <xf numFmtId="0" fontId="5" fillId="0" borderId="9" xfId="0" applyFont="1" applyBorder="1" applyAlignment="1">
      <alignment horizontal="center"/>
    </xf>
    <xf numFmtId="0" fontId="5" fillId="0" borderId="10" xfId="0" applyFont="1" applyBorder="1" applyAlignment="1">
      <alignment horizontal="center"/>
    </xf>
    <xf numFmtId="0" fontId="5" fillId="0" borderId="16" xfId="0" applyFont="1" applyBorder="1"/>
    <xf numFmtId="0" fontId="5" fillId="0" borderId="2" xfId="0" applyFont="1" applyBorder="1"/>
    <xf numFmtId="0" fontId="5" fillId="0" borderId="0" xfId="0" applyFont="1" applyBorder="1" applyAlignment="1">
      <alignment wrapText="1"/>
    </xf>
    <xf numFmtId="0" fontId="5" fillId="0" borderId="2" xfId="0" applyFont="1" applyBorder="1" applyAlignment="1">
      <alignment horizontal="left" wrapText="1"/>
    </xf>
    <xf numFmtId="0" fontId="5" fillId="0" borderId="17" xfId="0" applyFont="1" applyBorder="1" applyAlignment="1">
      <alignment horizontal="left" wrapText="1"/>
    </xf>
    <xf numFmtId="0" fontId="2" fillId="0" borderId="0" xfId="2" applyBorder="1" applyAlignment="1">
      <alignment horizontal="center"/>
    </xf>
    <xf numFmtId="0" fontId="5" fillId="0" borderId="18" xfId="0" applyFont="1" applyBorder="1" applyAlignment="1">
      <alignment horizontal="left" wrapText="1"/>
    </xf>
    <xf numFmtId="0" fontId="5" fillId="0" borderId="19" xfId="0" applyFont="1" applyBorder="1" applyAlignment="1">
      <alignment horizontal="left" wrapText="1"/>
    </xf>
    <xf numFmtId="0" fontId="5" fillId="0" borderId="14" xfId="0" applyFont="1" applyBorder="1" applyAlignment="1">
      <alignment horizontal="left" wrapText="1"/>
    </xf>
    <xf numFmtId="0" fontId="5" fillId="0" borderId="20" xfId="0" applyFont="1" applyBorder="1" applyAlignment="1">
      <alignment horizontal="left" wrapText="1"/>
    </xf>
    <xf numFmtId="0" fontId="5" fillId="0" borderId="21" xfId="0" applyFont="1" applyBorder="1" applyAlignment="1">
      <alignment horizontal="left" wrapText="1"/>
    </xf>
    <xf numFmtId="0" fontId="5" fillId="0" borderId="22" xfId="0" applyFont="1" applyBorder="1" applyAlignment="1">
      <alignment horizontal="left" wrapText="1"/>
    </xf>
    <xf numFmtId="0" fontId="0" fillId="0" borderId="3" xfId="0" applyBorder="1"/>
    <xf numFmtId="0" fontId="0" fillId="0" borderId="4" xfId="0" applyBorder="1"/>
    <xf numFmtId="0" fontId="0" fillId="0" borderId="23" xfId="0" applyBorder="1"/>
    <xf numFmtId="0" fontId="0" fillId="0" borderId="24" xfId="0" applyBorder="1"/>
    <xf numFmtId="0" fontId="0" fillId="0" borderId="0" xfId="0" applyNumberFormat="1"/>
    <xf numFmtId="9" fontId="0" fillId="0" borderId="0" xfId="1" applyFont="1"/>
    <xf numFmtId="9" fontId="3" fillId="0" borderId="1" xfId="3" applyNumberFormat="1"/>
    <xf numFmtId="0" fontId="0" fillId="0" borderId="0" xfId="0" applyAlignment="1"/>
    <xf numFmtId="0" fontId="0" fillId="0" borderId="5" xfId="0" applyBorder="1" applyAlignment="1"/>
    <xf numFmtId="170" fontId="0" fillId="0" borderId="0" xfId="0" applyNumberFormat="1"/>
  </cellXfs>
  <cellStyles count="8">
    <cellStyle name="Accent1" xfId="4" builtinId="29"/>
    <cellStyle name="Accent3" xfId="5" builtinId="37"/>
    <cellStyle name="Accent4" xfId="6" builtinId="41"/>
    <cellStyle name="Accent6" xfId="7" builtinId="49"/>
    <cellStyle name="Heading 1" xfId="3" builtinId="16"/>
    <cellStyle name="Normal" xfId="0" builtinId="0"/>
    <cellStyle name="Percent" xfId="1" builtinId="5"/>
    <cellStyle name="Title" xfId="2" builtinId="15"/>
  </cellStyles>
  <dxfs count="16">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color rgb="FF9C6500"/>
      </font>
      <fill>
        <patternFill>
          <bgColor rgb="FFFFEB9C"/>
        </patternFill>
      </fill>
    </dxf>
    <dxf>
      <font>
        <color rgb="FF9C6500"/>
      </font>
      <fill>
        <patternFill>
          <bgColor rgb="FFFFEB9C"/>
        </patternFill>
      </fill>
    </dxf>
    <dxf>
      <numFmt numFmtId="0" formatCode="General"/>
    </dxf>
    <dxf>
      <numFmt numFmtId="0" formatCode="General"/>
    </dxf>
    <dxf>
      <numFmt numFmtId="19" formatCode="m/d/yyyy"/>
    </dxf>
    <dxf>
      <numFmt numFmtId="19" formatCode="m/d/yyyy"/>
    </dxf>
    <dxf>
      <numFmt numFmtId="19" formatCode="m/d/yyyy"/>
    </dxf>
    <dxf>
      <numFmt numFmtId="19" formatCode="m/d/yyyy"/>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s>
  <tableStyles count="0" defaultTableStyle="TableStyleMedium2" defaultPivotStyle="PivotStyleMedium9"/>
  <colors>
    <mruColors>
      <color rgb="FFA7FFA7"/>
      <color rgb="FFFFFFBD"/>
      <color rgb="FFFFC5C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areaChart>
        <c:grouping val="standard"/>
        <c:varyColors val="0"/>
        <c:ser>
          <c:idx val="5"/>
          <c:order val="0"/>
          <c:tx>
            <c:strRef>
              <c:f>Calcs!$AV$17</c:f>
              <c:strCache>
                <c:ptCount val="1"/>
                <c:pt idx="0">
                  <c:v>Way High</c:v>
                </c:pt>
              </c:strCache>
            </c:strRef>
          </c:tx>
          <c:spPr>
            <a:solidFill>
              <a:srgbClr val="FFC5C5"/>
            </a:solidFill>
            <a:ln>
              <a:noFill/>
            </a:ln>
            <a:effectLst/>
          </c:spPr>
          <c:cat>
            <c:numRef>
              <c:f>Calcs!$A$18:$A$38</c:f>
              <c:numCache>
                <c:formatCode>m/d;@</c:formatCode>
                <c:ptCount val="21"/>
                <c:pt idx="0">
                  <c:v>42499</c:v>
                </c:pt>
                <c:pt idx="1">
                  <c:v>42500</c:v>
                </c:pt>
                <c:pt idx="2">
                  <c:v>42501</c:v>
                </c:pt>
                <c:pt idx="3">
                  <c:v>42502</c:v>
                </c:pt>
                <c:pt idx="4">
                  <c:v>42503</c:v>
                </c:pt>
                <c:pt idx="5">
                  <c:v>42506</c:v>
                </c:pt>
                <c:pt idx="6">
                  <c:v>42507</c:v>
                </c:pt>
                <c:pt idx="7">
                  <c:v>42508</c:v>
                </c:pt>
                <c:pt idx="8">
                  <c:v>42509</c:v>
                </c:pt>
                <c:pt idx="9">
                  <c:v>42510</c:v>
                </c:pt>
                <c:pt idx="10">
                  <c:v>42513</c:v>
                </c:pt>
                <c:pt idx="11">
                  <c:v>42514</c:v>
                </c:pt>
                <c:pt idx="12">
                  <c:v>42515</c:v>
                </c:pt>
                <c:pt idx="13">
                  <c:v>42516</c:v>
                </c:pt>
                <c:pt idx="14">
                  <c:v>42517</c:v>
                </c:pt>
                <c:pt idx="15">
                  <c:v>42520</c:v>
                </c:pt>
                <c:pt idx="16">
                  <c:v>42521</c:v>
                </c:pt>
                <c:pt idx="17">
                  <c:v>42522</c:v>
                </c:pt>
                <c:pt idx="18">
                  <c:v>42523</c:v>
                </c:pt>
                <c:pt idx="19">
                  <c:v>42524</c:v>
                </c:pt>
                <c:pt idx="20">
                  <c:v>42527</c:v>
                </c:pt>
              </c:numCache>
            </c:numRef>
          </c:cat>
          <c:val>
            <c:numRef>
              <c:f>Calcs!$AV$18:$AV$38</c:f>
              <c:numCache>
                <c:formatCode>0%</c:formatCode>
                <c:ptCount val="2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numCache>
            </c:numRef>
          </c:val>
        </c:ser>
        <c:ser>
          <c:idx val="4"/>
          <c:order val="1"/>
          <c:tx>
            <c:strRef>
              <c:f>Calcs!$AU$17</c:f>
              <c:strCache>
                <c:ptCount val="1"/>
                <c:pt idx="0">
                  <c:v>High</c:v>
                </c:pt>
              </c:strCache>
            </c:strRef>
          </c:tx>
          <c:spPr>
            <a:solidFill>
              <a:srgbClr val="FFFFBD"/>
            </a:solidFill>
            <a:ln>
              <a:noFill/>
            </a:ln>
            <a:effectLst/>
          </c:spPr>
          <c:cat>
            <c:numRef>
              <c:f>Calcs!$A$18:$A$38</c:f>
              <c:numCache>
                <c:formatCode>m/d;@</c:formatCode>
                <c:ptCount val="21"/>
                <c:pt idx="0">
                  <c:v>42499</c:v>
                </c:pt>
                <c:pt idx="1">
                  <c:v>42500</c:v>
                </c:pt>
                <c:pt idx="2">
                  <c:v>42501</c:v>
                </c:pt>
                <c:pt idx="3">
                  <c:v>42502</c:v>
                </c:pt>
                <c:pt idx="4">
                  <c:v>42503</c:v>
                </c:pt>
                <c:pt idx="5">
                  <c:v>42506</c:v>
                </c:pt>
                <c:pt idx="6">
                  <c:v>42507</c:v>
                </c:pt>
                <c:pt idx="7">
                  <c:v>42508</c:v>
                </c:pt>
                <c:pt idx="8">
                  <c:v>42509</c:v>
                </c:pt>
                <c:pt idx="9">
                  <c:v>42510</c:v>
                </c:pt>
                <c:pt idx="10">
                  <c:v>42513</c:v>
                </c:pt>
                <c:pt idx="11">
                  <c:v>42514</c:v>
                </c:pt>
                <c:pt idx="12">
                  <c:v>42515</c:v>
                </c:pt>
                <c:pt idx="13">
                  <c:v>42516</c:v>
                </c:pt>
                <c:pt idx="14">
                  <c:v>42517</c:v>
                </c:pt>
                <c:pt idx="15">
                  <c:v>42520</c:v>
                </c:pt>
                <c:pt idx="16">
                  <c:v>42521</c:v>
                </c:pt>
                <c:pt idx="17">
                  <c:v>42522</c:v>
                </c:pt>
                <c:pt idx="18">
                  <c:v>42523</c:v>
                </c:pt>
                <c:pt idx="19">
                  <c:v>42524</c:v>
                </c:pt>
                <c:pt idx="20">
                  <c:v>42527</c:v>
                </c:pt>
              </c:numCache>
            </c:numRef>
          </c:cat>
          <c:val>
            <c:numRef>
              <c:f>Calcs!$AU$18:$AU$38</c:f>
              <c:numCache>
                <c:formatCode>0%</c:formatCode>
                <c:ptCount val="21"/>
                <c:pt idx="0">
                  <c:v>0.47500000000000009</c:v>
                </c:pt>
                <c:pt idx="1">
                  <c:v>0.47500000000000009</c:v>
                </c:pt>
                <c:pt idx="2">
                  <c:v>0.47500000000000009</c:v>
                </c:pt>
                <c:pt idx="3">
                  <c:v>0.47500000000000009</c:v>
                </c:pt>
                <c:pt idx="4">
                  <c:v>0.47500000000000009</c:v>
                </c:pt>
                <c:pt idx="5">
                  <c:v>0.47500000000000009</c:v>
                </c:pt>
                <c:pt idx="6">
                  <c:v>0.47500000000000009</c:v>
                </c:pt>
                <c:pt idx="7">
                  <c:v>0.47500000000000009</c:v>
                </c:pt>
                <c:pt idx="8">
                  <c:v>0.47500000000000009</c:v>
                </c:pt>
                <c:pt idx="9">
                  <c:v>0.47500000000000009</c:v>
                </c:pt>
                <c:pt idx="10">
                  <c:v>0.47500000000000009</c:v>
                </c:pt>
                <c:pt idx="11">
                  <c:v>0.47500000000000009</c:v>
                </c:pt>
                <c:pt idx="12">
                  <c:v>0.55000000000000004</c:v>
                </c:pt>
                <c:pt idx="13">
                  <c:v>0.55000000000000004</c:v>
                </c:pt>
                <c:pt idx="14">
                  <c:v>0.55000000000000004</c:v>
                </c:pt>
                <c:pt idx="15">
                  <c:v>0.55000000000000004</c:v>
                </c:pt>
                <c:pt idx="16">
                  <c:v>0.55000000000000004</c:v>
                </c:pt>
                <c:pt idx="17">
                  <c:v>0.55000000000000004</c:v>
                </c:pt>
                <c:pt idx="18">
                  <c:v>0.55000000000000004</c:v>
                </c:pt>
                <c:pt idx="19">
                  <c:v>0.55000000000000004</c:v>
                </c:pt>
                <c:pt idx="20">
                  <c:v>0.55000000000000004</c:v>
                </c:pt>
              </c:numCache>
            </c:numRef>
          </c:val>
        </c:ser>
        <c:ser>
          <c:idx val="3"/>
          <c:order val="2"/>
          <c:tx>
            <c:strRef>
              <c:f>Calcs!$AT$17</c:f>
              <c:strCache>
                <c:ptCount val="1"/>
                <c:pt idx="0">
                  <c:v>Good</c:v>
                </c:pt>
              </c:strCache>
            </c:strRef>
          </c:tx>
          <c:spPr>
            <a:solidFill>
              <a:srgbClr val="A7FFA7"/>
            </a:solidFill>
            <a:ln>
              <a:noFill/>
            </a:ln>
            <a:effectLst/>
          </c:spPr>
          <c:cat>
            <c:numRef>
              <c:f>Calcs!$A$18:$A$38</c:f>
              <c:numCache>
                <c:formatCode>m/d;@</c:formatCode>
                <c:ptCount val="21"/>
                <c:pt idx="0">
                  <c:v>42499</c:v>
                </c:pt>
                <c:pt idx="1">
                  <c:v>42500</c:v>
                </c:pt>
                <c:pt idx="2">
                  <c:v>42501</c:v>
                </c:pt>
                <c:pt idx="3">
                  <c:v>42502</c:v>
                </c:pt>
                <c:pt idx="4">
                  <c:v>42503</c:v>
                </c:pt>
                <c:pt idx="5">
                  <c:v>42506</c:v>
                </c:pt>
                <c:pt idx="6">
                  <c:v>42507</c:v>
                </c:pt>
                <c:pt idx="7">
                  <c:v>42508</c:v>
                </c:pt>
                <c:pt idx="8">
                  <c:v>42509</c:v>
                </c:pt>
                <c:pt idx="9">
                  <c:v>42510</c:v>
                </c:pt>
                <c:pt idx="10">
                  <c:v>42513</c:v>
                </c:pt>
                <c:pt idx="11">
                  <c:v>42514</c:v>
                </c:pt>
                <c:pt idx="12">
                  <c:v>42515</c:v>
                </c:pt>
                <c:pt idx="13">
                  <c:v>42516</c:v>
                </c:pt>
                <c:pt idx="14">
                  <c:v>42517</c:v>
                </c:pt>
                <c:pt idx="15">
                  <c:v>42520</c:v>
                </c:pt>
                <c:pt idx="16">
                  <c:v>42521</c:v>
                </c:pt>
                <c:pt idx="17">
                  <c:v>42522</c:v>
                </c:pt>
                <c:pt idx="18">
                  <c:v>42523</c:v>
                </c:pt>
                <c:pt idx="19">
                  <c:v>42524</c:v>
                </c:pt>
                <c:pt idx="20">
                  <c:v>42527</c:v>
                </c:pt>
              </c:numCache>
            </c:numRef>
          </c:cat>
          <c:val>
            <c:numRef>
              <c:f>Calcs!$AT$18:$AT$38</c:f>
              <c:numCache>
                <c:formatCode>0%</c:formatCode>
                <c:ptCount val="21"/>
                <c:pt idx="0">
                  <c:v>0.37</c:v>
                </c:pt>
                <c:pt idx="1">
                  <c:v>0.37</c:v>
                </c:pt>
                <c:pt idx="2">
                  <c:v>0.37</c:v>
                </c:pt>
                <c:pt idx="3">
                  <c:v>0.37</c:v>
                </c:pt>
                <c:pt idx="4">
                  <c:v>0.37</c:v>
                </c:pt>
                <c:pt idx="5">
                  <c:v>0.37</c:v>
                </c:pt>
                <c:pt idx="6">
                  <c:v>0.37</c:v>
                </c:pt>
                <c:pt idx="7">
                  <c:v>0.37</c:v>
                </c:pt>
                <c:pt idx="8">
                  <c:v>0.37</c:v>
                </c:pt>
                <c:pt idx="9">
                  <c:v>0.37</c:v>
                </c:pt>
                <c:pt idx="10">
                  <c:v>0.37</c:v>
                </c:pt>
                <c:pt idx="11">
                  <c:v>0.37</c:v>
                </c:pt>
                <c:pt idx="12">
                  <c:v>0.45999999999999996</c:v>
                </c:pt>
                <c:pt idx="13">
                  <c:v>0.45999999999999996</c:v>
                </c:pt>
                <c:pt idx="14">
                  <c:v>0.45999999999999996</c:v>
                </c:pt>
                <c:pt idx="15">
                  <c:v>0.45999999999999996</c:v>
                </c:pt>
                <c:pt idx="16">
                  <c:v>0.45999999999999996</c:v>
                </c:pt>
                <c:pt idx="17">
                  <c:v>0.45999999999999996</c:v>
                </c:pt>
                <c:pt idx="18">
                  <c:v>0.45999999999999996</c:v>
                </c:pt>
                <c:pt idx="19">
                  <c:v>0.45999999999999996</c:v>
                </c:pt>
                <c:pt idx="20">
                  <c:v>0.45999999999999996</c:v>
                </c:pt>
              </c:numCache>
            </c:numRef>
          </c:val>
        </c:ser>
        <c:ser>
          <c:idx val="1"/>
          <c:order val="3"/>
          <c:tx>
            <c:strRef>
              <c:f>Calcs!$AR$17</c:f>
              <c:strCache>
                <c:ptCount val="1"/>
                <c:pt idx="0">
                  <c:v>Low</c:v>
                </c:pt>
              </c:strCache>
            </c:strRef>
          </c:tx>
          <c:spPr>
            <a:solidFill>
              <a:srgbClr val="FFFFBD"/>
            </a:solidFill>
            <a:ln>
              <a:noFill/>
            </a:ln>
            <a:effectLst/>
          </c:spPr>
          <c:cat>
            <c:numRef>
              <c:f>Calcs!$A$18:$A$38</c:f>
              <c:numCache>
                <c:formatCode>m/d;@</c:formatCode>
                <c:ptCount val="21"/>
                <c:pt idx="0">
                  <c:v>42499</c:v>
                </c:pt>
                <c:pt idx="1">
                  <c:v>42500</c:v>
                </c:pt>
                <c:pt idx="2">
                  <c:v>42501</c:v>
                </c:pt>
                <c:pt idx="3">
                  <c:v>42502</c:v>
                </c:pt>
                <c:pt idx="4">
                  <c:v>42503</c:v>
                </c:pt>
                <c:pt idx="5">
                  <c:v>42506</c:v>
                </c:pt>
                <c:pt idx="6">
                  <c:v>42507</c:v>
                </c:pt>
                <c:pt idx="7">
                  <c:v>42508</c:v>
                </c:pt>
                <c:pt idx="8">
                  <c:v>42509</c:v>
                </c:pt>
                <c:pt idx="9">
                  <c:v>42510</c:v>
                </c:pt>
                <c:pt idx="10">
                  <c:v>42513</c:v>
                </c:pt>
                <c:pt idx="11">
                  <c:v>42514</c:v>
                </c:pt>
                <c:pt idx="12">
                  <c:v>42515</c:v>
                </c:pt>
                <c:pt idx="13">
                  <c:v>42516</c:v>
                </c:pt>
                <c:pt idx="14">
                  <c:v>42517</c:v>
                </c:pt>
                <c:pt idx="15">
                  <c:v>42520</c:v>
                </c:pt>
                <c:pt idx="16">
                  <c:v>42521</c:v>
                </c:pt>
                <c:pt idx="17">
                  <c:v>42522</c:v>
                </c:pt>
                <c:pt idx="18">
                  <c:v>42523</c:v>
                </c:pt>
                <c:pt idx="19">
                  <c:v>42524</c:v>
                </c:pt>
                <c:pt idx="20">
                  <c:v>42527</c:v>
                </c:pt>
              </c:numCache>
            </c:numRef>
          </c:cat>
          <c:val>
            <c:numRef>
              <c:f>Calcs!$AR$18:$AR$38</c:f>
              <c:numCache>
                <c:formatCode>0%</c:formatCode>
                <c:ptCount val="21"/>
                <c:pt idx="0">
                  <c:v>0.27</c:v>
                </c:pt>
                <c:pt idx="1">
                  <c:v>0.27</c:v>
                </c:pt>
                <c:pt idx="2">
                  <c:v>0.27</c:v>
                </c:pt>
                <c:pt idx="3">
                  <c:v>0.27</c:v>
                </c:pt>
                <c:pt idx="4">
                  <c:v>0.27</c:v>
                </c:pt>
                <c:pt idx="5">
                  <c:v>0.27</c:v>
                </c:pt>
                <c:pt idx="6">
                  <c:v>0.27</c:v>
                </c:pt>
                <c:pt idx="7">
                  <c:v>0.27</c:v>
                </c:pt>
                <c:pt idx="8">
                  <c:v>0.27</c:v>
                </c:pt>
                <c:pt idx="9">
                  <c:v>0.27</c:v>
                </c:pt>
                <c:pt idx="10">
                  <c:v>0.27</c:v>
                </c:pt>
                <c:pt idx="11">
                  <c:v>0.27</c:v>
                </c:pt>
                <c:pt idx="12">
                  <c:v>0.36000000000000004</c:v>
                </c:pt>
                <c:pt idx="13">
                  <c:v>0.36000000000000004</c:v>
                </c:pt>
                <c:pt idx="14">
                  <c:v>0.36000000000000004</c:v>
                </c:pt>
                <c:pt idx="15">
                  <c:v>0.36000000000000004</c:v>
                </c:pt>
                <c:pt idx="16">
                  <c:v>0.36000000000000004</c:v>
                </c:pt>
                <c:pt idx="17">
                  <c:v>0.36000000000000004</c:v>
                </c:pt>
                <c:pt idx="18">
                  <c:v>0.36000000000000004</c:v>
                </c:pt>
                <c:pt idx="19">
                  <c:v>0.36000000000000004</c:v>
                </c:pt>
                <c:pt idx="20">
                  <c:v>0.36000000000000004</c:v>
                </c:pt>
              </c:numCache>
            </c:numRef>
          </c:val>
        </c:ser>
        <c:ser>
          <c:idx val="0"/>
          <c:order val="4"/>
          <c:tx>
            <c:strRef>
              <c:f>Calcs!$AQ$17</c:f>
              <c:strCache>
                <c:ptCount val="1"/>
                <c:pt idx="0">
                  <c:v>Way low</c:v>
                </c:pt>
              </c:strCache>
            </c:strRef>
          </c:tx>
          <c:spPr>
            <a:solidFill>
              <a:srgbClr val="FFC5C5"/>
            </a:solidFill>
            <a:ln>
              <a:noFill/>
            </a:ln>
            <a:effectLst/>
          </c:spPr>
          <c:cat>
            <c:numRef>
              <c:f>Calcs!$A$18:$A$38</c:f>
              <c:numCache>
                <c:formatCode>m/d;@</c:formatCode>
                <c:ptCount val="21"/>
                <c:pt idx="0">
                  <c:v>42499</c:v>
                </c:pt>
                <c:pt idx="1">
                  <c:v>42500</c:v>
                </c:pt>
                <c:pt idx="2">
                  <c:v>42501</c:v>
                </c:pt>
                <c:pt idx="3">
                  <c:v>42502</c:v>
                </c:pt>
                <c:pt idx="4">
                  <c:v>42503</c:v>
                </c:pt>
                <c:pt idx="5">
                  <c:v>42506</c:v>
                </c:pt>
                <c:pt idx="6">
                  <c:v>42507</c:v>
                </c:pt>
                <c:pt idx="7">
                  <c:v>42508</c:v>
                </c:pt>
                <c:pt idx="8">
                  <c:v>42509</c:v>
                </c:pt>
                <c:pt idx="9">
                  <c:v>42510</c:v>
                </c:pt>
                <c:pt idx="10">
                  <c:v>42513</c:v>
                </c:pt>
                <c:pt idx="11">
                  <c:v>42514</c:v>
                </c:pt>
                <c:pt idx="12">
                  <c:v>42515</c:v>
                </c:pt>
                <c:pt idx="13">
                  <c:v>42516</c:v>
                </c:pt>
                <c:pt idx="14">
                  <c:v>42517</c:v>
                </c:pt>
                <c:pt idx="15">
                  <c:v>42520</c:v>
                </c:pt>
                <c:pt idx="16">
                  <c:v>42521</c:v>
                </c:pt>
                <c:pt idx="17">
                  <c:v>42522</c:v>
                </c:pt>
                <c:pt idx="18">
                  <c:v>42523</c:v>
                </c:pt>
                <c:pt idx="19">
                  <c:v>42524</c:v>
                </c:pt>
                <c:pt idx="20">
                  <c:v>42527</c:v>
                </c:pt>
              </c:numCache>
            </c:numRef>
          </c:cat>
          <c:val>
            <c:numRef>
              <c:f>Calcs!$AQ$18:$AQ$38</c:f>
              <c:numCache>
                <c:formatCode>0%</c:formatCode>
                <c:ptCount val="21"/>
                <c:pt idx="0">
                  <c:v>0.22499999999999998</c:v>
                </c:pt>
                <c:pt idx="1">
                  <c:v>0.22499999999999998</c:v>
                </c:pt>
                <c:pt idx="2">
                  <c:v>0.22499999999999998</c:v>
                </c:pt>
                <c:pt idx="3">
                  <c:v>0.22499999999999998</c:v>
                </c:pt>
                <c:pt idx="4">
                  <c:v>0.22499999999999998</c:v>
                </c:pt>
                <c:pt idx="5">
                  <c:v>0.22499999999999998</c:v>
                </c:pt>
                <c:pt idx="6">
                  <c:v>0.22499999999999998</c:v>
                </c:pt>
                <c:pt idx="7">
                  <c:v>0.22499999999999998</c:v>
                </c:pt>
                <c:pt idx="8">
                  <c:v>0.22499999999999998</c:v>
                </c:pt>
                <c:pt idx="9">
                  <c:v>0.22499999999999998</c:v>
                </c:pt>
                <c:pt idx="10">
                  <c:v>0.22499999999999998</c:v>
                </c:pt>
                <c:pt idx="11">
                  <c:v>0.22499999999999998</c:v>
                </c:pt>
                <c:pt idx="12">
                  <c:v>0.30000000000000004</c:v>
                </c:pt>
                <c:pt idx="13">
                  <c:v>0.30000000000000004</c:v>
                </c:pt>
                <c:pt idx="14">
                  <c:v>0.30000000000000004</c:v>
                </c:pt>
                <c:pt idx="15">
                  <c:v>0.30000000000000004</c:v>
                </c:pt>
                <c:pt idx="16">
                  <c:v>0.30000000000000004</c:v>
                </c:pt>
                <c:pt idx="17">
                  <c:v>0.30000000000000004</c:v>
                </c:pt>
                <c:pt idx="18">
                  <c:v>0.30000000000000004</c:v>
                </c:pt>
                <c:pt idx="19">
                  <c:v>0.30000000000000004</c:v>
                </c:pt>
                <c:pt idx="20">
                  <c:v>0.30000000000000004</c:v>
                </c:pt>
              </c:numCache>
            </c:numRef>
          </c:val>
        </c:ser>
        <c:dLbls>
          <c:showLegendKey val="0"/>
          <c:showVal val="0"/>
          <c:showCatName val="0"/>
          <c:showSerName val="0"/>
          <c:showPercent val="0"/>
          <c:showBubbleSize val="0"/>
        </c:dLbls>
        <c:axId val="1277319760"/>
        <c:axId val="1277319216"/>
      </c:areaChart>
      <c:lineChart>
        <c:grouping val="standard"/>
        <c:varyColors val="0"/>
        <c:ser>
          <c:idx val="2"/>
          <c:order val="5"/>
          <c:tx>
            <c:strRef>
              <c:f>Calcs!$AS$17</c:f>
              <c:strCache>
                <c:ptCount val="1"/>
                <c:pt idx="0">
                  <c:v>Budget</c:v>
                </c:pt>
              </c:strCache>
            </c:strRef>
          </c:tx>
          <c:spPr>
            <a:ln w="28575" cap="rnd">
              <a:solidFill>
                <a:schemeClr val="tx1"/>
              </a:solidFill>
              <a:prstDash val="sysDot"/>
              <a:round/>
            </a:ln>
            <a:effectLst/>
          </c:spPr>
          <c:marker>
            <c:symbol val="none"/>
          </c:marker>
          <c:cat>
            <c:numRef>
              <c:f>Calcs!$A$18:$A$38</c:f>
              <c:numCache>
                <c:formatCode>m/d;@</c:formatCode>
                <c:ptCount val="21"/>
                <c:pt idx="0">
                  <c:v>42499</c:v>
                </c:pt>
                <c:pt idx="1">
                  <c:v>42500</c:v>
                </c:pt>
                <c:pt idx="2">
                  <c:v>42501</c:v>
                </c:pt>
                <c:pt idx="3">
                  <c:v>42502</c:v>
                </c:pt>
                <c:pt idx="4">
                  <c:v>42503</c:v>
                </c:pt>
                <c:pt idx="5">
                  <c:v>42506</c:v>
                </c:pt>
                <c:pt idx="6">
                  <c:v>42507</c:v>
                </c:pt>
                <c:pt idx="7">
                  <c:v>42508</c:v>
                </c:pt>
                <c:pt idx="8">
                  <c:v>42509</c:v>
                </c:pt>
                <c:pt idx="9">
                  <c:v>42510</c:v>
                </c:pt>
                <c:pt idx="10">
                  <c:v>42513</c:v>
                </c:pt>
                <c:pt idx="11">
                  <c:v>42514</c:v>
                </c:pt>
                <c:pt idx="12">
                  <c:v>42515</c:v>
                </c:pt>
                <c:pt idx="13">
                  <c:v>42516</c:v>
                </c:pt>
                <c:pt idx="14">
                  <c:v>42517</c:v>
                </c:pt>
                <c:pt idx="15">
                  <c:v>42520</c:v>
                </c:pt>
                <c:pt idx="16">
                  <c:v>42521</c:v>
                </c:pt>
                <c:pt idx="17">
                  <c:v>42522</c:v>
                </c:pt>
                <c:pt idx="18">
                  <c:v>42523</c:v>
                </c:pt>
                <c:pt idx="19">
                  <c:v>42524</c:v>
                </c:pt>
                <c:pt idx="20">
                  <c:v>42527</c:v>
                </c:pt>
              </c:numCache>
            </c:numRef>
          </c:cat>
          <c:val>
            <c:numRef>
              <c:f>Calcs!$AS$18:$AS$38</c:f>
              <c:numCache>
                <c:formatCode>0%</c:formatCode>
                <c:ptCount val="21"/>
                <c:pt idx="0">
                  <c:v>0.3</c:v>
                </c:pt>
                <c:pt idx="1">
                  <c:v>0.3</c:v>
                </c:pt>
                <c:pt idx="2">
                  <c:v>0.3</c:v>
                </c:pt>
                <c:pt idx="3">
                  <c:v>0.3</c:v>
                </c:pt>
                <c:pt idx="4">
                  <c:v>0.3</c:v>
                </c:pt>
                <c:pt idx="5">
                  <c:v>0.3</c:v>
                </c:pt>
                <c:pt idx="6">
                  <c:v>0.3</c:v>
                </c:pt>
                <c:pt idx="7">
                  <c:v>0.3</c:v>
                </c:pt>
                <c:pt idx="8">
                  <c:v>0.3</c:v>
                </c:pt>
                <c:pt idx="9">
                  <c:v>0.3</c:v>
                </c:pt>
                <c:pt idx="10">
                  <c:v>0.3</c:v>
                </c:pt>
                <c:pt idx="11">
                  <c:v>0.3</c:v>
                </c:pt>
                <c:pt idx="12">
                  <c:v>0.4</c:v>
                </c:pt>
                <c:pt idx="13">
                  <c:v>0.4</c:v>
                </c:pt>
                <c:pt idx="14">
                  <c:v>0.4</c:v>
                </c:pt>
                <c:pt idx="15">
                  <c:v>0.4</c:v>
                </c:pt>
                <c:pt idx="16">
                  <c:v>0.4</c:v>
                </c:pt>
                <c:pt idx="17">
                  <c:v>0.4</c:v>
                </c:pt>
                <c:pt idx="18">
                  <c:v>0.4</c:v>
                </c:pt>
                <c:pt idx="19">
                  <c:v>0.4</c:v>
                </c:pt>
                <c:pt idx="20">
                  <c:v>0.4</c:v>
                </c:pt>
              </c:numCache>
            </c:numRef>
          </c:val>
          <c:smooth val="0"/>
        </c:ser>
        <c:ser>
          <c:idx val="6"/>
          <c:order val="6"/>
          <c:tx>
            <c:strRef>
              <c:f>Calcs!$AW$17</c:f>
              <c:strCache>
                <c:ptCount val="1"/>
                <c:pt idx="0">
                  <c:v>Actual</c:v>
                </c:pt>
              </c:strCache>
            </c:strRef>
          </c:tx>
          <c:spPr>
            <a:ln w="28575" cap="rnd">
              <a:solidFill>
                <a:schemeClr val="tx1"/>
              </a:solidFill>
              <a:round/>
            </a:ln>
            <a:effectLst/>
          </c:spPr>
          <c:marker>
            <c:symbol val="none"/>
          </c:marker>
          <c:cat>
            <c:numRef>
              <c:f>Calcs!$A$18:$A$38</c:f>
              <c:numCache>
                <c:formatCode>m/d;@</c:formatCode>
                <c:ptCount val="21"/>
                <c:pt idx="0">
                  <c:v>42499</c:v>
                </c:pt>
                <c:pt idx="1">
                  <c:v>42500</c:v>
                </c:pt>
                <c:pt idx="2">
                  <c:v>42501</c:v>
                </c:pt>
                <c:pt idx="3">
                  <c:v>42502</c:v>
                </c:pt>
                <c:pt idx="4">
                  <c:v>42503</c:v>
                </c:pt>
                <c:pt idx="5">
                  <c:v>42506</c:v>
                </c:pt>
                <c:pt idx="6">
                  <c:v>42507</c:v>
                </c:pt>
                <c:pt idx="7">
                  <c:v>42508</c:v>
                </c:pt>
                <c:pt idx="8">
                  <c:v>42509</c:v>
                </c:pt>
                <c:pt idx="9">
                  <c:v>42510</c:v>
                </c:pt>
                <c:pt idx="10">
                  <c:v>42513</c:v>
                </c:pt>
                <c:pt idx="11">
                  <c:v>42514</c:v>
                </c:pt>
                <c:pt idx="12">
                  <c:v>42515</c:v>
                </c:pt>
                <c:pt idx="13">
                  <c:v>42516</c:v>
                </c:pt>
                <c:pt idx="14">
                  <c:v>42517</c:v>
                </c:pt>
                <c:pt idx="15">
                  <c:v>42520</c:v>
                </c:pt>
                <c:pt idx="16">
                  <c:v>42521</c:v>
                </c:pt>
                <c:pt idx="17">
                  <c:v>42522</c:v>
                </c:pt>
                <c:pt idx="18">
                  <c:v>42523</c:v>
                </c:pt>
                <c:pt idx="19">
                  <c:v>42524</c:v>
                </c:pt>
                <c:pt idx="20">
                  <c:v>42527</c:v>
                </c:pt>
              </c:numCache>
            </c:numRef>
          </c:cat>
          <c:val>
            <c:numRef>
              <c:f>Calcs!$AW$18:$AW$38</c:f>
              <c:numCache>
                <c:formatCode>0%</c:formatCode>
                <c:ptCount val="21"/>
                <c:pt idx="0">
                  <c:v>0.2857142857142857</c:v>
                </c:pt>
                <c:pt idx="1">
                  <c:v>0.2857142857142857</c:v>
                </c:pt>
                <c:pt idx="2">
                  <c:v>0.23076923076923078</c:v>
                </c:pt>
                <c:pt idx="3">
                  <c:v>0.24590163934426226</c:v>
                </c:pt>
                <c:pt idx="4">
                  <c:v>0.39473684210526311</c:v>
                </c:pt>
                <c:pt idx="5">
                  <c:v>0.39473684210526311</c:v>
                </c:pt>
                <c:pt idx="6">
                  <c:v>0.39473684210526311</c:v>
                </c:pt>
                <c:pt idx="7">
                  <c:v>0.39473684210526311</c:v>
                </c:pt>
                <c:pt idx="8">
                  <c:v>0.47619047619047605</c:v>
                </c:pt>
                <c:pt idx="9">
                  <c:v>0.47619047619047605</c:v>
                </c:pt>
                <c:pt idx="10">
                  <c:v>0.44303797468354422</c:v>
                </c:pt>
                <c:pt idx="11">
                  <c:v>0.44303797468354422</c:v>
                </c:pt>
                <c:pt idx="12">
                  <c:v>0.31249999999999994</c:v>
                </c:pt>
                <c:pt idx="13">
                  <c:v>0.25641025641025644</c:v>
                </c:pt>
                <c:pt idx="14">
                  <c:v>0.37634408602150543</c:v>
                </c:pt>
                <c:pt idx="15">
                  <c:v>0.37634408602150543</c:v>
                </c:pt>
                <c:pt idx="16">
                  <c:v>0.37634408602150543</c:v>
                </c:pt>
                <c:pt idx="17">
                  <c:v>0.37634408602150543</c:v>
                </c:pt>
                <c:pt idx="18">
                  <c:v>0.29411764705882354</c:v>
                </c:pt>
                <c:pt idx="19">
                  <c:v>0.29411764705882354</c:v>
                </c:pt>
                <c:pt idx="20">
                  <c:v>0.29411764705882354</c:v>
                </c:pt>
              </c:numCache>
            </c:numRef>
          </c:val>
          <c:smooth val="0"/>
        </c:ser>
        <c:dLbls>
          <c:showLegendKey val="0"/>
          <c:showVal val="0"/>
          <c:showCatName val="0"/>
          <c:showSerName val="0"/>
          <c:showPercent val="0"/>
          <c:showBubbleSize val="0"/>
        </c:dLbls>
        <c:marker val="1"/>
        <c:smooth val="0"/>
        <c:axId val="1277319760"/>
        <c:axId val="1277319216"/>
      </c:lineChart>
      <c:dateAx>
        <c:axId val="1277319760"/>
        <c:scaling>
          <c:orientation val="minMax"/>
        </c:scaling>
        <c:delete val="0"/>
        <c:axPos val="b"/>
        <c:numFmt formatCode="m/d;@"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7319216"/>
        <c:crosses val="autoZero"/>
        <c:auto val="1"/>
        <c:lblOffset val="100"/>
        <c:baseTimeUnit val="days"/>
      </c:dateAx>
      <c:valAx>
        <c:axId val="1277319216"/>
        <c:scaling>
          <c:orientation val="minMax"/>
          <c:max val="1"/>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7319760"/>
        <c:crosses val="autoZero"/>
        <c:crossBetween val="between"/>
      </c:valAx>
      <c:spPr>
        <a:noFill/>
        <a:ln>
          <a:noFill/>
        </a:ln>
        <a:effectLst/>
      </c:spPr>
    </c:plotArea>
    <c:legend>
      <c:legendPos val="b"/>
      <c:legendEntry>
        <c:idx val="0"/>
        <c:delete val="1"/>
      </c:legendEntry>
      <c:legendEntry>
        <c:idx val="1"/>
        <c:delete val="1"/>
      </c:legendEntry>
      <c:legendEntry>
        <c:idx val="2"/>
        <c:delete val="1"/>
      </c:legendEntry>
      <c:legendEntry>
        <c:idx val="3"/>
        <c:delete val="1"/>
      </c:legendEntry>
      <c:legendEntry>
        <c:idx val="4"/>
        <c:delete val="1"/>
      </c:legendEntry>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t>
            </a:r>
            <a:r>
              <a:rPr lang="en-US" baseline="0"/>
              <a:t> of work going towards plan</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standard"/>
        <c:varyColors val="0"/>
        <c:ser>
          <c:idx val="3"/>
          <c:order val="0"/>
          <c:tx>
            <c:strRef>
              <c:f>Calcs!$AZ$17</c:f>
              <c:strCache>
                <c:ptCount val="1"/>
                <c:pt idx="0">
                  <c:v>Good</c:v>
                </c:pt>
              </c:strCache>
            </c:strRef>
          </c:tx>
          <c:spPr>
            <a:solidFill>
              <a:srgbClr val="A7FFA7"/>
            </a:solidFill>
            <a:ln>
              <a:noFill/>
            </a:ln>
            <a:effectLst/>
          </c:spPr>
          <c:cat>
            <c:numRef>
              <c:f>Calcs!$A$18:$A$38</c:f>
              <c:numCache>
                <c:formatCode>m/d;@</c:formatCode>
                <c:ptCount val="21"/>
                <c:pt idx="0">
                  <c:v>42499</c:v>
                </c:pt>
                <c:pt idx="1">
                  <c:v>42500</c:v>
                </c:pt>
                <c:pt idx="2">
                  <c:v>42501</c:v>
                </c:pt>
                <c:pt idx="3">
                  <c:v>42502</c:v>
                </c:pt>
                <c:pt idx="4">
                  <c:v>42503</c:v>
                </c:pt>
                <c:pt idx="5">
                  <c:v>42506</c:v>
                </c:pt>
                <c:pt idx="6">
                  <c:v>42507</c:v>
                </c:pt>
                <c:pt idx="7">
                  <c:v>42508</c:v>
                </c:pt>
                <c:pt idx="8">
                  <c:v>42509</c:v>
                </c:pt>
                <c:pt idx="9">
                  <c:v>42510</c:v>
                </c:pt>
                <c:pt idx="10">
                  <c:v>42513</c:v>
                </c:pt>
                <c:pt idx="11">
                  <c:v>42514</c:v>
                </c:pt>
                <c:pt idx="12">
                  <c:v>42515</c:v>
                </c:pt>
                <c:pt idx="13">
                  <c:v>42516</c:v>
                </c:pt>
                <c:pt idx="14">
                  <c:v>42517</c:v>
                </c:pt>
                <c:pt idx="15">
                  <c:v>42520</c:v>
                </c:pt>
                <c:pt idx="16">
                  <c:v>42521</c:v>
                </c:pt>
                <c:pt idx="17">
                  <c:v>42522</c:v>
                </c:pt>
                <c:pt idx="18">
                  <c:v>42523</c:v>
                </c:pt>
                <c:pt idx="19">
                  <c:v>42524</c:v>
                </c:pt>
                <c:pt idx="20">
                  <c:v>42527</c:v>
                </c:pt>
              </c:numCache>
            </c:numRef>
          </c:cat>
          <c:val>
            <c:numRef>
              <c:f>Calcs!$AZ$18:$AZ$38</c:f>
              <c:numCache>
                <c:formatCode>0%</c:formatCode>
                <c:ptCount val="2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numCache>
            </c:numRef>
          </c:val>
        </c:ser>
        <c:ser>
          <c:idx val="1"/>
          <c:order val="1"/>
          <c:tx>
            <c:strRef>
              <c:f>Calcs!$AY$17</c:f>
              <c:strCache>
                <c:ptCount val="1"/>
                <c:pt idx="0">
                  <c:v>Low</c:v>
                </c:pt>
              </c:strCache>
            </c:strRef>
          </c:tx>
          <c:spPr>
            <a:solidFill>
              <a:srgbClr val="FFFFBD"/>
            </a:solidFill>
            <a:ln>
              <a:noFill/>
            </a:ln>
            <a:effectLst/>
          </c:spPr>
          <c:cat>
            <c:numRef>
              <c:f>Calcs!$A$18:$A$38</c:f>
              <c:numCache>
                <c:formatCode>m/d;@</c:formatCode>
                <c:ptCount val="21"/>
                <c:pt idx="0">
                  <c:v>42499</c:v>
                </c:pt>
                <c:pt idx="1">
                  <c:v>42500</c:v>
                </c:pt>
                <c:pt idx="2">
                  <c:v>42501</c:v>
                </c:pt>
                <c:pt idx="3">
                  <c:v>42502</c:v>
                </c:pt>
                <c:pt idx="4">
                  <c:v>42503</c:v>
                </c:pt>
                <c:pt idx="5">
                  <c:v>42506</c:v>
                </c:pt>
                <c:pt idx="6">
                  <c:v>42507</c:v>
                </c:pt>
                <c:pt idx="7">
                  <c:v>42508</c:v>
                </c:pt>
                <c:pt idx="8">
                  <c:v>42509</c:v>
                </c:pt>
                <c:pt idx="9">
                  <c:v>42510</c:v>
                </c:pt>
                <c:pt idx="10">
                  <c:v>42513</c:v>
                </c:pt>
                <c:pt idx="11">
                  <c:v>42514</c:v>
                </c:pt>
                <c:pt idx="12">
                  <c:v>42515</c:v>
                </c:pt>
                <c:pt idx="13">
                  <c:v>42516</c:v>
                </c:pt>
                <c:pt idx="14">
                  <c:v>42517</c:v>
                </c:pt>
                <c:pt idx="15">
                  <c:v>42520</c:v>
                </c:pt>
                <c:pt idx="16">
                  <c:v>42521</c:v>
                </c:pt>
                <c:pt idx="17">
                  <c:v>42522</c:v>
                </c:pt>
                <c:pt idx="18">
                  <c:v>42523</c:v>
                </c:pt>
                <c:pt idx="19">
                  <c:v>42524</c:v>
                </c:pt>
                <c:pt idx="20">
                  <c:v>42527</c:v>
                </c:pt>
              </c:numCache>
            </c:numRef>
          </c:cat>
          <c:val>
            <c:numRef>
              <c:f>Calcs!$AY$18:$AY$38</c:f>
              <c:numCache>
                <c:formatCode>0%</c:formatCode>
                <c:ptCount val="21"/>
                <c:pt idx="0">
                  <c:v>0.8</c:v>
                </c:pt>
                <c:pt idx="1">
                  <c:v>0.8</c:v>
                </c:pt>
                <c:pt idx="2">
                  <c:v>0.8</c:v>
                </c:pt>
                <c:pt idx="3">
                  <c:v>0.8</c:v>
                </c:pt>
                <c:pt idx="4">
                  <c:v>0.8</c:v>
                </c:pt>
                <c:pt idx="5">
                  <c:v>0.8</c:v>
                </c:pt>
                <c:pt idx="6">
                  <c:v>0.8</c:v>
                </c:pt>
                <c:pt idx="7">
                  <c:v>0.8</c:v>
                </c:pt>
                <c:pt idx="8">
                  <c:v>0.8</c:v>
                </c:pt>
                <c:pt idx="9">
                  <c:v>0.8</c:v>
                </c:pt>
                <c:pt idx="10">
                  <c:v>0.8</c:v>
                </c:pt>
                <c:pt idx="11">
                  <c:v>0.8</c:v>
                </c:pt>
                <c:pt idx="12">
                  <c:v>0.8</c:v>
                </c:pt>
                <c:pt idx="13">
                  <c:v>0.8</c:v>
                </c:pt>
                <c:pt idx="14">
                  <c:v>0.8</c:v>
                </c:pt>
                <c:pt idx="15">
                  <c:v>0.8</c:v>
                </c:pt>
                <c:pt idx="16">
                  <c:v>0.8</c:v>
                </c:pt>
                <c:pt idx="17">
                  <c:v>0.8</c:v>
                </c:pt>
                <c:pt idx="18">
                  <c:v>0.8</c:v>
                </c:pt>
                <c:pt idx="19">
                  <c:v>0.8</c:v>
                </c:pt>
                <c:pt idx="20">
                  <c:v>0.8</c:v>
                </c:pt>
              </c:numCache>
            </c:numRef>
          </c:val>
        </c:ser>
        <c:ser>
          <c:idx val="0"/>
          <c:order val="2"/>
          <c:tx>
            <c:strRef>
              <c:f>Calcs!$AX$17</c:f>
              <c:strCache>
                <c:ptCount val="1"/>
                <c:pt idx="0">
                  <c:v>Way low</c:v>
                </c:pt>
              </c:strCache>
            </c:strRef>
          </c:tx>
          <c:spPr>
            <a:solidFill>
              <a:srgbClr val="FFC5C5"/>
            </a:solidFill>
            <a:ln>
              <a:noFill/>
            </a:ln>
            <a:effectLst/>
          </c:spPr>
          <c:cat>
            <c:numRef>
              <c:f>Calcs!$A$18:$A$38</c:f>
              <c:numCache>
                <c:formatCode>m/d;@</c:formatCode>
                <c:ptCount val="21"/>
                <c:pt idx="0">
                  <c:v>42499</c:v>
                </c:pt>
                <c:pt idx="1">
                  <c:v>42500</c:v>
                </c:pt>
                <c:pt idx="2">
                  <c:v>42501</c:v>
                </c:pt>
                <c:pt idx="3">
                  <c:v>42502</c:v>
                </c:pt>
                <c:pt idx="4">
                  <c:v>42503</c:v>
                </c:pt>
                <c:pt idx="5">
                  <c:v>42506</c:v>
                </c:pt>
                <c:pt idx="6">
                  <c:v>42507</c:v>
                </c:pt>
                <c:pt idx="7">
                  <c:v>42508</c:v>
                </c:pt>
                <c:pt idx="8">
                  <c:v>42509</c:v>
                </c:pt>
                <c:pt idx="9">
                  <c:v>42510</c:v>
                </c:pt>
                <c:pt idx="10">
                  <c:v>42513</c:v>
                </c:pt>
                <c:pt idx="11">
                  <c:v>42514</c:v>
                </c:pt>
                <c:pt idx="12">
                  <c:v>42515</c:v>
                </c:pt>
                <c:pt idx="13">
                  <c:v>42516</c:v>
                </c:pt>
                <c:pt idx="14">
                  <c:v>42517</c:v>
                </c:pt>
                <c:pt idx="15">
                  <c:v>42520</c:v>
                </c:pt>
                <c:pt idx="16">
                  <c:v>42521</c:v>
                </c:pt>
                <c:pt idx="17">
                  <c:v>42522</c:v>
                </c:pt>
                <c:pt idx="18">
                  <c:v>42523</c:v>
                </c:pt>
                <c:pt idx="19">
                  <c:v>42524</c:v>
                </c:pt>
                <c:pt idx="20">
                  <c:v>42527</c:v>
                </c:pt>
              </c:numCache>
            </c:numRef>
          </c:cat>
          <c:val>
            <c:numRef>
              <c:f>Calcs!$AX$18:$AX$38</c:f>
              <c:numCache>
                <c:formatCode>0%</c:formatCode>
                <c:ptCount val="21"/>
                <c:pt idx="0">
                  <c:v>0.6</c:v>
                </c:pt>
                <c:pt idx="1">
                  <c:v>0.6</c:v>
                </c:pt>
                <c:pt idx="2">
                  <c:v>0.6</c:v>
                </c:pt>
                <c:pt idx="3">
                  <c:v>0.6</c:v>
                </c:pt>
                <c:pt idx="4">
                  <c:v>0.6</c:v>
                </c:pt>
                <c:pt idx="5">
                  <c:v>0.6</c:v>
                </c:pt>
                <c:pt idx="6">
                  <c:v>0.6</c:v>
                </c:pt>
                <c:pt idx="7">
                  <c:v>0.6</c:v>
                </c:pt>
                <c:pt idx="8">
                  <c:v>0.6</c:v>
                </c:pt>
                <c:pt idx="9">
                  <c:v>0.6</c:v>
                </c:pt>
                <c:pt idx="10">
                  <c:v>0.6</c:v>
                </c:pt>
                <c:pt idx="11">
                  <c:v>0.6</c:v>
                </c:pt>
                <c:pt idx="12">
                  <c:v>0.6</c:v>
                </c:pt>
                <c:pt idx="13">
                  <c:v>0.6</c:v>
                </c:pt>
                <c:pt idx="14">
                  <c:v>0.6</c:v>
                </c:pt>
                <c:pt idx="15">
                  <c:v>0.6</c:v>
                </c:pt>
                <c:pt idx="16">
                  <c:v>0.6</c:v>
                </c:pt>
                <c:pt idx="17">
                  <c:v>0.6</c:v>
                </c:pt>
                <c:pt idx="18">
                  <c:v>0.6</c:v>
                </c:pt>
                <c:pt idx="19">
                  <c:v>0.6</c:v>
                </c:pt>
                <c:pt idx="20">
                  <c:v>0.6</c:v>
                </c:pt>
              </c:numCache>
            </c:numRef>
          </c:val>
        </c:ser>
        <c:dLbls>
          <c:showLegendKey val="0"/>
          <c:showVal val="0"/>
          <c:showCatName val="0"/>
          <c:showSerName val="0"/>
          <c:showPercent val="0"/>
          <c:showBubbleSize val="0"/>
        </c:dLbls>
        <c:axId val="-1650468176"/>
        <c:axId val="-1650487760"/>
      </c:areaChart>
      <c:lineChart>
        <c:grouping val="standard"/>
        <c:varyColors val="0"/>
        <c:ser>
          <c:idx val="2"/>
          <c:order val="3"/>
          <c:tx>
            <c:strRef>
              <c:f>Calcs!$BA$17</c:f>
              <c:strCache>
                <c:ptCount val="1"/>
                <c:pt idx="0">
                  <c:v>Product Improvements</c:v>
                </c:pt>
              </c:strCache>
            </c:strRef>
          </c:tx>
          <c:spPr>
            <a:ln w="28575" cap="rnd">
              <a:solidFill>
                <a:schemeClr val="accent1"/>
              </a:solidFill>
              <a:round/>
            </a:ln>
            <a:effectLst/>
          </c:spPr>
          <c:marker>
            <c:symbol val="none"/>
          </c:marker>
          <c:val>
            <c:numRef>
              <c:f>Calcs!$BA$18:$BA$38</c:f>
              <c:numCache>
                <c:formatCode>0%</c:formatCode>
                <c:ptCount val="21"/>
                <c:pt idx="0">
                  <c:v>0.73333333333333339</c:v>
                </c:pt>
                <c:pt idx="1">
                  <c:v>0.73333333333333339</c:v>
                </c:pt>
                <c:pt idx="2">
                  <c:v>0.73333333333333339</c:v>
                </c:pt>
                <c:pt idx="3">
                  <c:v>0.92307692307692302</c:v>
                </c:pt>
                <c:pt idx="4">
                  <c:v>0.92307692307692302</c:v>
                </c:pt>
                <c:pt idx="5">
                  <c:v>0.92307692307692302</c:v>
                </c:pt>
                <c:pt idx="6">
                  <c:v>0.92307692307692302</c:v>
                </c:pt>
                <c:pt idx="7">
                  <c:v>0.92307692307692302</c:v>
                </c:pt>
                <c:pt idx="8">
                  <c:v>0.84615384615384615</c:v>
                </c:pt>
                <c:pt idx="9">
                  <c:v>0.84615384615384615</c:v>
                </c:pt>
                <c:pt idx="10">
                  <c:v>0.84615384615384615</c:v>
                </c:pt>
                <c:pt idx="11">
                  <c:v>0.84615384615384615</c:v>
                </c:pt>
                <c:pt idx="12">
                  <c:v>0.84615384615384615</c:v>
                </c:pt>
                <c:pt idx="13">
                  <c:v>0.93333333333333324</c:v>
                </c:pt>
                <c:pt idx="14">
                  <c:v>0.93333333333333324</c:v>
                </c:pt>
                <c:pt idx="15">
                  <c:v>0.93333333333333324</c:v>
                </c:pt>
                <c:pt idx="16">
                  <c:v>0.93333333333333324</c:v>
                </c:pt>
                <c:pt idx="17">
                  <c:v>0.93333333333333324</c:v>
                </c:pt>
                <c:pt idx="18">
                  <c:v>0.7857142857142857</c:v>
                </c:pt>
                <c:pt idx="19">
                  <c:v>0.7857142857142857</c:v>
                </c:pt>
                <c:pt idx="20">
                  <c:v>0.7857142857142857</c:v>
                </c:pt>
              </c:numCache>
            </c:numRef>
          </c:val>
          <c:smooth val="0"/>
        </c:ser>
        <c:ser>
          <c:idx val="4"/>
          <c:order val="4"/>
          <c:tx>
            <c:strRef>
              <c:f>Calcs!$BB$17</c:f>
              <c:strCache>
                <c:ptCount val="1"/>
                <c:pt idx="0">
                  <c:v>Product Experiments</c:v>
                </c:pt>
              </c:strCache>
            </c:strRef>
          </c:tx>
          <c:spPr>
            <a:ln w="28575" cap="rnd">
              <a:solidFill>
                <a:schemeClr val="accent3"/>
              </a:solidFill>
              <a:round/>
            </a:ln>
            <a:effectLst/>
          </c:spPr>
          <c:marker>
            <c:symbol val="none"/>
          </c:marker>
          <c:val>
            <c:numRef>
              <c:f>Calcs!$BB$18:$BB$38</c:f>
              <c:numCache>
                <c:formatCode>0%</c:formatCode>
                <c:ptCount val="21"/>
                <c:pt idx="0">
                  <c:v>0.9</c:v>
                </c:pt>
                <c:pt idx="1">
                  <c:v>0.9</c:v>
                </c:pt>
                <c:pt idx="2">
                  <c:v>0.9</c:v>
                </c:pt>
                <c:pt idx="3">
                  <c:v>0.8</c:v>
                </c:pt>
                <c:pt idx="4">
                  <c:v>0.8</c:v>
                </c:pt>
                <c:pt idx="5">
                  <c:v>0.8</c:v>
                </c:pt>
                <c:pt idx="6">
                  <c:v>0.8</c:v>
                </c:pt>
                <c:pt idx="7">
                  <c:v>0.8</c:v>
                </c:pt>
                <c:pt idx="8">
                  <c:v>0.88888888888888895</c:v>
                </c:pt>
                <c:pt idx="9">
                  <c:v>0.88888888888888895</c:v>
                </c:pt>
                <c:pt idx="10">
                  <c:v>0.88888888888888895</c:v>
                </c:pt>
                <c:pt idx="11">
                  <c:v>0.88888888888888895</c:v>
                </c:pt>
                <c:pt idx="12">
                  <c:v>0.88888888888888895</c:v>
                </c:pt>
                <c:pt idx="13">
                  <c:v>0.85714285714285721</c:v>
                </c:pt>
                <c:pt idx="14">
                  <c:v>0.85714285714285721</c:v>
                </c:pt>
                <c:pt idx="15">
                  <c:v>0.85714285714285721</c:v>
                </c:pt>
                <c:pt idx="16">
                  <c:v>0.85714285714285721</c:v>
                </c:pt>
                <c:pt idx="17">
                  <c:v>0.85714285714285721</c:v>
                </c:pt>
                <c:pt idx="18">
                  <c:v>0.74999999999999989</c:v>
                </c:pt>
                <c:pt idx="19">
                  <c:v>0.74999999999999989</c:v>
                </c:pt>
                <c:pt idx="20">
                  <c:v>0.74999999999999989</c:v>
                </c:pt>
              </c:numCache>
            </c:numRef>
          </c:val>
          <c:smooth val="0"/>
        </c:ser>
        <c:ser>
          <c:idx val="5"/>
          <c:order val="5"/>
          <c:tx>
            <c:strRef>
              <c:f>Calcs!$BC$17</c:f>
              <c:strCache>
                <c:ptCount val="1"/>
                <c:pt idx="0">
                  <c:v>Sustainability Improvements</c:v>
                </c:pt>
              </c:strCache>
            </c:strRef>
          </c:tx>
          <c:spPr>
            <a:ln w="28575" cap="rnd">
              <a:solidFill>
                <a:schemeClr val="accent4"/>
              </a:solidFill>
              <a:round/>
            </a:ln>
            <a:effectLst/>
          </c:spPr>
          <c:marker>
            <c:symbol val="none"/>
          </c:marker>
          <c:val>
            <c:numRef>
              <c:f>Calcs!$BC$18:$BC$38</c:f>
              <c:numCache>
                <c:formatCode>0%</c:formatCode>
                <c:ptCount val="21"/>
                <c:pt idx="0">
                  <c:v>0.66666666666666663</c:v>
                </c:pt>
                <c:pt idx="1">
                  <c:v>0.66666666666666663</c:v>
                </c:pt>
                <c:pt idx="2">
                  <c:v>1</c:v>
                </c:pt>
                <c:pt idx="3">
                  <c:v>1</c:v>
                </c:pt>
                <c:pt idx="4">
                  <c:v>0.75</c:v>
                </c:pt>
                <c:pt idx="5">
                  <c:v>0.75</c:v>
                </c:pt>
                <c:pt idx="6">
                  <c:v>1</c:v>
                </c:pt>
                <c:pt idx="7">
                  <c:v>1</c:v>
                </c:pt>
                <c:pt idx="8">
                  <c:v>0.75</c:v>
                </c:pt>
                <c:pt idx="9">
                  <c:v>0.75</c:v>
                </c:pt>
                <c:pt idx="10">
                  <c:v>0.75</c:v>
                </c:pt>
                <c:pt idx="11">
                  <c:v>0.75</c:v>
                </c:pt>
                <c:pt idx="12">
                  <c:v>1</c:v>
                </c:pt>
                <c:pt idx="13">
                  <c:v>1</c:v>
                </c:pt>
                <c:pt idx="14">
                  <c:v>0.75</c:v>
                </c:pt>
                <c:pt idx="15">
                  <c:v>0.75</c:v>
                </c:pt>
                <c:pt idx="16">
                  <c:v>1</c:v>
                </c:pt>
                <c:pt idx="17">
                  <c:v>1</c:v>
                </c:pt>
                <c:pt idx="18">
                  <c:v>0.5</c:v>
                </c:pt>
                <c:pt idx="19">
                  <c:v>0.5</c:v>
                </c:pt>
                <c:pt idx="20">
                  <c:v>1</c:v>
                </c:pt>
              </c:numCache>
            </c:numRef>
          </c:val>
          <c:smooth val="0"/>
        </c:ser>
        <c:ser>
          <c:idx val="7"/>
          <c:order val="6"/>
          <c:tx>
            <c:strRef>
              <c:f>Calcs!$BD$17</c:f>
              <c:strCache>
                <c:ptCount val="1"/>
                <c:pt idx="0">
                  <c:v>Sustainability Experiments</c:v>
                </c:pt>
              </c:strCache>
            </c:strRef>
          </c:tx>
          <c:spPr>
            <a:ln w="28575" cap="rnd">
              <a:solidFill>
                <a:schemeClr val="accent6"/>
              </a:solidFill>
              <a:round/>
            </a:ln>
            <a:effectLst/>
          </c:spPr>
          <c:marker>
            <c:symbol val="none"/>
          </c:marker>
          <c:val>
            <c:numRef>
              <c:f>Calcs!$BD$18:$BD$38</c:f>
              <c:numCache>
                <c:formatCode>0%</c:formatCode>
                <c:ptCount val="21"/>
                <c:pt idx="0">
                  <c:v>1</c:v>
                </c:pt>
                <c:pt idx="1">
                  <c:v>1</c:v>
                </c:pt>
                <c:pt idx="2">
                  <c:v>1</c:v>
                </c:pt>
                <c:pt idx="3">
                  <c:v>1</c:v>
                </c:pt>
                <c:pt idx="4">
                  <c:v>1</c:v>
                </c:pt>
                <c:pt idx="5">
                  <c:v>1</c:v>
                </c:pt>
                <c:pt idx="6">
                  <c:v>0.75</c:v>
                </c:pt>
                <c:pt idx="7">
                  <c:v>0.75</c:v>
                </c:pt>
                <c:pt idx="8">
                  <c:v>0.75</c:v>
                </c:pt>
                <c:pt idx="9">
                  <c:v>0.75</c:v>
                </c:pt>
                <c:pt idx="10">
                  <c:v>1</c:v>
                </c:pt>
                <c:pt idx="11">
                  <c:v>1</c:v>
                </c:pt>
                <c:pt idx="12">
                  <c:v>1</c:v>
                </c:pt>
                <c:pt idx="13">
                  <c:v>1</c:v>
                </c:pt>
                <c:pt idx="14">
                  <c:v>0.66666666666666663</c:v>
                </c:pt>
                <c:pt idx="15">
                  <c:v>0.66666666666666663</c:v>
                </c:pt>
                <c:pt idx="16">
                  <c:v>0.75</c:v>
                </c:pt>
                <c:pt idx="17">
                  <c:v>0.75</c:v>
                </c:pt>
                <c:pt idx="18">
                  <c:v>0.66666666666666663</c:v>
                </c:pt>
                <c:pt idx="19">
                  <c:v>0.66666666666666663</c:v>
                </c:pt>
                <c:pt idx="20">
                  <c:v>0.75</c:v>
                </c:pt>
              </c:numCache>
            </c:numRef>
          </c:val>
          <c:smooth val="0"/>
        </c:ser>
        <c:dLbls>
          <c:showLegendKey val="0"/>
          <c:showVal val="0"/>
          <c:showCatName val="0"/>
          <c:showSerName val="0"/>
          <c:showPercent val="0"/>
          <c:showBubbleSize val="0"/>
        </c:dLbls>
        <c:marker val="1"/>
        <c:smooth val="0"/>
        <c:axId val="-1650468176"/>
        <c:axId val="-1650487760"/>
      </c:lineChart>
      <c:dateAx>
        <c:axId val="-1650468176"/>
        <c:scaling>
          <c:orientation val="minMax"/>
        </c:scaling>
        <c:delete val="0"/>
        <c:axPos val="b"/>
        <c:numFmt formatCode="m/d;@"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0487760"/>
        <c:crosses val="autoZero"/>
        <c:auto val="1"/>
        <c:lblOffset val="100"/>
        <c:baseTimeUnit val="days"/>
      </c:dateAx>
      <c:valAx>
        <c:axId val="-1650487760"/>
        <c:scaling>
          <c:orientation val="minMax"/>
          <c:max val="1"/>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0468176"/>
        <c:crosses val="autoZero"/>
        <c:crossBetween val="between"/>
      </c:valAx>
      <c:spPr>
        <a:noFill/>
        <a:ln>
          <a:noFill/>
        </a:ln>
        <a:effectLst/>
      </c:spPr>
    </c:plotArea>
    <c:legend>
      <c:legendPos val="b"/>
      <c:legendEntry>
        <c:idx val="0"/>
        <c:delete val="1"/>
      </c:legendEntry>
      <c:legendEntry>
        <c:idx val="1"/>
        <c:delete val="1"/>
      </c:legendEntry>
      <c:legendEntry>
        <c:idx val="2"/>
        <c:delete val="1"/>
      </c:legendEntry>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t>
            </a:r>
            <a:r>
              <a:rPr lang="en-US" baseline="0"/>
              <a:t> of planned work that gets done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standard"/>
        <c:varyColors val="0"/>
        <c:ser>
          <c:idx val="3"/>
          <c:order val="0"/>
          <c:tx>
            <c:strRef>
              <c:f>Calcs!$BG$17</c:f>
              <c:strCache>
                <c:ptCount val="1"/>
                <c:pt idx="0">
                  <c:v>Good</c:v>
                </c:pt>
              </c:strCache>
            </c:strRef>
          </c:tx>
          <c:spPr>
            <a:solidFill>
              <a:srgbClr val="A7FFA7"/>
            </a:solidFill>
            <a:ln>
              <a:noFill/>
            </a:ln>
            <a:effectLst/>
          </c:spPr>
          <c:cat>
            <c:numRef>
              <c:f>Calcs!$A$18:$A$38</c:f>
              <c:numCache>
                <c:formatCode>m/d;@</c:formatCode>
                <c:ptCount val="21"/>
                <c:pt idx="0">
                  <c:v>42499</c:v>
                </c:pt>
                <c:pt idx="1">
                  <c:v>42500</c:v>
                </c:pt>
                <c:pt idx="2">
                  <c:v>42501</c:v>
                </c:pt>
                <c:pt idx="3">
                  <c:v>42502</c:v>
                </c:pt>
                <c:pt idx="4">
                  <c:v>42503</c:v>
                </c:pt>
                <c:pt idx="5">
                  <c:v>42506</c:v>
                </c:pt>
                <c:pt idx="6">
                  <c:v>42507</c:v>
                </c:pt>
                <c:pt idx="7">
                  <c:v>42508</c:v>
                </c:pt>
                <c:pt idx="8">
                  <c:v>42509</c:v>
                </c:pt>
                <c:pt idx="9">
                  <c:v>42510</c:v>
                </c:pt>
                <c:pt idx="10">
                  <c:v>42513</c:v>
                </c:pt>
                <c:pt idx="11">
                  <c:v>42514</c:v>
                </c:pt>
                <c:pt idx="12">
                  <c:v>42515</c:v>
                </c:pt>
                <c:pt idx="13">
                  <c:v>42516</c:v>
                </c:pt>
                <c:pt idx="14">
                  <c:v>42517</c:v>
                </c:pt>
                <c:pt idx="15">
                  <c:v>42520</c:v>
                </c:pt>
                <c:pt idx="16">
                  <c:v>42521</c:v>
                </c:pt>
                <c:pt idx="17">
                  <c:v>42522</c:v>
                </c:pt>
                <c:pt idx="18">
                  <c:v>42523</c:v>
                </c:pt>
                <c:pt idx="19">
                  <c:v>42524</c:v>
                </c:pt>
                <c:pt idx="20">
                  <c:v>42527</c:v>
                </c:pt>
              </c:numCache>
            </c:numRef>
          </c:cat>
          <c:val>
            <c:numRef>
              <c:f>Calcs!$BG$18:$BG$38</c:f>
              <c:numCache>
                <c:formatCode>0%</c:formatCode>
                <c:ptCount val="2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numCache>
            </c:numRef>
          </c:val>
        </c:ser>
        <c:ser>
          <c:idx val="1"/>
          <c:order val="1"/>
          <c:tx>
            <c:strRef>
              <c:f>Calcs!$BF$17</c:f>
              <c:strCache>
                <c:ptCount val="1"/>
                <c:pt idx="0">
                  <c:v>Low</c:v>
                </c:pt>
              </c:strCache>
            </c:strRef>
          </c:tx>
          <c:spPr>
            <a:solidFill>
              <a:srgbClr val="FFFFBD"/>
            </a:solidFill>
            <a:ln>
              <a:noFill/>
            </a:ln>
            <a:effectLst/>
          </c:spPr>
          <c:cat>
            <c:numRef>
              <c:f>Calcs!$A$18:$A$38</c:f>
              <c:numCache>
                <c:formatCode>m/d;@</c:formatCode>
                <c:ptCount val="21"/>
                <c:pt idx="0">
                  <c:v>42499</c:v>
                </c:pt>
                <c:pt idx="1">
                  <c:v>42500</c:v>
                </c:pt>
                <c:pt idx="2">
                  <c:v>42501</c:v>
                </c:pt>
                <c:pt idx="3">
                  <c:v>42502</c:v>
                </c:pt>
                <c:pt idx="4">
                  <c:v>42503</c:v>
                </c:pt>
                <c:pt idx="5">
                  <c:v>42506</c:v>
                </c:pt>
                <c:pt idx="6">
                  <c:v>42507</c:v>
                </c:pt>
                <c:pt idx="7">
                  <c:v>42508</c:v>
                </c:pt>
                <c:pt idx="8">
                  <c:v>42509</c:v>
                </c:pt>
                <c:pt idx="9">
                  <c:v>42510</c:v>
                </c:pt>
                <c:pt idx="10">
                  <c:v>42513</c:v>
                </c:pt>
                <c:pt idx="11">
                  <c:v>42514</c:v>
                </c:pt>
                <c:pt idx="12">
                  <c:v>42515</c:v>
                </c:pt>
                <c:pt idx="13">
                  <c:v>42516</c:v>
                </c:pt>
                <c:pt idx="14">
                  <c:v>42517</c:v>
                </c:pt>
                <c:pt idx="15">
                  <c:v>42520</c:v>
                </c:pt>
                <c:pt idx="16">
                  <c:v>42521</c:v>
                </c:pt>
                <c:pt idx="17">
                  <c:v>42522</c:v>
                </c:pt>
                <c:pt idx="18">
                  <c:v>42523</c:v>
                </c:pt>
                <c:pt idx="19">
                  <c:v>42524</c:v>
                </c:pt>
                <c:pt idx="20">
                  <c:v>42527</c:v>
                </c:pt>
              </c:numCache>
            </c:numRef>
          </c:cat>
          <c:val>
            <c:numRef>
              <c:f>Calcs!$BF$18:$BF$38</c:f>
              <c:numCache>
                <c:formatCode>0%</c:formatCode>
                <c:ptCount val="21"/>
                <c:pt idx="0">
                  <c:v>0.75</c:v>
                </c:pt>
                <c:pt idx="1">
                  <c:v>0.75</c:v>
                </c:pt>
                <c:pt idx="2">
                  <c:v>0.75</c:v>
                </c:pt>
                <c:pt idx="3">
                  <c:v>0.75</c:v>
                </c:pt>
                <c:pt idx="4">
                  <c:v>0.75</c:v>
                </c:pt>
                <c:pt idx="5">
                  <c:v>0.75</c:v>
                </c:pt>
                <c:pt idx="6">
                  <c:v>0.75</c:v>
                </c:pt>
                <c:pt idx="7">
                  <c:v>0.75</c:v>
                </c:pt>
                <c:pt idx="8">
                  <c:v>0.75</c:v>
                </c:pt>
                <c:pt idx="9">
                  <c:v>0.75</c:v>
                </c:pt>
                <c:pt idx="10">
                  <c:v>0.75</c:v>
                </c:pt>
                <c:pt idx="11">
                  <c:v>0.75</c:v>
                </c:pt>
                <c:pt idx="12">
                  <c:v>0.75</c:v>
                </c:pt>
                <c:pt idx="13">
                  <c:v>0.75</c:v>
                </c:pt>
                <c:pt idx="14">
                  <c:v>0.75</c:v>
                </c:pt>
                <c:pt idx="15">
                  <c:v>0.75</c:v>
                </c:pt>
                <c:pt idx="16">
                  <c:v>0.75</c:v>
                </c:pt>
                <c:pt idx="17">
                  <c:v>0.75</c:v>
                </c:pt>
                <c:pt idx="18">
                  <c:v>0.75</c:v>
                </c:pt>
                <c:pt idx="19">
                  <c:v>0.75</c:v>
                </c:pt>
                <c:pt idx="20">
                  <c:v>0.75</c:v>
                </c:pt>
              </c:numCache>
            </c:numRef>
          </c:val>
        </c:ser>
        <c:ser>
          <c:idx val="0"/>
          <c:order val="2"/>
          <c:tx>
            <c:strRef>
              <c:f>Calcs!$BE$17</c:f>
              <c:strCache>
                <c:ptCount val="1"/>
                <c:pt idx="0">
                  <c:v>Way low</c:v>
                </c:pt>
              </c:strCache>
            </c:strRef>
          </c:tx>
          <c:spPr>
            <a:solidFill>
              <a:srgbClr val="FFC5C5"/>
            </a:solidFill>
            <a:ln>
              <a:noFill/>
            </a:ln>
            <a:effectLst/>
          </c:spPr>
          <c:cat>
            <c:numRef>
              <c:f>Calcs!$A$18:$A$38</c:f>
              <c:numCache>
                <c:formatCode>m/d;@</c:formatCode>
                <c:ptCount val="21"/>
                <c:pt idx="0">
                  <c:v>42499</c:v>
                </c:pt>
                <c:pt idx="1">
                  <c:v>42500</c:v>
                </c:pt>
                <c:pt idx="2">
                  <c:v>42501</c:v>
                </c:pt>
                <c:pt idx="3">
                  <c:v>42502</c:v>
                </c:pt>
                <c:pt idx="4">
                  <c:v>42503</c:v>
                </c:pt>
                <c:pt idx="5">
                  <c:v>42506</c:v>
                </c:pt>
                <c:pt idx="6">
                  <c:v>42507</c:v>
                </c:pt>
                <c:pt idx="7">
                  <c:v>42508</c:v>
                </c:pt>
                <c:pt idx="8">
                  <c:v>42509</c:v>
                </c:pt>
                <c:pt idx="9">
                  <c:v>42510</c:v>
                </c:pt>
                <c:pt idx="10">
                  <c:v>42513</c:v>
                </c:pt>
                <c:pt idx="11">
                  <c:v>42514</c:v>
                </c:pt>
                <c:pt idx="12">
                  <c:v>42515</c:v>
                </c:pt>
                <c:pt idx="13">
                  <c:v>42516</c:v>
                </c:pt>
                <c:pt idx="14">
                  <c:v>42517</c:v>
                </c:pt>
                <c:pt idx="15">
                  <c:v>42520</c:v>
                </c:pt>
                <c:pt idx="16">
                  <c:v>42521</c:v>
                </c:pt>
                <c:pt idx="17">
                  <c:v>42522</c:v>
                </c:pt>
                <c:pt idx="18">
                  <c:v>42523</c:v>
                </c:pt>
                <c:pt idx="19">
                  <c:v>42524</c:v>
                </c:pt>
                <c:pt idx="20">
                  <c:v>42527</c:v>
                </c:pt>
              </c:numCache>
            </c:numRef>
          </c:cat>
          <c:val>
            <c:numRef>
              <c:f>Calcs!$BE$18:$BE$38</c:f>
              <c:numCache>
                <c:formatCode>0%</c:formatCode>
                <c:ptCount val="21"/>
                <c:pt idx="0">
                  <c:v>0.5</c:v>
                </c:pt>
                <c:pt idx="1">
                  <c:v>0.5</c:v>
                </c:pt>
                <c:pt idx="2">
                  <c:v>0.5</c:v>
                </c:pt>
                <c:pt idx="3">
                  <c:v>0.5</c:v>
                </c:pt>
                <c:pt idx="4">
                  <c:v>0.5</c:v>
                </c:pt>
                <c:pt idx="5">
                  <c:v>0.5</c:v>
                </c:pt>
                <c:pt idx="6">
                  <c:v>0.5</c:v>
                </c:pt>
                <c:pt idx="7">
                  <c:v>0.5</c:v>
                </c:pt>
                <c:pt idx="8">
                  <c:v>0.5</c:v>
                </c:pt>
                <c:pt idx="9">
                  <c:v>0.5</c:v>
                </c:pt>
                <c:pt idx="10">
                  <c:v>0.5</c:v>
                </c:pt>
                <c:pt idx="11">
                  <c:v>0.5</c:v>
                </c:pt>
                <c:pt idx="12">
                  <c:v>0.5</c:v>
                </c:pt>
                <c:pt idx="13">
                  <c:v>0.5</c:v>
                </c:pt>
                <c:pt idx="14">
                  <c:v>0.5</c:v>
                </c:pt>
                <c:pt idx="15">
                  <c:v>0.5</c:v>
                </c:pt>
                <c:pt idx="16">
                  <c:v>0.5</c:v>
                </c:pt>
                <c:pt idx="17">
                  <c:v>0.5</c:v>
                </c:pt>
                <c:pt idx="18">
                  <c:v>0.5</c:v>
                </c:pt>
                <c:pt idx="19">
                  <c:v>0.5</c:v>
                </c:pt>
                <c:pt idx="20">
                  <c:v>0.5</c:v>
                </c:pt>
              </c:numCache>
            </c:numRef>
          </c:val>
        </c:ser>
        <c:dLbls>
          <c:showLegendKey val="0"/>
          <c:showVal val="0"/>
          <c:showCatName val="0"/>
          <c:showSerName val="0"/>
          <c:showPercent val="0"/>
          <c:showBubbleSize val="0"/>
        </c:dLbls>
        <c:axId val="-1650490480"/>
        <c:axId val="-1650470896"/>
      </c:areaChart>
      <c:lineChart>
        <c:grouping val="standard"/>
        <c:varyColors val="0"/>
        <c:ser>
          <c:idx val="2"/>
          <c:order val="3"/>
          <c:tx>
            <c:strRef>
              <c:f>Calcs!$BH$17</c:f>
              <c:strCache>
                <c:ptCount val="1"/>
                <c:pt idx="0">
                  <c:v>Product Improvements</c:v>
                </c:pt>
              </c:strCache>
            </c:strRef>
          </c:tx>
          <c:spPr>
            <a:ln w="28575" cap="rnd">
              <a:solidFill>
                <a:schemeClr val="accent1"/>
              </a:solidFill>
              <a:round/>
            </a:ln>
            <a:effectLst/>
          </c:spPr>
          <c:marker>
            <c:symbol val="none"/>
          </c:marker>
          <c:val>
            <c:numRef>
              <c:f>Calcs!$BH$18:$BH$38</c:f>
              <c:numCache>
                <c:formatCode>0%</c:formatCode>
                <c:ptCount val="21"/>
                <c:pt idx="0">
                  <c:v>0.91666666666666663</c:v>
                </c:pt>
                <c:pt idx="1">
                  <c:v>0.91666666666666663</c:v>
                </c:pt>
                <c:pt idx="2">
                  <c:v>0.91666666666666663</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numCache>
            </c:numRef>
          </c:val>
          <c:smooth val="0"/>
        </c:ser>
        <c:ser>
          <c:idx val="4"/>
          <c:order val="4"/>
          <c:tx>
            <c:strRef>
              <c:f>Calcs!$BI$17</c:f>
              <c:strCache>
                <c:ptCount val="1"/>
                <c:pt idx="0">
                  <c:v>Product Experiments</c:v>
                </c:pt>
              </c:strCache>
            </c:strRef>
          </c:tx>
          <c:spPr>
            <a:ln w="28575" cap="rnd">
              <a:solidFill>
                <a:schemeClr val="accent3"/>
              </a:solidFill>
              <a:round/>
            </a:ln>
            <a:effectLst/>
          </c:spPr>
          <c:marker>
            <c:symbol val="none"/>
          </c:marker>
          <c:val>
            <c:numRef>
              <c:f>Calcs!$BI$18:$BI$38</c:f>
              <c:numCache>
                <c:formatCode>0%</c:formatCode>
                <c:ptCount val="21"/>
                <c:pt idx="0">
                  <c:v>0.9</c:v>
                </c:pt>
                <c:pt idx="1">
                  <c:v>0.9</c:v>
                </c:pt>
                <c:pt idx="2">
                  <c:v>0.9</c:v>
                </c:pt>
                <c:pt idx="3">
                  <c:v>0.8</c:v>
                </c:pt>
                <c:pt idx="4">
                  <c:v>0.8</c:v>
                </c:pt>
                <c:pt idx="5">
                  <c:v>0.8</c:v>
                </c:pt>
                <c:pt idx="6">
                  <c:v>0.8</c:v>
                </c:pt>
                <c:pt idx="7">
                  <c:v>0.8</c:v>
                </c:pt>
                <c:pt idx="8">
                  <c:v>0.72727272727272729</c:v>
                </c:pt>
                <c:pt idx="9">
                  <c:v>0.72727272727272729</c:v>
                </c:pt>
                <c:pt idx="10">
                  <c:v>0.72727272727272729</c:v>
                </c:pt>
                <c:pt idx="11">
                  <c:v>0.72727272727272729</c:v>
                </c:pt>
                <c:pt idx="12">
                  <c:v>0.72727272727272729</c:v>
                </c:pt>
                <c:pt idx="13">
                  <c:v>1</c:v>
                </c:pt>
                <c:pt idx="14">
                  <c:v>1</c:v>
                </c:pt>
                <c:pt idx="15">
                  <c:v>1</c:v>
                </c:pt>
                <c:pt idx="16">
                  <c:v>1</c:v>
                </c:pt>
                <c:pt idx="17">
                  <c:v>1</c:v>
                </c:pt>
                <c:pt idx="18">
                  <c:v>0.8571428571428571</c:v>
                </c:pt>
                <c:pt idx="19">
                  <c:v>0.8571428571428571</c:v>
                </c:pt>
                <c:pt idx="20">
                  <c:v>0.8571428571428571</c:v>
                </c:pt>
              </c:numCache>
            </c:numRef>
          </c:val>
          <c:smooth val="0"/>
        </c:ser>
        <c:ser>
          <c:idx val="5"/>
          <c:order val="5"/>
          <c:tx>
            <c:strRef>
              <c:f>Calcs!$BJ$17</c:f>
              <c:strCache>
                <c:ptCount val="1"/>
                <c:pt idx="0">
                  <c:v>Sustainability Improvements</c:v>
                </c:pt>
              </c:strCache>
            </c:strRef>
          </c:tx>
          <c:spPr>
            <a:ln w="28575" cap="rnd">
              <a:solidFill>
                <a:schemeClr val="accent4"/>
              </a:solidFill>
              <a:round/>
            </a:ln>
            <a:effectLst/>
          </c:spPr>
          <c:marker>
            <c:symbol val="none"/>
          </c:marker>
          <c:val>
            <c:numRef>
              <c:f>Calcs!$BJ$18:$BJ$38</c:f>
              <c:numCache>
                <c:formatCode>0%</c:formatCode>
                <c:ptCount val="21"/>
                <c:pt idx="0">
                  <c:v>0.66666666666666663</c:v>
                </c:pt>
                <c:pt idx="1">
                  <c:v>0.66666666666666663</c:v>
                </c:pt>
                <c:pt idx="2">
                  <c:v>0.5</c:v>
                </c:pt>
                <c:pt idx="3">
                  <c:v>0.5</c:v>
                </c:pt>
                <c:pt idx="4">
                  <c:v>1</c:v>
                </c:pt>
                <c:pt idx="5">
                  <c:v>1</c:v>
                </c:pt>
                <c:pt idx="6">
                  <c:v>1</c:v>
                </c:pt>
                <c:pt idx="7">
                  <c:v>1</c:v>
                </c:pt>
                <c:pt idx="8">
                  <c:v>1</c:v>
                </c:pt>
                <c:pt idx="9">
                  <c:v>1</c:v>
                </c:pt>
                <c:pt idx="10">
                  <c:v>1</c:v>
                </c:pt>
                <c:pt idx="11">
                  <c:v>1</c:v>
                </c:pt>
                <c:pt idx="12">
                  <c:v>0.5</c:v>
                </c:pt>
                <c:pt idx="13">
                  <c:v>0.5</c:v>
                </c:pt>
                <c:pt idx="14">
                  <c:v>1</c:v>
                </c:pt>
                <c:pt idx="15">
                  <c:v>1</c:v>
                </c:pt>
                <c:pt idx="16">
                  <c:v>1</c:v>
                </c:pt>
                <c:pt idx="17">
                  <c:v>1</c:v>
                </c:pt>
                <c:pt idx="18">
                  <c:v>0.5</c:v>
                </c:pt>
                <c:pt idx="19">
                  <c:v>0.5</c:v>
                </c:pt>
                <c:pt idx="20">
                  <c:v>0.5</c:v>
                </c:pt>
              </c:numCache>
            </c:numRef>
          </c:val>
          <c:smooth val="0"/>
        </c:ser>
        <c:ser>
          <c:idx val="7"/>
          <c:order val="6"/>
          <c:tx>
            <c:strRef>
              <c:f>Calcs!$BK$17</c:f>
              <c:strCache>
                <c:ptCount val="1"/>
                <c:pt idx="0">
                  <c:v>Sustainability Experiments</c:v>
                </c:pt>
              </c:strCache>
            </c:strRef>
          </c:tx>
          <c:spPr>
            <a:ln w="28575" cap="rnd">
              <a:solidFill>
                <a:schemeClr val="accent6"/>
              </a:solidFill>
              <a:round/>
            </a:ln>
            <a:effectLst/>
          </c:spPr>
          <c:marker>
            <c:symbol val="none"/>
          </c:marker>
          <c:val>
            <c:numRef>
              <c:f>Calcs!$BK$18:$BK$38</c:f>
              <c:numCache>
                <c:formatCode>0%</c:formatCode>
                <c:ptCount val="21"/>
                <c:pt idx="0">
                  <c:v>0.5</c:v>
                </c:pt>
                <c:pt idx="1">
                  <c:v>0.5</c:v>
                </c:pt>
                <c:pt idx="2">
                  <c:v>0.66666666666666663</c:v>
                </c:pt>
                <c:pt idx="3">
                  <c:v>0.66666666666666663</c:v>
                </c:pt>
                <c:pt idx="4">
                  <c:v>0.66666666666666663</c:v>
                </c:pt>
                <c:pt idx="5">
                  <c:v>0.66666666666666663</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numCache>
            </c:numRef>
          </c:val>
          <c:smooth val="0"/>
        </c:ser>
        <c:dLbls>
          <c:showLegendKey val="0"/>
          <c:showVal val="0"/>
          <c:showCatName val="0"/>
          <c:showSerName val="0"/>
          <c:showPercent val="0"/>
          <c:showBubbleSize val="0"/>
        </c:dLbls>
        <c:marker val="1"/>
        <c:smooth val="0"/>
        <c:axId val="-1650490480"/>
        <c:axId val="-1650470896"/>
      </c:lineChart>
      <c:dateAx>
        <c:axId val="-1650490480"/>
        <c:scaling>
          <c:orientation val="minMax"/>
        </c:scaling>
        <c:delete val="0"/>
        <c:axPos val="b"/>
        <c:numFmt formatCode="m/d;@"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0470896"/>
        <c:crosses val="autoZero"/>
        <c:auto val="1"/>
        <c:lblOffset val="100"/>
        <c:baseTimeUnit val="days"/>
      </c:dateAx>
      <c:valAx>
        <c:axId val="-1650470896"/>
        <c:scaling>
          <c:orientation val="minMax"/>
          <c:max val="1"/>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0490480"/>
        <c:crosses val="autoZero"/>
        <c:crossBetween val="between"/>
      </c:valAx>
      <c:spPr>
        <a:noFill/>
        <a:ln>
          <a:noFill/>
        </a:ln>
        <a:effectLst/>
      </c:spPr>
    </c:plotArea>
    <c:legend>
      <c:legendPos val="b"/>
      <c:legendEntry>
        <c:idx val="0"/>
        <c:delete val="1"/>
      </c:legendEntry>
      <c:legendEntry>
        <c:idx val="1"/>
        <c:delete val="1"/>
      </c:legendEntry>
      <c:legendEntry>
        <c:idx val="2"/>
        <c:delete val="1"/>
      </c:legendEntry>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of</a:t>
            </a:r>
            <a:r>
              <a:rPr lang="en-US" baseline="0"/>
              <a:t> improvements that deliver results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standard"/>
        <c:varyColors val="0"/>
        <c:ser>
          <c:idx val="3"/>
          <c:order val="0"/>
          <c:tx>
            <c:strRef>
              <c:f>Calcs!$BN$17</c:f>
              <c:strCache>
                <c:ptCount val="1"/>
                <c:pt idx="0">
                  <c:v>Good</c:v>
                </c:pt>
              </c:strCache>
            </c:strRef>
          </c:tx>
          <c:spPr>
            <a:solidFill>
              <a:srgbClr val="A7FFA7"/>
            </a:solidFill>
            <a:ln>
              <a:noFill/>
            </a:ln>
            <a:effectLst/>
          </c:spPr>
          <c:cat>
            <c:numRef>
              <c:f>Calcs!$A$18:$A$38</c:f>
              <c:numCache>
                <c:formatCode>m/d;@</c:formatCode>
                <c:ptCount val="21"/>
                <c:pt idx="0">
                  <c:v>42499</c:v>
                </c:pt>
                <c:pt idx="1">
                  <c:v>42500</c:v>
                </c:pt>
                <c:pt idx="2">
                  <c:v>42501</c:v>
                </c:pt>
                <c:pt idx="3">
                  <c:v>42502</c:v>
                </c:pt>
                <c:pt idx="4">
                  <c:v>42503</c:v>
                </c:pt>
                <c:pt idx="5">
                  <c:v>42506</c:v>
                </c:pt>
                <c:pt idx="6">
                  <c:v>42507</c:v>
                </c:pt>
                <c:pt idx="7">
                  <c:v>42508</c:v>
                </c:pt>
                <c:pt idx="8">
                  <c:v>42509</c:v>
                </c:pt>
                <c:pt idx="9">
                  <c:v>42510</c:v>
                </c:pt>
                <c:pt idx="10">
                  <c:v>42513</c:v>
                </c:pt>
                <c:pt idx="11">
                  <c:v>42514</c:v>
                </c:pt>
                <c:pt idx="12">
                  <c:v>42515</c:v>
                </c:pt>
                <c:pt idx="13">
                  <c:v>42516</c:v>
                </c:pt>
                <c:pt idx="14">
                  <c:v>42517</c:v>
                </c:pt>
                <c:pt idx="15">
                  <c:v>42520</c:v>
                </c:pt>
                <c:pt idx="16">
                  <c:v>42521</c:v>
                </c:pt>
                <c:pt idx="17">
                  <c:v>42522</c:v>
                </c:pt>
                <c:pt idx="18">
                  <c:v>42523</c:v>
                </c:pt>
                <c:pt idx="19">
                  <c:v>42524</c:v>
                </c:pt>
                <c:pt idx="20">
                  <c:v>42527</c:v>
                </c:pt>
              </c:numCache>
            </c:numRef>
          </c:cat>
          <c:val>
            <c:numRef>
              <c:f>Calcs!$BN$18:$BN$38</c:f>
              <c:numCache>
                <c:formatCode>0%</c:formatCode>
                <c:ptCount val="2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numCache>
            </c:numRef>
          </c:val>
        </c:ser>
        <c:ser>
          <c:idx val="1"/>
          <c:order val="1"/>
          <c:tx>
            <c:strRef>
              <c:f>Calcs!$BM$17</c:f>
              <c:strCache>
                <c:ptCount val="1"/>
                <c:pt idx="0">
                  <c:v>Low</c:v>
                </c:pt>
              </c:strCache>
            </c:strRef>
          </c:tx>
          <c:spPr>
            <a:solidFill>
              <a:srgbClr val="FFFFBD"/>
            </a:solidFill>
            <a:ln>
              <a:noFill/>
            </a:ln>
            <a:effectLst/>
          </c:spPr>
          <c:cat>
            <c:numRef>
              <c:f>Calcs!$A$18:$A$38</c:f>
              <c:numCache>
                <c:formatCode>m/d;@</c:formatCode>
                <c:ptCount val="21"/>
                <c:pt idx="0">
                  <c:v>42499</c:v>
                </c:pt>
                <c:pt idx="1">
                  <c:v>42500</c:v>
                </c:pt>
                <c:pt idx="2">
                  <c:v>42501</c:v>
                </c:pt>
                <c:pt idx="3">
                  <c:v>42502</c:v>
                </c:pt>
                <c:pt idx="4">
                  <c:v>42503</c:v>
                </c:pt>
                <c:pt idx="5">
                  <c:v>42506</c:v>
                </c:pt>
                <c:pt idx="6">
                  <c:v>42507</c:v>
                </c:pt>
                <c:pt idx="7">
                  <c:v>42508</c:v>
                </c:pt>
                <c:pt idx="8">
                  <c:v>42509</c:v>
                </c:pt>
                <c:pt idx="9">
                  <c:v>42510</c:v>
                </c:pt>
                <c:pt idx="10">
                  <c:v>42513</c:v>
                </c:pt>
                <c:pt idx="11">
                  <c:v>42514</c:v>
                </c:pt>
                <c:pt idx="12">
                  <c:v>42515</c:v>
                </c:pt>
                <c:pt idx="13">
                  <c:v>42516</c:v>
                </c:pt>
                <c:pt idx="14">
                  <c:v>42517</c:v>
                </c:pt>
                <c:pt idx="15">
                  <c:v>42520</c:v>
                </c:pt>
                <c:pt idx="16">
                  <c:v>42521</c:v>
                </c:pt>
                <c:pt idx="17">
                  <c:v>42522</c:v>
                </c:pt>
                <c:pt idx="18">
                  <c:v>42523</c:v>
                </c:pt>
                <c:pt idx="19">
                  <c:v>42524</c:v>
                </c:pt>
                <c:pt idx="20">
                  <c:v>42527</c:v>
                </c:pt>
              </c:numCache>
            </c:numRef>
          </c:cat>
          <c:val>
            <c:numRef>
              <c:f>Calcs!$BM$18:$BM$38</c:f>
              <c:numCache>
                <c:formatCode>0%</c:formatCode>
                <c:ptCount val="21"/>
                <c:pt idx="0">
                  <c:v>0.9</c:v>
                </c:pt>
                <c:pt idx="1">
                  <c:v>0.9</c:v>
                </c:pt>
                <c:pt idx="2">
                  <c:v>0.9</c:v>
                </c:pt>
                <c:pt idx="3">
                  <c:v>0.9</c:v>
                </c:pt>
                <c:pt idx="4">
                  <c:v>0.9</c:v>
                </c:pt>
                <c:pt idx="5">
                  <c:v>0.9</c:v>
                </c:pt>
                <c:pt idx="6">
                  <c:v>0.9</c:v>
                </c:pt>
                <c:pt idx="7">
                  <c:v>0.9</c:v>
                </c:pt>
                <c:pt idx="8">
                  <c:v>0.9</c:v>
                </c:pt>
                <c:pt idx="9">
                  <c:v>0.9</c:v>
                </c:pt>
                <c:pt idx="10">
                  <c:v>0.9</c:v>
                </c:pt>
                <c:pt idx="11">
                  <c:v>0.9</c:v>
                </c:pt>
                <c:pt idx="12">
                  <c:v>0.9</c:v>
                </c:pt>
                <c:pt idx="13">
                  <c:v>0.9</c:v>
                </c:pt>
                <c:pt idx="14">
                  <c:v>0.9</c:v>
                </c:pt>
                <c:pt idx="15">
                  <c:v>0.9</c:v>
                </c:pt>
                <c:pt idx="16">
                  <c:v>0.9</c:v>
                </c:pt>
                <c:pt idx="17">
                  <c:v>0.9</c:v>
                </c:pt>
                <c:pt idx="18">
                  <c:v>0.9</c:v>
                </c:pt>
                <c:pt idx="19">
                  <c:v>0.9</c:v>
                </c:pt>
                <c:pt idx="20">
                  <c:v>0.9</c:v>
                </c:pt>
              </c:numCache>
            </c:numRef>
          </c:val>
        </c:ser>
        <c:ser>
          <c:idx val="0"/>
          <c:order val="2"/>
          <c:tx>
            <c:strRef>
              <c:f>Calcs!$BL$17</c:f>
              <c:strCache>
                <c:ptCount val="1"/>
                <c:pt idx="0">
                  <c:v>Way low</c:v>
                </c:pt>
              </c:strCache>
            </c:strRef>
          </c:tx>
          <c:spPr>
            <a:solidFill>
              <a:srgbClr val="FFC5C5"/>
            </a:solidFill>
            <a:ln>
              <a:noFill/>
            </a:ln>
            <a:effectLst/>
          </c:spPr>
          <c:cat>
            <c:numRef>
              <c:f>Calcs!$A$18:$A$38</c:f>
              <c:numCache>
                <c:formatCode>m/d;@</c:formatCode>
                <c:ptCount val="21"/>
                <c:pt idx="0">
                  <c:v>42499</c:v>
                </c:pt>
                <c:pt idx="1">
                  <c:v>42500</c:v>
                </c:pt>
                <c:pt idx="2">
                  <c:v>42501</c:v>
                </c:pt>
                <c:pt idx="3">
                  <c:v>42502</c:v>
                </c:pt>
                <c:pt idx="4">
                  <c:v>42503</c:v>
                </c:pt>
                <c:pt idx="5">
                  <c:v>42506</c:v>
                </c:pt>
                <c:pt idx="6">
                  <c:v>42507</c:v>
                </c:pt>
                <c:pt idx="7">
                  <c:v>42508</c:v>
                </c:pt>
                <c:pt idx="8">
                  <c:v>42509</c:v>
                </c:pt>
                <c:pt idx="9">
                  <c:v>42510</c:v>
                </c:pt>
                <c:pt idx="10">
                  <c:v>42513</c:v>
                </c:pt>
                <c:pt idx="11">
                  <c:v>42514</c:v>
                </c:pt>
                <c:pt idx="12">
                  <c:v>42515</c:v>
                </c:pt>
                <c:pt idx="13">
                  <c:v>42516</c:v>
                </c:pt>
                <c:pt idx="14">
                  <c:v>42517</c:v>
                </c:pt>
                <c:pt idx="15">
                  <c:v>42520</c:v>
                </c:pt>
                <c:pt idx="16">
                  <c:v>42521</c:v>
                </c:pt>
                <c:pt idx="17">
                  <c:v>42522</c:v>
                </c:pt>
                <c:pt idx="18">
                  <c:v>42523</c:v>
                </c:pt>
                <c:pt idx="19">
                  <c:v>42524</c:v>
                </c:pt>
                <c:pt idx="20">
                  <c:v>42527</c:v>
                </c:pt>
              </c:numCache>
            </c:numRef>
          </c:cat>
          <c:val>
            <c:numRef>
              <c:f>Calcs!$BL$18:$BL$38</c:f>
              <c:numCache>
                <c:formatCode>0%</c:formatCode>
                <c:ptCount val="21"/>
                <c:pt idx="0">
                  <c:v>0.75</c:v>
                </c:pt>
                <c:pt idx="1">
                  <c:v>0.75</c:v>
                </c:pt>
                <c:pt idx="2">
                  <c:v>0.75</c:v>
                </c:pt>
                <c:pt idx="3">
                  <c:v>0.75</c:v>
                </c:pt>
                <c:pt idx="4">
                  <c:v>0.75</c:v>
                </c:pt>
                <c:pt idx="5">
                  <c:v>0.75</c:v>
                </c:pt>
                <c:pt idx="6">
                  <c:v>0.75</c:v>
                </c:pt>
                <c:pt idx="7">
                  <c:v>0.75</c:v>
                </c:pt>
                <c:pt idx="8">
                  <c:v>0.75</c:v>
                </c:pt>
                <c:pt idx="9">
                  <c:v>0.75</c:v>
                </c:pt>
                <c:pt idx="10">
                  <c:v>0.75</c:v>
                </c:pt>
                <c:pt idx="11">
                  <c:v>0.75</c:v>
                </c:pt>
                <c:pt idx="12">
                  <c:v>0.75</c:v>
                </c:pt>
                <c:pt idx="13">
                  <c:v>0.75</c:v>
                </c:pt>
                <c:pt idx="14">
                  <c:v>0.75</c:v>
                </c:pt>
                <c:pt idx="15">
                  <c:v>0.75</c:v>
                </c:pt>
                <c:pt idx="16">
                  <c:v>0.75</c:v>
                </c:pt>
                <c:pt idx="17">
                  <c:v>0.75</c:v>
                </c:pt>
                <c:pt idx="18">
                  <c:v>0.75</c:v>
                </c:pt>
                <c:pt idx="19">
                  <c:v>0.75</c:v>
                </c:pt>
                <c:pt idx="20">
                  <c:v>0.75</c:v>
                </c:pt>
              </c:numCache>
            </c:numRef>
          </c:val>
        </c:ser>
        <c:dLbls>
          <c:showLegendKey val="0"/>
          <c:showVal val="0"/>
          <c:showCatName val="0"/>
          <c:showSerName val="0"/>
          <c:showPercent val="0"/>
          <c:showBubbleSize val="0"/>
        </c:dLbls>
        <c:axId val="-1650493744"/>
        <c:axId val="-1650481232"/>
      </c:areaChart>
      <c:lineChart>
        <c:grouping val="standard"/>
        <c:varyColors val="0"/>
        <c:ser>
          <c:idx val="2"/>
          <c:order val="3"/>
          <c:tx>
            <c:strRef>
              <c:f>Calcs!$BO$17</c:f>
              <c:strCache>
                <c:ptCount val="1"/>
                <c:pt idx="0">
                  <c:v>Product Improvements</c:v>
                </c:pt>
              </c:strCache>
            </c:strRef>
          </c:tx>
          <c:spPr>
            <a:ln w="28575" cap="rnd">
              <a:solidFill>
                <a:schemeClr val="accent1"/>
              </a:solidFill>
              <a:round/>
            </a:ln>
            <a:effectLst/>
          </c:spPr>
          <c:marker>
            <c:symbol val="none"/>
          </c:marker>
          <c:val>
            <c:numRef>
              <c:f>Calcs!$BO$18:$BO$38</c:f>
              <c:numCache>
                <c:formatCode>0%</c:formatCode>
                <c:ptCount val="21"/>
                <c:pt idx="0">
                  <c:v>0.93333333333333335</c:v>
                </c:pt>
                <c:pt idx="1">
                  <c:v>0.93333333333333335</c:v>
                </c:pt>
                <c:pt idx="2">
                  <c:v>0.93333333333333335</c:v>
                </c:pt>
                <c:pt idx="3">
                  <c:v>1</c:v>
                </c:pt>
                <c:pt idx="4">
                  <c:v>1</c:v>
                </c:pt>
                <c:pt idx="5">
                  <c:v>1</c:v>
                </c:pt>
                <c:pt idx="6">
                  <c:v>1</c:v>
                </c:pt>
                <c:pt idx="7">
                  <c:v>1</c:v>
                </c:pt>
                <c:pt idx="8">
                  <c:v>0.76923076923076927</c:v>
                </c:pt>
                <c:pt idx="9">
                  <c:v>0.76923076923076927</c:v>
                </c:pt>
                <c:pt idx="10">
                  <c:v>0.76923076923076927</c:v>
                </c:pt>
                <c:pt idx="11">
                  <c:v>0.76923076923076927</c:v>
                </c:pt>
                <c:pt idx="12">
                  <c:v>0.76923076923076927</c:v>
                </c:pt>
                <c:pt idx="13">
                  <c:v>1</c:v>
                </c:pt>
                <c:pt idx="14">
                  <c:v>1</c:v>
                </c:pt>
                <c:pt idx="15">
                  <c:v>1</c:v>
                </c:pt>
                <c:pt idx="16">
                  <c:v>1</c:v>
                </c:pt>
                <c:pt idx="17">
                  <c:v>1</c:v>
                </c:pt>
                <c:pt idx="18">
                  <c:v>0.7142857142857143</c:v>
                </c:pt>
                <c:pt idx="19">
                  <c:v>0.7142857142857143</c:v>
                </c:pt>
                <c:pt idx="20">
                  <c:v>0.7142857142857143</c:v>
                </c:pt>
              </c:numCache>
            </c:numRef>
          </c:val>
          <c:smooth val="0"/>
        </c:ser>
        <c:ser>
          <c:idx val="7"/>
          <c:order val="4"/>
          <c:tx>
            <c:strRef>
              <c:f>Calcs!$BP$17</c:f>
              <c:strCache>
                <c:ptCount val="1"/>
                <c:pt idx="0">
                  <c:v>Sustainability Improvements</c:v>
                </c:pt>
              </c:strCache>
            </c:strRef>
          </c:tx>
          <c:spPr>
            <a:ln w="28575" cap="rnd">
              <a:solidFill>
                <a:schemeClr val="accent6"/>
              </a:solidFill>
              <a:round/>
            </a:ln>
            <a:effectLst/>
          </c:spPr>
          <c:marker>
            <c:symbol val="none"/>
          </c:marker>
          <c:val>
            <c:numRef>
              <c:f>Calcs!$BP$18:$BP$38</c:f>
              <c:numCache>
                <c:formatCode>0%</c:formatCode>
                <c:ptCount val="21"/>
                <c:pt idx="0">
                  <c:v>0.66666666666666663</c:v>
                </c:pt>
                <c:pt idx="1">
                  <c:v>0.66666666666666663</c:v>
                </c:pt>
                <c:pt idx="2">
                  <c:v>1</c:v>
                </c:pt>
                <c:pt idx="3">
                  <c:v>1</c:v>
                </c:pt>
                <c:pt idx="4">
                  <c:v>0.75</c:v>
                </c:pt>
                <c:pt idx="5">
                  <c:v>0.75</c:v>
                </c:pt>
                <c:pt idx="6">
                  <c:v>1</c:v>
                </c:pt>
                <c:pt idx="7">
                  <c:v>1</c:v>
                </c:pt>
                <c:pt idx="8">
                  <c:v>0.75</c:v>
                </c:pt>
                <c:pt idx="9">
                  <c:v>0.75</c:v>
                </c:pt>
                <c:pt idx="10">
                  <c:v>1</c:v>
                </c:pt>
                <c:pt idx="11">
                  <c:v>1</c:v>
                </c:pt>
                <c:pt idx="12">
                  <c:v>1</c:v>
                </c:pt>
                <c:pt idx="13">
                  <c:v>1</c:v>
                </c:pt>
                <c:pt idx="14">
                  <c:v>0.75</c:v>
                </c:pt>
                <c:pt idx="15">
                  <c:v>0.75</c:v>
                </c:pt>
                <c:pt idx="16">
                  <c:v>0.66666666666666663</c:v>
                </c:pt>
                <c:pt idx="17">
                  <c:v>0.66666666666666663</c:v>
                </c:pt>
                <c:pt idx="18">
                  <c:v>1</c:v>
                </c:pt>
                <c:pt idx="19">
                  <c:v>1</c:v>
                </c:pt>
                <c:pt idx="20">
                  <c:v>1</c:v>
                </c:pt>
              </c:numCache>
            </c:numRef>
          </c:val>
          <c:smooth val="0"/>
        </c:ser>
        <c:dLbls>
          <c:showLegendKey val="0"/>
          <c:showVal val="0"/>
          <c:showCatName val="0"/>
          <c:showSerName val="0"/>
          <c:showPercent val="0"/>
          <c:showBubbleSize val="0"/>
        </c:dLbls>
        <c:marker val="1"/>
        <c:smooth val="0"/>
        <c:axId val="-1650493744"/>
        <c:axId val="-1650481232"/>
      </c:lineChart>
      <c:dateAx>
        <c:axId val="-1650493744"/>
        <c:scaling>
          <c:orientation val="minMax"/>
        </c:scaling>
        <c:delete val="0"/>
        <c:axPos val="b"/>
        <c:numFmt formatCode="m/d;@"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0481232"/>
        <c:crosses val="autoZero"/>
        <c:auto val="1"/>
        <c:lblOffset val="100"/>
        <c:baseTimeUnit val="days"/>
      </c:dateAx>
      <c:valAx>
        <c:axId val="-1650481232"/>
        <c:scaling>
          <c:orientation val="minMax"/>
          <c:max val="1"/>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0493744"/>
        <c:crosses val="autoZero"/>
        <c:crossBetween val="between"/>
      </c:valAx>
      <c:spPr>
        <a:noFill/>
        <a:ln>
          <a:noFill/>
        </a:ln>
        <a:effectLst/>
      </c:spPr>
    </c:plotArea>
    <c:legend>
      <c:legendPos val="b"/>
      <c:legendEntry>
        <c:idx val="0"/>
        <c:delete val="1"/>
      </c:legendEntry>
      <c:legendEntry>
        <c:idx val="1"/>
        <c:delete val="1"/>
      </c:legendEntry>
      <c:legendEntry>
        <c:idx val="2"/>
        <c:delete val="1"/>
      </c:legendEntry>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323850</xdr:colOff>
      <xdr:row>11</xdr:row>
      <xdr:rowOff>95250</xdr:rowOff>
    </xdr:from>
    <xdr:to>
      <xdr:col>11</xdr:col>
      <xdr:colOff>19050</xdr:colOff>
      <xdr:row>26</xdr:row>
      <xdr:rowOff>69850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469900</xdr:colOff>
      <xdr:row>55</xdr:row>
      <xdr:rowOff>82550</xdr:rowOff>
    </xdr:from>
    <xdr:to>
      <xdr:col>8</xdr:col>
      <xdr:colOff>114300</xdr:colOff>
      <xdr:row>70</xdr:row>
      <xdr:rowOff>63500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393700</xdr:colOff>
      <xdr:row>27</xdr:row>
      <xdr:rowOff>139700</xdr:rowOff>
    </xdr:from>
    <xdr:to>
      <xdr:col>8</xdr:col>
      <xdr:colOff>38100</xdr:colOff>
      <xdr:row>42</xdr:row>
      <xdr:rowOff>114300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520700</xdr:colOff>
      <xdr:row>27</xdr:row>
      <xdr:rowOff>139700</xdr:rowOff>
    </xdr:from>
    <xdr:to>
      <xdr:col>16</xdr:col>
      <xdr:colOff>215900</xdr:colOff>
      <xdr:row>42</xdr:row>
      <xdr:rowOff>114300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ables/table1.xml><?xml version="1.0" encoding="utf-8"?>
<table xmlns="http://schemas.openxmlformats.org/spreadsheetml/2006/main" id="6" name="budget_history" displayName="budget_history" ref="B16:C25" totalsRowShown="0">
  <autoFilter ref="B16:C25">
    <filterColumn colId="0" hiddenButton="1"/>
    <filterColumn colId="1" hiddenButton="1"/>
  </autoFilter>
  <tableColumns count="2">
    <tableColumn id="1" name="Date"/>
    <tableColumn id="2" name="Budget" dataCellStyle="Percent"/>
  </tableColumns>
  <tableStyleInfo name="TableStyleLight8" showFirstColumn="0" showLastColumn="0" showRowStripes="1" showColumnStripes="0"/>
</table>
</file>

<file path=xl/tables/table2.xml><?xml version="1.0" encoding="utf-8"?>
<table xmlns="http://schemas.openxmlformats.org/spreadsheetml/2006/main" id="2" name="actuals_prd_imp" displayName="actuals_prd_imp" ref="B1:K1048576" totalsRowShown="0" headerRowDxfId="15">
  <autoFilter ref="B1:K1048576">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autoFilter>
  <tableColumns count="10">
    <tableColumn id="1" name="End Date" dataDxfId="11"/>
    <tableColumn id="2" name="Taken into Immediate Future Plan"/>
    <tableColumn id="3" name="Added Additional"/>
    <tableColumn id="4" name="Removed Planned"/>
    <tableColumn id="5" name="Planned done"/>
    <tableColumn id="6" name="Additional done"/>
    <tableColumn id="8" name="Remaining Planned"/>
    <tableColumn id="10" name="Balance" dataDxfId="7"/>
    <tableColumn id="7" name="Had expected impact"/>
    <tableColumn id="11" name="Incorporated Learning into Future Plans"/>
  </tableColumns>
  <tableStyleInfo name="TableStyleLight9" showFirstColumn="0" showLastColumn="0" showRowStripes="1" showColumnStripes="0"/>
</table>
</file>

<file path=xl/tables/table3.xml><?xml version="1.0" encoding="utf-8"?>
<table xmlns="http://schemas.openxmlformats.org/spreadsheetml/2006/main" id="3" name="actuals_prd_exp" displayName="actuals_prd_exp" ref="M1:V1048576" totalsRowShown="0" headerRowDxfId="14">
  <autoFilter ref="M1:V1048576">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autoFilter>
  <tableColumns count="10">
    <tableColumn id="1" name="End Date" dataDxfId="9"/>
    <tableColumn id="2" name="Taken into Immediate Future Plan"/>
    <tableColumn id="3" name="Added Additional"/>
    <tableColumn id="4" name="Removed Planned"/>
    <tableColumn id="5" name="Planned done"/>
    <tableColumn id="6" name="Additional done"/>
    <tableColumn id="8" name="Remaining Planned"/>
    <tableColumn id="10" name="Balance" dataDxfId="6"/>
    <tableColumn id="7" name="Had expected impact"/>
    <tableColumn id="11" name="Incorporated Learning into Future Plans"/>
  </tableColumns>
  <tableStyleInfo name="TableStyleLight11" showFirstColumn="0" showLastColumn="0" showRowStripes="1" showColumnStripes="0"/>
</table>
</file>

<file path=xl/tables/table4.xml><?xml version="1.0" encoding="utf-8"?>
<table xmlns="http://schemas.openxmlformats.org/spreadsheetml/2006/main" id="5" name="actuals_stn_exp" displayName="actuals_stn_exp" ref="AI1:AR1048576" totalsRowShown="0" headerRowDxfId="12">
  <autoFilter ref="AI1:AR1048576">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autoFilter>
  <tableColumns count="10">
    <tableColumn id="1" name="End Date" dataDxfId="8"/>
    <tableColumn id="2" name="Taken into Immediate Future Plan"/>
    <tableColumn id="3" name="Added Additional"/>
    <tableColumn id="4" name="Removed Planned"/>
    <tableColumn id="5" name="Planned done"/>
    <tableColumn id="6" name="Additional done"/>
    <tableColumn id="8" name="Remaining Planned"/>
    <tableColumn id="12" name="Balance"/>
    <tableColumn id="7" name="Had expected impact"/>
    <tableColumn id="11" name="Incorporated Learning into Future Plans"/>
  </tableColumns>
  <tableStyleInfo name="TableStyleLight14" showFirstColumn="0" showLastColumn="0" showRowStripes="1" showColumnStripes="0"/>
</table>
</file>

<file path=xl/tables/table5.xml><?xml version="1.0" encoding="utf-8"?>
<table xmlns="http://schemas.openxmlformats.org/spreadsheetml/2006/main" id="4" name="actuals_stn_imp" displayName="actuals_stn_imp" ref="X1:AG1048576" totalsRowShown="0" headerRowDxfId="13">
  <autoFilter ref="X1:AG1048576">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autoFilter>
  <tableColumns count="10">
    <tableColumn id="1" name="End Date" dataDxfId="10"/>
    <tableColumn id="2" name="Taken into Immediate Future Plan"/>
    <tableColumn id="3" name="Added Additional"/>
    <tableColumn id="4" name="Removed Planned"/>
    <tableColumn id="5" name="Planned done"/>
    <tableColumn id="6" name="Additional done"/>
    <tableColumn id="8" name="Remaining Planned"/>
    <tableColumn id="10" name="Balance"/>
    <tableColumn id="7" name="Had expected impact"/>
    <tableColumn id="11" name="Incorporated Learning into Future Plans"/>
  </tableColumns>
  <tableStyleInfo name="TableStyleLight1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drawing" Target="../drawings/drawing1.xml"/><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3" Type="http://schemas.openxmlformats.org/officeDocument/2006/relationships/table" Target="../tables/table2.xml"/><Relationship Id="rId7"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6" Type="http://schemas.openxmlformats.org/officeDocument/2006/relationships/table" Target="../tables/table5.xml"/><Relationship Id="rId5" Type="http://schemas.openxmlformats.org/officeDocument/2006/relationships/table" Target="../tables/table4.xml"/><Relationship Id="rId4"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0"/>
  <sheetViews>
    <sheetView workbookViewId="0"/>
  </sheetViews>
  <sheetFormatPr defaultRowHeight="14.5" x14ac:dyDescent="0.35"/>
  <cols>
    <col min="1" max="1" width="113.453125" style="1" customWidth="1"/>
  </cols>
  <sheetData>
    <row r="1" spans="1:1" ht="22.5" x14ac:dyDescent="0.45">
      <c r="A1" s="3" t="s">
        <v>0</v>
      </c>
    </row>
    <row r="2" spans="1:1" ht="29" x14ac:dyDescent="0.35">
      <c r="A2" s="1" t="s">
        <v>3</v>
      </c>
    </row>
    <row r="3" spans="1:1" ht="29" x14ac:dyDescent="0.35">
      <c r="A3" s="1" t="s">
        <v>5</v>
      </c>
    </row>
    <row r="4" spans="1:1" ht="20" thickBot="1" x14ac:dyDescent="0.5">
      <c r="A4" s="2" t="s">
        <v>1</v>
      </c>
    </row>
    <row r="5" spans="1:1" ht="29.5" thickTop="1" x14ac:dyDescent="0.35">
      <c r="A5" s="1" t="s">
        <v>2</v>
      </c>
    </row>
    <row r="6" spans="1:1" ht="58" x14ac:dyDescent="0.35">
      <c r="A6" s="1" t="s">
        <v>22</v>
      </c>
    </row>
    <row r="7" spans="1:1" ht="29" x14ac:dyDescent="0.35">
      <c r="A7" s="1" t="s">
        <v>16</v>
      </c>
    </row>
    <row r="8" spans="1:1" x14ac:dyDescent="0.35">
      <c r="A8" s="1" t="s">
        <v>4</v>
      </c>
    </row>
    <row r="10" spans="1:1" ht="20" thickBot="1" x14ac:dyDescent="0.5">
      <c r="A10" s="2" t="s">
        <v>24</v>
      </c>
    </row>
    <row r="11" spans="1:1" ht="29.5" thickTop="1" x14ac:dyDescent="0.35">
      <c r="A11" s="1" t="s">
        <v>33</v>
      </c>
    </row>
    <row r="12" spans="1:1" ht="29" x14ac:dyDescent="0.35">
      <c r="A12" s="1" t="s">
        <v>70</v>
      </c>
    </row>
    <row r="14" spans="1:1" ht="20" thickBot="1" x14ac:dyDescent="0.5">
      <c r="A14" s="2" t="s">
        <v>25</v>
      </c>
    </row>
    <row r="15" spans="1:1" ht="44" thickTop="1" x14ac:dyDescent="0.35">
      <c r="A15" s="1" t="s">
        <v>28</v>
      </c>
    </row>
    <row r="16" spans="1:1" ht="29" x14ac:dyDescent="0.35">
      <c r="A16" s="1" t="s">
        <v>71</v>
      </c>
    </row>
    <row r="18" spans="1:1" ht="20" thickBot="1" x14ac:dyDescent="0.5">
      <c r="A18" s="2" t="s">
        <v>30</v>
      </c>
    </row>
    <row r="19" spans="1:1" ht="15" thickTop="1" x14ac:dyDescent="0.35">
      <c r="A19" s="1" t="s">
        <v>29</v>
      </c>
    </row>
    <row r="20" spans="1:1" ht="43.5" x14ac:dyDescent="0.35">
      <c r="A20" s="1" t="s">
        <v>34</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67"/>
  <sheetViews>
    <sheetView tabSelected="1" workbookViewId="0">
      <selection sqref="A1:E1"/>
    </sheetView>
  </sheetViews>
  <sheetFormatPr defaultRowHeight="14.5" x14ac:dyDescent="0.35"/>
  <cols>
    <col min="2" max="2" width="9.453125" bestFit="1" customWidth="1"/>
  </cols>
  <sheetData>
    <row r="1" spans="1:13" s="6" customFormat="1" ht="23" thickBot="1" x14ac:dyDescent="0.5">
      <c r="A1" s="14" t="s">
        <v>36</v>
      </c>
      <c r="B1" s="14"/>
      <c r="C1" s="14"/>
      <c r="D1" s="14"/>
      <c r="E1" s="14"/>
      <c r="F1" s="15">
        <f ca="1">TODAY()</f>
        <v>42527</v>
      </c>
      <c r="G1" s="16"/>
      <c r="H1" s="37"/>
      <c r="I1" s="37"/>
    </row>
    <row r="2" spans="1:13" s="5" customFormat="1" ht="20" thickBot="1" x14ac:dyDescent="0.5">
      <c r="A2" s="5" t="s">
        <v>31</v>
      </c>
    </row>
    <row r="3" spans="1:13" ht="15.5" thickTop="1" thickBot="1" x14ac:dyDescent="0.4"/>
    <row r="4" spans="1:13" x14ac:dyDescent="0.35">
      <c r="B4" s="27"/>
      <c r="C4" s="28"/>
      <c r="D4" s="29" t="s">
        <v>32</v>
      </c>
      <c r="E4" s="29"/>
      <c r="F4" s="30" t="s">
        <v>37</v>
      </c>
      <c r="G4" s="30"/>
      <c r="H4" s="30"/>
      <c r="I4" s="30"/>
      <c r="J4" s="30"/>
      <c r="K4" s="30"/>
      <c r="L4" s="30"/>
      <c r="M4" s="31"/>
    </row>
    <row r="5" spans="1:13" x14ac:dyDescent="0.35">
      <c r="B5" s="32"/>
      <c r="C5" s="33"/>
      <c r="D5" s="34"/>
      <c r="E5" s="34"/>
      <c r="F5" s="35" t="s">
        <v>93</v>
      </c>
      <c r="G5" s="35"/>
      <c r="H5" s="38" t="s">
        <v>38</v>
      </c>
      <c r="I5" s="39"/>
      <c r="J5" s="35" t="s">
        <v>76</v>
      </c>
      <c r="K5" s="35"/>
      <c r="L5" s="35" t="s">
        <v>94</v>
      </c>
      <c r="M5" s="36"/>
    </row>
    <row r="6" spans="1:13" ht="14.5" customHeight="1" x14ac:dyDescent="0.35">
      <c r="B6" s="32"/>
      <c r="C6" s="33"/>
      <c r="D6" s="34"/>
      <c r="E6" s="34"/>
      <c r="F6" s="35"/>
      <c r="G6" s="35"/>
      <c r="H6" s="40"/>
      <c r="I6" s="41"/>
      <c r="J6" s="35"/>
      <c r="K6" s="35"/>
      <c r="L6" s="35"/>
      <c r="M6" s="36"/>
    </row>
    <row r="7" spans="1:13" x14ac:dyDescent="0.35">
      <c r="B7" s="32"/>
      <c r="C7" s="33"/>
      <c r="D7" s="34"/>
      <c r="E7" s="34"/>
      <c r="F7" s="35"/>
      <c r="G7" s="35"/>
      <c r="H7" s="42"/>
      <c r="I7" s="43"/>
      <c r="J7" s="35"/>
      <c r="K7" s="35"/>
      <c r="L7" s="35"/>
      <c r="M7" s="36"/>
    </row>
    <row r="8" spans="1:13" x14ac:dyDescent="0.35">
      <c r="B8" s="22" t="s">
        <v>7</v>
      </c>
      <c r="C8" s="13"/>
      <c r="D8" s="21">
        <f ca="1">Calcs!G4</f>
        <v>42530</v>
      </c>
      <c r="E8" s="21"/>
      <c r="F8" s="20">
        <f ca="1">_xlfn.FLOOR.MATH(Calcs!C10)</f>
        <v>19</v>
      </c>
      <c r="G8" s="20"/>
      <c r="H8" s="44">
        <f ca="1">Calcs!D10</f>
        <v>28</v>
      </c>
      <c r="I8" s="45"/>
      <c r="J8" s="20">
        <f ca="1">_xlfn.FLOOR.MATH(Calcs!G10)</f>
        <v>11</v>
      </c>
      <c r="K8" s="20"/>
      <c r="L8" s="20">
        <f ca="1">_xlfn.FLOOR.MATH(Calcs!H10)</f>
        <v>11</v>
      </c>
      <c r="M8" s="23"/>
    </row>
    <row r="9" spans="1:13" ht="15" thickBot="1" x14ac:dyDescent="0.4">
      <c r="B9" s="17" t="s">
        <v>35</v>
      </c>
      <c r="C9" s="18"/>
      <c r="D9" s="24">
        <f ca="1">Calcs!G6</f>
        <v>42529</v>
      </c>
      <c r="E9" s="24"/>
      <c r="F9" s="25">
        <f ca="1">_xlfn.FLOOR.MATH(Calcs!C11)</f>
        <v>5</v>
      </c>
      <c r="G9" s="25"/>
      <c r="H9" s="46">
        <f ca="1">Calcs!D11</f>
        <v>5</v>
      </c>
      <c r="I9" s="47"/>
      <c r="J9" s="25">
        <f ca="1">_xlfn.FLOOR.MATH(Calcs!G11)</f>
        <v>0</v>
      </c>
      <c r="K9" s="25"/>
      <c r="L9" s="25">
        <f ca="1">_xlfn.FLOOR.MATH(Calcs!H11)</f>
        <v>5</v>
      </c>
      <c r="M9" s="26"/>
    </row>
    <row r="11" spans="1:13" s="5" customFormat="1" ht="20" thickBot="1" x14ac:dyDescent="0.5">
      <c r="A11" s="5" t="s">
        <v>59</v>
      </c>
    </row>
    <row r="12" spans="1:13" ht="15" thickTop="1" x14ac:dyDescent="0.35"/>
    <row r="13" spans="1:13" ht="14.5" customHeight="1" x14ac:dyDescent="0.35">
      <c r="A13" s="19" t="s">
        <v>60</v>
      </c>
      <c r="B13" s="19"/>
      <c r="C13" s="19"/>
    </row>
    <row r="14" spans="1:13" x14ac:dyDescent="0.35">
      <c r="A14" s="19"/>
      <c r="B14" s="19"/>
      <c r="C14" s="19"/>
    </row>
    <row r="15" spans="1:13" x14ac:dyDescent="0.35">
      <c r="A15" s="19"/>
      <c r="B15" s="19"/>
      <c r="C15" s="19"/>
    </row>
    <row r="16" spans="1:13" x14ac:dyDescent="0.35">
      <c r="B16" t="s">
        <v>6</v>
      </c>
      <c r="C16" t="s">
        <v>61</v>
      </c>
    </row>
    <row r="17" spans="1:3" x14ac:dyDescent="0.35">
      <c r="B17" s="4">
        <v>42370</v>
      </c>
      <c r="C17" s="49">
        <v>0.25</v>
      </c>
    </row>
    <row r="18" spans="1:3" x14ac:dyDescent="0.35">
      <c r="B18" s="4">
        <v>42430</v>
      </c>
      <c r="C18" s="49">
        <v>0.3</v>
      </c>
    </row>
    <row r="19" spans="1:3" x14ac:dyDescent="0.35">
      <c r="B19" s="4">
        <v>42515</v>
      </c>
      <c r="C19" s="49">
        <v>0.4</v>
      </c>
    </row>
    <row r="20" spans="1:3" x14ac:dyDescent="0.35">
      <c r="C20" s="49"/>
    </row>
    <row r="21" spans="1:3" x14ac:dyDescent="0.35">
      <c r="C21" s="49"/>
    </row>
    <row r="22" spans="1:3" x14ac:dyDescent="0.35">
      <c r="C22" s="49"/>
    </row>
    <row r="23" spans="1:3" x14ac:dyDescent="0.35">
      <c r="C23" s="49"/>
    </row>
    <row r="24" spans="1:3" x14ac:dyDescent="0.35">
      <c r="C24" s="49"/>
    </row>
    <row r="25" spans="1:3" x14ac:dyDescent="0.35">
      <c r="C25" s="49"/>
    </row>
    <row r="26" spans="1:3" x14ac:dyDescent="0.35">
      <c r="C26" s="49"/>
    </row>
    <row r="27" spans="1:3" s="5" customFormat="1" ht="20" thickBot="1" x14ac:dyDescent="0.5">
      <c r="A27" s="5" t="s">
        <v>72</v>
      </c>
      <c r="C27" s="50"/>
    </row>
    <row r="28" spans="1:3" ht="15" thickTop="1" x14ac:dyDescent="0.35">
      <c r="C28" s="49"/>
    </row>
    <row r="29" spans="1:3" ht="14.5" customHeight="1" x14ac:dyDescent="0.35"/>
    <row r="45" spans="2:16" ht="14.5" customHeight="1" x14ac:dyDescent="0.35">
      <c r="B45" s="19" t="s">
        <v>73</v>
      </c>
      <c r="C45" s="19"/>
      <c r="D45" s="19"/>
      <c r="E45" s="19"/>
      <c r="F45" s="19"/>
      <c r="G45" s="19"/>
      <c r="H45" s="19"/>
      <c r="J45" s="9" t="s">
        <v>74</v>
      </c>
      <c r="K45" s="9"/>
      <c r="L45" s="9"/>
      <c r="M45" s="9"/>
      <c r="N45" s="9"/>
      <c r="O45" s="9"/>
      <c r="P45" s="9"/>
    </row>
    <row r="46" spans="2:16" x14ac:dyDescent="0.35">
      <c r="B46" s="19"/>
      <c r="C46" s="19"/>
      <c r="D46" s="19"/>
      <c r="E46" s="19"/>
      <c r="F46" s="19"/>
      <c r="G46" s="19"/>
      <c r="H46" s="19"/>
      <c r="J46" s="9"/>
      <c r="K46" s="9"/>
      <c r="L46" s="9"/>
      <c r="M46" s="9"/>
      <c r="N46" s="9"/>
      <c r="O46" s="9"/>
      <c r="P46" s="9"/>
    </row>
    <row r="47" spans="2:16" x14ac:dyDescent="0.35">
      <c r="B47" s="19"/>
      <c r="C47" s="19"/>
      <c r="D47" s="19"/>
      <c r="E47" s="19"/>
      <c r="F47" s="19"/>
      <c r="G47" s="19"/>
      <c r="H47" s="19"/>
      <c r="J47" s="9"/>
      <c r="K47" s="9"/>
      <c r="L47" s="9"/>
      <c r="M47" s="9"/>
      <c r="N47" s="9"/>
      <c r="O47" s="9"/>
      <c r="P47" s="9"/>
    </row>
    <row r="48" spans="2:16" ht="15" thickBot="1" x14ac:dyDescent="0.4">
      <c r="B48" s="51"/>
      <c r="C48" s="51"/>
      <c r="D48" s="51"/>
      <c r="E48" s="51"/>
      <c r="F48" s="51"/>
      <c r="G48" s="51"/>
      <c r="H48" s="51"/>
      <c r="J48" s="9"/>
      <c r="K48" s="9"/>
      <c r="L48" s="9"/>
      <c r="M48" s="9"/>
      <c r="N48" s="9"/>
      <c r="O48" s="9"/>
      <c r="P48" s="9"/>
    </row>
    <row r="49" spans="2:16" ht="15" thickBot="1" x14ac:dyDescent="0.4">
      <c r="B49" s="52">
        <v>2</v>
      </c>
      <c r="C49" s="51"/>
      <c r="D49" s="51"/>
      <c r="E49" s="51"/>
      <c r="F49" s="51"/>
      <c r="G49" s="51"/>
      <c r="H49" s="51"/>
      <c r="J49" s="9"/>
      <c r="K49" s="9"/>
      <c r="L49" s="9"/>
      <c r="M49" s="9"/>
      <c r="N49" s="9"/>
      <c r="O49" s="9"/>
      <c r="P49" s="9"/>
    </row>
    <row r="50" spans="2:16" x14ac:dyDescent="0.35">
      <c r="B50" s="51"/>
      <c r="C50" s="51"/>
      <c r="D50" s="51"/>
      <c r="E50" s="51"/>
      <c r="F50" s="51"/>
      <c r="G50" s="51"/>
      <c r="H50" s="51"/>
      <c r="J50" s="9"/>
      <c r="K50" s="9"/>
      <c r="L50" s="9"/>
      <c r="M50" s="9"/>
      <c r="N50" s="9"/>
      <c r="O50" s="9"/>
      <c r="P50" s="9"/>
    </row>
    <row r="51" spans="2:16" x14ac:dyDescent="0.35">
      <c r="B51" s="51"/>
      <c r="C51" s="51"/>
      <c r="D51" s="51"/>
      <c r="E51" s="51"/>
      <c r="F51" s="51"/>
      <c r="G51" s="51"/>
      <c r="H51" s="51"/>
      <c r="J51" s="9"/>
      <c r="K51" s="9"/>
      <c r="L51" s="9"/>
      <c r="M51" s="9"/>
      <c r="N51" s="9"/>
      <c r="O51" s="9"/>
      <c r="P51" s="9"/>
    </row>
    <row r="52" spans="2:16" x14ac:dyDescent="0.35">
      <c r="B52" s="51"/>
      <c r="C52" s="51"/>
      <c r="D52" s="51"/>
      <c r="E52" s="51"/>
      <c r="F52" s="51"/>
      <c r="G52" s="51"/>
      <c r="H52" s="51"/>
      <c r="J52" s="9"/>
      <c r="K52" s="9"/>
      <c r="L52" s="9"/>
      <c r="M52" s="9"/>
      <c r="N52" s="9"/>
      <c r="O52" s="9"/>
      <c r="P52" s="9"/>
    </row>
    <row r="53" spans="2:16" x14ac:dyDescent="0.35">
      <c r="B53" s="51"/>
      <c r="C53" s="51"/>
      <c r="D53" s="51"/>
      <c r="E53" s="51"/>
      <c r="F53" s="51"/>
      <c r="G53" s="51"/>
      <c r="H53" s="51"/>
      <c r="J53" s="9"/>
      <c r="K53" s="9"/>
      <c r="L53" s="9"/>
      <c r="M53" s="9"/>
      <c r="N53" s="9"/>
      <c r="O53" s="9"/>
      <c r="P53" s="9"/>
    </row>
    <row r="54" spans="2:16" x14ac:dyDescent="0.35">
      <c r="B54" s="51"/>
      <c r="C54" s="51"/>
      <c r="D54" s="51"/>
      <c r="E54" s="51"/>
      <c r="F54" s="51"/>
      <c r="G54" s="51"/>
      <c r="H54" s="51"/>
      <c r="J54" s="9"/>
      <c r="K54" s="9"/>
      <c r="L54" s="9"/>
      <c r="M54" s="9"/>
      <c r="N54" s="9"/>
      <c r="O54" s="9"/>
      <c r="P54" s="9"/>
    </row>
    <row r="55" spans="2:16" x14ac:dyDescent="0.35">
      <c r="B55" s="51"/>
      <c r="C55" s="51"/>
      <c r="D55" s="51"/>
      <c r="E55" s="51"/>
      <c r="F55" s="51"/>
      <c r="G55" s="51"/>
      <c r="H55" s="51"/>
      <c r="J55" s="9"/>
      <c r="K55" s="9"/>
      <c r="L55" s="9"/>
      <c r="M55" s="9"/>
      <c r="N55" s="9"/>
      <c r="O55" s="9"/>
      <c r="P55" s="9"/>
    </row>
    <row r="57" spans="2:16" ht="14.5" customHeight="1" x14ac:dyDescent="0.35">
      <c r="J57" s="9" t="s">
        <v>75</v>
      </c>
      <c r="K57" s="9"/>
      <c r="L57" s="9"/>
      <c r="M57" s="9"/>
      <c r="N57" s="9"/>
      <c r="O57" s="9"/>
      <c r="P57" s="9"/>
    </row>
    <row r="58" spans="2:16" x14ac:dyDescent="0.35">
      <c r="J58" s="9"/>
      <c r="K58" s="9"/>
      <c r="L58" s="9"/>
      <c r="M58" s="9"/>
      <c r="N58" s="9"/>
      <c r="O58" s="9"/>
      <c r="P58" s="9"/>
    </row>
    <row r="59" spans="2:16" x14ac:dyDescent="0.35">
      <c r="J59" s="9"/>
      <c r="K59" s="9"/>
      <c r="L59" s="9"/>
      <c r="M59" s="9"/>
      <c r="N59" s="9"/>
      <c r="O59" s="9"/>
      <c r="P59" s="9"/>
    </row>
    <row r="60" spans="2:16" x14ac:dyDescent="0.35">
      <c r="J60" s="9"/>
      <c r="K60" s="9"/>
      <c r="L60" s="9"/>
      <c r="M60" s="9"/>
      <c r="N60" s="9"/>
      <c r="O60" s="9"/>
      <c r="P60" s="9"/>
    </row>
    <row r="61" spans="2:16" x14ac:dyDescent="0.35">
      <c r="J61" s="9"/>
      <c r="K61" s="9"/>
      <c r="L61" s="9"/>
      <c r="M61" s="9"/>
      <c r="N61" s="9"/>
      <c r="O61" s="9"/>
      <c r="P61" s="9"/>
    </row>
    <row r="62" spans="2:16" x14ac:dyDescent="0.35">
      <c r="J62" s="9"/>
      <c r="K62" s="9"/>
      <c r="L62" s="9"/>
      <c r="M62" s="9"/>
      <c r="N62" s="9"/>
      <c r="O62" s="9"/>
      <c r="P62" s="9"/>
    </row>
    <row r="63" spans="2:16" x14ac:dyDescent="0.35">
      <c r="J63" s="9"/>
      <c r="K63" s="9"/>
      <c r="L63" s="9"/>
      <c r="M63" s="9"/>
      <c r="N63" s="9"/>
      <c r="O63" s="9"/>
      <c r="P63" s="9"/>
    </row>
    <row r="64" spans="2:16" x14ac:dyDescent="0.35">
      <c r="J64" s="9"/>
      <c r="K64" s="9"/>
      <c r="L64" s="9"/>
      <c r="M64" s="9"/>
      <c r="N64" s="9"/>
      <c r="O64" s="9"/>
      <c r="P64" s="9"/>
    </row>
    <row r="65" spans="10:16" x14ac:dyDescent="0.35">
      <c r="J65" s="9"/>
      <c r="K65" s="9"/>
      <c r="L65" s="9"/>
      <c r="M65" s="9"/>
      <c r="N65" s="9"/>
      <c r="O65" s="9"/>
      <c r="P65" s="9"/>
    </row>
    <row r="66" spans="10:16" x14ac:dyDescent="0.35">
      <c r="J66" s="9"/>
      <c r="K66" s="9"/>
      <c r="L66" s="9"/>
      <c r="M66" s="9"/>
      <c r="N66" s="9"/>
      <c r="O66" s="9"/>
      <c r="P66" s="9"/>
    </row>
    <row r="67" spans="10:16" x14ac:dyDescent="0.35">
      <c r="J67" s="9"/>
      <c r="K67" s="9"/>
      <c r="L67" s="9"/>
      <c r="M67" s="9"/>
      <c r="N67" s="9"/>
      <c r="O67" s="9"/>
      <c r="P67" s="9"/>
    </row>
  </sheetData>
  <mergeCells count="25">
    <mergeCell ref="J57:P67"/>
    <mergeCell ref="B45:H47"/>
    <mergeCell ref="A13:C15"/>
    <mergeCell ref="J45:P55"/>
    <mergeCell ref="F8:G8"/>
    <mergeCell ref="F9:G9"/>
    <mergeCell ref="J8:K8"/>
    <mergeCell ref="J9:K9"/>
    <mergeCell ref="L8:M8"/>
    <mergeCell ref="L9:M9"/>
    <mergeCell ref="H8:I8"/>
    <mergeCell ref="H9:I9"/>
    <mergeCell ref="B4:C7"/>
    <mergeCell ref="F4:M4"/>
    <mergeCell ref="F5:G7"/>
    <mergeCell ref="J5:K7"/>
    <mergeCell ref="L5:M7"/>
    <mergeCell ref="H5:I7"/>
    <mergeCell ref="B8:C8"/>
    <mergeCell ref="B9:C9"/>
    <mergeCell ref="A1:E1"/>
    <mergeCell ref="F1:G1"/>
    <mergeCell ref="D4:E7"/>
    <mergeCell ref="D8:E8"/>
    <mergeCell ref="D9:E9"/>
  </mergeCells>
  <conditionalFormatting sqref="H8:I8">
    <cfRule type="cellIs" dxfId="5" priority="2" operator="greaterThan">
      <formula>$F$8</formula>
    </cfRule>
  </conditionalFormatting>
  <conditionalFormatting sqref="H9:I9">
    <cfRule type="cellIs" dxfId="4" priority="1" operator="greaterThan">
      <formula>$F$9</formula>
    </cfRule>
  </conditionalFormatting>
  <pageMargins left="0.7" right="0.7" top="0.75" bottom="0.75" header="0.3" footer="0.3"/>
  <drawing r:id="rId1"/>
  <legacy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2:D4"/>
  <sheetViews>
    <sheetView workbookViewId="0">
      <selection activeCell="D1" sqref="D1"/>
    </sheetView>
  </sheetViews>
  <sheetFormatPr defaultRowHeight="14.5" x14ac:dyDescent="0.35"/>
  <sheetData>
    <row r="2" spans="4:4" x14ac:dyDescent="0.35">
      <c r="D2" t="s">
        <v>17</v>
      </c>
    </row>
    <row r="4" spans="4:4" x14ac:dyDescent="0.35">
      <c r="D4" t="s">
        <v>19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R36"/>
  <sheetViews>
    <sheetView workbookViewId="0">
      <selection sqref="A1:A17"/>
    </sheetView>
  </sheetViews>
  <sheetFormatPr defaultRowHeight="14.5" x14ac:dyDescent="0.35"/>
  <cols>
    <col min="2" max="2" width="10.6328125" style="4" customWidth="1"/>
    <col min="3" max="3" width="13.81640625" customWidth="1"/>
    <col min="4" max="4" width="9.7265625" customWidth="1"/>
    <col min="5" max="5" width="10.6328125" customWidth="1"/>
    <col min="6" max="6" width="14.26953125" customWidth="1"/>
    <col min="7" max="8" width="16.08984375" customWidth="1"/>
    <col min="9" max="9" width="9.54296875" bestFit="1" customWidth="1"/>
    <col min="10" max="10" width="12.81640625" customWidth="1"/>
    <col min="11" max="11" width="20.26953125" customWidth="1"/>
    <col min="13" max="13" width="11.1796875" style="4" customWidth="1"/>
    <col min="14" max="14" width="13.08984375" customWidth="1"/>
    <col min="15" max="15" width="10.26953125" customWidth="1"/>
    <col min="16" max="16" width="10.6328125" customWidth="1"/>
    <col min="17" max="17" width="14.26953125" customWidth="1"/>
    <col min="18" max="19" width="16.08984375" customWidth="1"/>
    <col min="20" max="20" width="9.54296875" bestFit="1" customWidth="1"/>
    <col min="21" max="21" width="14.6328125" customWidth="1"/>
    <col min="22" max="22" width="20.26953125" customWidth="1"/>
    <col min="24" max="24" width="10.54296875" style="4" customWidth="1"/>
    <col min="25" max="25" width="13.7265625" customWidth="1"/>
    <col min="26" max="26" width="11.54296875" customWidth="1"/>
    <col min="27" max="27" width="10.6328125" customWidth="1"/>
    <col min="28" max="28" width="14.26953125" customWidth="1"/>
    <col min="29" max="30" width="16.08984375" customWidth="1"/>
    <col min="31" max="31" width="9.54296875" bestFit="1" customWidth="1"/>
    <col min="32" max="32" width="15.7265625" customWidth="1"/>
    <col min="33" max="33" width="20.26953125" customWidth="1"/>
    <col min="35" max="35" width="11.08984375" style="4" customWidth="1"/>
    <col min="36" max="36" width="13.1796875" customWidth="1"/>
    <col min="37" max="37" width="11.36328125" customWidth="1"/>
    <col min="38" max="38" width="10.6328125" customWidth="1"/>
    <col min="39" max="39" width="14.26953125" customWidth="1"/>
    <col min="40" max="40" width="16.08984375" customWidth="1"/>
    <col min="41" max="41" width="12.90625" customWidth="1"/>
    <col min="42" max="42" width="9.54296875" bestFit="1" customWidth="1"/>
    <col min="43" max="43" width="13.90625" customWidth="1"/>
    <col min="44" max="44" width="20.26953125" customWidth="1"/>
  </cols>
  <sheetData>
    <row r="1" spans="1:44" s="1" customFormat="1" ht="43.5" x14ac:dyDescent="0.35">
      <c r="A1" s="7" t="s">
        <v>11</v>
      </c>
      <c r="B1" s="1" t="s">
        <v>23</v>
      </c>
      <c r="C1" s="1" t="s">
        <v>18</v>
      </c>
      <c r="D1" s="1" t="s">
        <v>15</v>
      </c>
      <c r="E1" s="1" t="s">
        <v>21</v>
      </c>
      <c r="F1" s="1" t="s">
        <v>9</v>
      </c>
      <c r="G1" s="1" t="s">
        <v>8</v>
      </c>
      <c r="H1" s="1" t="s">
        <v>20</v>
      </c>
      <c r="I1" s="1" t="s">
        <v>26</v>
      </c>
      <c r="J1" s="1" t="s">
        <v>10</v>
      </c>
      <c r="K1" s="1" t="s">
        <v>27</v>
      </c>
      <c r="L1" s="8" t="s">
        <v>12</v>
      </c>
      <c r="M1" s="1" t="s">
        <v>23</v>
      </c>
      <c r="N1" s="1" t="s">
        <v>18</v>
      </c>
      <c r="O1" s="1" t="s">
        <v>15</v>
      </c>
      <c r="P1" s="1" t="s">
        <v>21</v>
      </c>
      <c r="Q1" s="1" t="s">
        <v>9</v>
      </c>
      <c r="R1" s="1" t="s">
        <v>8</v>
      </c>
      <c r="S1" s="1" t="s">
        <v>20</v>
      </c>
      <c r="T1" s="1" t="s">
        <v>26</v>
      </c>
      <c r="U1" s="1" t="s">
        <v>10</v>
      </c>
      <c r="V1" s="1" t="s">
        <v>27</v>
      </c>
      <c r="W1" s="10" t="s">
        <v>13</v>
      </c>
      <c r="X1" s="1" t="s">
        <v>23</v>
      </c>
      <c r="Y1" s="1" t="s">
        <v>18</v>
      </c>
      <c r="Z1" s="1" t="s">
        <v>15</v>
      </c>
      <c r="AA1" s="1" t="s">
        <v>21</v>
      </c>
      <c r="AB1" s="1" t="s">
        <v>9</v>
      </c>
      <c r="AC1" s="1" t="s">
        <v>8</v>
      </c>
      <c r="AD1" s="1" t="s">
        <v>20</v>
      </c>
      <c r="AE1" s="1" t="s">
        <v>26</v>
      </c>
      <c r="AF1" s="1" t="s">
        <v>10</v>
      </c>
      <c r="AG1" s="1" t="s">
        <v>27</v>
      </c>
      <c r="AH1" s="11" t="s">
        <v>14</v>
      </c>
      <c r="AI1" s="1" t="s">
        <v>23</v>
      </c>
      <c r="AJ1" s="1" t="s">
        <v>18</v>
      </c>
      <c r="AK1" s="1" t="s">
        <v>15</v>
      </c>
      <c r="AL1" s="1" t="s">
        <v>21</v>
      </c>
      <c r="AM1" s="1" t="s">
        <v>9</v>
      </c>
      <c r="AN1" s="1" t="s">
        <v>8</v>
      </c>
      <c r="AO1" s="1" t="s">
        <v>20</v>
      </c>
      <c r="AP1" s="1" t="s">
        <v>26</v>
      </c>
      <c r="AQ1" s="1" t="s">
        <v>10</v>
      </c>
      <c r="AR1" s="1" t="s">
        <v>27</v>
      </c>
    </row>
    <row r="2" spans="1:44" x14ac:dyDescent="0.35">
      <c r="A2" s="7"/>
      <c r="B2" s="4">
        <f t="shared" ref="B2:B13" ca="1" si="0">WORKDAY(B3,-5)</f>
        <v>42432</v>
      </c>
      <c r="C2">
        <f ca="1">RANDBETWEEN(11,15)</f>
        <v>13</v>
      </c>
      <c r="D2">
        <f ca="1">RANDBETWEEN(0,4)</f>
        <v>2</v>
      </c>
      <c r="E2">
        <f ca="1">RANDBETWEEN(0,2)</f>
        <v>2</v>
      </c>
      <c r="F2">
        <f ca="1">actuals_prd_imp[[#This Row],[Taken into Immediate Future Plan]]-actuals_prd_imp[[#This Row],[Removed Planned]]-actuals_prd_imp[[#This Row],[Remaining Planned]]</f>
        <v>11</v>
      </c>
      <c r="G2">
        <f ca="1">ROUND(RANDBETWEEN(50,100)/100*actuals_prd_imp[[#This Row],[Added Additional]],0)</f>
        <v>1</v>
      </c>
      <c r="H2">
        <f ca="1">RANDBETWEEN(0,3)</f>
        <v>0</v>
      </c>
      <c r="I2">
        <f ca="1">IF(actuals_prd_imp[[#This Row],[End Date]],actuals_prd_imp[[#This Row],[Taken into Immediate Future Plan]]-actuals_prd_imp[[#This Row],[Removed Planned]]-actuals_prd_imp[[#This Row],[Planned done]]-actuals_prd_imp[[#This Row],[Remaining Planned]],"TBD")</f>
        <v>0</v>
      </c>
      <c r="J2">
        <f ca="1">ROUND(RANDBETWEEN(70,100)/100*(actuals_prd_imp[[#This Row],[Planned done]]+actuals_prd_imp[[#This Row],[Additional done]]),0)</f>
        <v>9</v>
      </c>
      <c r="K2">
        <f ca="1">ROUND(RANDBETWEEN(90,100)/100*(actuals_prd_imp[[#This Row],[Planned done]]+actuals_prd_imp[[#This Row],[Additional done]]),0)</f>
        <v>11</v>
      </c>
      <c r="L2" s="8"/>
      <c r="M2" s="4">
        <f t="shared" ref="M2:M13" ca="1" si="1">WORKDAY(M3,-5)</f>
        <v>42432</v>
      </c>
      <c r="N2">
        <f ca="1">RANDBETWEEN(11,15)</f>
        <v>11</v>
      </c>
      <c r="O2">
        <f ca="1">RANDBETWEEN(0,4)</f>
        <v>4</v>
      </c>
      <c r="P2">
        <f ca="1">RANDBETWEEN(0,2)</f>
        <v>2</v>
      </c>
      <c r="Q2">
        <f ca="1">actuals_prd_exp[[#This Row],[Taken into Immediate Future Plan]]-actuals_prd_exp[[#This Row],[Removed Planned]]-actuals_prd_exp[[#This Row],[Remaining Planned]]</f>
        <v>7</v>
      </c>
      <c r="R2">
        <f ca="1">ROUND(RANDBETWEEN(50,100)/100*actuals_prd_exp[[#This Row],[Added Additional]],0)</f>
        <v>4</v>
      </c>
      <c r="S2">
        <f ca="1">RANDBETWEEN(0,3)</f>
        <v>2</v>
      </c>
      <c r="T2">
        <f ca="1">IF(actuals_prd_exp[[#This Row],[End Date]],actuals_prd_exp[[#This Row],[Taken into Immediate Future Plan]]-actuals_prd_exp[[#This Row],[Removed Planned]]-actuals_prd_exp[[#This Row],[Planned done]]-actuals_prd_exp[[#This Row],[Remaining Planned]],"TBD")</f>
        <v>0</v>
      </c>
      <c r="U2">
        <f ca="1">ROUND(RANDBETWEEN(70,100)/100*(actuals_prd_exp[[#This Row],[Planned done]]+actuals_prd_exp[[#This Row],[Additional done]]),0)</f>
        <v>10</v>
      </c>
      <c r="V2">
        <f ca="1">ROUND(RANDBETWEEN(90,100)/100*(actuals_prd_exp[[#This Row],[Planned done]]+actuals_prd_exp[[#This Row],[Additional done]]),0)</f>
        <v>11</v>
      </c>
      <c r="W2" s="10"/>
      <c r="X2" s="4">
        <f t="shared" ref="X2:X33" ca="1" si="2">WORKDAY(X3,-2)</f>
        <v>42433</v>
      </c>
      <c r="Y2">
        <f ca="1">RANDBETWEEN(2,3)</f>
        <v>2</v>
      </c>
      <c r="Z2">
        <f ca="1">RANDBETWEEN(0,1)</f>
        <v>1</v>
      </c>
      <c r="AA2">
        <v>0</v>
      </c>
      <c r="AB2">
        <f ca="1">actuals_stn_imp[[#This Row],[Taken into Immediate Future Plan]]-actuals_stn_imp[[#This Row],[Removed Planned]]-actuals_stn_imp[[#This Row],[Remaining Planned]]</f>
        <v>1</v>
      </c>
      <c r="AC2">
        <f ca="1">ROUND(RANDBETWEEN(50,100)/100*actuals_stn_imp[[#This Row],[Added Additional]],0)</f>
        <v>1</v>
      </c>
      <c r="AD2">
        <f ca="1">RANDBETWEEN(0,1)</f>
        <v>1</v>
      </c>
      <c r="AE2">
        <f ca="1">IF(actuals_stn_imp[[#This Row],[End Date]],actuals_stn_imp[[#This Row],[Taken into Immediate Future Plan]]-actuals_stn_imp[[#This Row],[Removed Planned]]-actuals_stn_imp[[#This Row],[Planned done]]-actuals_stn_imp[[#This Row],[Remaining Planned]],"TBD")</f>
        <v>0</v>
      </c>
      <c r="AF2">
        <f ca="1">ROUND(RANDBETWEEN(70,100)/100*(actuals_stn_imp[[#This Row],[Planned done]]+actuals_stn_imp[[#This Row],[Additional done]]),0)</f>
        <v>2</v>
      </c>
      <c r="AG2">
        <f ca="1">ROUND(RANDBETWEEN(90,100)/100*(actuals_stn_imp[[#This Row],[Planned done]]+actuals_stn_imp[[#This Row],[Additional done]]),0)</f>
        <v>2</v>
      </c>
      <c r="AH2" s="11"/>
      <c r="AI2" s="4">
        <f t="shared" ref="AI2:AI33" ca="1" si="3">WORKDAY(AI3,-2)</f>
        <v>42433</v>
      </c>
      <c r="AJ2">
        <f ca="1">RANDBETWEEN(2,3)</f>
        <v>2</v>
      </c>
      <c r="AK2">
        <f ca="1">RANDBETWEEN(0,1)</f>
        <v>1</v>
      </c>
      <c r="AL2">
        <v>0</v>
      </c>
      <c r="AM2">
        <f ca="1">actuals_stn_exp[[#This Row],[Taken into Immediate Future Plan]]-actuals_stn_exp[[#This Row],[Removed Planned]]-actuals_stn_exp[[#This Row],[Remaining Planned]]</f>
        <v>2</v>
      </c>
      <c r="AN2">
        <f ca="1">ROUND(RANDBETWEEN(50,100)/100*actuals_stn_exp[[#This Row],[Added Additional]],0)</f>
        <v>1</v>
      </c>
      <c r="AO2">
        <f ca="1">RANDBETWEEN(0,1)</f>
        <v>0</v>
      </c>
      <c r="AP2">
        <f ca="1">IF(actuals_stn_exp[[#This Row],[End Date]],actuals_stn_exp[[#This Row],[Taken into Immediate Future Plan]]-actuals_stn_exp[[#This Row],[Removed Planned]]-actuals_stn_exp[[#This Row],[Planned done]]-actuals_stn_exp[[#This Row],[Remaining Planned]],"TBD")</f>
        <v>0</v>
      </c>
      <c r="AQ2">
        <f ca="1">ROUND(RANDBETWEEN(70,100)/100*(actuals_stn_exp[[#This Row],[Planned done]]+actuals_stn_exp[[#This Row],[Additional done]]),0)</f>
        <v>2</v>
      </c>
      <c r="AR2">
        <f ca="1">ROUND(RANDBETWEEN(90,100)/100*(actuals_stn_exp[[#This Row],[Planned done]]+actuals_stn_exp[[#This Row],[Additional done]]),0)</f>
        <v>3</v>
      </c>
    </row>
    <row r="3" spans="1:44" x14ac:dyDescent="0.35">
      <c r="A3" s="7"/>
      <c r="B3" s="4">
        <f t="shared" ca="1" si="0"/>
        <v>42439</v>
      </c>
      <c r="C3">
        <f t="shared" ref="C3:C16" ca="1" si="4">RANDBETWEEN(11,15)</f>
        <v>15</v>
      </c>
      <c r="D3">
        <f t="shared" ref="D3:D15" ca="1" si="5">RANDBETWEEN(0,4)</f>
        <v>3</v>
      </c>
      <c r="E3">
        <f t="shared" ref="E3:E15" ca="1" si="6">RANDBETWEEN(0,2)</f>
        <v>1</v>
      </c>
      <c r="F3">
        <f ca="1">actuals_prd_imp[[#This Row],[Taken into Immediate Future Plan]]-actuals_prd_imp[[#This Row],[Removed Planned]]-actuals_prd_imp[[#This Row],[Remaining Planned]]</f>
        <v>14</v>
      </c>
      <c r="G3">
        <f ca="1">ROUND(RANDBETWEEN(50,100)/100*actuals_prd_imp[[#This Row],[Added Additional]],0)</f>
        <v>3</v>
      </c>
      <c r="H3">
        <f t="shared" ref="H3:H15" ca="1" si="7">RANDBETWEEN(0,3)</f>
        <v>0</v>
      </c>
      <c r="I3">
        <f ca="1">IF(actuals_prd_imp[[#This Row],[End Date]],actuals_prd_imp[[#This Row],[Taken into Immediate Future Plan]]-actuals_prd_imp[[#This Row],[Removed Planned]]-actuals_prd_imp[[#This Row],[Planned done]]-actuals_prd_imp[[#This Row],[Remaining Planned]],"TBD")</f>
        <v>0</v>
      </c>
      <c r="J3">
        <f ca="1">ROUND(RANDBETWEEN(70,100)/100*(actuals_prd_imp[[#This Row],[Planned done]]+actuals_prd_imp[[#This Row],[Additional done]]),0)</f>
        <v>15</v>
      </c>
      <c r="K3">
        <f ca="1">ROUND(RANDBETWEEN(90,100)/100*(actuals_prd_imp[[#This Row],[Planned done]]+actuals_prd_imp[[#This Row],[Additional done]]),0)</f>
        <v>15</v>
      </c>
      <c r="L3" s="8"/>
      <c r="M3" s="4">
        <f t="shared" ca="1" si="1"/>
        <v>42439</v>
      </c>
      <c r="N3">
        <f t="shared" ref="N3:N16" ca="1" si="8">RANDBETWEEN(11,15)</f>
        <v>12</v>
      </c>
      <c r="O3">
        <f t="shared" ref="O3:O15" ca="1" si="9">RANDBETWEEN(0,4)</f>
        <v>0</v>
      </c>
      <c r="P3">
        <f t="shared" ref="P3:P15" ca="1" si="10">RANDBETWEEN(0,2)</f>
        <v>1</v>
      </c>
      <c r="Q3">
        <f ca="1">actuals_prd_exp[[#This Row],[Taken into Immediate Future Plan]]-actuals_prd_exp[[#This Row],[Removed Planned]]-actuals_prd_exp[[#This Row],[Remaining Planned]]</f>
        <v>11</v>
      </c>
      <c r="R3">
        <f ca="1">ROUND(RANDBETWEEN(50,100)/100*actuals_prd_exp[[#This Row],[Added Additional]],0)</f>
        <v>0</v>
      </c>
      <c r="S3">
        <f t="shared" ref="S3:S15" ca="1" si="11">RANDBETWEEN(0,3)</f>
        <v>0</v>
      </c>
      <c r="T3">
        <f ca="1">IF(actuals_prd_exp[[#This Row],[End Date]],actuals_prd_exp[[#This Row],[Taken into Immediate Future Plan]]-actuals_prd_exp[[#This Row],[Removed Planned]]-actuals_prd_exp[[#This Row],[Planned done]]-actuals_prd_exp[[#This Row],[Remaining Planned]],"TBD")</f>
        <v>0</v>
      </c>
      <c r="U3">
        <f ca="1">ROUND(RANDBETWEEN(70,100)/100*(actuals_prd_exp[[#This Row],[Planned done]]+actuals_prd_exp[[#This Row],[Additional done]]),0)</f>
        <v>9</v>
      </c>
      <c r="V3">
        <f ca="1">ROUND(RANDBETWEEN(90,100)/100*(actuals_prd_exp[[#This Row],[Planned done]]+actuals_prd_exp[[#This Row],[Additional done]]),0)</f>
        <v>10</v>
      </c>
      <c r="W3" s="10"/>
      <c r="X3" s="4">
        <f t="shared" ca="1" si="2"/>
        <v>42437</v>
      </c>
      <c r="Y3">
        <f t="shared" ref="Y3:Y36" ca="1" si="12">RANDBETWEEN(2,3)</f>
        <v>3</v>
      </c>
      <c r="Z3">
        <f t="shared" ref="Z3:Z35" ca="1" si="13">RANDBETWEEN(0,1)</f>
        <v>0</v>
      </c>
      <c r="AA3">
        <v>0</v>
      </c>
      <c r="AB3">
        <f ca="1">actuals_stn_imp[[#This Row],[Taken into Immediate Future Plan]]-actuals_stn_imp[[#This Row],[Removed Planned]]-actuals_stn_imp[[#This Row],[Remaining Planned]]</f>
        <v>2</v>
      </c>
      <c r="AC3">
        <f ca="1">ROUND(RANDBETWEEN(50,100)/100*actuals_stn_imp[[#This Row],[Added Additional]],0)</f>
        <v>0</v>
      </c>
      <c r="AD3">
        <f t="shared" ref="AD3:AD35" ca="1" si="14">RANDBETWEEN(0,1)</f>
        <v>1</v>
      </c>
      <c r="AE3">
        <f ca="1">IF(actuals_stn_imp[[#This Row],[End Date]],actuals_stn_imp[[#This Row],[Taken into Immediate Future Plan]]-actuals_stn_imp[[#This Row],[Removed Planned]]-actuals_stn_imp[[#This Row],[Planned done]]-actuals_stn_imp[[#This Row],[Remaining Planned]],"TBD")</f>
        <v>0</v>
      </c>
      <c r="AF3">
        <f ca="1">ROUND(RANDBETWEEN(70,100)/100*(actuals_stn_imp[[#This Row],[Planned done]]+actuals_stn_imp[[#This Row],[Additional done]]),0)</f>
        <v>2</v>
      </c>
      <c r="AG3">
        <f ca="1">ROUND(RANDBETWEEN(90,100)/100*(actuals_stn_imp[[#This Row],[Planned done]]+actuals_stn_imp[[#This Row],[Additional done]]),0)</f>
        <v>2</v>
      </c>
      <c r="AH3" s="11"/>
      <c r="AI3" s="4">
        <f t="shared" ca="1" si="3"/>
        <v>42437</v>
      </c>
      <c r="AJ3">
        <f t="shared" ref="AJ3:AJ36" ca="1" si="15">RANDBETWEEN(2,3)</f>
        <v>2</v>
      </c>
      <c r="AK3">
        <f t="shared" ref="AK3:AK35" ca="1" si="16">RANDBETWEEN(0,1)</f>
        <v>1</v>
      </c>
      <c r="AL3">
        <v>0</v>
      </c>
      <c r="AM3">
        <f ca="1">actuals_stn_exp[[#This Row],[Taken into Immediate Future Plan]]-actuals_stn_exp[[#This Row],[Removed Planned]]-actuals_stn_exp[[#This Row],[Remaining Planned]]</f>
        <v>1</v>
      </c>
      <c r="AN3">
        <f ca="1">ROUND(RANDBETWEEN(50,100)/100*actuals_stn_exp[[#This Row],[Added Additional]],0)</f>
        <v>1</v>
      </c>
      <c r="AO3">
        <f t="shared" ref="AO3:AO35" ca="1" si="17">RANDBETWEEN(0,1)</f>
        <v>1</v>
      </c>
      <c r="AP3">
        <f ca="1">IF(actuals_stn_exp[[#This Row],[End Date]],actuals_stn_exp[[#This Row],[Taken into Immediate Future Plan]]-actuals_stn_exp[[#This Row],[Removed Planned]]-actuals_stn_exp[[#This Row],[Planned done]]-actuals_stn_exp[[#This Row],[Remaining Planned]],"TBD")</f>
        <v>0</v>
      </c>
      <c r="AQ3">
        <f ca="1">ROUND(RANDBETWEEN(70,100)/100*(actuals_stn_exp[[#This Row],[Planned done]]+actuals_stn_exp[[#This Row],[Additional done]]),0)</f>
        <v>2</v>
      </c>
      <c r="AR3">
        <f ca="1">ROUND(RANDBETWEEN(90,100)/100*(actuals_stn_exp[[#This Row],[Planned done]]+actuals_stn_exp[[#This Row],[Additional done]]),0)</f>
        <v>2</v>
      </c>
    </row>
    <row r="4" spans="1:44" x14ac:dyDescent="0.35">
      <c r="A4" s="7"/>
      <c r="B4" s="4">
        <f t="shared" ca="1" si="0"/>
        <v>42446</v>
      </c>
      <c r="C4">
        <f t="shared" ca="1" si="4"/>
        <v>15</v>
      </c>
      <c r="D4">
        <f t="shared" ca="1" si="5"/>
        <v>4</v>
      </c>
      <c r="E4">
        <f t="shared" ca="1" si="6"/>
        <v>0</v>
      </c>
      <c r="F4">
        <f ca="1">actuals_prd_imp[[#This Row],[Taken into Immediate Future Plan]]-actuals_prd_imp[[#This Row],[Removed Planned]]-actuals_prd_imp[[#This Row],[Remaining Planned]]</f>
        <v>14</v>
      </c>
      <c r="G4">
        <f ca="1">ROUND(RANDBETWEEN(50,100)/100*actuals_prd_imp[[#This Row],[Added Additional]],0)</f>
        <v>3</v>
      </c>
      <c r="H4">
        <f t="shared" ca="1" si="7"/>
        <v>1</v>
      </c>
      <c r="I4">
        <f ca="1">IF(actuals_prd_imp[[#This Row],[End Date]],actuals_prd_imp[[#This Row],[Taken into Immediate Future Plan]]-actuals_prd_imp[[#This Row],[Removed Planned]]-actuals_prd_imp[[#This Row],[Planned done]]-actuals_prd_imp[[#This Row],[Remaining Planned]],"TBD")</f>
        <v>0</v>
      </c>
      <c r="J4">
        <f ca="1">ROUND(RANDBETWEEN(70,100)/100*(actuals_prd_imp[[#This Row],[Planned done]]+actuals_prd_imp[[#This Row],[Additional done]]),0)</f>
        <v>13</v>
      </c>
      <c r="K4">
        <f ca="1">ROUND(RANDBETWEEN(90,100)/100*(actuals_prd_imp[[#This Row],[Planned done]]+actuals_prd_imp[[#This Row],[Additional done]]),0)</f>
        <v>15</v>
      </c>
      <c r="L4" s="8"/>
      <c r="M4" s="4">
        <f t="shared" ca="1" si="1"/>
        <v>42446</v>
      </c>
      <c r="N4">
        <f t="shared" ca="1" si="8"/>
        <v>12</v>
      </c>
      <c r="O4">
        <f t="shared" ca="1" si="9"/>
        <v>1</v>
      </c>
      <c r="P4">
        <f t="shared" ca="1" si="10"/>
        <v>0</v>
      </c>
      <c r="Q4">
        <f ca="1">actuals_prd_exp[[#This Row],[Taken into Immediate Future Plan]]-actuals_prd_exp[[#This Row],[Removed Planned]]-actuals_prd_exp[[#This Row],[Remaining Planned]]</f>
        <v>9</v>
      </c>
      <c r="R4">
        <f ca="1">ROUND(RANDBETWEEN(50,100)/100*actuals_prd_exp[[#This Row],[Added Additional]],0)</f>
        <v>1</v>
      </c>
      <c r="S4">
        <f t="shared" ca="1" si="11"/>
        <v>3</v>
      </c>
      <c r="T4">
        <f ca="1">IF(actuals_prd_exp[[#This Row],[End Date]],actuals_prd_exp[[#This Row],[Taken into Immediate Future Plan]]-actuals_prd_exp[[#This Row],[Removed Planned]]-actuals_prd_exp[[#This Row],[Planned done]]-actuals_prd_exp[[#This Row],[Remaining Planned]],"TBD")</f>
        <v>0</v>
      </c>
      <c r="U4">
        <f ca="1">ROUND(RANDBETWEEN(70,100)/100*(actuals_prd_exp[[#This Row],[Planned done]]+actuals_prd_exp[[#This Row],[Additional done]]),0)</f>
        <v>8</v>
      </c>
      <c r="V4">
        <f ca="1">ROUND(RANDBETWEEN(90,100)/100*(actuals_prd_exp[[#This Row],[Planned done]]+actuals_prd_exp[[#This Row],[Additional done]]),0)</f>
        <v>9</v>
      </c>
      <c r="W4" s="10"/>
      <c r="X4" s="4">
        <f t="shared" ca="1" si="2"/>
        <v>42439</v>
      </c>
      <c r="Y4">
        <f t="shared" ca="1" si="12"/>
        <v>2</v>
      </c>
      <c r="Z4">
        <f t="shared" ca="1" si="13"/>
        <v>1</v>
      </c>
      <c r="AA4">
        <v>0</v>
      </c>
      <c r="AB4">
        <f ca="1">actuals_stn_imp[[#This Row],[Taken into Immediate Future Plan]]-actuals_stn_imp[[#This Row],[Removed Planned]]-actuals_stn_imp[[#This Row],[Remaining Planned]]</f>
        <v>1</v>
      </c>
      <c r="AC4">
        <f ca="1">ROUND(RANDBETWEEN(50,100)/100*actuals_stn_imp[[#This Row],[Added Additional]],0)</f>
        <v>1</v>
      </c>
      <c r="AD4">
        <f t="shared" ca="1" si="14"/>
        <v>1</v>
      </c>
      <c r="AE4">
        <f ca="1">IF(actuals_stn_imp[[#This Row],[End Date]],actuals_stn_imp[[#This Row],[Taken into Immediate Future Plan]]-actuals_stn_imp[[#This Row],[Removed Planned]]-actuals_stn_imp[[#This Row],[Planned done]]-actuals_stn_imp[[#This Row],[Remaining Planned]],"TBD")</f>
        <v>0</v>
      </c>
      <c r="AF4">
        <f ca="1">ROUND(RANDBETWEEN(70,100)/100*(actuals_stn_imp[[#This Row],[Planned done]]+actuals_stn_imp[[#This Row],[Additional done]]),0)</f>
        <v>1</v>
      </c>
      <c r="AG4">
        <f ca="1">ROUND(RANDBETWEEN(90,100)/100*(actuals_stn_imp[[#This Row],[Planned done]]+actuals_stn_imp[[#This Row],[Additional done]]),0)</f>
        <v>2</v>
      </c>
      <c r="AH4" s="11"/>
      <c r="AI4" s="4">
        <f t="shared" ca="1" si="3"/>
        <v>42439</v>
      </c>
      <c r="AJ4">
        <f t="shared" ca="1" si="15"/>
        <v>2</v>
      </c>
      <c r="AK4">
        <f t="shared" ca="1" si="16"/>
        <v>1</v>
      </c>
      <c r="AL4">
        <v>0</v>
      </c>
      <c r="AM4">
        <f ca="1">actuals_stn_exp[[#This Row],[Taken into Immediate Future Plan]]-actuals_stn_exp[[#This Row],[Removed Planned]]-actuals_stn_exp[[#This Row],[Remaining Planned]]</f>
        <v>2</v>
      </c>
      <c r="AN4">
        <f ca="1">ROUND(RANDBETWEEN(50,100)/100*actuals_stn_exp[[#This Row],[Added Additional]],0)</f>
        <v>1</v>
      </c>
      <c r="AO4">
        <f t="shared" ca="1" si="17"/>
        <v>0</v>
      </c>
      <c r="AP4">
        <f ca="1">IF(actuals_stn_exp[[#This Row],[End Date]],actuals_stn_exp[[#This Row],[Taken into Immediate Future Plan]]-actuals_stn_exp[[#This Row],[Removed Planned]]-actuals_stn_exp[[#This Row],[Planned done]]-actuals_stn_exp[[#This Row],[Remaining Planned]],"TBD")</f>
        <v>0</v>
      </c>
      <c r="AQ4">
        <f ca="1">ROUND(RANDBETWEEN(70,100)/100*(actuals_stn_exp[[#This Row],[Planned done]]+actuals_stn_exp[[#This Row],[Additional done]]),0)</f>
        <v>2</v>
      </c>
      <c r="AR4">
        <f ca="1">ROUND(RANDBETWEEN(90,100)/100*(actuals_stn_exp[[#This Row],[Planned done]]+actuals_stn_exp[[#This Row],[Additional done]]),0)</f>
        <v>3</v>
      </c>
    </row>
    <row r="5" spans="1:44" x14ac:dyDescent="0.35">
      <c r="A5" s="7"/>
      <c r="B5" s="4">
        <f t="shared" ca="1" si="0"/>
        <v>42453</v>
      </c>
      <c r="C5">
        <f t="shared" ca="1" si="4"/>
        <v>12</v>
      </c>
      <c r="D5">
        <f t="shared" ca="1" si="5"/>
        <v>1</v>
      </c>
      <c r="E5">
        <f t="shared" ca="1" si="6"/>
        <v>0</v>
      </c>
      <c r="F5">
        <f ca="1">actuals_prd_imp[[#This Row],[Taken into Immediate Future Plan]]-actuals_prd_imp[[#This Row],[Removed Planned]]-actuals_prd_imp[[#This Row],[Remaining Planned]]</f>
        <v>12</v>
      </c>
      <c r="G5">
        <f ca="1">ROUND(RANDBETWEEN(50,100)/100*actuals_prd_imp[[#This Row],[Added Additional]],0)</f>
        <v>1</v>
      </c>
      <c r="H5">
        <f t="shared" ca="1" si="7"/>
        <v>0</v>
      </c>
      <c r="I5">
        <f ca="1">IF(actuals_prd_imp[[#This Row],[End Date]],actuals_prd_imp[[#This Row],[Taken into Immediate Future Plan]]-actuals_prd_imp[[#This Row],[Removed Planned]]-actuals_prd_imp[[#This Row],[Planned done]]-actuals_prd_imp[[#This Row],[Remaining Planned]],"TBD")</f>
        <v>0</v>
      </c>
      <c r="J5">
        <f ca="1">ROUND(RANDBETWEEN(70,100)/100*(actuals_prd_imp[[#This Row],[Planned done]]+actuals_prd_imp[[#This Row],[Additional done]]),0)</f>
        <v>13</v>
      </c>
      <c r="K5">
        <f ca="1">ROUND(RANDBETWEEN(90,100)/100*(actuals_prd_imp[[#This Row],[Planned done]]+actuals_prd_imp[[#This Row],[Additional done]]),0)</f>
        <v>12</v>
      </c>
      <c r="L5" s="8"/>
      <c r="M5" s="4">
        <f t="shared" ca="1" si="1"/>
        <v>42453</v>
      </c>
      <c r="N5">
        <f t="shared" ca="1" si="8"/>
        <v>13</v>
      </c>
      <c r="O5">
        <f t="shared" ca="1" si="9"/>
        <v>4</v>
      </c>
      <c r="P5">
        <f t="shared" ca="1" si="10"/>
        <v>2</v>
      </c>
      <c r="Q5">
        <f ca="1">actuals_prd_exp[[#This Row],[Taken into Immediate Future Plan]]-actuals_prd_exp[[#This Row],[Removed Planned]]-actuals_prd_exp[[#This Row],[Remaining Planned]]</f>
        <v>10</v>
      </c>
      <c r="R5">
        <f ca="1">ROUND(RANDBETWEEN(50,100)/100*actuals_prd_exp[[#This Row],[Added Additional]],0)</f>
        <v>2</v>
      </c>
      <c r="S5">
        <f t="shared" ca="1" si="11"/>
        <v>1</v>
      </c>
      <c r="T5">
        <f ca="1">IF(actuals_prd_exp[[#This Row],[End Date]],actuals_prd_exp[[#This Row],[Taken into Immediate Future Plan]]-actuals_prd_exp[[#This Row],[Removed Planned]]-actuals_prd_exp[[#This Row],[Planned done]]-actuals_prd_exp[[#This Row],[Remaining Planned]],"TBD")</f>
        <v>0</v>
      </c>
      <c r="U5">
        <f ca="1">ROUND(RANDBETWEEN(70,100)/100*(actuals_prd_exp[[#This Row],[Planned done]]+actuals_prd_exp[[#This Row],[Additional done]]),0)</f>
        <v>10</v>
      </c>
      <c r="V5">
        <f ca="1">ROUND(RANDBETWEEN(90,100)/100*(actuals_prd_exp[[#This Row],[Planned done]]+actuals_prd_exp[[#This Row],[Additional done]]),0)</f>
        <v>12</v>
      </c>
      <c r="W5" s="10"/>
      <c r="X5" s="4">
        <f t="shared" ca="1" si="2"/>
        <v>42443</v>
      </c>
      <c r="Y5">
        <f t="shared" ca="1" si="12"/>
        <v>2</v>
      </c>
      <c r="Z5">
        <f t="shared" ca="1" si="13"/>
        <v>0</v>
      </c>
      <c r="AA5">
        <v>0</v>
      </c>
      <c r="AB5">
        <f ca="1">actuals_stn_imp[[#This Row],[Taken into Immediate Future Plan]]-actuals_stn_imp[[#This Row],[Removed Planned]]-actuals_stn_imp[[#This Row],[Remaining Planned]]</f>
        <v>1</v>
      </c>
      <c r="AC5">
        <f ca="1">ROUND(RANDBETWEEN(50,100)/100*actuals_stn_imp[[#This Row],[Added Additional]],0)</f>
        <v>0</v>
      </c>
      <c r="AD5">
        <f t="shared" ca="1" si="14"/>
        <v>1</v>
      </c>
      <c r="AE5">
        <f ca="1">IF(actuals_stn_imp[[#This Row],[End Date]],actuals_stn_imp[[#This Row],[Taken into Immediate Future Plan]]-actuals_stn_imp[[#This Row],[Removed Planned]]-actuals_stn_imp[[#This Row],[Planned done]]-actuals_stn_imp[[#This Row],[Remaining Planned]],"TBD")</f>
        <v>0</v>
      </c>
      <c r="AF5">
        <f ca="1">ROUND(RANDBETWEEN(70,100)/100*(actuals_stn_imp[[#This Row],[Planned done]]+actuals_stn_imp[[#This Row],[Additional done]]),0)</f>
        <v>1</v>
      </c>
      <c r="AG5">
        <f ca="1">ROUND(RANDBETWEEN(90,100)/100*(actuals_stn_imp[[#This Row],[Planned done]]+actuals_stn_imp[[#This Row],[Additional done]]),0)</f>
        <v>1</v>
      </c>
      <c r="AH5" s="11"/>
      <c r="AI5" s="4">
        <f t="shared" ca="1" si="3"/>
        <v>42443</v>
      </c>
      <c r="AJ5">
        <f t="shared" ca="1" si="15"/>
        <v>3</v>
      </c>
      <c r="AK5">
        <f t="shared" ca="1" si="16"/>
        <v>0</v>
      </c>
      <c r="AL5">
        <v>0</v>
      </c>
      <c r="AM5">
        <f ca="1">actuals_stn_exp[[#This Row],[Taken into Immediate Future Plan]]-actuals_stn_exp[[#This Row],[Removed Planned]]-actuals_stn_exp[[#This Row],[Remaining Planned]]</f>
        <v>3</v>
      </c>
      <c r="AN5">
        <f ca="1">ROUND(RANDBETWEEN(50,100)/100*actuals_stn_exp[[#This Row],[Added Additional]],0)</f>
        <v>0</v>
      </c>
      <c r="AO5">
        <f t="shared" ca="1" si="17"/>
        <v>0</v>
      </c>
      <c r="AP5">
        <f ca="1">IF(actuals_stn_exp[[#This Row],[End Date]],actuals_stn_exp[[#This Row],[Taken into Immediate Future Plan]]-actuals_stn_exp[[#This Row],[Removed Planned]]-actuals_stn_exp[[#This Row],[Planned done]]-actuals_stn_exp[[#This Row],[Remaining Planned]],"TBD")</f>
        <v>0</v>
      </c>
      <c r="AQ5">
        <f ca="1">ROUND(RANDBETWEEN(70,100)/100*(actuals_stn_exp[[#This Row],[Planned done]]+actuals_stn_exp[[#This Row],[Additional done]]),0)</f>
        <v>3</v>
      </c>
      <c r="AR5">
        <f ca="1">ROUND(RANDBETWEEN(90,100)/100*(actuals_stn_exp[[#This Row],[Planned done]]+actuals_stn_exp[[#This Row],[Additional done]]),0)</f>
        <v>3</v>
      </c>
    </row>
    <row r="6" spans="1:44" x14ac:dyDescent="0.35">
      <c r="A6" s="7"/>
      <c r="B6" s="4">
        <f t="shared" ca="1" si="0"/>
        <v>42460</v>
      </c>
      <c r="C6">
        <f t="shared" ca="1" si="4"/>
        <v>14</v>
      </c>
      <c r="D6">
        <f t="shared" ca="1" si="5"/>
        <v>4</v>
      </c>
      <c r="E6">
        <f t="shared" ca="1" si="6"/>
        <v>2</v>
      </c>
      <c r="F6">
        <f ca="1">actuals_prd_imp[[#This Row],[Taken into Immediate Future Plan]]-actuals_prd_imp[[#This Row],[Removed Planned]]-actuals_prd_imp[[#This Row],[Remaining Planned]]</f>
        <v>11</v>
      </c>
      <c r="G6">
        <f ca="1">ROUND(RANDBETWEEN(50,100)/100*actuals_prd_imp[[#This Row],[Added Additional]],0)</f>
        <v>2</v>
      </c>
      <c r="H6">
        <f t="shared" ca="1" si="7"/>
        <v>1</v>
      </c>
      <c r="I6">
        <f ca="1">IF(actuals_prd_imp[[#This Row],[End Date]],actuals_prd_imp[[#This Row],[Taken into Immediate Future Plan]]-actuals_prd_imp[[#This Row],[Removed Planned]]-actuals_prd_imp[[#This Row],[Planned done]]-actuals_prd_imp[[#This Row],[Remaining Planned]],"TBD")</f>
        <v>0</v>
      </c>
      <c r="J6">
        <f ca="1">ROUND(RANDBETWEEN(70,100)/100*(actuals_prd_imp[[#This Row],[Planned done]]+actuals_prd_imp[[#This Row],[Additional done]]),0)</f>
        <v>11</v>
      </c>
      <c r="K6">
        <f ca="1">ROUND(RANDBETWEEN(90,100)/100*(actuals_prd_imp[[#This Row],[Planned done]]+actuals_prd_imp[[#This Row],[Additional done]]),0)</f>
        <v>13</v>
      </c>
      <c r="L6" s="8"/>
      <c r="M6" s="4">
        <f t="shared" ca="1" si="1"/>
        <v>42460</v>
      </c>
      <c r="N6">
        <f t="shared" ca="1" si="8"/>
        <v>13</v>
      </c>
      <c r="O6">
        <f t="shared" ca="1" si="9"/>
        <v>0</v>
      </c>
      <c r="P6">
        <f t="shared" ca="1" si="10"/>
        <v>0</v>
      </c>
      <c r="Q6">
        <f ca="1">actuals_prd_exp[[#This Row],[Taken into Immediate Future Plan]]-actuals_prd_exp[[#This Row],[Removed Planned]]-actuals_prd_exp[[#This Row],[Remaining Planned]]</f>
        <v>12</v>
      </c>
      <c r="R6">
        <f ca="1">ROUND(RANDBETWEEN(50,100)/100*actuals_prd_exp[[#This Row],[Added Additional]],0)</f>
        <v>0</v>
      </c>
      <c r="S6">
        <f t="shared" ca="1" si="11"/>
        <v>1</v>
      </c>
      <c r="T6">
        <f ca="1">IF(actuals_prd_exp[[#This Row],[End Date]],actuals_prd_exp[[#This Row],[Taken into Immediate Future Plan]]-actuals_prd_exp[[#This Row],[Removed Planned]]-actuals_prd_exp[[#This Row],[Planned done]]-actuals_prd_exp[[#This Row],[Remaining Planned]],"TBD")</f>
        <v>0</v>
      </c>
      <c r="U6">
        <f ca="1">ROUND(RANDBETWEEN(70,100)/100*(actuals_prd_exp[[#This Row],[Planned done]]+actuals_prd_exp[[#This Row],[Additional done]]),0)</f>
        <v>9</v>
      </c>
      <c r="V6">
        <f ca="1">ROUND(RANDBETWEEN(90,100)/100*(actuals_prd_exp[[#This Row],[Planned done]]+actuals_prd_exp[[#This Row],[Additional done]]),0)</f>
        <v>11</v>
      </c>
      <c r="W6" s="10"/>
      <c r="X6" s="4">
        <f t="shared" ca="1" si="2"/>
        <v>42445</v>
      </c>
      <c r="Y6">
        <f t="shared" ca="1" si="12"/>
        <v>3</v>
      </c>
      <c r="Z6">
        <f t="shared" ca="1" si="13"/>
        <v>0</v>
      </c>
      <c r="AA6">
        <v>0</v>
      </c>
      <c r="AB6">
        <f ca="1">actuals_stn_imp[[#This Row],[Taken into Immediate Future Plan]]-actuals_stn_imp[[#This Row],[Removed Planned]]-actuals_stn_imp[[#This Row],[Remaining Planned]]</f>
        <v>2</v>
      </c>
      <c r="AC6">
        <f ca="1">ROUND(RANDBETWEEN(50,100)/100*actuals_stn_imp[[#This Row],[Added Additional]],0)</f>
        <v>0</v>
      </c>
      <c r="AD6">
        <f t="shared" ca="1" si="14"/>
        <v>1</v>
      </c>
      <c r="AE6">
        <f ca="1">IF(actuals_stn_imp[[#This Row],[End Date]],actuals_stn_imp[[#This Row],[Taken into Immediate Future Plan]]-actuals_stn_imp[[#This Row],[Removed Planned]]-actuals_stn_imp[[#This Row],[Planned done]]-actuals_stn_imp[[#This Row],[Remaining Planned]],"TBD")</f>
        <v>0</v>
      </c>
      <c r="AF6">
        <f ca="1">ROUND(RANDBETWEEN(70,100)/100*(actuals_stn_imp[[#This Row],[Planned done]]+actuals_stn_imp[[#This Row],[Additional done]]),0)</f>
        <v>1</v>
      </c>
      <c r="AG6">
        <f ca="1">ROUND(RANDBETWEEN(90,100)/100*(actuals_stn_imp[[#This Row],[Planned done]]+actuals_stn_imp[[#This Row],[Additional done]]),0)</f>
        <v>2</v>
      </c>
      <c r="AH6" s="11"/>
      <c r="AI6" s="4">
        <f t="shared" ca="1" si="3"/>
        <v>42445</v>
      </c>
      <c r="AJ6">
        <f t="shared" ca="1" si="15"/>
        <v>2</v>
      </c>
      <c r="AK6">
        <f t="shared" ca="1" si="16"/>
        <v>1</v>
      </c>
      <c r="AL6">
        <v>0</v>
      </c>
      <c r="AM6">
        <f ca="1">actuals_stn_exp[[#This Row],[Taken into Immediate Future Plan]]-actuals_stn_exp[[#This Row],[Removed Planned]]-actuals_stn_exp[[#This Row],[Remaining Planned]]</f>
        <v>2</v>
      </c>
      <c r="AN6">
        <f ca="1">ROUND(RANDBETWEEN(50,100)/100*actuals_stn_exp[[#This Row],[Added Additional]],0)</f>
        <v>1</v>
      </c>
      <c r="AO6">
        <f t="shared" ca="1" si="17"/>
        <v>0</v>
      </c>
      <c r="AP6">
        <f ca="1">IF(actuals_stn_exp[[#This Row],[End Date]],actuals_stn_exp[[#This Row],[Taken into Immediate Future Plan]]-actuals_stn_exp[[#This Row],[Removed Planned]]-actuals_stn_exp[[#This Row],[Planned done]]-actuals_stn_exp[[#This Row],[Remaining Planned]],"TBD")</f>
        <v>0</v>
      </c>
      <c r="AQ6">
        <f ca="1">ROUND(RANDBETWEEN(70,100)/100*(actuals_stn_exp[[#This Row],[Planned done]]+actuals_stn_exp[[#This Row],[Additional done]]),0)</f>
        <v>2</v>
      </c>
      <c r="AR6">
        <f ca="1">ROUND(RANDBETWEEN(90,100)/100*(actuals_stn_exp[[#This Row],[Planned done]]+actuals_stn_exp[[#This Row],[Additional done]]),0)</f>
        <v>3</v>
      </c>
    </row>
    <row r="7" spans="1:44" x14ac:dyDescent="0.35">
      <c r="A7" s="7"/>
      <c r="B7" s="4">
        <f t="shared" ca="1" si="0"/>
        <v>42467</v>
      </c>
      <c r="C7">
        <f t="shared" ca="1" si="4"/>
        <v>12</v>
      </c>
      <c r="D7">
        <f t="shared" ca="1" si="5"/>
        <v>0</v>
      </c>
      <c r="E7">
        <f t="shared" ca="1" si="6"/>
        <v>0</v>
      </c>
      <c r="F7">
        <f ca="1">actuals_prd_imp[[#This Row],[Taken into Immediate Future Plan]]-actuals_prd_imp[[#This Row],[Removed Planned]]-actuals_prd_imp[[#This Row],[Remaining Planned]]</f>
        <v>10</v>
      </c>
      <c r="G7">
        <f ca="1">ROUND(RANDBETWEEN(50,100)/100*actuals_prd_imp[[#This Row],[Added Additional]],0)</f>
        <v>0</v>
      </c>
      <c r="H7">
        <f t="shared" ca="1" si="7"/>
        <v>2</v>
      </c>
      <c r="I7">
        <f ca="1">IF(actuals_prd_imp[[#This Row],[End Date]],actuals_prd_imp[[#This Row],[Taken into Immediate Future Plan]]-actuals_prd_imp[[#This Row],[Removed Planned]]-actuals_prd_imp[[#This Row],[Planned done]]-actuals_prd_imp[[#This Row],[Remaining Planned]],"TBD")</f>
        <v>0</v>
      </c>
      <c r="J7">
        <f ca="1">ROUND(RANDBETWEEN(70,100)/100*(actuals_prd_imp[[#This Row],[Planned done]]+actuals_prd_imp[[#This Row],[Additional done]]),0)</f>
        <v>10</v>
      </c>
      <c r="K7">
        <f ca="1">ROUND(RANDBETWEEN(90,100)/100*(actuals_prd_imp[[#This Row],[Planned done]]+actuals_prd_imp[[#This Row],[Additional done]]),0)</f>
        <v>9</v>
      </c>
      <c r="L7" s="8"/>
      <c r="M7" s="4">
        <f t="shared" ca="1" si="1"/>
        <v>42467</v>
      </c>
      <c r="N7">
        <f t="shared" ca="1" si="8"/>
        <v>13</v>
      </c>
      <c r="O7">
        <f t="shared" ca="1" si="9"/>
        <v>1</v>
      </c>
      <c r="P7">
        <f t="shared" ca="1" si="10"/>
        <v>1</v>
      </c>
      <c r="Q7">
        <f ca="1">actuals_prd_exp[[#This Row],[Taken into Immediate Future Plan]]-actuals_prd_exp[[#This Row],[Removed Planned]]-actuals_prd_exp[[#This Row],[Remaining Planned]]</f>
        <v>12</v>
      </c>
      <c r="R7">
        <f ca="1">ROUND(RANDBETWEEN(50,100)/100*actuals_prd_exp[[#This Row],[Added Additional]],0)</f>
        <v>1</v>
      </c>
      <c r="S7">
        <f t="shared" ca="1" si="11"/>
        <v>0</v>
      </c>
      <c r="T7">
        <f ca="1">IF(actuals_prd_exp[[#This Row],[End Date]],actuals_prd_exp[[#This Row],[Taken into Immediate Future Plan]]-actuals_prd_exp[[#This Row],[Removed Planned]]-actuals_prd_exp[[#This Row],[Planned done]]-actuals_prd_exp[[#This Row],[Remaining Planned]],"TBD")</f>
        <v>0</v>
      </c>
      <c r="U7">
        <f ca="1">ROUND(RANDBETWEEN(70,100)/100*(actuals_prd_exp[[#This Row],[Planned done]]+actuals_prd_exp[[#This Row],[Additional done]]),0)</f>
        <v>12</v>
      </c>
      <c r="V7">
        <f ca="1">ROUND(RANDBETWEEN(90,100)/100*(actuals_prd_exp[[#This Row],[Planned done]]+actuals_prd_exp[[#This Row],[Additional done]]),0)</f>
        <v>13</v>
      </c>
      <c r="W7" s="10"/>
      <c r="X7" s="4">
        <f t="shared" ca="1" si="2"/>
        <v>42447</v>
      </c>
      <c r="Y7">
        <f t="shared" ca="1" si="12"/>
        <v>2</v>
      </c>
      <c r="Z7">
        <f t="shared" ca="1" si="13"/>
        <v>0</v>
      </c>
      <c r="AA7">
        <v>0</v>
      </c>
      <c r="AB7">
        <f ca="1">actuals_stn_imp[[#This Row],[Taken into Immediate Future Plan]]-actuals_stn_imp[[#This Row],[Removed Planned]]-actuals_stn_imp[[#This Row],[Remaining Planned]]</f>
        <v>1</v>
      </c>
      <c r="AC7">
        <f ca="1">ROUND(RANDBETWEEN(50,100)/100*actuals_stn_imp[[#This Row],[Added Additional]],0)</f>
        <v>0</v>
      </c>
      <c r="AD7">
        <f t="shared" ca="1" si="14"/>
        <v>1</v>
      </c>
      <c r="AE7">
        <f ca="1">IF(actuals_stn_imp[[#This Row],[End Date]],actuals_stn_imp[[#This Row],[Taken into Immediate Future Plan]]-actuals_stn_imp[[#This Row],[Removed Planned]]-actuals_stn_imp[[#This Row],[Planned done]]-actuals_stn_imp[[#This Row],[Remaining Planned]],"TBD")</f>
        <v>0</v>
      </c>
      <c r="AF7">
        <f ca="1">ROUND(RANDBETWEEN(70,100)/100*(actuals_stn_imp[[#This Row],[Planned done]]+actuals_stn_imp[[#This Row],[Additional done]]),0)</f>
        <v>1</v>
      </c>
      <c r="AG7">
        <f ca="1">ROUND(RANDBETWEEN(90,100)/100*(actuals_stn_imp[[#This Row],[Planned done]]+actuals_stn_imp[[#This Row],[Additional done]]),0)</f>
        <v>1</v>
      </c>
      <c r="AH7" s="11"/>
      <c r="AI7" s="4">
        <f t="shared" ca="1" si="3"/>
        <v>42447</v>
      </c>
      <c r="AJ7">
        <f t="shared" ca="1" si="15"/>
        <v>3</v>
      </c>
      <c r="AK7">
        <f t="shared" ca="1" si="16"/>
        <v>0</v>
      </c>
      <c r="AL7">
        <v>0</v>
      </c>
      <c r="AM7">
        <f ca="1">actuals_stn_exp[[#This Row],[Taken into Immediate Future Plan]]-actuals_stn_exp[[#This Row],[Removed Planned]]-actuals_stn_exp[[#This Row],[Remaining Planned]]</f>
        <v>3</v>
      </c>
      <c r="AN7">
        <f ca="1">ROUND(RANDBETWEEN(50,100)/100*actuals_stn_exp[[#This Row],[Added Additional]],0)</f>
        <v>0</v>
      </c>
      <c r="AO7">
        <f t="shared" ca="1" si="17"/>
        <v>0</v>
      </c>
      <c r="AP7">
        <f ca="1">IF(actuals_stn_exp[[#This Row],[End Date]],actuals_stn_exp[[#This Row],[Taken into Immediate Future Plan]]-actuals_stn_exp[[#This Row],[Removed Planned]]-actuals_stn_exp[[#This Row],[Planned done]]-actuals_stn_exp[[#This Row],[Remaining Planned]],"TBD")</f>
        <v>0</v>
      </c>
      <c r="AQ7">
        <f ca="1">ROUND(RANDBETWEEN(70,100)/100*(actuals_stn_exp[[#This Row],[Planned done]]+actuals_stn_exp[[#This Row],[Additional done]]),0)</f>
        <v>2</v>
      </c>
      <c r="AR7">
        <f ca="1">ROUND(RANDBETWEEN(90,100)/100*(actuals_stn_exp[[#This Row],[Planned done]]+actuals_stn_exp[[#This Row],[Additional done]]),0)</f>
        <v>3</v>
      </c>
    </row>
    <row r="8" spans="1:44" x14ac:dyDescent="0.35">
      <c r="A8" s="7"/>
      <c r="B8" s="4">
        <f t="shared" ca="1" si="0"/>
        <v>42474</v>
      </c>
      <c r="C8">
        <f t="shared" ca="1" si="4"/>
        <v>11</v>
      </c>
      <c r="D8">
        <f t="shared" ca="1" si="5"/>
        <v>2</v>
      </c>
      <c r="E8">
        <f t="shared" ca="1" si="6"/>
        <v>1</v>
      </c>
      <c r="F8">
        <f ca="1">actuals_prd_imp[[#This Row],[Taken into Immediate Future Plan]]-actuals_prd_imp[[#This Row],[Removed Planned]]-actuals_prd_imp[[#This Row],[Remaining Planned]]</f>
        <v>8</v>
      </c>
      <c r="G8">
        <f ca="1">ROUND(RANDBETWEEN(50,100)/100*actuals_prd_imp[[#This Row],[Added Additional]],0)</f>
        <v>1</v>
      </c>
      <c r="H8">
        <f t="shared" ca="1" si="7"/>
        <v>2</v>
      </c>
      <c r="I8">
        <f ca="1">IF(actuals_prd_imp[[#This Row],[End Date]],actuals_prd_imp[[#This Row],[Taken into Immediate Future Plan]]-actuals_prd_imp[[#This Row],[Removed Planned]]-actuals_prd_imp[[#This Row],[Planned done]]-actuals_prd_imp[[#This Row],[Remaining Planned]],"TBD")</f>
        <v>0</v>
      </c>
      <c r="J8">
        <f ca="1">ROUND(RANDBETWEEN(70,100)/100*(actuals_prd_imp[[#This Row],[Planned done]]+actuals_prd_imp[[#This Row],[Additional done]]),0)</f>
        <v>8</v>
      </c>
      <c r="K8">
        <f ca="1">ROUND(RANDBETWEEN(90,100)/100*(actuals_prd_imp[[#This Row],[Planned done]]+actuals_prd_imp[[#This Row],[Additional done]]),0)</f>
        <v>8</v>
      </c>
      <c r="L8" s="8"/>
      <c r="M8" s="4">
        <f t="shared" ca="1" si="1"/>
        <v>42474</v>
      </c>
      <c r="N8">
        <f t="shared" ca="1" si="8"/>
        <v>14</v>
      </c>
      <c r="O8">
        <f t="shared" ca="1" si="9"/>
        <v>1</v>
      </c>
      <c r="P8">
        <f t="shared" ca="1" si="10"/>
        <v>0</v>
      </c>
      <c r="Q8">
        <f ca="1">actuals_prd_exp[[#This Row],[Taken into Immediate Future Plan]]-actuals_prd_exp[[#This Row],[Removed Planned]]-actuals_prd_exp[[#This Row],[Remaining Planned]]</f>
        <v>11</v>
      </c>
      <c r="R8">
        <f ca="1">ROUND(RANDBETWEEN(50,100)/100*actuals_prd_exp[[#This Row],[Added Additional]],0)</f>
        <v>1</v>
      </c>
      <c r="S8">
        <f t="shared" ca="1" si="11"/>
        <v>3</v>
      </c>
      <c r="T8">
        <f ca="1">IF(actuals_prd_exp[[#This Row],[End Date]],actuals_prd_exp[[#This Row],[Taken into Immediate Future Plan]]-actuals_prd_exp[[#This Row],[Removed Planned]]-actuals_prd_exp[[#This Row],[Planned done]]-actuals_prd_exp[[#This Row],[Remaining Planned]],"TBD")</f>
        <v>0</v>
      </c>
      <c r="U8">
        <f ca="1">ROUND(RANDBETWEEN(70,100)/100*(actuals_prd_exp[[#This Row],[Planned done]]+actuals_prd_exp[[#This Row],[Additional done]]),0)</f>
        <v>10</v>
      </c>
      <c r="V8">
        <f ca="1">ROUND(RANDBETWEEN(90,100)/100*(actuals_prd_exp[[#This Row],[Planned done]]+actuals_prd_exp[[#This Row],[Additional done]]),0)</f>
        <v>11</v>
      </c>
      <c r="W8" s="10"/>
      <c r="X8" s="4">
        <f t="shared" ca="1" si="2"/>
        <v>42451</v>
      </c>
      <c r="Y8">
        <f t="shared" ca="1" si="12"/>
        <v>2</v>
      </c>
      <c r="Z8">
        <f t="shared" ca="1" si="13"/>
        <v>0</v>
      </c>
      <c r="AA8">
        <v>0</v>
      </c>
      <c r="AB8">
        <f ca="1">actuals_stn_imp[[#This Row],[Taken into Immediate Future Plan]]-actuals_stn_imp[[#This Row],[Removed Planned]]-actuals_stn_imp[[#This Row],[Remaining Planned]]</f>
        <v>1</v>
      </c>
      <c r="AC8">
        <f ca="1">ROUND(RANDBETWEEN(50,100)/100*actuals_stn_imp[[#This Row],[Added Additional]],0)</f>
        <v>0</v>
      </c>
      <c r="AD8">
        <f t="shared" ca="1" si="14"/>
        <v>1</v>
      </c>
      <c r="AE8">
        <f ca="1">IF(actuals_stn_imp[[#This Row],[End Date]],actuals_stn_imp[[#This Row],[Taken into Immediate Future Plan]]-actuals_stn_imp[[#This Row],[Removed Planned]]-actuals_stn_imp[[#This Row],[Planned done]]-actuals_stn_imp[[#This Row],[Remaining Planned]],"TBD")</f>
        <v>0</v>
      </c>
      <c r="AF8">
        <f ca="1">ROUND(RANDBETWEEN(70,100)/100*(actuals_stn_imp[[#This Row],[Planned done]]+actuals_stn_imp[[#This Row],[Additional done]]),0)</f>
        <v>1</v>
      </c>
      <c r="AG8">
        <f ca="1">ROUND(RANDBETWEEN(90,100)/100*(actuals_stn_imp[[#This Row],[Planned done]]+actuals_stn_imp[[#This Row],[Additional done]]),0)</f>
        <v>1</v>
      </c>
      <c r="AH8" s="11"/>
      <c r="AI8" s="4">
        <f t="shared" ca="1" si="3"/>
        <v>42451</v>
      </c>
      <c r="AJ8">
        <f t="shared" ca="1" si="15"/>
        <v>2</v>
      </c>
      <c r="AK8">
        <f t="shared" ca="1" si="16"/>
        <v>0</v>
      </c>
      <c r="AL8">
        <v>0</v>
      </c>
      <c r="AM8">
        <f ca="1">actuals_stn_exp[[#This Row],[Taken into Immediate Future Plan]]-actuals_stn_exp[[#This Row],[Removed Planned]]-actuals_stn_exp[[#This Row],[Remaining Planned]]</f>
        <v>2</v>
      </c>
      <c r="AN8">
        <f ca="1">ROUND(RANDBETWEEN(50,100)/100*actuals_stn_exp[[#This Row],[Added Additional]],0)</f>
        <v>0</v>
      </c>
      <c r="AO8">
        <f t="shared" ca="1" si="17"/>
        <v>0</v>
      </c>
      <c r="AP8">
        <f ca="1">IF(actuals_stn_exp[[#This Row],[End Date]],actuals_stn_exp[[#This Row],[Taken into Immediate Future Plan]]-actuals_stn_exp[[#This Row],[Removed Planned]]-actuals_stn_exp[[#This Row],[Planned done]]-actuals_stn_exp[[#This Row],[Remaining Planned]],"TBD")</f>
        <v>0</v>
      </c>
      <c r="AQ8">
        <f ca="1">ROUND(RANDBETWEEN(70,100)/100*(actuals_stn_exp[[#This Row],[Planned done]]+actuals_stn_exp[[#This Row],[Additional done]]),0)</f>
        <v>2</v>
      </c>
      <c r="AR8">
        <f ca="1">ROUND(RANDBETWEEN(90,100)/100*(actuals_stn_exp[[#This Row],[Planned done]]+actuals_stn_exp[[#This Row],[Additional done]]),0)</f>
        <v>2</v>
      </c>
    </row>
    <row r="9" spans="1:44" x14ac:dyDescent="0.35">
      <c r="A9" s="7"/>
      <c r="B9" s="4">
        <f t="shared" ca="1" si="0"/>
        <v>42481</v>
      </c>
      <c r="C9">
        <f t="shared" ca="1" si="4"/>
        <v>12</v>
      </c>
      <c r="D9">
        <f t="shared" ca="1" si="5"/>
        <v>1</v>
      </c>
      <c r="E9">
        <f t="shared" ca="1" si="6"/>
        <v>1</v>
      </c>
      <c r="F9">
        <f ca="1">actuals_prd_imp[[#This Row],[Taken into Immediate Future Plan]]-actuals_prd_imp[[#This Row],[Removed Planned]]-actuals_prd_imp[[#This Row],[Remaining Planned]]</f>
        <v>8</v>
      </c>
      <c r="G9">
        <f ca="1">ROUND(RANDBETWEEN(50,100)/100*actuals_prd_imp[[#This Row],[Added Additional]],0)</f>
        <v>1</v>
      </c>
      <c r="H9">
        <f t="shared" ca="1" si="7"/>
        <v>3</v>
      </c>
      <c r="I9">
        <f ca="1">IF(actuals_prd_imp[[#This Row],[End Date]],actuals_prd_imp[[#This Row],[Taken into Immediate Future Plan]]-actuals_prd_imp[[#This Row],[Removed Planned]]-actuals_prd_imp[[#This Row],[Planned done]]-actuals_prd_imp[[#This Row],[Remaining Planned]],"TBD")</f>
        <v>0</v>
      </c>
      <c r="J9">
        <f ca="1">ROUND(RANDBETWEEN(70,100)/100*(actuals_prd_imp[[#This Row],[Planned done]]+actuals_prd_imp[[#This Row],[Additional done]]),0)</f>
        <v>6</v>
      </c>
      <c r="K9">
        <f ca="1">ROUND(RANDBETWEEN(90,100)/100*(actuals_prd_imp[[#This Row],[Planned done]]+actuals_prd_imp[[#This Row],[Additional done]]),0)</f>
        <v>9</v>
      </c>
      <c r="L9" s="8"/>
      <c r="M9" s="4">
        <f t="shared" ca="1" si="1"/>
        <v>42481</v>
      </c>
      <c r="N9">
        <f t="shared" ca="1" si="8"/>
        <v>12</v>
      </c>
      <c r="O9">
        <f t="shared" ca="1" si="9"/>
        <v>0</v>
      </c>
      <c r="P9">
        <f t="shared" ca="1" si="10"/>
        <v>1</v>
      </c>
      <c r="Q9">
        <f ca="1">actuals_prd_exp[[#This Row],[Taken into Immediate Future Plan]]-actuals_prd_exp[[#This Row],[Removed Planned]]-actuals_prd_exp[[#This Row],[Remaining Planned]]</f>
        <v>10</v>
      </c>
      <c r="R9">
        <f ca="1">ROUND(RANDBETWEEN(50,100)/100*actuals_prd_exp[[#This Row],[Added Additional]],0)</f>
        <v>0</v>
      </c>
      <c r="S9">
        <f t="shared" ca="1" si="11"/>
        <v>1</v>
      </c>
      <c r="T9">
        <f ca="1">IF(actuals_prd_exp[[#This Row],[End Date]],actuals_prd_exp[[#This Row],[Taken into Immediate Future Plan]]-actuals_prd_exp[[#This Row],[Removed Planned]]-actuals_prd_exp[[#This Row],[Planned done]]-actuals_prd_exp[[#This Row],[Remaining Planned]],"TBD")</f>
        <v>0</v>
      </c>
      <c r="U9">
        <f ca="1">ROUND(RANDBETWEEN(70,100)/100*(actuals_prd_exp[[#This Row],[Planned done]]+actuals_prd_exp[[#This Row],[Additional done]]),0)</f>
        <v>8</v>
      </c>
      <c r="V9">
        <f ca="1">ROUND(RANDBETWEEN(90,100)/100*(actuals_prd_exp[[#This Row],[Planned done]]+actuals_prd_exp[[#This Row],[Additional done]]),0)</f>
        <v>10</v>
      </c>
      <c r="W9" s="10"/>
      <c r="X9" s="4">
        <f t="shared" ca="1" si="2"/>
        <v>42453</v>
      </c>
      <c r="Y9">
        <f t="shared" ca="1" si="12"/>
        <v>3</v>
      </c>
      <c r="Z9">
        <f t="shared" ca="1" si="13"/>
        <v>1</v>
      </c>
      <c r="AA9">
        <v>0</v>
      </c>
      <c r="AB9">
        <f ca="1">actuals_stn_imp[[#This Row],[Taken into Immediate Future Plan]]-actuals_stn_imp[[#This Row],[Removed Planned]]-actuals_stn_imp[[#This Row],[Remaining Planned]]</f>
        <v>2</v>
      </c>
      <c r="AC9">
        <f ca="1">ROUND(RANDBETWEEN(50,100)/100*actuals_stn_imp[[#This Row],[Added Additional]],0)</f>
        <v>1</v>
      </c>
      <c r="AD9">
        <f t="shared" ca="1" si="14"/>
        <v>1</v>
      </c>
      <c r="AE9">
        <f ca="1">IF(actuals_stn_imp[[#This Row],[End Date]],actuals_stn_imp[[#This Row],[Taken into Immediate Future Plan]]-actuals_stn_imp[[#This Row],[Removed Planned]]-actuals_stn_imp[[#This Row],[Planned done]]-actuals_stn_imp[[#This Row],[Remaining Planned]],"TBD")</f>
        <v>0</v>
      </c>
      <c r="AF9">
        <f ca="1">ROUND(RANDBETWEEN(70,100)/100*(actuals_stn_imp[[#This Row],[Planned done]]+actuals_stn_imp[[#This Row],[Additional done]]),0)</f>
        <v>2</v>
      </c>
      <c r="AG9">
        <f ca="1">ROUND(RANDBETWEEN(90,100)/100*(actuals_stn_imp[[#This Row],[Planned done]]+actuals_stn_imp[[#This Row],[Additional done]]),0)</f>
        <v>3</v>
      </c>
      <c r="AH9" s="11"/>
      <c r="AI9" s="4">
        <f t="shared" ca="1" si="3"/>
        <v>42453</v>
      </c>
      <c r="AJ9">
        <f t="shared" ca="1" si="15"/>
        <v>2</v>
      </c>
      <c r="AK9">
        <f t="shared" ca="1" si="16"/>
        <v>1</v>
      </c>
      <c r="AL9">
        <v>0</v>
      </c>
      <c r="AM9">
        <f ca="1">actuals_stn_exp[[#This Row],[Taken into Immediate Future Plan]]-actuals_stn_exp[[#This Row],[Removed Planned]]-actuals_stn_exp[[#This Row],[Remaining Planned]]</f>
        <v>1</v>
      </c>
      <c r="AN9">
        <f ca="1">ROUND(RANDBETWEEN(50,100)/100*actuals_stn_exp[[#This Row],[Added Additional]],0)</f>
        <v>1</v>
      </c>
      <c r="AO9">
        <f t="shared" ca="1" si="17"/>
        <v>1</v>
      </c>
      <c r="AP9">
        <f ca="1">IF(actuals_stn_exp[[#This Row],[End Date]],actuals_stn_exp[[#This Row],[Taken into Immediate Future Plan]]-actuals_stn_exp[[#This Row],[Removed Planned]]-actuals_stn_exp[[#This Row],[Planned done]]-actuals_stn_exp[[#This Row],[Remaining Planned]],"TBD")</f>
        <v>0</v>
      </c>
      <c r="AQ9">
        <f ca="1">ROUND(RANDBETWEEN(70,100)/100*(actuals_stn_exp[[#This Row],[Planned done]]+actuals_stn_exp[[#This Row],[Additional done]]),0)</f>
        <v>2</v>
      </c>
      <c r="AR9">
        <f ca="1">ROUND(RANDBETWEEN(90,100)/100*(actuals_stn_exp[[#This Row],[Planned done]]+actuals_stn_exp[[#This Row],[Additional done]]),0)</f>
        <v>2</v>
      </c>
    </row>
    <row r="10" spans="1:44" x14ac:dyDescent="0.35">
      <c r="A10" s="7"/>
      <c r="B10" s="4">
        <f t="shared" ca="1" si="0"/>
        <v>42488</v>
      </c>
      <c r="C10">
        <f t="shared" ca="1" si="4"/>
        <v>12</v>
      </c>
      <c r="D10">
        <f t="shared" ca="1" si="5"/>
        <v>0</v>
      </c>
      <c r="E10">
        <f t="shared" ca="1" si="6"/>
        <v>0</v>
      </c>
      <c r="F10">
        <f ca="1">actuals_prd_imp[[#This Row],[Taken into Immediate Future Plan]]-actuals_prd_imp[[#This Row],[Removed Planned]]-actuals_prd_imp[[#This Row],[Remaining Planned]]</f>
        <v>12</v>
      </c>
      <c r="G10">
        <f ca="1">ROUND(RANDBETWEEN(50,100)/100*actuals_prd_imp[[#This Row],[Added Additional]],0)</f>
        <v>0</v>
      </c>
      <c r="H10">
        <f t="shared" ca="1" si="7"/>
        <v>0</v>
      </c>
      <c r="I10">
        <f ca="1">IF(actuals_prd_imp[[#This Row],[End Date]],actuals_prd_imp[[#This Row],[Taken into Immediate Future Plan]]-actuals_prd_imp[[#This Row],[Removed Planned]]-actuals_prd_imp[[#This Row],[Planned done]]-actuals_prd_imp[[#This Row],[Remaining Planned]],"TBD")</f>
        <v>0</v>
      </c>
      <c r="J10">
        <f ca="1">ROUND(RANDBETWEEN(70,100)/100*(actuals_prd_imp[[#This Row],[Planned done]]+actuals_prd_imp[[#This Row],[Additional done]]),0)</f>
        <v>9</v>
      </c>
      <c r="K10">
        <f ca="1">ROUND(RANDBETWEEN(90,100)/100*(actuals_prd_imp[[#This Row],[Planned done]]+actuals_prd_imp[[#This Row],[Additional done]]),0)</f>
        <v>12</v>
      </c>
      <c r="L10" s="8"/>
      <c r="M10" s="4">
        <f t="shared" ca="1" si="1"/>
        <v>42488</v>
      </c>
      <c r="N10">
        <f t="shared" ca="1" si="8"/>
        <v>15</v>
      </c>
      <c r="O10">
        <f t="shared" ca="1" si="9"/>
        <v>3</v>
      </c>
      <c r="P10">
        <f t="shared" ca="1" si="10"/>
        <v>1</v>
      </c>
      <c r="Q10">
        <f ca="1">actuals_prd_exp[[#This Row],[Taken into Immediate Future Plan]]-actuals_prd_exp[[#This Row],[Removed Planned]]-actuals_prd_exp[[#This Row],[Remaining Planned]]</f>
        <v>12</v>
      </c>
      <c r="R10">
        <f ca="1">ROUND(RANDBETWEEN(50,100)/100*actuals_prd_exp[[#This Row],[Added Additional]],0)</f>
        <v>3</v>
      </c>
      <c r="S10">
        <f t="shared" ca="1" si="11"/>
        <v>2</v>
      </c>
      <c r="T10">
        <f ca="1">IF(actuals_prd_exp[[#This Row],[End Date]],actuals_prd_exp[[#This Row],[Taken into Immediate Future Plan]]-actuals_prd_exp[[#This Row],[Removed Planned]]-actuals_prd_exp[[#This Row],[Planned done]]-actuals_prd_exp[[#This Row],[Remaining Planned]],"TBD")</f>
        <v>0</v>
      </c>
      <c r="U10">
        <f ca="1">ROUND(RANDBETWEEN(70,100)/100*(actuals_prd_exp[[#This Row],[Planned done]]+actuals_prd_exp[[#This Row],[Additional done]]),0)</f>
        <v>15</v>
      </c>
      <c r="V10">
        <f ca="1">ROUND(RANDBETWEEN(90,100)/100*(actuals_prd_exp[[#This Row],[Planned done]]+actuals_prd_exp[[#This Row],[Additional done]]),0)</f>
        <v>14</v>
      </c>
      <c r="W10" s="10"/>
      <c r="X10" s="4">
        <f t="shared" ca="1" si="2"/>
        <v>42457</v>
      </c>
      <c r="Y10">
        <f t="shared" ca="1" si="12"/>
        <v>2</v>
      </c>
      <c r="Z10">
        <f t="shared" ca="1" si="13"/>
        <v>1</v>
      </c>
      <c r="AA10">
        <v>0</v>
      </c>
      <c r="AB10">
        <f ca="1">actuals_stn_imp[[#This Row],[Taken into Immediate Future Plan]]-actuals_stn_imp[[#This Row],[Removed Planned]]-actuals_stn_imp[[#This Row],[Remaining Planned]]</f>
        <v>2</v>
      </c>
      <c r="AC10">
        <f ca="1">ROUND(RANDBETWEEN(50,100)/100*actuals_stn_imp[[#This Row],[Added Additional]],0)</f>
        <v>1</v>
      </c>
      <c r="AD10">
        <f t="shared" ca="1" si="14"/>
        <v>0</v>
      </c>
      <c r="AE10">
        <f ca="1">IF(actuals_stn_imp[[#This Row],[End Date]],actuals_stn_imp[[#This Row],[Taken into Immediate Future Plan]]-actuals_stn_imp[[#This Row],[Removed Planned]]-actuals_stn_imp[[#This Row],[Planned done]]-actuals_stn_imp[[#This Row],[Remaining Planned]],"TBD")</f>
        <v>0</v>
      </c>
      <c r="AF10">
        <f ca="1">ROUND(RANDBETWEEN(70,100)/100*(actuals_stn_imp[[#This Row],[Planned done]]+actuals_stn_imp[[#This Row],[Additional done]]),0)</f>
        <v>3</v>
      </c>
      <c r="AG10">
        <f ca="1">ROUND(RANDBETWEEN(90,100)/100*(actuals_stn_imp[[#This Row],[Planned done]]+actuals_stn_imp[[#This Row],[Additional done]]),0)</f>
        <v>3</v>
      </c>
      <c r="AH10" s="11"/>
      <c r="AI10" s="4">
        <f t="shared" ca="1" si="3"/>
        <v>42457</v>
      </c>
      <c r="AJ10">
        <f t="shared" ca="1" si="15"/>
        <v>3</v>
      </c>
      <c r="AK10">
        <f t="shared" ca="1" si="16"/>
        <v>1</v>
      </c>
      <c r="AL10">
        <v>0</v>
      </c>
      <c r="AM10">
        <f ca="1">actuals_stn_exp[[#This Row],[Taken into Immediate Future Plan]]-actuals_stn_exp[[#This Row],[Removed Planned]]-actuals_stn_exp[[#This Row],[Remaining Planned]]</f>
        <v>2</v>
      </c>
      <c r="AN10">
        <f ca="1">ROUND(RANDBETWEEN(50,100)/100*actuals_stn_exp[[#This Row],[Added Additional]],0)</f>
        <v>1</v>
      </c>
      <c r="AO10">
        <f t="shared" ca="1" si="17"/>
        <v>1</v>
      </c>
      <c r="AP10">
        <f ca="1">IF(actuals_stn_exp[[#This Row],[End Date]],actuals_stn_exp[[#This Row],[Taken into Immediate Future Plan]]-actuals_stn_exp[[#This Row],[Removed Planned]]-actuals_stn_exp[[#This Row],[Planned done]]-actuals_stn_exp[[#This Row],[Remaining Planned]],"TBD")</f>
        <v>0</v>
      </c>
      <c r="AQ10">
        <f ca="1">ROUND(RANDBETWEEN(70,100)/100*(actuals_stn_exp[[#This Row],[Planned done]]+actuals_stn_exp[[#This Row],[Additional done]]),0)</f>
        <v>2</v>
      </c>
      <c r="AR10">
        <f ca="1">ROUND(RANDBETWEEN(90,100)/100*(actuals_stn_exp[[#This Row],[Planned done]]+actuals_stn_exp[[#This Row],[Additional done]]),0)</f>
        <v>3</v>
      </c>
    </row>
    <row r="11" spans="1:44" x14ac:dyDescent="0.35">
      <c r="A11" s="7"/>
      <c r="B11" s="4">
        <f t="shared" ca="1" si="0"/>
        <v>42495</v>
      </c>
      <c r="C11">
        <f t="shared" ca="1" si="4"/>
        <v>14</v>
      </c>
      <c r="D11">
        <f t="shared" ca="1" si="5"/>
        <v>4</v>
      </c>
      <c r="E11">
        <f t="shared" ca="1" si="6"/>
        <v>2</v>
      </c>
      <c r="F11">
        <f ca="1">actuals_prd_imp[[#This Row],[Taken into Immediate Future Plan]]-actuals_prd_imp[[#This Row],[Removed Planned]]-actuals_prd_imp[[#This Row],[Remaining Planned]]</f>
        <v>11</v>
      </c>
      <c r="G11">
        <f ca="1">ROUND(RANDBETWEEN(50,100)/100*actuals_prd_imp[[#This Row],[Added Additional]],0)</f>
        <v>4</v>
      </c>
      <c r="H11">
        <f t="shared" ca="1" si="7"/>
        <v>1</v>
      </c>
      <c r="I11">
        <f ca="1">IF(actuals_prd_imp[[#This Row],[End Date]],actuals_prd_imp[[#This Row],[Taken into Immediate Future Plan]]-actuals_prd_imp[[#This Row],[Removed Planned]]-actuals_prd_imp[[#This Row],[Planned done]]-actuals_prd_imp[[#This Row],[Remaining Planned]],"TBD")</f>
        <v>0</v>
      </c>
      <c r="J11">
        <f ca="1">ROUND(RANDBETWEEN(70,100)/100*(actuals_prd_imp[[#This Row],[Planned done]]+actuals_prd_imp[[#This Row],[Additional done]]),0)</f>
        <v>14</v>
      </c>
      <c r="K11">
        <f ca="1">ROUND(RANDBETWEEN(90,100)/100*(actuals_prd_imp[[#This Row],[Planned done]]+actuals_prd_imp[[#This Row],[Additional done]]),0)</f>
        <v>15</v>
      </c>
      <c r="L11" s="8"/>
      <c r="M11" s="4">
        <f t="shared" ca="1" si="1"/>
        <v>42495</v>
      </c>
      <c r="N11">
        <f t="shared" ca="1" si="8"/>
        <v>12</v>
      </c>
      <c r="O11">
        <f t="shared" ca="1" si="9"/>
        <v>2</v>
      </c>
      <c r="P11">
        <f t="shared" ca="1" si="10"/>
        <v>2</v>
      </c>
      <c r="Q11">
        <f ca="1">actuals_prd_exp[[#This Row],[Taken into Immediate Future Plan]]-actuals_prd_exp[[#This Row],[Removed Planned]]-actuals_prd_exp[[#This Row],[Remaining Planned]]</f>
        <v>9</v>
      </c>
      <c r="R11">
        <f ca="1">ROUND(RANDBETWEEN(50,100)/100*actuals_prd_exp[[#This Row],[Added Additional]],0)</f>
        <v>1</v>
      </c>
      <c r="S11">
        <f t="shared" ca="1" si="11"/>
        <v>1</v>
      </c>
      <c r="T11">
        <f ca="1">IF(actuals_prd_exp[[#This Row],[End Date]],actuals_prd_exp[[#This Row],[Taken into Immediate Future Plan]]-actuals_prd_exp[[#This Row],[Removed Planned]]-actuals_prd_exp[[#This Row],[Planned done]]-actuals_prd_exp[[#This Row],[Remaining Planned]],"TBD")</f>
        <v>0</v>
      </c>
      <c r="U11">
        <f ca="1">ROUND(RANDBETWEEN(70,100)/100*(actuals_prd_exp[[#This Row],[Planned done]]+actuals_prd_exp[[#This Row],[Additional done]]),0)</f>
        <v>9</v>
      </c>
      <c r="V11">
        <f ca="1">ROUND(RANDBETWEEN(90,100)/100*(actuals_prd_exp[[#This Row],[Planned done]]+actuals_prd_exp[[#This Row],[Additional done]]),0)</f>
        <v>10</v>
      </c>
      <c r="W11" s="10"/>
      <c r="X11" s="4">
        <f t="shared" ca="1" si="2"/>
        <v>42459</v>
      </c>
      <c r="Y11">
        <f t="shared" ca="1" si="12"/>
        <v>3</v>
      </c>
      <c r="Z11">
        <f t="shared" ca="1" si="13"/>
        <v>0</v>
      </c>
      <c r="AA11">
        <v>0</v>
      </c>
      <c r="AB11">
        <f ca="1">actuals_stn_imp[[#This Row],[Taken into Immediate Future Plan]]-actuals_stn_imp[[#This Row],[Removed Planned]]-actuals_stn_imp[[#This Row],[Remaining Planned]]</f>
        <v>3</v>
      </c>
      <c r="AC11">
        <f ca="1">ROUND(RANDBETWEEN(50,100)/100*actuals_stn_imp[[#This Row],[Added Additional]],0)</f>
        <v>0</v>
      </c>
      <c r="AD11">
        <f t="shared" ca="1" si="14"/>
        <v>0</v>
      </c>
      <c r="AE11">
        <f ca="1">IF(actuals_stn_imp[[#This Row],[End Date]],actuals_stn_imp[[#This Row],[Taken into Immediate Future Plan]]-actuals_stn_imp[[#This Row],[Removed Planned]]-actuals_stn_imp[[#This Row],[Planned done]]-actuals_stn_imp[[#This Row],[Remaining Planned]],"TBD")</f>
        <v>0</v>
      </c>
      <c r="AF11">
        <f ca="1">ROUND(RANDBETWEEN(70,100)/100*(actuals_stn_imp[[#This Row],[Planned done]]+actuals_stn_imp[[#This Row],[Additional done]]),0)</f>
        <v>3</v>
      </c>
      <c r="AG11">
        <f ca="1">ROUND(RANDBETWEEN(90,100)/100*(actuals_stn_imp[[#This Row],[Planned done]]+actuals_stn_imp[[#This Row],[Additional done]]),0)</f>
        <v>3</v>
      </c>
      <c r="AH11" s="11"/>
      <c r="AI11" s="4">
        <f t="shared" ca="1" si="3"/>
        <v>42459</v>
      </c>
      <c r="AJ11">
        <f t="shared" ca="1" si="15"/>
        <v>2</v>
      </c>
      <c r="AK11">
        <f t="shared" ca="1" si="16"/>
        <v>1</v>
      </c>
      <c r="AL11">
        <v>0</v>
      </c>
      <c r="AM11">
        <f ca="1">actuals_stn_exp[[#This Row],[Taken into Immediate Future Plan]]-actuals_stn_exp[[#This Row],[Removed Planned]]-actuals_stn_exp[[#This Row],[Remaining Planned]]</f>
        <v>1</v>
      </c>
      <c r="AN11">
        <f ca="1">ROUND(RANDBETWEEN(50,100)/100*actuals_stn_exp[[#This Row],[Added Additional]],0)</f>
        <v>1</v>
      </c>
      <c r="AO11">
        <f t="shared" ca="1" si="17"/>
        <v>1</v>
      </c>
      <c r="AP11">
        <f ca="1">IF(actuals_stn_exp[[#This Row],[End Date]],actuals_stn_exp[[#This Row],[Taken into Immediate Future Plan]]-actuals_stn_exp[[#This Row],[Removed Planned]]-actuals_stn_exp[[#This Row],[Planned done]]-actuals_stn_exp[[#This Row],[Remaining Planned]],"TBD")</f>
        <v>0</v>
      </c>
      <c r="AQ11">
        <f ca="1">ROUND(RANDBETWEEN(70,100)/100*(actuals_stn_exp[[#This Row],[Planned done]]+actuals_stn_exp[[#This Row],[Additional done]]),0)</f>
        <v>2</v>
      </c>
      <c r="AR11">
        <f ca="1">ROUND(RANDBETWEEN(90,100)/100*(actuals_stn_exp[[#This Row],[Planned done]]+actuals_stn_exp[[#This Row],[Additional done]]),0)</f>
        <v>2</v>
      </c>
    </row>
    <row r="12" spans="1:44" x14ac:dyDescent="0.35">
      <c r="A12" s="7"/>
      <c r="B12" s="4">
        <f t="shared" ca="1" si="0"/>
        <v>42502</v>
      </c>
      <c r="C12">
        <f t="shared" ca="1" si="4"/>
        <v>14</v>
      </c>
      <c r="D12">
        <f t="shared" ca="1" si="5"/>
        <v>1</v>
      </c>
      <c r="E12">
        <f t="shared" ca="1" si="6"/>
        <v>2</v>
      </c>
      <c r="F12">
        <f ca="1">actuals_prd_imp[[#This Row],[Taken into Immediate Future Plan]]-actuals_prd_imp[[#This Row],[Removed Planned]]-actuals_prd_imp[[#This Row],[Remaining Planned]]</f>
        <v>12</v>
      </c>
      <c r="G12">
        <f ca="1">ROUND(RANDBETWEEN(50,100)/100*actuals_prd_imp[[#This Row],[Added Additional]],0)</f>
        <v>1</v>
      </c>
      <c r="H12">
        <f t="shared" ca="1" si="7"/>
        <v>0</v>
      </c>
      <c r="I12">
        <f ca="1">IF(actuals_prd_imp[[#This Row],[End Date]],actuals_prd_imp[[#This Row],[Taken into Immediate Future Plan]]-actuals_prd_imp[[#This Row],[Removed Planned]]-actuals_prd_imp[[#This Row],[Planned done]]-actuals_prd_imp[[#This Row],[Remaining Planned]],"TBD")</f>
        <v>0</v>
      </c>
      <c r="J12">
        <f ca="1">ROUND(RANDBETWEEN(70,100)/100*(actuals_prd_imp[[#This Row],[Planned done]]+actuals_prd_imp[[#This Row],[Additional done]]),0)</f>
        <v>13</v>
      </c>
      <c r="K12">
        <f ca="1">ROUND(RANDBETWEEN(90,100)/100*(actuals_prd_imp[[#This Row],[Planned done]]+actuals_prd_imp[[#This Row],[Additional done]]),0)</f>
        <v>12</v>
      </c>
      <c r="L12" s="8"/>
      <c r="M12" s="4">
        <f t="shared" ca="1" si="1"/>
        <v>42502</v>
      </c>
      <c r="N12">
        <f t="shared" ca="1" si="8"/>
        <v>11</v>
      </c>
      <c r="O12">
        <f t="shared" ca="1" si="9"/>
        <v>3</v>
      </c>
      <c r="P12">
        <f t="shared" ca="1" si="10"/>
        <v>1</v>
      </c>
      <c r="Q12">
        <f ca="1">actuals_prd_exp[[#This Row],[Taken into Immediate Future Plan]]-actuals_prd_exp[[#This Row],[Removed Planned]]-actuals_prd_exp[[#This Row],[Remaining Planned]]</f>
        <v>8</v>
      </c>
      <c r="R12">
        <f ca="1">ROUND(RANDBETWEEN(50,100)/100*actuals_prd_exp[[#This Row],[Added Additional]],0)</f>
        <v>2</v>
      </c>
      <c r="S12">
        <f t="shared" ca="1" si="11"/>
        <v>2</v>
      </c>
      <c r="T12">
        <f ca="1">IF(actuals_prd_exp[[#This Row],[End Date]],actuals_prd_exp[[#This Row],[Taken into Immediate Future Plan]]-actuals_prd_exp[[#This Row],[Removed Planned]]-actuals_prd_exp[[#This Row],[Planned done]]-actuals_prd_exp[[#This Row],[Remaining Planned]],"TBD")</f>
        <v>0</v>
      </c>
      <c r="U12">
        <f ca="1">ROUND(RANDBETWEEN(70,100)/100*(actuals_prd_exp[[#This Row],[Planned done]]+actuals_prd_exp[[#This Row],[Additional done]]),0)</f>
        <v>7</v>
      </c>
      <c r="V12">
        <f ca="1">ROUND(RANDBETWEEN(90,100)/100*(actuals_prd_exp[[#This Row],[Planned done]]+actuals_prd_exp[[#This Row],[Additional done]]),0)</f>
        <v>10</v>
      </c>
      <c r="W12" s="10"/>
      <c r="X12" s="4">
        <f t="shared" ca="1" si="2"/>
        <v>42461</v>
      </c>
      <c r="Y12">
        <f t="shared" ca="1" si="12"/>
        <v>2</v>
      </c>
      <c r="Z12">
        <f t="shared" ca="1" si="13"/>
        <v>0</v>
      </c>
      <c r="AA12">
        <v>0</v>
      </c>
      <c r="AB12">
        <f ca="1">actuals_stn_imp[[#This Row],[Taken into Immediate Future Plan]]-actuals_stn_imp[[#This Row],[Removed Planned]]-actuals_stn_imp[[#This Row],[Remaining Planned]]</f>
        <v>2</v>
      </c>
      <c r="AC12">
        <f ca="1">ROUND(RANDBETWEEN(50,100)/100*actuals_stn_imp[[#This Row],[Added Additional]],0)</f>
        <v>0</v>
      </c>
      <c r="AD12">
        <f t="shared" ca="1" si="14"/>
        <v>0</v>
      </c>
      <c r="AE12">
        <f ca="1">IF(actuals_stn_imp[[#This Row],[End Date]],actuals_stn_imp[[#This Row],[Taken into Immediate Future Plan]]-actuals_stn_imp[[#This Row],[Removed Planned]]-actuals_stn_imp[[#This Row],[Planned done]]-actuals_stn_imp[[#This Row],[Remaining Planned]],"TBD")</f>
        <v>0</v>
      </c>
      <c r="AF12">
        <f ca="1">ROUND(RANDBETWEEN(70,100)/100*(actuals_stn_imp[[#This Row],[Planned done]]+actuals_stn_imp[[#This Row],[Additional done]]),0)</f>
        <v>1</v>
      </c>
      <c r="AG12">
        <f ca="1">ROUND(RANDBETWEEN(90,100)/100*(actuals_stn_imp[[#This Row],[Planned done]]+actuals_stn_imp[[#This Row],[Additional done]]),0)</f>
        <v>2</v>
      </c>
      <c r="AH12" s="11"/>
      <c r="AI12" s="4">
        <f t="shared" ca="1" si="3"/>
        <v>42461</v>
      </c>
      <c r="AJ12">
        <f t="shared" ca="1" si="15"/>
        <v>2</v>
      </c>
      <c r="AK12">
        <f t="shared" ca="1" si="16"/>
        <v>1</v>
      </c>
      <c r="AL12">
        <v>0</v>
      </c>
      <c r="AM12">
        <f ca="1">actuals_stn_exp[[#This Row],[Taken into Immediate Future Plan]]-actuals_stn_exp[[#This Row],[Removed Planned]]-actuals_stn_exp[[#This Row],[Remaining Planned]]</f>
        <v>2</v>
      </c>
      <c r="AN12">
        <f ca="1">ROUND(RANDBETWEEN(50,100)/100*actuals_stn_exp[[#This Row],[Added Additional]],0)</f>
        <v>1</v>
      </c>
      <c r="AO12">
        <f t="shared" ca="1" si="17"/>
        <v>0</v>
      </c>
      <c r="AP12">
        <f ca="1">IF(actuals_stn_exp[[#This Row],[End Date]],actuals_stn_exp[[#This Row],[Taken into Immediate Future Plan]]-actuals_stn_exp[[#This Row],[Removed Planned]]-actuals_stn_exp[[#This Row],[Planned done]]-actuals_stn_exp[[#This Row],[Remaining Planned]],"TBD")</f>
        <v>0</v>
      </c>
      <c r="AQ12">
        <f ca="1">ROUND(RANDBETWEEN(70,100)/100*(actuals_stn_exp[[#This Row],[Planned done]]+actuals_stn_exp[[#This Row],[Additional done]]),0)</f>
        <v>3</v>
      </c>
      <c r="AR12">
        <f ca="1">ROUND(RANDBETWEEN(90,100)/100*(actuals_stn_exp[[#This Row],[Planned done]]+actuals_stn_exp[[#This Row],[Additional done]]),0)</f>
        <v>3</v>
      </c>
    </row>
    <row r="13" spans="1:44" x14ac:dyDescent="0.35">
      <c r="A13" s="7"/>
      <c r="B13" s="4">
        <f t="shared" ca="1" si="0"/>
        <v>42509</v>
      </c>
      <c r="C13">
        <f t="shared" ca="1" si="4"/>
        <v>13</v>
      </c>
      <c r="D13">
        <f t="shared" ca="1" si="5"/>
        <v>3</v>
      </c>
      <c r="E13">
        <f t="shared" ca="1" si="6"/>
        <v>2</v>
      </c>
      <c r="F13">
        <f ca="1">actuals_prd_imp[[#This Row],[Taken into Immediate Future Plan]]-actuals_prd_imp[[#This Row],[Removed Planned]]-actuals_prd_imp[[#This Row],[Remaining Planned]]</f>
        <v>11</v>
      </c>
      <c r="G13">
        <f ca="1">ROUND(RANDBETWEEN(50,100)/100*actuals_prd_imp[[#This Row],[Added Additional]],0)</f>
        <v>2</v>
      </c>
      <c r="H13">
        <f t="shared" ca="1" si="7"/>
        <v>0</v>
      </c>
      <c r="I13">
        <f ca="1">IF(actuals_prd_imp[[#This Row],[End Date]],actuals_prd_imp[[#This Row],[Taken into Immediate Future Plan]]-actuals_prd_imp[[#This Row],[Removed Planned]]-actuals_prd_imp[[#This Row],[Planned done]]-actuals_prd_imp[[#This Row],[Remaining Planned]],"TBD")</f>
        <v>0</v>
      </c>
      <c r="J13">
        <f ca="1">ROUND(RANDBETWEEN(70,100)/100*(actuals_prd_imp[[#This Row],[Planned done]]+actuals_prd_imp[[#This Row],[Additional done]]),0)</f>
        <v>10</v>
      </c>
      <c r="K13">
        <f ca="1">ROUND(RANDBETWEEN(90,100)/100*(actuals_prd_imp[[#This Row],[Planned done]]+actuals_prd_imp[[#This Row],[Additional done]]),0)</f>
        <v>12</v>
      </c>
      <c r="L13" s="8"/>
      <c r="M13" s="4">
        <f t="shared" ca="1" si="1"/>
        <v>42509</v>
      </c>
      <c r="N13">
        <f t="shared" ca="1" si="8"/>
        <v>12</v>
      </c>
      <c r="O13">
        <f t="shared" ca="1" si="9"/>
        <v>1</v>
      </c>
      <c r="P13">
        <f t="shared" ca="1" si="10"/>
        <v>1</v>
      </c>
      <c r="Q13">
        <f ca="1">actuals_prd_exp[[#This Row],[Taken into Immediate Future Plan]]-actuals_prd_exp[[#This Row],[Removed Planned]]-actuals_prd_exp[[#This Row],[Remaining Planned]]</f>
        <v>8</v>
      </c>
      <c r="R13">
        <f ca="1">ROUND(RANDBETWEEN(50,100)/100*actuals_prd_exp[[#This Row],[Added Additional]],0)</f>
        <v>1</v>
      </c>
      <c r="S13">
        <f t="shared" ca="1" si="11"/>
        <v>3</v>
      </c>
      <c r="T13">
        <f ca="1">IF(actuals_prd_exp[[#This Row],[End Date]],actuals_prd_exp[[#This Row],[Taken into Immediate Future Plan]]-actuals_prd_exp[[#This Row],[Removed Planned]]-actuals_prd_exp[[#This Row],[Planned done]]-actuals_prd_exp[[#This Row],[Remaining Planned]],"TBD")</f>
        <v>0</v>
      </c>
      <c r="U13">
        <f ca="1">ROUND(RANDBETWEEN(70,100)/100*(actuals_prd_exp[[#This Row],[Planned done]]+actuals_prd_exp[[#This Row],[Additional done]]),0)</f>
        <v>8</v>
      </c>
      <c r="V13">
        <f ca="1">ROUND(RANDBETWEEN(90,100)/100*(actuals_prd_exp[[#This Row],[Planned done]]+actuals_prd_exp[[#This Row],[Additional done]]),0)</f>
        <v>8</v>
      </c>
      <c r="W13" s="10"/>
      <c r="X13" s="4">
        <f t="shared" ca="1" si="2"/>
        <v>42465</v>
      </c>
      <c r="Y13">
        <f t="shared" ca="1" si="12"/>
        <v>3</v>
      </c>
      <c r="Z13">
        <f t="shared" ca="1" si="13"/>
        <v>1</v>
      </c>
      <c r="AA13">
        <v>0</v>
      </c>
      <c r="AB13">
        <f ca="1">actuals_stn_imp[[#This Row],[Taken into Immediate Future Plan]]-actuals_stn_imp[[#This Row],[Removed Planned]]-actuals_stn_imp[[#This Row],[Remaining Planned]]</f>
        <v>2</v>
      </c>
      <c r="AC13">
        <f ca="1">ROUND(RANDBETWEEN(50,100)/100*actuals_stn_imp[[#This Row],[Added Additional]],0)</f>
        <v>1</v>
      </c>
      <c r="AD13">
        <f t="shared" ca="1" si="14"/>
        <v>1</v>
      </c>
      <c r="AE13">
        <f ca="1">IF(actuals_stn_imp[[#This Row],[End Date]],actuals_stn_imp[[#This Row],[Taken into Immediate Future Plan]]-actuals_stn_imp[[#This Row],[Removed Planned]]-actuals_stn_imp[[#This Row],[Planned done]]-actuals_stn_imp[[#This Row],[Remaining Planned]],"TBD")</f>
        <v>0</v>
      </c>
      <c r="AF13">
        <f ca="1">ROUND(RANDBETWEEN(70,100)/100*(actuals_stn_imp[[#This Row],[Planned done]]+actuals_stn_imp[[#This Row],[Additional done]]),0)</f>
        <v>3</v>
      </c>
      <c r="AG13">
        <f ca="1">ROUND(RANDBETWEEN(90,100)/100*(actuals_stn_imp[[#This Row],[Planned done]]+actuals_stn_imp[[#This Row],[Additional done]]),0)</f>
        <v>3</v>
      </c>
      <c r="AH13" s="11"/>
      <c r="AI13" s="4">
        <f t="shared" ca="1" si="3"/>
        <v>42465</v>
      </c>
      <c r="AJ13">
        <f t="shared" ca="1" si="15"/>
        <v>2</v>
      </c>
      <c r="AK13">
        <f t="shared" ca="1" si="16"/>
        <v>1</v>
      </c>
      <c r="AL13">
        <v>0</v>
      </c>
      <c r="AM13">
        <f ca="1">actuals_stn_exp[[#This Row],[Taken into Immediate Future Plan]]-actuals_stn_exp[[#This Row],[Removed Planned]]-actuals_stn_exp[[#This Row],[Remaining Planned]]</f>
        <v>1</v>
      </c>
      <c r="AN13">
        <f ca="1">ROUND(RANDBETWEEN(50,100)/100*actuals_stn_exp[[#This Row],[Added Additional]],0)</f>
        <v>1</v>
      </c>
      <c r="AO13">
        <f t="shared" ca="1" si="17"/>
        <v>1</v>
      </c>
      <c r="AP13">
        <f ca="1">IF(actuals_stn_exp[[#This Row],[End Date]],actuals_stn_exp[[#This Row],[Taken into Immediate Future Plan]]-actuals_stn_exp[[#This Row],[Removed Planned]]-actuals_stn_exp[[#This Row],[Planned done]]-actuals_stn_exp[[#This Row],[Remaining Planned]],"TBD")</f>
        <v>0</v>
      </c>
      <c r="AQ13">
        <f ca="1">ROUND(RANDBETWEEN(70,100)/100*(actuals_stn_exp[[#This Row],[Planned done]]+actuals_stn_exp[[#This Row],[Additional done]]),0)</f>
        <v>2</v>
      </c>
      <c r="AR13">
        <f ca="1">ROUND(RANDBETWEEN(90,100)/100*(actuals_stn_exp[[#This Row],[Planned done]]+actuals_stn_exp[[#This Row],[Additional done]]),0)</f>
        <v>2</v>
      </c>
    </row>
    <row r="14" spans="1:44" x14ac:dyDescent="0.35">
      <c r="A14" s="7"/>
      <c r="B14" s="4">
        <f ca="1">WORKDAY(B15,-5)</f>
        <v>42516</v>
      </c>
      <c r="C14">
        <f t="shared" ca="1" si="4"/>
        <v>15</v>
      </c>
      <c r="D14">
        <f t="shared" ca="1" si="5"/>
        <v>1</v>
      </c>
      <c r="E14">
        <f t="shared" ca="1" si="6"/>
        <v>1</v>
      </c>
      <c r="F14">
        <f ca="1">actuals_prd_imp[[#This Row],[Taken into Immediate Future Plan]]-actuals_prd_imp[[#This Row],[Removed Planned]]-actuals_prd_imp[[#This Row],[Remaining Planned]]</f>
        <v>14</v>
      </c>
      <c r="G14">
        <f ca="1">ROUND(RANDBETWEEN(50,100)/100*actuals_prd_imp[[#This Row],[Added Additional]],0)</f>
        <v>1</v>
      </c>
      <c r="H14">
        <f t="shared" ca="1" si="7"/>
        <v>0</v>
      </c>
      <c r="I14">
        <f ca="1">IF(actuals_prd_imp[[#This Row],[End Date]],actuals_prd_imp[[#This Row],[Taken into Immediate Future Plan]]-actuals_prd_imp[[#This Row],[Removed Planned]]-actuals_prd_imp[[#This Row],[Planned done]]-actuals_prd_imp[[#This Row],[Remaining Planned]],"TBD")</f>
        <v>0</v>
      </c>
      <c r="J14">
        <f ca="1">ROUND(RANDBETWEEN(70,100)/100*(actuals_prd_imp[[#This Row],[Planned done]]+actuals_prd_imp[[#This Row],[Additional done]]),0)</f>
        <v>15</v>
      </c>
      <c r="K14">
        <f ca="1">ROUND(RANDBETWEEN(90,100)/100*(actuals_prd_imp[[#This Row],[Planned done]]+actuals_prd_imp[[#This Row],[Additional done]]),0)</f>
        <v>14</v>
      </c>
      <c r="L14" s="8"/>
      <c r="M14" s="4">
        <f ca="1">WORKDAY(M15,-5)</f>
        <v>42516</v>
      </c>
      <c r="N14">
        <f t="shared" ca="1" si="8"/>
        <v>14</v>
      </c>
      <c r="O14">
        <f t="shared" ca="1" si="9"/>
        <v>3</v>
      </c>
      <c r="P14">
        <f t="shared" ca="1" si="10"/>
        <v>2</v>
      </c>
      <c r="Q14">
        <f ca="1">actuals_prd_exp[[#This Row],[Taken into Immediate Future Plan]]-actuals_prd_exp[[#This Row],[Removed Planned]]-actuals_prd_exp[[#This Row],[Remaining Planned]]</f>
        <v>12</v>
      </c>
      <c r="R14">
        <f ca="1">ROUND(RANDBETWEEN(50,100)/100*actuals_prd_exp[[#This Row],[Added Additional]],0)</f>
        <v>2</v>
      </c>
      <c r="S14">
        <f t="shared" ca="1" si="11"/>
        <v>0</v>
      </c>
      <c r="T14">
        <f ca="1">IF(actuals_prd_exp[[#This Row],[End Date]],actuals_prd_exp[[#This Row],[Taken into Immediate Future Plan]]-actuals_prd_exp[[#This Row],[Removed Planned]]-actuals_prd_exp[[#This Row],[Planned done]]-actuals_prd_exp[[#This Row],[Remaining Planned]],"TBD")</f>
        <v>0</v>
      </c>
      <c r="U14">
        <f ca="1">ROUND(RANDBETWEEN(70,100)/100*(actuals_prd_exp[[#This Row],[Planned done]]+actuals_prd_exp[[#This Row],[Additional done]]),0)</f>
        <v>12</v>
      </c>
      <c r="V14">
        <f ca="1">ROUND(RANDBETWEEN(90,100)/100*(actuals_prd_exp[[#This Row],[Planned done]]+actuals_prd_exp[[#This Row],[Additional done]]),0)</f>
        <v>13</v>
      </c>
      <c r="W14" s="10"/>
      <c r="X14" s="4">
        <f t="shared" ca="1" si="2"/>
        <v>42467</v>
      </c>
      <c r="Y14">
        <f t="shared" ca="1" si="12"/>
        <v>2</v>
      </c>
      <c r="Z14">
        <f t="shared" ca="1" si="13"/>
        <v>1</v>
      </c>
      <c r="AA14">
        <v>0</v>
      </c>
      <c r="AB14">
        <f ca="1">actuals_stn_imp[[#This Row],[Taken into Immediate Future Plan]]-actuals_stn_imp[[#This Row],[Removed Planned]]-actuals_stn_imp[[#This Row],[Remaining Planned]]</f>
        <v>2</v>
      </c>
      <c r="AC14">
        <f ca="1">ROUND(RANDBETWEEN(50,100)/100*actuals_stn_imp[[#This Row],[Added Additional]],0)</f>
        <v>1</v>
      </c>
      <c r="AD14">
        <f t="shared" ca="1" si="14"/>
        <v>0</v>
      </c>
      <c r="AE14">
        <f ca="1">IF(actuals_stn_imp[[#This Row],[End Date]],actuals_stn_imp[[#This Row],[Taken into Immediate Future Plan]]-actuals_stn_imp[[#This Row],[Removed Planned]]-actuals_stn_imp[[#This Row],[Planned done]]-actuals_stn_imp[[#This Row],[Remaining Planned]],"TBD")</f>
        <v>0</v>
      </c>
      <c r="AF14">
        <f ca="1">ROUND(RANDBETWEEN(70,100)/100*(actuals_stn_imp[[#This Row],[Planned done]]+actuals_stn_imp[[#This Row],[Additional done]]),0)</f>
        <v>3</v>
      </c>
      <c r="AG14">
        <f ca="1">ROUND(RANDBETWEEN(90,100)/100*(actuals_stn_imp[[#This Row],[Planned done]]+actuals_stn_imp[[#This Row],[Additional done]]),0)</f>
        <v>3</v>
      </c>
      <c r="AH14" s="11"/>
      <c r="AI14" s="4">
        <f t="shared" ca="1" si="3"/>
        <v>42467</v>
      </c>
      <c r="AJ14">
        <f t="shared" ca="1" si="15"/>
        <v>2</v>
      </c>
      <c r="AK14">
        <f t="shared" ca="1" si="16"/>
        <v>0</v>
      </c>
      <c r="AL14">
        <v>0</v>
      </c>
      <c r="AM14">
        <f ca="1">actuals_stn_exp[[#This Row],[Taken into Immediate Future Plan]]-actuals_stn_exp[[#This Row],[Removed Planned]]-actuals_stn_exp[[#This Row],[Remaining Planned]]</f>
        <v>1</v>
      </c>
      <c r="AN14">
        <f ca="1">ROUND(RANDBETWEEN(50,100)/100*actuals_stn_exp[[#This Row],[Added Additional]],0)</f>
        <v>0</v>
      </c>
      <c r="AO14">
        <f t="shared" ca="1" si="17"/>
        <v>1</v>
      </c>
      <c r="AP14">
        <f ca="1">IF(actuals_stn_exp[[#This Row],[End Date]],actuals_stn_exp[[#This Row],[Taken into Immediate Future Plan]]-actuals_stn_exp[[#This Row],[Removed Planned]]-actuals_stn_exp[[#This Row],[Planned done]]-actuals_stn_exp[[#This Row],[Remaining Planned]],"TBD")</f>
        <v>0</v>
      </c>
      <c r="AQ14">
        <f ca="1">ROUND(RANDBETWEEN(70,100)/100*(actuals_stn_exp[[#This Row],[Planned done]]+actuals_stn_exp[[#This Row],[Additional done]]),0)</f>
        <v>1</v>
      </c>
      <c r="AR14">
        <f ca="1">ROUND(RANDBETWEEN(90,100)/100*(actuals_stn_exp[[#This Row],[Planned done]]+actuals_stn_exp[[#This Row],[Additional done]]),0)</f>
        <v>1</v>
      </c>
    </row>
    <row r="15" spans="1:44" x14ac:dyDescent="0.35">
      <c r="A15" s="7"/>
      <c r="B15" s="4">
        <f ca="1">WORKDAY(TODAY(),-2)</f>
        <v>42523</v>
      </c>
      <c r="C15">
        <f t="shared" ca="1" si="4"/>
        <v>12</v>
      </c>
      <c r="D15">
        <f t="shared" ca="1" si="5"/>
        <v>4</v>
      </c>
      <c r="E15">
        <f t="shared" ca="1" si="6"/>
        <v>1</v>
      </c>
      <c r="F15">
        <f ca="1">actuals_prd_imp[[#This Row],[Taken into Immediate Future Plan]]-actuals_prd_imp[[#This Row],[Removed Planned]]-actuals_prd_imp[[#This Row],[Remaining Planned]]</f>
        <v>11</v>
      </c>
      <c r="G15">
        <f ca="1">ROUND(RANDBETWEEN(50,100)/100*actuals_prd_imp[[#This Row],[Added Additional]],0)</f>
        <v>3</v>
      </c>
      <c r="H15">
        <f t="shared" ca="1" si="7"/>
        <v>0</v>
      </c>
      <c r="I15">
        <f ca="1">IF(actuals_prd_imp[[#This Row],[End Date]],actuals_prd_imp[[#This Row],[Taken into Immediate Future Plan]]-actuals_prd_imp[[#This Row],[Removed Planned]]-actuals_prd_imp[[#This Row],[Planned done]]-actuals_prd_imp[[#This Row],[Remaining Planned]],"TBD")</f>
        <v>0</v>
      </c>
      <c r="J15">
        <f ca="1">ROUND(RANDBETWEEN(70,100)/100*(actuals_prd_imp[[#This Row],[Planned done]]+actuals_prd_imp[[#This Row],[Additional done]]),0)</f>
        <v>10</v>
      </c>
      <c r="K15">
        <f ca="1">ROUND(RANDBETWEEN(90,100)/100*(actuals_prd_imp[[#This Row],[Planned done]]+actuals_prd_imp[[#This Row],[Additional done]]),0)</f>
        <v>13</v>
      </c>
      <c r="L15" s="8"/>
      <c r="M15" s="4">
        <f ca="1">WORKDAY(TODAY(),-2)</f>
        <v>42523</v>
      </c>
      <c r="N15">
        <f t="shared" ca="1" si="8"/>
        <v>14</v>
      </c>
      <c r="O15">
        <f t="shared" ca="1" si="9"/>
        <v>4</v>
      </c>
      <c r="P15">
        <f t="shared" ca="1" si="10"/>
        <v>0</v>
      </c>
      <c r="Q15">
        <f ca="1">actuals_prd_exp[[#This Row],[Taken into Immediate Future Plan]]-actuals_prd_exp[[#This Row],[Removed Planned]]-actuals_prd_exp[[#This Row],[Remaining Planned]]</f>
        <v>12</v>
      </c>
      <c r="R15">
        <f ca="1">ROUND(RANDBETWEEN(50,100)/100*actuals_prd_exp[[#This Row],[Added Additional]],0)</f>
        <v>4</v>
      </c>
      <c r="S15">
        <f t="shared" ca="1" si="11"/>
        <v>2</v>
      </c>
      <c r="T15">
        <f ca="1">IF(actuals_prd_exp[[#This Row],[End Date]],actuals_prd_exp[[#This Row],[Taken into Immediate Future Plan]]-actuals_prd_exp[[#This Row],[Removed Planned]]-actuals_prd_exp[[#This Row],[Planned done]]-actuals_prd_exp[[#This Row],[Remaining Planned]],"TBD")</f>
        <v>0</v>
      </c>
      <c r="U15">
        <f ca="1">ROUND(RANDBETWEEN(70,100)/100*(actuals_prd_exp[[#This Row],[Planned done]]+actuals_prd_exp[[#This Row],[Additional done]]),0)</f>
        <v>15</v>
      </c>
      <c r="V15">
        <f ca="1">ROUND(RANDBETWEEN(90,100)/100*(actuals_prd_exp[[#This Row],[Planned done]]+actuals_prd_exp[[#This Row],[Additional done]]),0)</f>
        <v>16</v>
      </c>
      <c r="W15" s="10"/>
      <c r="X15" s="4">
        <f t="shared" ca="1" si="2"/>
        <v>42471</v>
      </c>
      <c r="Y15">
        <f t="shared" ca="1" si="12"/>
        <v>2</v>
      </c>
      <c r="Z15">
        <f t="shared" ca="1" si="13"/>
        <v>1</v>
      </c>
      <c r="AA15">
        <v>0</v>
      </c>
      <c r="AB15">
        <f ca="1">actuals_stn_imp[[#This Row],[Taken into Immediate Future Plan]]-actuals_stn_imp[[#This Row],[Removed Planned]]-actuals_stn_imp[[#This Row],[Remaining Planned]]</f>
        <v>2</v>
      </c>
      <c r="AC15">
        <f ca="1">ROUND(RANDBETWEEN(50,100)/100*actuals_stn_imp[[#This Row],[Added Additional]],0)</f>
        <v>1</v>
      </c>
      <c r="AD15">
        <f t="shared" ca="1" si="14"/>
        <v>0</v>
      </c>
      <c r="AE15">
        <f ca="1">IF(actuals_stn_imp[[#This Row],[End Date]],actuals_stn_imp[[#This Row],[Taken into Immediate Future Plan]]-actuals_stn_imp[[#This Row],[Removed Planned]]-actuals_stn_imp[[#This Row],[Planned done]]-actuals_stn_imp[[#This Row],[Remaining Planned]],"TBD")</f>
        <v>0</v>
      </c>
      <c r="AF15">
        <f ca="1">ROUND(RANDBETWEEN(70,100)/100*(actuals_stn_imp[[#This Row],[Planned done]]+actuals_stn_imp[[#This Row],[Additional done]]),0)</f>
        <v>3</v>
      </c>
      <c r="AG15">
        <f ca="1">ROUND(RANDBETWEEN(90,100)/100*(actuals_stn_imp[[#This Row],[Planned done]]+actuals_stn_imp[[#This Row],[Additional done]]),0)</f>
        <v>3</v>
      </c>
      <c r="AH15" s="11"/>
      <c r="AI15" s="4">
        <f t="shared" ca="1" si="3"/>
        <v>42471</v>
      </c>
      <c r="AJ15">
        <f t="shared" ca="1" si="15"/>
        <v>3</v>
      </c>
      <c r="AK15">
        <f t="shared" ca="1" si="16"/>
        <v>1</v>
      </c>
      <c r="AL15">
        <v>0</v>
      </c>
      <c r="AM15">
        <f ca="1">actuals_stn_exp[[#This Row],[Taken into Immediate Future Plan]]-actuals_stn_exp[[#This Row],[Removed Planned]]-actuals_stn_exp[[#This Row],[Remaining Planned]]</f>
        <v>2</v>
      </c>
      <c r="AN15">
        <f ca="1">ROUND(RANDBETWEEN(50,100)/100*actuals_stn_exp[[#This Row],[Added Additional]],0)</f>
        <v>1</v>
      </c>
      <c r="AO15">
        <f t="shared" ca="1" si="17"/>
        <v>1</v>
      </c>
      <c r="AP15">
        <f ca="1">IF(actuals_stn_exp[[#This Row],[End Date]],actuals_stn_exp[[#This Row],[Taken into Immediate Future Plan]]-actuals_stn_exp[[#This Row],[Removed Planned]]-actuals_stn_exp[[#This Row],[Planned done]]-actuals_stn_exp[[#This Row],[Remaining Planned]],"TBD")</f>
        <v>0</v>
      </c>
      <c r="AQ15">
        <f ca="1">ROUND(RANDBETWEEN(70,100)/100*(actuals_stn_exp[[#This Row],[Planned done]]+actuals_stn_exp[[#This Row],[Additional done]]),0)</f>
        <v>2</v>
      </c>
      <c r="AR15">
        <f ca="1">ROUND(RANDBETWEEN(90,100)/100*(actuals_stn_exp[[#This Row],[Planned done]]+actuals_stn_exp[[#This Row],[Additional done]]),0)</f>
        <v>3</v>
      </c>
    </row>
    <row r="16" spans="1:44" x14ac:dyDescent="0.35">
      <c r="A16" s="7"/>
      <c r="B16" s="4">
        <f ca="1">WORKDAY(TODAY(),3)</f>
        <v>42530</v>
      </c>
      <c r="C16">
        <f t="shared" ca="1" si="4"/>
        <v>14</v>
      </c>
      <c r="L16" s="8"/>
      <c r="M16" s="4">
        <f ca="1">WORKDAY(TODAY(),3)</f>
        <v>42530</v>
      </c>
      <c r="N16">
        <f t="shared" ca="1" si="8"/>
        <v>14</v>
      </c>
      <c r="W16" s="10"/>
      <c r="X16" s="4">
        <f t="shared" ca="1" si="2"/>
        <v>42473</v>
      </c>
      <c r="Y16">
        <f t="shared" ca="1" si="12"/>
        <v>3</v>
      </c>
      <c r="Z16">
        <f t="shared" ca="1" si="13"/>
        <v>0</v>
      </c>
      <c r="AA16">
        <v>0</v>
      </c>
      <c r="AB16">
        <f ca="1">actuals_stn_imp[[#This Row],[Taken into Immediate Future Plan]]-actuals_stn_imp[[#This Row],[Removed Planned]]-actuals_stn_imp[[#This Row],[Remaining Planned]]</f>
        <v>3</v>
      </c>
      <c r="AC16">
        <f ca="1">ROUND(RANDBETWEEN(50,100)/100*actuals_stn_imp[[#This Row],[Added Additional]],0)</f>
        <v>0</v>
      </c>
      <c r="AD16">
        <f t="shared" ca="1" si="14"/>
        <v>0</v>
      </c>
      <c r="AE16">
        <f ca="1">IF(actuals_stn_imp[[#This Row],[End Date]],actuals_stn_imp[[#This Row],[Taken into Immediate Future Plan]]-actuals_stn_imp[[#This Row],[Removed Planned]]-actuals_stn_imp[[#This Row],[Planned done]]-actuals_stn_imp[[#This Row],[Remaining Planned]],"TBD")</f>
        <v>0</v>
      </c>
      <c r="AF16">
        <f ca="1">ROUND(RANDBETWEEN(70,100)/100*(actuals_stn_imp[[#This Row],[Planned done]]+actuals_stn_imp[[#This Row],[Additional done]]),0)</f>
        <v>2</v>
      </c>
      <c r="AG16">
        <f ca="1">ROUND(RANDBETWEEN(90,100)/100*(actuals_stn_imp[[#This Row],[Planned done]]+actuals_stn_imp[[#This Row],[Additional done]]),0)</f>
        <v>3</v>
      </c>
      <c r="AH16" s="11"/>
      <c r="AI16" s="4">
        <f t="shared" ca="1" si="3"/>
        <v>42473</v>
      </c>
      <c r="AJ16">
        <f t="shared" ca="1" si="15"/>
        <v>3</v>
      </c>
      <c r="AK16">
        <f t="shared" ca="1" si="16"/>
        <v>1</v>
      </c>
      <c r="AL16">
        <v>0</v>
      </c>
      <c r="AM16">
        <f ca="1">actuals_stn_exp[[#This Row],[Taken into Immediate Future Plan]]-actuals_stn_exp[[#This Row],[Removed Planned]]-actuals_stn_exp[[#This Row],[Remaining Planned]]</f>
        <v>3</v>
      </c>
      <c r="AN16">
        <f ca="1">ROUND(RANDBETWEEN(50,100)/100*actuals_stn_exp[[#This Row],[Added Additional]],0)</f>
        <v>1</v>
      </c>
      <c r="AO16">
        <f t="shared" ca="1" si="17"/>
        <v>0</v>
      </c>
      <c r="AP16">
        <f ca="1">IF(actuals_stn_exp[[#This Row],[End Date]],actuals_stn_exp[[#This Row],[Taken into Immediate Future Plan]]-actuals_stn_exp[[#This Row],[Removed Planned]]-actuals_stn_exp[[#This Row],[Planned done]]-actuals_stn_exp[[#This Row],[Remaining Planned]],"TBD")</f>
        <v>0</v>
      </c>
      <c r="AQ16">
        <f ca="1">ROUND(RANDBETWEEN(70,100)/100*(actuals_stn_exp[[#This Row],[Planned done]]+actuals_stn_exp[[#This Row],[Additional done]]),0)</f>
        <v>4</v>
      </c>
      <c r="AR16">
        <f ca="1">ROUND(RANDBETWEEN(90,100)/100*(actuals_stn_exp[[#This Row],[Planned done]]+actuals_stn_exp[[#This Row],[Additional done]]),0)</f>
        <v>4</v>
      </c>
    </row>
    <row r="17" spans="1:44" x14ac:dyDescent="0.35">
      <c r="A17" s="7"/>
      <c r="L17" s="8"/>
      <c r="W17" s="10"/>
      <c r="X17" s="4">
        <f t="shared" ca="1" si="2"/>
        <v>42475</v>
      </c>
      <c r="Y17">
        <f t="shared" ca="1" si="12"/>
        <v>2</v>
      </c>
      <c r="Z17">
        <f t="shared" ca="1" si="13"/>
        <v>0</v>
      </c>
      <c r="AA17">
        <v>0</v>
      </c>
      <c r="AB17">
        <f ca="1">actuals_stn_imp[[#This Row],[Taken into Immediate Future Plan]]-actuals_stn_imp[[#This Row],[Removed Planned]]-actuals_stn_imp[[#This Row],[Remaining Planned]]</f>
        <v>1</v>
      </c>
      <c r="AC17">
        <f ca="1">ROUND(RANDBETWEEN(50,100)/100*actuals_stn_imp[[#This Row],[Added Additional]],0)</f>
        <v>0</v>
      </c>
      <c r="AD17">
        <f t="shared" ca="1" si="14"/>
        <v>1</v>
      </c>
      <c r="AE17">
        <f ca="1">IF(actuals_stn_imp[[#This Row],[End Date]],actuals_stn_imp[[#This Row],[Taken into Immediate Future Plan]]-actuals_stn_imp[[#This Row],[Removed Planned]]-actuals_stn_imp[[#This Row],[Planned done]]-actuals_stn_imp[[#This Row],[Remaining Planned]],"TBD")</f>
        <v>0</v>
      </c>
      <c r="AF17">
        <f ca="1">ROUND(RANDBETWEEN(70,100)/100*(actuals_stn_imp[[#This Row],[Planned done]]+actuals_stn_imp[[#This Row],[Additional done]]),0)</f>
        <v>1</v>
      </c>
      <c r="AG17">
        <f ca="1">ROUND(RANDBETWEEN(90,100)/100*(actuals_stn_imp[[#This Row],[Planned done]]+actuals_stn_imp[[#This Row],[Additional done]]),0)</f>
        <v>1</v>
      </c>
      <c r="AH17" s="11"/>
      <c r="AI17" s="4">
        <f t="shared" ca="1" si="3"/>
        <v>42475</v>
      </c>
      <c r="AJ17">
        <f t="shared" ca="1" si="15"/>
        <v>2</v>
      </c>
      <c r="AK17">
        <f t="shared" ca="1" si="16"/>
        <v>0</v>
      </c>
      <c r="AL17">
        <v>0</v>
      </c>
      <c r="AM17">
        <f ca="1">actuals_stn_exp[[#This Row],[Taken into Immediate Future Plan]]-actuals_stn_exp[[#This Row],[Removed Planned]]-actuals_stn_exp[[#This Row],[Remaining Planned]]</f>
        <v>2</v>
      </c>
      <c r="AN17">
        <f ca="1">ROUND(RANDBETWEEN(50,100)/100*actuals_stn_exp[[#This Row],[Added Additional]],0)</f>
        <v>0</v>
      </c>
      <c r="AO17">
        <f t="shared" ca="1" si="17"/>
        <v>0</v>
      </c>
      <c r="AP17">
        <f ca="1">IF(actuals_stn_exp[[#This Row],[End Date]],actuals_stn_exp[[#This Row],[Taken into Immediate Future Plan]]-actuals_stn_exp[[#This Row],[Removed Planned]]-actuals_stn_exp[[#This Row],[Planned done]]-actuals_stn_exp[[#This Row],[Remaining Planned]],"TBD")</f>
        <v>0</v>
      </c>
      <c r="AQ17">
        <f ca="1">ROUND(RANDBETWEEN(70,100)/100*(actuals_stn_exp[[#This Row],[Planned done]]+actuals_stn_exp[[#This Row],[Additional done]]),0)</f>
        <v>2</v>
      </c>
      <c r="AR17">
        <f ca="1">ROUND(RANDBETWEEN(90,100)/100*(actuals_stn_exp[[#This Row],[Planned done]]+actuals_stn_exp[[#This Row],[Additional done]]),0)</f>
        <v>2</v>
      </c>
    </row>
    <row r="18" spans="1:44" x14ac:dyDescent="0.35">
      <c r="X18" s="4">
        <f t="shared" ca="1" si="2"/>
        <v>42479</v>
      </c>
      <c r="Y18">
        <f t="shared" ca="1" si="12"/>
        <v>2</v>
      </c>
      <c r="Z18">
        <f t="shared" ca="1" si="13"/>
        <v>0</v>
      </c>
      <c r="AA18">
        <v>0</v>
      </c>
      <c r="AB18">
        <f ca="1">actuals_stn_imp[[#This Row],[Taken into Immediate Future Plan]]-actuals_stn_imp[[#This Row],[Removed Planned]]-actuals_stn_imp[[#This Row],[Remaining Planned]]</f>
        <v>1</v>
      </c>
      <c r="AC18">
        <f ca="1">ROUND(RANDBETWEEN(50,100)/100*actuals_stn_imp[[#This Row],[Added Additional]],0)</f>
        <v>0</v>
      </c>
      <c r="AD18">
        <f t="shared" ca="1" si="14"/>
        <v>1</v>
      </c>
      <c r="AE18">
        <f ca="1">IF(actuals_stn_imp[[#This Row],[End Date]],actuals_stn_imp[[#This Row],[Taken into Immediate Future Plan]]-actuals_stn_imp[[#This Row],[Removed Planned]]-actuals_stn_imp[[#This Row],[Planned done]]-actuals_stn_imp[[#This Row],[Remaining Planned]],"TBD")</f>
        <v>0</v>
      </c>
      <c r="AF18">
        <f ca="1">ROUND(RANDBETWEEN(70,100)/100*(actuals_stn_imp[[#This Row],[Planned done]]+actuals_stn_imp[[#This Row],[Additional done]]),0)</f>
        <v>1</v>
      </c>
      <c r="AG18">
        <f ca="1">ROUND(RANDBETWEEN(90,100)/100*(actuals_stn_imp[[#This Row],[Planned done]]+actuals_stn_imp[[#This Row],[Additional done]]),0)</f>
        <v>1</v>
      </c>
      <c r="AI18" s="4">
        <f t="shared" ca="1" si="3"/>
        <v>42479</v>
      </c>
      <c r="AJ18">
        <f t="shared" ca="1" si="15"/>
        <v>3</v>
      </c>
      <c r="AK18">
        <f t="shared" ca="1" si="16"/>
        <v>0</v>
      </c>
      <c r="AL18">
        <v>0</v>
      </c>
      <c r="AM18">
        <f ca="1">actuals_stn_exp[[#This Row],[Taken into Immediate Future Plan]]-actuals_stn_exp[[#This Row],[Removed Planned]]-actuals_stn_exp[[#This Row],[Remaining Planned]]</f>
        <v>2</v>
      </c>
      <c r="AN18">
        <f ca="1">ROUND(RANDBETWEEN(50,100)/100*actuals_stn_exp[[#This Row],[Added Additional]],0)</f>
        <v>0</v>
      </c>
      <c r="AO18">
        <f t="shared" ca="1" si="17"/>
        <v>1</v>
      </c>
      <c r="AP18">
        <f ca="1">IF(actuals_stn_exp[[#This Row],[End Date]],actuals_stn_exp[[#This Row],[Taken into Immediate Future Plan]]-actuals_stn_exp[[#This Row],[Removed Planned]]-actuals_stn_exp[[#This Row],[Planned done]]-actuals_stn_exp[[#This Row],[Remaining Planned]],"TBD")</f>
        <v>0</v>
      </c>
      <c r="AQ18">
        <f ca="1">ROUND(RANDBETWEEN(70,100)/100*(actuals_stn_exp[[#This Row],[Planned done]]+actuals_stn_exp[[#This Row],[Additional done]]),0)</f>
        <v>2</v>
      </c>
      <c r="AR18">
        <f ca="1">ROUND(RANDBETWEEN(90,100)/100*(actuals_stn_exp[[#This Row],[Planned done]]+actuals_stn_exp[[#This Row],[Additional done]]),0)</f>
        <v>2</v>
      </c>
    </row>
    <row r="19" spans="1:44" x14ac:dyDescent="0.35">
      <c r="X19" s="4">
        <f t="shared" ca="1" si="2"/>
        <v>42481</v>
      </c>
      <c r="Y19">
        <f t="shared" ca="1" si="12"/>
        <v>3</v>
      </c>
      <c r="Z19">
        <f t="shared" ca="1" si="13"/>
        <v>1</v>
      </c>
      <c r="AA19">
        <v>0</v>
      </c>
      <c r="AB19">
        <f ca="1">actuals_stn_imp[[#This Row],[Taken into Immediate Future Plan]]-actuals_stn_imp[[#This Row],[Removed Planned]]-actuals_stn_imp[[#This Row],[Remaining Planned]]</f>
        <v>3</v>
      </c>
      <c r="AC19">
        <f ca="1">ROUND(RANDBETWEEN(50,100)/100*actuals_stn_imp[[#This Row],[Added Additional]],0)</f>
        <v>1</v>
      </c>
      <c r="AD19">
        <f t="shared" ca="1" si="14"/>
        <v>0</v>
      </c>
      <c r="AE19">
        <f ca="1">IF(actuals_stn_imp[[#This Row],[End Date]],actuals_stn_imp[[#This Row],[Taken into Immediate Future Plan]]-actuals_stn_imp[[#This Row],[Removed Planned]]-actuals_stn_imp[[#This Row],[Planned done]]-actuals_stn_imp[[#This Row],[Remaining Planned]],"TBD")</f>
        <v>0</v>
      </c>
      <c r="AF19">
        <f ca="1">ROUND(RANDBETWEEN(70,100)/100*(actuals_stn_imp[[#This Row],[Planned done]]+actuals_stn_imp[[#This Row],[Additional done]]),0)</f>
        <v>3</v>
      </c>
      <c r="AG19">
        <f ca="1">ROUND(RANDBETWEEN(90,100)/100*(actuals_stn_imp[[#This Row],[Planned done]]+actuals_stn_imp[[#This Row],[Additional done]]),0)</f>
        <v>4</v>
      </c>
      <c r="AI19" s="4">
        <f t="shared" ca="1" si="3"/>
        <v>42481</v>
      </c>
      <c r="AJ19">
        <f t="shared" ca="1" si="15"/>
        <v>2</v>
      </c>
      <c r="AK19">
        <f t="shared" ca="1" si="16"/>
        <v>0</v>
      </c>
      <c r="AL19">
        <v>0</v>
      </c>
      <c r="AM19">
        <f ca="1">actuals_stn_exp[[#This Row],[Taken into Immediate Future Plan]]-actuals_stn_exp[[#This Row],[Removed Planned]]-actuals_stn_exp[[#This Row],[Remaining Planned]]</f>
        <v>1</v>
      </c>
      <c r="AN19">
        <f ca="1">ROUND(RANDBETWEEN(50,100)/100*actuals_stn_exp[[#This Row],[Added Additional]],0)</f>
        <v>0</v>
      </c>
      <c r="AO19">
        <f t="shared" ca="1" si="17"/>
        <v>1</v>
      </c>
      <c r="AP19">
        <f ca="1">IF(actuals_stn_exp[[#This Row],[End Date]],actuals_stn_exp[[#This Row],[Taken into Immediate Future Plan]]-actuals_stn_exp[[#This Row],[Removed Planned]]-actuals_stn_exp[[#This Row],[Planned done]]-actuals_stn_exp[[#This Row],[Remaining Planned]],"TBD")</f>
        <v>0</v>
      </c>
      <c r="AQ19">
        <f ca="1">ROUND(RANDBETWEEN(70,100)/100*(actuals_stn_exp[[#This Row],[Planned done]]+actuals_stn_exp[[#This Row],[Additional done]]),0)</f>
        <v>1</v>
      </c>
      <c r="AR19">
        <f ca="1">ROUND(RANDBETWEEN(90,100)/100*(actuals_stn_exp[[#This Row],[Planned done]]+actuals_stn_exp[[#This Row],[Additional done]]),0)</f>
        <v>1</v>
      </c>
    </row>
    <row r="20" spans="1:44" x14ac:dyDescent="0.35">
      <c r="X20" s="4">
        <f t="shared" ca="1" si="2"/>
        <v>42485</v>
      </c>
      <c r="Y20">
        <f t="shared" ca="1" si="12"/>
        <v>3</v>
      </c>
      <c r="Z20">
        <f t="shared" ca="1" si="13"/>
        <v>0</v>
      </c>
      <c r="AA20">
        <v>0</v>
      </c>
      <c r="AB20">
        <f ca="1">actuals_stn_imp[[#This Row],[Taken into Immediate Future Plan]]-actuals_stn_imp[[#This Row],[Removed Planned]]-actuals_stn_imp[[#This Row],[Remaining Planned]]</f>
        <v>3</v>
      </c>
      <c r="AC20">
        <f ca="1">ROUND(RANDBETWEEN(50,100)/100*actuals_stn_imp[[#This Row],[Added Additional]],0)</f>
        <v>0</v>
      </c>
      <c r="AD20">
        <f t="shared" ca="1" si="14"/>
        <v>0</v>
      </c>
      <c r="AE20">
        <f ca="1">IF(actuals_stn_imp[[#This Row],[End Date]],actuals_stn_imp[[#This Row],[Taken into Immediate Future Plan]]-actuals_stn_imp[[#This Row],[Removed Planned]]-actuals_stn_imp[[#This Row],[Planned done]]-actuals_stn_imp[[#This Row],[Remaining Planned]],"TBD")</f>
        <v>0</v>
      </c>
      <c r="AF20">
        <f ca="1">ROUND(RANDBETWEEN(70,100)/100*(actuals_stn_imp[[#This Row],[Planned done]]+actuals_stn_imp[[#This Row],[Additional done]]),0)</f>
        <v>3</v>
      </c>
      <c r="AG20">
        <f ca="1">ROUND(RANDBETWEEN(90,100)/100*(actuals_stn_imp[[#This Row],[Planned done]]+actuals_stn_imp[[#This Row],[Additional done]]),0)</f>
        <v>3</v>
      </c>
      <c r="AI20" s="4">
        <f t="shared" ca="1" si="3"/>
        <v>42485</v>
      </c>
      <c r="AJ20">
        <f t="shared" ca="1" si="15"/>
        <v>2</v>
      </c>
      <c r="AK20">
        <f t="shared" ca="1" si="16"/>
        <v>1</v>
      </c>
      <c r="AL20">
        <v>0</v>
      </c>
      <c r="AM20">
        <f ca="1">actuals_stn_exp[[#This Row],[Taken into Immediate Future Plan]]-actuals_stn_exp[[#This Row],[Removed Planned]]-actuals_stn_exp[[#This Row],[Remaining Planned]]</f>
        <v>1</v>
      </c>
      <c r="AN20">
        <f ca="1">ROUND(RANDBETWEEN(50,100)/100*actuals_stn_exp[[#This Row],[Added Additional]],0)</f>
        <v>1</v>
      </c>
      <c r="AO20">
        <f t="shared" ca="1" si="17"/>
        <v>1</v>
      </c>
      <c r="AP20">
        <f ca="1">IF(actuals_stn_exp[[#This Row],[End Date]],actuals_stn_exp[[#This Row],[Taken into Immediate Future Plan]]-actuals_stn_exp[[#This Row],[Removed Planned]]-actuals_stn_exp[[#This Row],[Planned done]]-actuals_stn_exp[[#This Row],[Remaining Planned]],"TBD")</f>
        <v>0</v>
      </c>
      <c r="AQ20">
        <f ca="1">ROUND(RANDBETWEEN(70,100)/100*(actuals_stn_exp[[#This Row],[Planned done]]+actuals_stn_exp[[#This Row],[Additional done]]),0)</f>
        <v>2</v>
      </c>
      <c r="AR20">
        <f ca="1">ROUND(RANDBETWEEN(90,100)/100*(actuals_stn_exp[[#This Row],[Planned done]]+actuals_stn_exp[[#This Row],[Additional done]]),0)</f>
        <v>2</v>
      </c>
    </row>
    <row r="21" spans="1:44" x14ac:dyDescent="0.35">
      <c r="X21" s="4">
        <f t="shared" ca="1" si="2"/>
        <v>42487</v>
      </c>
      <c r="Y21">
        <f t="shared" ca="1" si="12"/>
        <v>3</v>
      </c>
      <c r="Z21">
        <f t="shared" ca="1" si="13"/>
        <v>1</v>
      </c>
      <c r="AA21">
        <v>0</v>
      </c>
      <c r="AB21">
        <f ca="1">actuals_stn_imp[[#This Row],[Taken into Immediate Future Plan]]-actuals_stn_imp[[#This Row],[Removed Planned]]-actuals_stn_imp[[#This Row],[Remaining Planned]]</f>
        <v>2</v>
      </c>
      <c r="AC21">
        <f ca="1">ROUND(RANDBETWEEN(50,100)/100*actuals_stn_imp[[#This Row],[Added Additional]],0)</f>
        <v>1</v>
      </c>
      <c r="AD21">
        <f t="shared" ca="1" si="14"/>
        <v>1</v>
      </c>
      <c r="AE21">
        <f ca="1">IF(actuals_stn_imp[[#This Row],[End Date]],actuals_stn_imp[[#This Row],[Taken into Immediate Future Plan]]-actuals_stn_imp[[#This Row],[Removed Planned]]-actuals_stn_imp[[#This Row],[Planned done]]-actuals_stn_imp[[#This Row],[Remaining Planned]],"TBD")</f>
        <v>0</v>
      </c>
      <c r="AF21">
        <f ca="1">ROUND(RANDBETWEEN(70,100)/100*(actuals_stn_imp[[#This Row],[Planned done]]+actuals_stn_imp[[#This Row],[Additional done]]),0)</f>
        <v>3</v>
      </c>
      <c r="AG21">
        <f ca="1">ROUND(RANDBETWEEN(90,100)/100*(actuals_stn_imp[[#This Row],[Planned done]]+actuals_stn_imp[[#This Row],[Additional done]]),0)</f>
        <v>3</v>
      </c>
      <c r="AI21" s="4">
        <f t="shared" ca="1" si="3"/>
        <v>42487</v>
      </c>
      <c r="AJ21">
        <f t="shared" ca="1" si="15"/>
        <v>3</v>
      </c>
      <c r="AK21">
        <f t="shared" ca="1" si="16"/>
        <v>0</v>
      </c>
      <c r="AL21">
        <v>0</v>
      </c>
      <c r="AM21">
        <f ca="1">actuals_stn_exp[[#This Row],[Taken into Immediate Future Plan]]-actuals_stn_exp[[#This Row],[Removed Planned]]-actuals_stn_exp[[#This Row],[Remaining Planned]]</f>
        <v>3</v>
      </c>
      <c r="AN21">
        <f ca="1">ROUND(RANDBETWEEN(50,100)/100*actuals_stn_exp[[#This Row],[Added Additional]],0)</f>
        <v>0</v>
      </c>
      <c r="AO21">
        <f t="shared" ca="1" si="17"/>
        <v>0</v>
      </c>
      <c r="AP21">
        <f ca="1">IF(actuals_stn_exp[[#This Row],[End Date]],actuals_stn_exp[[#This Row],[Taken into Immediate Future Plan]]-actuals_stn_exp[[#This Row],[Removed Planned]]-actuals_stn_exp[[#This Row],[Planned done]]-actuals_stn_exp[[#This Row],[Remaining Planned]],"TBD")</f>
        <v>0</v>
      </c>
      <c r="AQ21">
        <f ca="1">ROUND(RANDBETWEEN(70,100)/100*(actuals_stn_exp[[#This Row],[Planned done]]+actuals_stn_exp[[#This Row],[Additional done]]),0)</f>
        <v>2</v>
      </c>
      <c r="AR21">
        <f ca="1">ROUND(RANDBETWEEN(90,100)/100*(actuals_stn_exp[[#This Row],[Planned done]]+actuals_stn_exp[[#This Row],[Additional done]]),0)</f>
        <v>3</v>
      </c>
    </row>
    <row r="22" spans="1:44" x14ac:dyDescent="0.35">
      <c r="X22" s="4">
        <f t="shared" ca="1" si="2"/>
        <v>42489</v>
      </c>
      <c r="Y22">
        <f t="shared" ca="1" si="12"/>
        <v>2</v>
      </c>
      <c r="Z22">
        <f t="shared" ca="1" si="13"/>
        <v>0</v>
      </c>
      <c r="AA22">
        <v>0</v>
      </c>
      <c r="AB22">
        <f ca="1">actuals_stn_imp[[#This Row],[Taken into Immediate Future Plan]]-actuals_stn_imp[[#This Row],[Removed Planned]]-actuals_stn_imp[[#This Row],[Remaining Planned]]</f>
        <v>1</v>
      </c>
      <c r="AC22">
        <f ca="1">ROUND(RANDBETWEEN(50,100)/100*actuals_stn_imp[[#This Row],[Added Additional]],0)</f>
        <v>0</v>
      </c>
      <c r="AD22">
        <f t="shared" ca="1" si="14"/>
        <v>1</v>
      </c>
      <c r="AE22">
        <f ca="1">IF(actuals_stn_imp[[#This Row],[End Date]],actuals_stn_imp[[#This Row],[Taken into Immediate Future Plan]]-actuals_stn_imp[[#This Row],[Removed Planned]]-actuals_stn_imp[[#This Row],[Planned done]]-actuals_stn_imp[[#This Row],[Remaining Planned]],"TBD")</f>
        <v>0</v>
      </c>
      <c r="AF22">
        <f ca="1">ROUND(RANDBETWEEN(70,100)/100*(actuals_stn_imp[[#This Row],[Planned done]]+actuals_stn_imp[[#This Row],[Additional done]]),0)</f>
        <v>1</v>
      </c>
      <c r="AG22">
        <f ca="1">ROUND(RANDBETWEEN(90,100)/100*(actuals_stn_imp[[#This Row],[Planned done]]+actuals_stn_imp[[#This Row],[Additional done]]),0)</f>
        <v>1</v>
      </c>
      <c r="AI22" s="4">
        <f t="shared" ca="1" si="3"/>
        <v>42489</v>
      </c>
      <c r="AJ22">
        <f t="shared" ca="1" si="15"/>
        <v>2</v>
      </c>
      <c r="AK22">
        <f t="shared" ca="1" si="16"/>
        <v>0</v>
      </c>
      <c r="AL22">
        <v>0</v>
      </c>
      <c r="AM22">
        <f ca="1">actuals_stn_exp[[#This Row],[Taken into Immediate Future Plan]]-actuals_stn_exp[[#This Row],[Removed Planned]]-actuals_stn_exp[[#This Row],[Remaining Planned]]</f>
        <v>1</v>
      </c>
      <c r="AN22">
        <f ca="1">ROUND(RANDBETWEEN(50,100)/100*actuals_stn_exp[[#This Row],[Added Additional]],0)</f>
        <v>0</v>
      </c>
      <c r="AO22">
        <f t="shared" ca="1" si="17"/>
        <v>1</v>
      </c>
      <c r="AP22">
        <f ca="1">IF(actuals_stn_exp[[#This Row],[End Date]],actuals_stn_exp[[#This Row],[Taken into Immediate Future Plan]]-actuals_stn_exp[[#This Row],[Removed Planned]]-actuals_stn_exp[[#This Row],[Planned done]]-actuals_stn_exp[[#This Row],[Remaining Planned]],"TBD")</f>
        <v>0</v>
      </c>
      <c r="AQ22">
        <f ca="1">ROUND(RANDBETWEEN(70,100)/100*(actuals_stn_exp[[#This Row],[Planned done]]+actuals_stn_exp[[#This Row],[Additional done]]),0)</f>
        <v>1</v>
      </c>
      <c r="AR22">
        <f ca="1">ROUND(RANDBETWEEN(90,100)/100*(actuals_stn_exp[[#This Row],[Planned done]]+actuals_stn_exp[[#This Row],[Additional done]]),0)</f>
        <v>1</v>
      </c>
    </row>
    <row r="23" spans="1:44" x14ac:dyDescent="0.35">
      <c r="X23" s="4">
        <f t="shared" ca="1" si="2"/>
        <v>42493</v>
      </c>
      <c r="Y23">
        <f t="shared" ca="1" si="12"/>
        <v>2</v>
      </c>
      <c r="Z23">
        <f t="shared" ca="1" si="13"/>
        <v>0</v>
      </c>
      <c r="AA23">
        <v>0</v>
      </c>
      <c r="AB23">
        <f ca="1">actuals_stn_imp[[#This Row],[Taken into Immediate Future Plan]]-actuals_stn_imp[[#This Row],[Removed Planned]]-actuals_stn_imp[[#This Row],[Remaining Planned]]</f>
        <v>1</v>
      </c>
      <c r="AC23">
        <f ca="1">ROUND(RANDBETWEEN(50,100)/100*actuals_stn_imp[[#This Row],[Added Additional]],0)</f>
        <v>0</v>
      </c>
      <c r="AD23">
        <f t="shared" ca="1" si="14"/>
        <v>1</v>
      </c>
      <c r="AE23">
        <f ca="1">IF(actuals_stn_imp[[#This Row],[End Date]],actuals_stn_imp[[#This Row],[Taken into Immediate Future Plan]]-actuals_stn_imp[[#This Row],[Removed Planned]]-actuals_stn_imp[[#This Row],[Planned done]]-actuals_stn_imp[[#This Row],[Remaining Planned]],"TBD")</f>
        <v>0</v>
      </c>
      <c r="AF23">
        <f ca="1">ROUND(RANDBETWEEN(70,100)/100*(actuals_stn_imp[[#This Row],[Planned done]]+actuals_stn_imp[[#This Row],[Additional done]]),0)</f>
        <v>1</v>
      </c>
      <c r="AG23">
        <f ca="1">ROUND(RANDBETWEEN(90,100)/100*(actuals_stn_imp[[#This Row],[Planned done]]+actuals_stn_imp[[#This Row],[Additional done]]),0)</f>
        <v>1</v>
      </c>
      <c r="AI23" s="4">
        <f t="shared" ca="1" si="3"/>
        <v>42493</v>
      </c>
      <c r="AJ23">
        <f t="shared" ca="1" si="15"/>
        <v>2</v>
      </c>
      <c r="AK23">
        <f t="shared" ca="1" si="16"/>
        <v>0</v>
      </c>
      <c r="AL23">
        <v>0</v>
      </c>
      <c r="AM23">
        <f ca="1">actuals_stn_exp[[#This Row],[Taken into Immediate Future Plan]]-actuals_stn_exp[[#This Row],[Removed Planned]]-actuals_stn_exp[[#This Row],[Remaining Planned]]</f>
        <v>1</v>
      </c>
      <c r="AN23">
        <f ca="1">ROUND(RANDBETWEEN(50,100)/100*actuals_stn_exp[[#This Row],[Added Additional]],0)</f>
        <v>0</v>
      </c>
      <c r="AO23">
        <f t="shared" ca="1" si="17"/>
        <v>1</v>
      </c>
      <c r="AP23">
        <f ca="1">IF(actuals_stn_exp[[#This Row],[End Date]],actuals_stn_exp[[#This Row],[Taken into Immediate Future Plan]]-actuals_stn_exp[[#This Row],[Removed Planned]]-actuals_stn_exp[[#This Row],[Planned done]]-actuals_stn_exp[[#This Row],[Remaining Planned]],"TBD")</f>
        <v>0</v>
      </c>
      <c r="AQ23">
        <f ca="1">ROUND(RANDBETWEEN(70,100)/100*(actuals_stn_exp[[#This Row],[Planned done]]+actuals_stn_exp[[#This Row],[Additional done]]),0)</f>
        <v>1</v>
      </c>
      <c r="AR23">
        <f ca="1">ROUND(RANDBETWEEN(90,100)/100*(actuals_stn_exp[[#This Row],[Planned done]]+actuals_stn_exp[[#This Row],[Additional done]]),0)</f>
        <v>1</v>
      </c>
    </row>
    <row r="24" spans="1:44" x14ac:dyDescent="0.35">
      <c r="X24" s="4">
        <f t="shared" ca="1" si="2"/>
        <v>42495</v>
      </c>
      <c r="Y24">
        <f t="shared" ca="1" si="12"/>
        <v>3</v>
      </c>
      <c r="Z24">
        <f t="shared" ca="1" si="13"/>
        <v>1</v>
      </c>
      <c r="AA24">
        <v>0</v>
      </c>
      <c r="AB24">
        <f ca="1">actuals_stn_imp[[#This Row],[Taken into Immediate Future Plan]]-actuals_stn_imp[[#This Row],[Removed Planned]]-actuals_stn_imp[[#This Row],[Remaining Planned]]</f>
        <v>3</v>
      </c>
      <c r="AC24">
        <f ca="1">ROUND(RANDBETWEEN(50,100)/100*actuals_stn_imp[[#This Row],[Added Additional]],0)</f>
        <v>1</v>
      </c>
      <c r="AD24">
        <f t="shared" ca="1" si="14"/>
        <v>0</v>
      </c>
      <c r="AE24">
        <f ca="1">IF(actuals_stn_imp[[#This Row],[End Date]],actuals_stn_imp[[#This Row],[Taken into Immediate Future Plan]]-actuals_stn_imp[[#This Row],[Removed Planned]]-actuals_stn_imp[[#This Row],[Planned done]]-actuals_stn_imp[[#This Row],[Remaining Planned]],"TBD")</f>
        <v>0</v>
      </c>
      <c r="AF24">
        <f ca="1">ROUND(RANDBETWEEN(70,100)/100*(actuals_stn_imp[[#This Row],[Planned done]]+actuals_stn_imp[[#This Row],[Additional done]]),0)</f>
        <v>3</v>
      </c>
      <c r="AG24">
        <f ca="1">ROUND(RANDBETWEEN(90,100)/100*(actuals_stn_imp[[#This Row],[Planned done]]+actuals_stn_imp[[#This Row],[Additional done]]),0)</f>
        <v>4</v>
      </c>
      <c r="AI24" s="4">
        <f t="shared" ca="1" si="3"/>
        <v>42495</v>
      </c>
      <c r="AJ24">
        <f t="shared" ca="1" si="15"/>
        <v>2</v>
      </c>
      <c r="AK24">
        <f t="shared" ca="1" si="16"/>
        <v>0</v>
      </c>
      <c r="AL24">
        <v>0</v>
      </c>
      <c r="AM24">
        <f ca="1">actuals_stn_exp[[#This Row],[Taken into Immediate Future Plan]]-actuals_stn_exp[[#This Row],[Removed Planned]]-actuals_stn_exp[[#This Row],[Remaining Planned]]</f>
        <v>1</v>
      </c>
      <c r="AN24">
        <f ca="1">ROUND(RANDBETWEEN(50,100)/100*actuals_stn_exp[[#This Row],[Added Additional]],0)</f>
        <v>0</v>
      </c>
      <c r="AO24">
        <f t="shared" ca="1" si="17"/>
        <v>1</v>
      </c>
      <c r="AP24">
        <f ca="1">IF(actuals_stn_exp[[#This Row],[End Date]],actuals_stn_exp[[#This Row],[Taken into Immediate Future Plan]]-actuals_stn_exp[[#This Row],[Removed Planned]]-actuals_stn_exp[[#This Row],[Planned done]]-actuals_stn_exp[[#This Row],[Remaining Planned]],"TBD")</f>
        <v>0</v>
      </c>
      <c r="AQ24">
        <f ca="1">ROUND(RANDBETWEEN(70,100)/100*(actuals_stn_exp[[#This Row],[Planned done]]+actuals_stn_exp[[#This Row],[Additional done]]),0)</f>
        <v>1</v>
      </c>
      <c r="AR24">
        <f ca="1">ROUND(RANDBETWEEN(90,100)/100*(actuals_stn_exp[[#This Row],[Planned done]]+actuals_stn_exp[[#This Row],[Additional done]]),0)</f>
        <v>1</v>
      </c>
    </row>
    <row r="25" spans="1:44" x14ac:dyDescent="0.35">
      <c r="X25" s="4">
        <f t="shared" ca="1" si="2"/>
        <v>42499</v>
      </c>
      <c r="Y25">
        <f t="shared" ca="1" si="12"/>
        <v>3</v>
      </c>
      <c r="Z25">
        <f t="shared" ca="1" si="13"/>
        <v>1</v>
      </c>
      <c r="AA25">
        <v>0</v>
      </c>
      <c r="AB25">
        <f ca="1">actuals_stn_imp[[#This Row],[Taken into Immediate Future Plan]]-actuals_stn_imp[[#This Row],[Removed Planned]]-actuals_stn_imp[[#This Row],[Remaining Planned]]</f>
        <v>2</v>
      </c>
      <c r="AC25">
        <f ca="1">ROUND(RANDBETWEEN(50,100)/100*actuals_stn_imp[[#This Row],[Added Additional]],0)</f>
        <v>1</v>
      </c>
      <c r="AD25">
        <f t="shared" ca="1" si="14"/>
        <v>1</v>
      </c>
      <c r="AE25">
        <f ca="1">IF(actuals_stn_imp[[#This Row],[End Date]],actuals_stn_imp[[#This Row],[Taken into Immediate Future Plan]]-actuals_stn_imp[[#This Row],[Removed Planned]]-actuals_stn_imp[[#This Row],[Planned done]]-actuals_stn_imp[[#This Row],[Remaining Planned]],"TBD")</f>
        <v>0</v>
      </c>
      <c r="AF25">
        <f ca="1">ROUND(RANDBETWEEN(70,100)/100*(actuals_stn_imp[[#This Row],[Planned done]]+actuals_stn_imp[[#This Row],[Additional done]]),0)</f>
        <v>2</v>
      </c>
      <c r="AG25">
        <f ca="1">ROUND(RANDBETWEEN(90,100)/100*(actuals_stn_imp[[#This Row],[Planned done]]+actuals_stn_imp[[#This Row],[Additional done]]),0)</f>
        <v>3</v>
      </c>
      <c r="AI25" s="4">
        <f t="shared" ca="1" si="3"/>
        <v>42499</v>
      </c>
      <c r="AJ25">
        <f t="shared" ca="1" si="15"/>
        <v>2</v>
      </c>
      <c r="AK25">
        <f t="shared" ca="1" si="16"/>
        <v>0</v>
      </c>
      <c r="AL25">
        <v>0</v>
      </c>
      <c r="AM25">
        <f ca="1">actuals_stn_exp[[#This Row],[Taken into Immediate Future Plan]]-actuals_stn_exp[[#This Row],[Removed Planned]]-actuals_stn_exp[[#This Row],[Remaining Planned]]</f>
        <v>1</v>
      </c>
      <c r="AN25">
        <f ca="1">ROUND(RANDBETWEEN(50,100)/100*actuals_stn_exp[[#This Row],[Added Additional]],0)</f>
        <v>0</v>
      </c>
      <c r="AO25">
        <f t="shared" ca="1" si="17"/>
        <v>1</v>
      </c>
      <c r="AP25">
        <f ca="1">IF(actuals_stn_exp[[#This Row],[End Date]],actuals_stn_exp[[#This Row],[Taken into Immediate Future Plan]]-actuals_stn_exp[[#This Row],[Removed Planned]]-actuals_stn_exp[[#This Row],[Planned done]]-actuals_stn_exp[[#This Row],[Remaining Planned]],"TBD")</f>
        <v>0</v>
      </c>
      <c r="AQ25">
        <f ca="1">ROUND(RANDBETWEEN(70,100)/100*(actuals_stn_exp[[#This Row],[Planned done]]+actuals_stn_exp[[#This Row],[Additional done]]),0)</f>
        <v>1</v>
      </c>
      <c r="AR25">
        <f ca="1">ROUND(RANDBETWEEN(90,100)/100*(actuals_stn_exp[[#This Row],[Planned done]]+actuals_stn_exp[[#This Row],[Additional done]]),0)</f>
        <v>1</v>
      </c>
    </row>
    <row r="26" spans="1:44" x14ac:dyDescent="0.35">
      <c r="X26" s="4">
        <f t="shared" ca="1" si="2"/>
        <v>42501</v>
      </c>
      <c r="Y26">
        <f t="shared" ca="1" si="12"/>
        <v>2</v>
      </c>
      <c r="Z26">
        <f t="shared" ca="1" si="13"/>
        <v>0</v>
      </c>
      <c r="AA26">
        <v>0</v>
      </c>
      <c r="AB26">
        <f ca="1">actuals_stn_imp[[#This Row],[Taken into Immediate Future Plan]]-actuals_stn_imp[[#This Row],[Removed Planned]]-actuals_stn_imp[[#This Row],[Remaining Planned]]</f>
        <v>1</v>
      </c>
      <c r="AC26">
        <f ca="1">ROUND(RANDBETWEEN(50,100)/100*actuals_stn_imp[[#This Row],[Added Additional]],0)</f>
        <v>0</v>
      </c>
      <c r="AD26">
        <f t="shared" ca="1" si="14"/>
        <v>1</v>
      </c>
      <c r="AE26">
        <f ca="1">IF(actuals_stn_imp[[#This Row],[End Date]],actuals_stn_imp[[#This Row],[Taken into Immediate Future Plan]]-actuals_stn_imp[[#This Row],[Removed Planned]]-actuals_stn_imp[[#This Row],[Planned done]]-actuals_stn_imp[[#This Row],[Remaining Planned]],"TBD")</f>
        <v>0</v>
      </c>
      <c r="AF26">
        <f ca="1">ROUND(RANDBETWEEN(70,100)/100*(actuals_stn_imp[[#This Row],[Planned done]]+actuals_stn_imp[[#This Row],[Additional done]]),0)</f>
        <v>1</v>
      </c>
      <c r="AG26">
        <f ca="1">ROUND(RANDBETWEEN(90,100)/100*(actuals_stn_imp[[#This Row],[Planned done]]+actuals_stn_imp[[#This Row],[Additional done]]),0)</f>
        <v>1</v>
      </c>
      <c r="AI26" s="4">
        <f t="shared" ca="1" si="3"/>
        <v>42501</v>
      </c>
      <c r="AJ26">
        <f t="shared" ca="1" si="15"/>
        <v>3</v>
      </c>
      <c r="AK26">
        <f t="shared" ca="1" si="16"/>
        <v>0</v>
      </c>
      <c r="AL26">
        <v>0</v>
      </c>
      <c r="AM26">
        <f ca="1">actuals_stn_exp[[#This Row],[Taken into Immediate Future Plan]]-actuals_stn_exp[[#This Row],[Removed Planned]]-actuals_stn_exp[[#This Row],[Remaining Planned]]</f>
        <v>2</v>
      </c>
      <c r="AN26">
        <f ca="1">ROUND(RANDBETWEEN(50,100)/100*actuals_stn_exp[[#This Row],[Added Additional]],0)</f>
        <v>0</v>
      </c>
      <c r="AO26">
        <f t="shared" ca="1" si="17"/>
        <v>1</v>
      </c>
      <c r="AP26">
        <f ca="1">IF(actuals_stn_exp[[#This Row],[End Date]],actuals_stn_exp[[#This Row],[Taken into Immediate Future Plan]]-actuals_stn_exp[[#This Row],[Removed Planned]]-actuals_stn_exp[[#This Row],[Planned done]]-actuals_stn_exp[[#This Row],[Remaining Planned]],"TBD")</f>
        <v>0</v>
      </c>
      <c r="AQ26">
        <f ca="1">ROUND(RANDBETWEEN(70,100)/100*(actuals_stn_exp[[#This Row],[Planned done]]+actuals_stn_exp[[#This Row],[Additional done]]),0)</f>
        <v>1</v>
      </c>
      <c r="AR26">
        <f ca="1">ROUND(RANDBETWEEN(90,100)/100*(actuals_stn_exp[[#This Row],[Planned done]]+actuals_stn_exp[[#This Row],[Additional done]]),0)</f>
        <v>2</v>
      </c>
    </row>
    <row r="27" spans="1:44" x14ac:dyDescent="0.35">
      <c r="X27" s="4">
        <f t="shared" ca="1" si="2"/>
        <v>42503</v>
      </c>
      <c r="Y27">
        <f t="shared" ca="1" si="12"/>
        <v>3</v>
      </c>
      <c r="Z27">
        <f t="shared" ca="1" si="13"/>
        <v>1</v>
      </c>
      <c r="AA27">
        <v>0</v>
      </c>
      <c r="AB27">
        <f ca="1">actuals_stn_imp[[#This Row],[Taken into Immediate Future Plan]]-actuals_stn_imp[[#This Row],[Removed Planned]]-actuals_stn_imp[[#This Row],[Remaining Planned]]</f>
        <v>3</v>
      </c>
      <c r="AC27">
        <f ca="1">ROUND(RANDBETWEEN(50,100)/100*actuals_stn_imp[[#This Row],[Added Additional]],0)</f>
        <v>1</v>
      </c>
      <c r="AD27">
        <f t="shared" ca="1" si="14"/>
        <v>0</v>
      </c>
      <c r="AE27">
        <f ca="1">IF(actuals_stn_imp[[#This Row],[End Date]],actuals_stn_imp[[#This Row],[Taken into Immediate Future Plan]]-actuals_stn_imp[[#This Row],[Removed Planned]]-actuals_stn_imp[[#This Row],[Planned done]]-actuals_stn_imp[[#This Row],[Remaining Planned]],"TBD")</f>
        <v>0</v>
      </c>
      <c r="AF27">
        <f ca="1">ROUND(RANDBETWEEN(70,100)/100*(actuals_stn_imp[[#This Row],[Planned done]]+actuals_stn_imp[[#This Row],[Additional done]]),0)</f>
        <v>3</v>
      </c>
      <c r="AG27">
        <f ca="1">ROUND(RANDBETWEEN(90,100)/100*(actuals_stn_imp[[#This Row],[Planned done]]+actuals_stn_imp[[#This Row],[Additional done]]),0)</f>
        <v>4</v>
      </c>
      <c r="AI27" s="4">
        <f t="shared" ca="1" si="3"/>
        <v>42503</v>
      </c>
      <c r="AJ27">
        <f t="shared" ca="1" si="15"/>
        <v>3</v>
      </c>
      <c r="AK27">
        <f t="shared" ca="1" si="16"/>
        <v>0</v>
      </c>
      <c r="AL27">
        <v>0</v>
      </c>
      <c r="AM27">
        <f ca="1">actuals_stn_exp[[#This Row],[Taken into Immediate Future Plan]]-actuals_stn_exp[[#This Row],[Removed Planned]]-actuals_stn_exp[[#This Row],[Remaining Planned]]</f>
        <v>2</v>
      </c>
      <c r="AN27">
        <f ca="1">ROUND(RANDBETWEEN(50,100)/100*actuals_stn_exp[[#This Row],[Added Additional]],0)</f>
        <v>0</v>
      </c>
      <c r="AO27">
        <f t="shared" ca="1" si="17"/>
        <v>1</v>
      </c>
      <c r="AP27">
        <f ca="1">IF(actuals_stn_exp[[#This Row],[End Date]],actuals_stn_exp[[#This Row],[Taken into Immediate Future Plan]]-actuals_stn_exp[[#This Row],[Removed Planned]]-actuals_stn_exp[[#This Row],[Planned done]]-actuals_stn_exp[[#This Row],[Remaining Planned]],"TBD")</f>
        <v>0</v>
      </c>
      <c r="AQ27">
        <f ca="1">ROUND(RANDBETWEEN(70,100)/100*(actuals_stn_exp[[#This Row],[Planned done]]+actuals_stn_exp[[#This Row],[Additional done]]),0)</f>
        <v>2</v>
      </c>
      <c r="AR27">
        <f ca="1">ROUND(RANDBETWEEN(90,100)/100*(actuals_stn_exp[[#This Row],[Planned done]]+actuals_stn_exp[[#This Row],[Additional done]]),0)</f>
        <v>2</v>
      </c>
    </row>
    <row r="28" spans="1:44" x14ac:dyDescent="0.35">
      <c r="X28" s="4">
        <f t="shared" ca="1" si="2"/>
        <v>42507</v>
      </c>
      <c r="Y28">
        <f t="shared" ca="1" si="12"/>
        <v>2</v>
      </c>
      <c r="Z28">
        <f t="shared" ca="1" si="13"/>
        <v>0</v>
      </c>
      <c r="AA28">
        <v>0</v>
      </c>
      <c r="AB28">
        <f ca="1">actuals_stn_imp[[#This Row],[Taken into Immediate Future Plan]]-actuals_stn_imp[[#This Row],[Removed Planned]]-actuals_stn_imp[[#This Row],[Remaining Planned]]</f>
        <v>2</v>
      </c>
      <c r="AC28">
        <f ca="1">ROUND(RANDBETWEEN(50,100)/100*actuals_stn_imp[[#This Row],[Added Additional]],0)</f>
        <v>0</v>
      </c>
      <c r="AD28">
        <f t="shared" ca="1" si="14"/>
        <v>0</v>
      </c>
      <c r="AE28">
        <f ca="1">IF(actuals_stn_imp[[#This Row],[End Date]],actuals_stn_imp[[#This Row],[Taken into Immediate Future Plan]]-actuals_stn_imp[[#This Row],[Removed Planned]]-actuals_stn_imp[[#This Row],[Planned done]]-actuals_stn_imp[[#This Row],[Remaining Planned]],"TBD")</f>
        <v>0</v>
      </c>
      <c r="AF28">
        <f ca="1">ROUND(RANDBETWEEN(70,100)/100*(actuals_stn_imp[[#This Row],[Planned done]]+actuals_stn_imp[[#This Row],[Additional done]]),0)</f>
        <v>2</v>
      </c>
      <c r="AG28">
        <f ca="1">ROUND(RANDBETWEEN(90,100)/100*(actuals_stn_imp[[#This Row],[Planned done]]+actuals_stn_imp[[#This Row],[Additional done]]),0)</f>
        <v>2</v>
      </c>
      <c r="AI28" s="4">
        <f t="shared" ca="1" si="3"/>
        <v>42507</v>
      </c>
      <c r="AJ28">
        <f t="shared" ca="1" si="15"/>
        <v>3</v>
      </c>
      <c r="AK28">
        <f t="shared" ca="1" si="16"/>
        <v>1</v>
      </c>
      <c r="AL28">
        <v>0</v>
      </c>
      <c r="AM28">
        <f ca="1">actuals_stn_exp[[#This Row],[Taken into Immediate Future Plan]]-actuals_stn_exp[[#This Row],[Removed Planned]]-actuals_stn_exp[[#This Row],[Remaining Planned]]</f>
        <v>3</v>
      </c>
      <c r="AN28">
        <f ca="1">ROUND(RANDBETWEEN(50,100)/100*actuals_stn_exp[[#This Row],[Added Additional]],0)</f>
        <v>1</v>
      </c>
      <c r="AO28">
        <f t="shared" ca="1" si="17"/>
        <v>0</v>
      </c>
      <c r="AP28">
        <f ca="1">IF(actuals_stn_exp[[#This Row],[End Date]],actuals_stn_exp[[#This Row],[Taken into Immediate Future Plan]]-actuals_stn_exp[[#This Row],[Removed Planned]]-actuals_stn_exp[[#This Row],[Planned done]]-actuals_stn_exp[[#This Row],[Remaining Planned]],"TBD")</f>
        <v>0</v>
      </c>
      <c r="AQ28">
        <f ca="1">ROUND(RANDBETWEEN(70,100)/100*(actuals_stn_exp[[#This Row],[Planned done]]+actuals_stn_exp[[#This Row],[Additional done]]),0)</f>
        <v>3</v>
      </c>
      <c r="AR28">
        <f ca="1">ROUND(RANDBETWEEN(90,100)/100*(actuals_stn_exp[[#This Row],[Planned done]]+actuals_stn_exp[[#This Row],[Additional done]]),0)</f>
        <v>4</v>
      </c>
    </row>
    <row r="29" spans="1:44" x14ac:dyDescent="0.35">
      <c r="X29" s="4">
        <f t="shared" ca="1" si="2"/>
        <v>42509</v>
      </c>
      <c r="Y29">
        <f t="shared" ca="1" si="12"/>
        <v>3</v>
      </c>
      <c r="Z29">
        <f t="shared" ca="1" si="13"/>
        <v>1</v>
      </c>
      <c r="AA29">
        <v>0</v>
      </c>
      <c r="AB29">
        <f ca="1">actuals_stn_imp[[#This Row],[Taken into Immediate Future Plan]]-actuals_stn_imp[[#This Row],[Removed Planned]]-actuals_stn_imp[[#This Row],[Remaining Planned]]</f>
        <v>3</v>
      </c>
      <c r="AC29">
        <f ca="1">ROUND(RANDBETWEEN(50,100)/100*actuals_stn_imp[[#This Row],[Added Additional]],0)</f>
        <v>1</v>
      </c>
      <c r="AD29">
        <f t="shared" ca="1" si="14"/>
        <v>0</v>
      </c>
      <c r="AE29">
        <f ca="1">IF(actuals_stn_imp[[#This Row],[End Date]],actuals_stn_imp[[#This Row],[Taken into Immediate Future Plan]]-actuals_stn_imp[[#This Row],[Removed Planned]]-actuals_stn_imp[[#This Row],[Planned done]]-actuals_stn_imp[[#This Row],[Remaining Planned]],"TBD")</f>
        <v>0</v>
      </c>
      <c r="AF29">
        <f ca="1">ROUND(RANDBETWEEN(70,100)/100*(actuals_stn_imp[[#This Row],[Planned done]]+actuals_stn_imp[[#This Row],[Additional done]]),0)</f>
        <v>3</v>
      </c>
      <c r="AG29">
        <f ca="1">ROUND(RANDBETWEEN(90,100)/100*(actuals_stn_imp[[#This Row],[Planned done]]+actuals_stn_imp[[#This Row],[Additional done]]),0)</f>
        <v>4</v>
      </c>
      <c r="AI29" s="4">
        <f t="shared" ca="1" si="3"/>
        <v>42509</v>
      </c>
      <c r="AJ29">
        <f t="shared" ca="1" si="15"/>
        <v>3</v>
      </c>
      <c r="AK29">
        <f t="shared" ca="1" si="16"/>
        <v>1</v>
      </c>
      <c r="AL29">
        <v>0</v>
      </c>
      <c r="AM29">
        <f ca="1">actuals_stn_exp[[#This Row],[Taken into Immediate Future Plan]]-actuals_stn_exp[[#This Row],[Removed Planned]]-actuals_stn_exp[[#This Row],[Remaining Planned]]</f>
        <v>3</v>
      </c>
      <c r="AN29">
        <f ca="1">ROUND(RANDBETWEEN(50,100)/100*actuals_stn_exp[[#This Row],[Added Additional]],0)</f>
        <v>1</v>
      </c>
      <c r="AO29">
        <f t="shared" ca="1" si="17"/>
        <v>0</v>
      </c>
      <c r="AP29">
        <f ca="1">IF(actuals_stn_exp[[#This Row],[End Date]],actuals_stn_exp[[#This Row],[Taken into Immediate Future Plan]]-actuals_stn_exp[[#This Row],[Removed Planned]]-actuals_stn_exp[[#This Row],[Planned done]]-actuals_stn_exp[[#This Row],[Remaining Planned]],"TBD")</f>
        <v>0</v>
      </c>
      <c r="AQ29">
        <f ca="1">ROUND(RANDBETWEEN(70,100)/100*(actuals_stn_exp[[#This Row],[Planned done]]+actuals_stn_exp[[#This Row],[Additional done]]),0)</f>
        <v>3</v>
      </c>
      <c r="AR29">
        <f ca="1">ROUND(RANDBETWEEN(90,100)/100*(actuals_stn_exp[[#This Row],[Planned done]]+actuals_stn_exp[[#This Row],[Additional done]]),0)</f>
        <v>4</v>
      </c>
    </row>
    <row r="30" spans="1:44" x14ac:dyDescent="0.35">
      <c r="X30" s="4">
        <f t="shared" ca="1" si="2"/>
        <v>42513</v>
      </c>
      <c r="Y30">
        <f t="shared" ca="1" si="12"/>
        <v>3</v>
      </c>
      <c r="Z30">
        <f t="shared" ca="1" si="13"/>
        <v>1</v>
      </c>
      <c r="AA30">
        <v>0</v>
      </c>
      <c r="AB30">
        <f ca="1">actuals_stn_imp[[#This Row],[Taken into Immediate Future Plan]]-actuals_stn_imp[[#This Row],[Removed Planned]]-actuals_stn_imp[[#This Row],[Remaining Planned]]</f>
        <v>3</v>
      </c>
      <c r="AC30">
        <f ca="1">ROUND(RANDBETWEEN(50,100)/100*actuals_stn_imp[[#This Row],[Added Additional]],0)</f>
        <v>1</v>
      </c>
      <c r="AD30">
        <f t="shared" ca="1" si="14"/>
        <v>0</v>
      </c>
      <c r="AE30">
        <f ca="1">IF(actuals_stn_imp[[#This Row],[End Date]],actuals_stn_imp[[#This Row],[Taken into Immediate Future Plan]]-actuals_stn_imp[[#This Row],[Removed Planned]]-actuals_stn_imp[[#This Row],[Planned done]]-actuals_stn_imp[[#This Row],[Remaining Planned]],"TBD")</f>
        <v>0</v>
      </c>
      <c r="AF30">
        <f ca="1">ROUND(RANDBETWEEN(70,100)/100*(actuals_stn_imp[[#This Row],[Planned done]]+actuals_stn_imp[[#This Row],[Additional done]]),0)</f>
        <v>4</v>
      </c>
      <c r="AG30">
        <f ca="1">ROUND(RANDBETWEEN(90,100)/100*(actuals_stn_imp[[#This Row],[Planned done]]+actuals_stn_imp[[#This Row],[Additional done]]),0)</f>
        <v>4</v>
      </c>
      <c r="AI30" s="4">
        <f t="shared" ca="1" si="3"/>
        <v>42513</v>
      </c>
      <c r="AJ30">
        <f t="shared" ca="1" si="15"/>
        <v>3</v>
      </c>
      <c r="AK30">
        <f t="shared" ca="1" si="16"/>
        <v>0</v>
      </c>
      <c r="AL30">
        <v>0</v>
      </c>
      <c r="AM30">
        <f ca="1">actuals_stn_exp[[#This Row],[Taken into Immediate Future Plan]]-actuals_stn_exp[[#This Row],[Removed Planned]]-actuals_stn_exp[[#This Row],[Remaining Planned]]</f>
        <v>3</v>
      </c>
      <c r="AN30">
        <f ca="1">ROUND(RANDBETWEEN(50,100)/100*actuals_stn_exp[[#This Row],[Added Additional]],0)</f>
        <v>0</v>
      </c>
      <c r="AO30">
        <f t="shared" ca="1" si="17"/>
        <v>0</v>
      </c>
      <c r="AP30">
        <f ca="1">IF(actuals_stn_exp[[#This Row],[End Date]],actuals_stn_exp[[#This Row],[Taken into Immediate Future Plan]]-actuals_stn_exp[[#This Row],[Removed Planned]]-actuals_stn_exp[[#This Row],[Planned done]]-actuals_stn_exp[[#This Row],[Remaining Planned]],"TBD")</f>
        <v>0</v>
      </c>
      <c r="AQ30">
        <f ca="1">ROUND(RANDBETWEEN(70,100)/100*(actuals_stn_exp[[#This Row],[Planned done]]+actuals_stn_exp[[#This Row],[Additional done]]),0)</f>
        <v>3</v>
      </c>
      <c r="AR30">
        <f ca="1">ROUND(RANDBETWEEN(90,100)/100*(actuals_stn_exp[[#This Row],[Planned done]]+actuals_stn_exp[[#This Row],[Additional done]]),0)</f>
        <v>3</v>
      </c>
    </row>
    <row r="31" spans="1:44" x14ac:dyDescent="0.35">
      <c r="X31" s="4">
        <f t="shared" ca="1" si="2"/>
        <v>42515</v>
      </c>
      <c r="Y31">
        <f t="shared" ca="1" si="12"/>
        <v>2</v>
      </c>
      <c r="Z31">
        <f t="shared" ca="1" si="13"/>
        <v>0</v>
      </c>
      <c r="AA31">
        <v>0</v>
      </c>
      <c r="AB31">
        <f ca="1">actuals_stn_imp[[#This Row],[Taken into Immediate Future Plan]]-actuals_stn_imp[[#This Row],[Removed Planned]]-actuals_stn_imp[[#This Row],[Remaining Planned]]</f>
        <v>1</v>
      </c>
      <c r="AC31">
        <f ca="1">ROUND(RANDBETWEEN(50,100)/100*actuals_stn_imp[[#This Row],[Added Additional]],0)</f>
        <v>0</v>
      </c>
      <c r="AD31">
        <f t="shared" ca="1" si="14"/>
        <v>1</v>
      </c>
      <c r="AE31">
        <f ca="1">IF(actuals_stn_imp[[#This Row],[End Date]],actuals_stn_imp[[#This Row],[Taken into Immediate Future Plan]]-actuals_stn_imp[[#This Row],[Removed Planned]]-actuals_stn_imp[[#This Row],[Planned done]]-actuals_stn_imp[[#This Row],[Remaining Planned]],"TBD")</f>
        <v>0</v>
      </c>
      <c r="AF31">
        <f ca="1">ROUND(RANDBETWEEN(70,100)/100*(actuals_stn_imp[[#This Row],[Planned done]]+actuals_stn_imp[[#This Row],[Additional done]]),0)</f>
        <v>1</v>
      </c>
      <c r="AG31">
        <f ca="1">ROUND(RANDBETWEEN(90,100)/100*(actuals_stn_imp[[#This Row],[Planned done]]+actuals_stn_imp[[#This Row],[Additional done]]),0)</f>
        <v>1</v>
      </c>
      <c r="AI31" s="4">
        <f t="shared" ca="1" si="3"/>
        <v>42515</v>
      </c>
      <c r="AJ31">
        <f t="shared" ca="1" si="15"/>
        <v>3</v>
      </c>
      <c r="AK31">
        <f t="shared" ca="1" si="16"/>
        <v>0</v>
      </c>
      <c r="AL31">
        <v>0</v>
      </c>
      <c r="AM31">
        <f ca="1">actuals_stn_exp[[#This Row],[Taken into Immediate Future Plan]]-actuals_stn_exp[[#This Row],[Removed Planned]]-actuals_stn_exp[[#This Row],[Remaining Planned]]</f>
        <v>3</v>
      </c>
      <c r="AN31">
        <f ca="1">ROUND(RANDBETWEEN(50,100)/100*actuals_stn_exp[[#This Row],[Added Additional]],0)</f>
        <v>0</v>
      </c>
      <c r="AO31">
        <f t="shared" ca="1" si="17"/>
        <v>0</v>
      </c>
      <c r="AP31">
        <f ca="1">IF(actuals_stn_exp[[#This Row],[End Date]],actuals_stn_exp[[#This Row],[Taken into Immediate Future Plan]]-actuals_stn_exp[[#This Row],[Removed Planned]]-actuals_stn_exp[[#This Row],[Planned done]]-actuals_stn_exp[[#This Row],[Remaining Planned]],"TBD")</f>
        <v>0</v>
      </c>
      <c r="AQ31">
        <f ca="1">ROUND(RANDBETWEEN(70,100)/100*(actuals_stn_exp[[#This Row],[Planned done]]+actuals_stn_exp[[#This Row],[Additional done]]),0)</f>
        <v>2</v>
      </c>
      <c r="AR31">
        <f ca="1">ROUND(RANDBETWEEN(90,100)/100*(actuals_stn_exp[[#This Row],[Planned done]]+actuals_stn_exp[[#This Row],[Additional done]]),0)</f>
        <v>3</v>
      </c>
    </row>
    <row r="32" spans="1:44" x14ac:dyDescent="0.35">
      <c r="X32" s="4">
        <f t="shared" ca="1" si="2"/>
        <v>42517</v>
      </c>
      <c r="Y32">
        <f t="shared" ca="1" si="12"/>
        <v>3</v>
      </c>
      <c r="Z32">
        <f t="shared" ca="1" si="13"/>
        <v>1</v>
      </c>
      <c r="AA32">
        <v>0</v>
      </c>
      <c r="AB32">
        <f ca="1">actuals_stn_imp[[#This Row],[Taken into Immediate Future Plan]]-actuals_stn_imp[[#This Row],[Removed Planned]]-actuals_stn_imp[[#This Row],[Remaining Planned]]</f>
        <v>3</v>
      </c>
      <c r="AC32">
        <f ca="1">ROUND(RANDBETWEEN(50,100)/100*actuals_stn_imp[[#This Row],[Added Additional]],0)</f>
        <v>1</v>
      </c>
      <c r="AD32">
        <f t="shared" ca="1" si="14"/>
        <v>0</v>
      </c>
      <c r="AE32">
        <f ca="1">IF(actuals_stn_imp[[#This Row],[End Date]],actuals_stn_imp[[#This Row],[Taken into Immediate Future Plan]]-actuals_stn_imp[[#This Row],[Removed Planned]]-actuals_stn_imp[[#This Row],[Planned done]]-actuals_stn_imp[[#This Row],[Remaining Planned]],"TBD")</f>
        <v>0</v>
      </c>
      <c r="AF32">
        <f ca="1">ROUND(RANDBETWEEN(70,100)/100*(actuals_stn_imp[[#This Row],[Planned done]]+actuals_stn_imp[[#This Row],[Additional done]]),0)</f>
        <v>3</v>
      </c>
      <c r="AG32">
        <f ca="1">ROUND(RANDBETWEEN(90,100)/100*(actuals_stn_imp[[#This Row],[Planned done]]+actuals_stn_imp[[#This Row],[Additional done]]),0)</f>
        <v>4</v>
      </c>
      <c r="AI32" s="4">
        <f t="shared" ca="1" si="3"/>
        <v>42517</v>
      </c>
      <c r="AJ32">
        <f t="shared" ca="1" si="15"/>
        <v>2</v>
      </c>
      <c r="AK32">
        <f t="shared" ca="1" si="16"/>
        <v>1</v>
      </c>
      <c r="AL32">
        <v>0</v>
      </c>
      <c r="AM32">
        <f ca="1">actuals_stn_exp[[#This Row],[Taken into Immediate Future Plan]]-actuals_stn_exp[[#This Row],[Removed Planned]]-actuals_stn_exp[[#This Row],[Remaining Planned]]</f>
        <v>2</v>
      </c>
      <c r="AN32">
        <f ca="1">ROUND(RANDBETWEEN(50,100)/100*actuals_stn_exp[[#This Row],[Added Additional]],0)</f>
        <v>1</v>
      </c>
      <c r="AO32">
        <f t="shared" ca="1" si="17"/>
        <v>0</v>
      </c>
      <c r="AP32">
        <f ca="1">IF(actuals_stn_exp[[#This Row],[End Date]],actuals_stn_exp[[#This Row],[Taken into Immediate Future Plan]]-actuals_stn_exp[[#This Row],[Removed Planned]]-actuals_stn_exp[[#This Row],[Planned done]]-actuals_stn_exp[[#This Row],[Remaining Planned]],"TBD")</f>
        <v>0</v>
      </c>
      <c r="AQ32">
        <f ca="1">ROUND(RANDBETWEEN(70,100)/100*(actuals_stn_exp[[#This Row],[Planned done]]+actuals_stn_exp[[#This Row],[Additional done]]),0)</f>
        <v>3</v>
      </c>
      <c r="AR32">
        <f ca="1">ROUND(RANDBETWEEN(90,100)/100*(actuals_stn_exp[[#This Row],[Planned done]]+actuals_stn_exp[[#This Row],[Additional done]]),0)</f>
        <v>3</v>
      </c>
    </row>
    <row r="33" spans="24:44" x14ac:dyDescent="0.35">
      <c r="X33" s="4">
        <f t="shared" ca="1" si="2"/>
        <v>42521</v>
      </c>
      <c r="Y33">
        <f t="shared" ca="1" si="12"/>
        <v>3</v>
      </c>
      <c r="Z33">
        <f t="shared" ca="1" si="13"/>
        <v>0</v>
      </c>
      <c r="AA33">
        <v>0</v>
      </c>
      <c r="AB33">
        <f ca="1">actuals_stn_imp[[#This Row],[Taken into Immediate Future Plan]]-actuals_stn_imp[[#This Row],[Removed Planned]]-actuals_stn_imp[[#This Row],[Remaining Planned]]</f>
        <v>3</v>
      </c>
      <c r="AC33">
        <f ca="1">ROUND(RANDBETWEEN(50,100)/100*actuals_stn_imp[[#This Row],[Added Additional]],0)</f>
        <v>0</v>
      </c>
      <c r="AD33">
        <f t="shared" ca="1" si="14"/>
        <v>0</v>
      </c>
      <c r="AE33">
        <f ca="1">IF(actuals_stn_imp[[#This Row],[End Date]],actuals_stn_imp[[#This Row],[Taken into Immediate Future Plan]]-actuals_stn_imp[[#This Row],[Removed Planned]]-actuals_stn_imp[[#This Row],[Planned done]]-actuals_stn_imp[[#This Row],[Remaining Planned]],"TBD")</f>
        <v>0</v>
      </c>
      <c r="AF33">
        <f ca="1">ROUND(RANDBETWEEN(70,100)/100*(actuals_stn_imp[[#This Row],[Planned done]]+actuals_stn_imp[[#This Row],[Additional done]]),0)</f>
        <v>2</v>
      </c>
      <c r="AG33">
        <f ca="1">ROUND(RANDBETWEEN(90,100)/100*(actuals_stn_imp[[#This Row],[Planned done]]+actuals_stn_imp[[#This Row],[Additional done]]),0)</f>
        <v>3</v>
      </c>
      <c r="AI33" s="4">
        <f t="shared" ca="1" si="3"/>
        <v>42521</v>
      </c>
      <c r="AJ33">
        <f t="shared" ca="1" si="15"/>
        <v>3</v>
      </c>
      <c r="AK33">
        <f t="shared" ca="1" si="16"/>
        <v>1</v>
      </c>
      <c r="AL33">
        <v>0</v>
      </c>
      <c r="AM33">
        <f ca="1">actuals_stn_exp[[#This Row],[Taken into Immediate Future Plan]]-actuals_stn_exp[[#This Row],[Removed Planned]]-actuals_stn_exp[[#This Row],[Remaining Planned]]</f>
        <v>3</v>
      </c>
      <c r="AN33">
        <f ca="1">ROUND(RANDBETWEEN(50,100)/100*actuals_stn_exp[[#This Row],[Added Additional]],0)</f>
        <v>1</v>
      </c>
      <c r="AO33">
        <f t="shared" ca="1" si="17"/>
        <v>0</v>
      </c>
      <c r="AP33">
        <f ca="1">IF(actuals_stn_exp[[#This Row],[End Date]],actuals_stn_exp[[#This Row],[Taken into Immediate Future Plan]]-actuals_stn_exp[[#This Row],[Removed Planned]]-actuals_stn_exp[[#This Row],[Planned done]]-actuals_stn_exp[[#This Row],[Remaining Planned]],"TBD")</f>
        <v>0</v>
      </c>
      <c r="AQ33">
        <f ca="1">ROUND(RANDBETWEEN(70,100)/100*(actuals_stn_exp[[#This Row],[Planned done]]+actuals_stn_exp[[#This Row],[Additional done]]),0)</f>
        <v>3</v>
      </c>
      <c r="AR33">
        <f ca="1">ROUND(RANDBETWEEN(90,100)/100*(actuals_stn_exp[[#This Row],[Planned done]]+actuals_stn_exp[[#This Row],[Additional done]]),0)</f>
        <v>4</v>
      </c>
    </row>
    <row r="34" spans="24:44" x14ac:dyDescent="0.35">
      <c r="X34" s="4">
        <f ca="1">WORKDAY(X35,-2)</f>
        <v>42523</v>
      </c>
      <c r="Y34">
        <f t="shared" ca="1" si="12"/>
        <v>2</v>
      </c>
      <c r="Z34">
        <f t="shared" ca="1" si="13"/>
        <v>1</v>
      </c>
      <c r="AA34">
        <v>0</v>
      </c>
      <c r="AB34">
        <f ca="1">actuals_stn_imp[[#This Row],[Taken into Immediate Future Plan]]-actuals_stn_imp[[#This Row],[Removed Planned]]-actuals_stn_imp[[#This Row],[Remaining Planned]]</f>
        <v>1</v>
      </c>
      <c r="AC34">
        <f ca="1">ROUND(RANDBETWEEN(50,100)/100*actuals_stn_imp[[#This Row],[Added Additional]],0)</f>
        <v>1</v>
      </c>
      <c r="AD34">
        <f t="shared" ca="1" si="14"/>
        <v>1</v>
      </c>
      <c r="AE34">
        <f ca="1">IF(actuals_stn_imp[[#This Row],[End Date]],actuals_stn_imp[[#This Row],[Taken into Immediate Future Plan]]-actuals_stn_imp[[#This Row],[Removed Planned]]-actuals_stn_imp[[#This Row],[Planned done]]-actuals_stn_imp[[#This Row],[Remaining Planned]],"TBD")</f>
        <v>0</v>
      </c>
      <c r="AF34">
        <f ca="1">ROUND(RANDBETWEEN(70,100)/100*(actuals_stn_imp[[#This Row],[Planned done]]+actuals_stn_imp[[#This Row],[Additional done]]),0)</f>
        <v>2</v>
      </c>
      <c r="AG34">
        <f ca="1">ROUND(RANDBETWEEN(90,100)/100*(actuals_stn_imp[[#This Row],[Planned done]]+actuals_stn_imp[[#This Row],[Additional done]]),0)</f>
        <v>2</v>
      </c>
      <c r="AI34" s="4">
        <f ca="1">WORKDAY(AI35,-2)</f>
        <v>42523</v>
      </c>
      <c r="AJ34">
        <f t="shared" ca="1" si="15"/>
        <v>2</v>
      </c>
      <c r="AK34">
        <f t="shared" ca="1" si="16"/>
        <v>1</v>
      </c>
      <c r="AL34">
        <v>0</v>
      </c>
      <c r="AM34">
        <f ca="1">actuals_stn_exp[[#This Row],[Taken into Immediate Future Plan]]-actuals_stn_exp[[#This Row],[Removed Planned]]-actuals_stn_exp[[#This Row],[Remaining Planned]]</f>
        <v>2</v>
      </c>
      <c r="AN34">
        <f ca="1">ROUND(RANDBETWEEN(50,100)/100*actuals_stn_exp[[#This Row],[Added Additional]],0)</f>
        <v>1</v>
      </c>
      <c r="AO34">
        <f t="shared" ca="1" si="17"/>
        <v>0</v>
      </c>
      <c r="AP34">
        <f ca="1">IF(actuals_stn_exp[[#This Row],[End Date]],actuals_stn_exp[[#This Row],[Taken into Immediate Future Plan]]-actuals_stn_exp[[#This Row],[Removed Planned]]-actuals_stn_exp[[#This Row],[Planned done]]-actuals_stn_exp[[#This Row],[Remaining Planned]],"TBD")</f>
        <v>0</v>
      </c>
      <c r="AQ34">
        <f ca="1">ROUND(RANDBETWEEN(70,100)/100*(actuals_stn_exp[[#This Row],[Planned done]]+actuals_stn_exp[[#This Row],[Additional done]]),0)</f>
        <v>3</v>
      </c>
      <c r="AR34">
        <f ca="1">ROUND(RANDBETWEEN(90,100)/100*(actuals_stn_exp[[#This Row],[Planned done]]+actuals_stn_exp[[#This Row],[Additional done]]),0)</f>
        <v>3</v>
      </c>
    </row>
    <row r="35" spans="24:44" x14ac:dyDescent="0.35">
      <c r="X35" s="4">
        <f ca="1">TODAY()</f>
        <v>42527</v>
      </c>
      <c r="Y35">
        <f t="shared" ca="1" si="12"/>
        <v>2</v>
      </c>
      <c r="Z35">
        <f t="shared" ca="1" si="13"/>
        <v>0</v>
      </c>
      <c r="AA35">
        <v>0</v>
      </c>
      <c r="AB35">
        <f ca="1">actuals_stn_imp[[#This Row],[Taken into Immediate Future Plan]]-actuals_stn_imp[[#This Row],[Removed Planned]]-actuals_stn_imp[[#This Row],[Remaining Planned]]</f>
        <v>1</v>
      </c>
      <c r="AC35">
        <f ca="1">ROUND(RANDBETWEEN(50,100)/100*actuals_stn_imp[[#This Row],[Added Additional]],0)</f>
        <v>0</v>
      </c>
      <c r="AD35">
        <f t="shared" ca="1" si="14"/>
        <v>1</v>
      </c>
      <c r="AE35">
        <f ca="1">IF(actuals_stn_imp[[#This Row],[End Date]],actuals_stn_imp[[#This Row],[Taken into Immediate Future Plan]]-actuals_stn_imp[[#This Row],[Removed Planned]]-actuals_stn_imp[[#This Row],[Planned done]]-actuals_stn_imp[[#This Row],[Remaining Planned]],"TBD")</f>
        <v>0</v>
      </c>
      <c r="AF35">
        <f ca="1">ROUND(RANDBETWEEN(70,100)/100*(actuals_stn_imp[[#This Row],[Planned done]]+actuals_stn_imp[[#This Row],[Additional done]]),0)</f>
        <v>1</v>
      </c>
      <c r="AG35">
        <f ca="1">ROUND(RANDBETWEEN(90,100)/100*(actuals_stn_imp[[#This Row],[Planned done]]+actuals_stn_imp[[#This Row],[Additional done]]),0)</f>
        <v>1</v>
      </c>
      <c r="AI35" s="4">
        <f ca="1">TODAY()</f>
        <v>42527</v>
      </c>
      <c r="AJ35">
        <f t="shared" ca="1" si="15"/>
        <v>3</v>
      </c>
      <c r="AK35">
        <f t="shared" ca="1" si="16"/>
        <v>1</v>
      </c>
      <c r="AL35">
        <v>0</v>
      </c>
      <c r="AM35">
        <f ca="1">actuals_stn_exp[[#This Row],[Taken into Immediate Future Plan]]-actuals_stn_exp[[#This Row],[Removed Planned]]-actuals_stn_exp[[#This Row],[Remaining Planned]]</f>
        <v>3</v>
      </c>
      <c r="AN35">
        <f ca="1">ROUND(RANDBETWEEN(50,100)/100*actuals_stn_exp[[#This Row],[Added Additional]],0)</f>
        <v>1</v>
      </c>
      <c r="AO35">
        <f t="shared" ca="1" si="17"/>
        <v>0</v>
      </c>
      <c r="AP35">
        <f ca="1">IF(actuals_stn_exp[[#This Row],[End Date]],actuals_stn_exp[[#This Row],[Taken into Immediate Future Plan]]-actuals_stn_exp[[#This Row],[Removed Planned]]-actuals_stn_exp[[#This Row],[Planned done]]-actuals_stn_exp[[#This Row],[Remaining Planned]],"TBD")</f>
        <v>0</v>
      </c>
      <c r="AQ35">
        <f ca="1">ROUND(RANDBETWEEN(70,100)/100*(actuals_stn_exp[[#This Row],[Planned done]]+actuals_stn_exp[[#This Row],[Additional done]]),0)</f>
        <v>4</v>
      </c>
      <c r="AR35">
        <f ca="1">ROUND(RANDBETWEEN(90,100)/100*(actuals_stn_exp[[#This Row],[Planned done]]+actuals_stn_exp[[#This Row],[Additional done]]),0)</f>
        <v>4</v>
      </c>
    </row>
    <row r="36" spans="24:44" x14ac:dyDescent="0.35">
      <c r="X36" s="4">
        <f ca="1">WORKDAY(TODAY(),2)</f>
        <v>42529</v>
      </c>
      <c r="Y36">
        <f t="shared" ca="1" si="12"/>
        <v>2</v>
      </c>
      <c r="AI36" s="4">
        <f ca="1">WORKDAY(TODAY(),2)</f>
        <v>42529</v>
      </c>
      <c r="AJ36">
        <f t="shared" ca="1" si="15"/>
        <v>3</v>
      </c>
    </row>
  </sheetData>
  <mergeCells count="4">
    <mergeCell ref="A1:A17"/>
    <mergeCell ref="L1:L17"/>
    <mergeCell ref="W1:W17"/>
    <mergeCell ref="AH1:AH17"/>
  </mergeCells>
  <conditionalFormatting sqref="I2:I15">
    <cfRule type="cellIs" priority="7" stopIfTrue="1" operator="equal">
      <formula>"TBD"</formula>
    </cfRule>
    <cfRule type="cellIs" dxfId="3" priority="8" operator="notEqual">
      <formula>0</formula>
    </cfRule>
  </conditionalFormatting>
  <conditionalFormatting sqref="T2:T15">
    <cfRule type="cellIs" priority="5" stopIfTrue="1" operator="equal">
      <formula>"TBD"</formula>
    </cfRule>
    <cfRule type="cellIs" dxfId="2" priority="6" operator="notEqual">
      <formula>0</formula>
    </cfRule>
  </conditionalFormatting>
  <conditionalFormatting sqref="AE2:AE35">
    <cfRule type="cellIs" priority="3" stopIfTrue="1" operator="equal">
      <formula>"TBD"</formula>
    </cfRule>
    <cfRule type="cellIs" dxfId="1" priority="4" operator="notEqual">
      <formula>0</formula>
    </cfRule>
  </conditionalFormatting>
  <conditionalFormatting sqref="AP2:AP35">
    <cfRule type="cellIs" priority="1" stopIfTrue="1" operator="equal">
      <formula>"TBD"</formula>
    </cfRule>
    <cfRule type="cellIs" dxfId="0" priority="2" operator="notEqual">
      <formula>0</formula>
    </cfRule>
  </conditionalFormatting>
  <pageMargins left="0.7" right="0.7" top="0.75" bottom="0.75" header="0.3" footer="0.3"/>
  <pageSetup orientation="portrait" r:id="rId1"/>
  <legacyDrawing r:id="rId2"/>
  <tableParts count="4">
    <tablePart r:id="rId3"/>
    <tablePart r:id="rId4"/>
    <tablePart r:id="rId5"/>
    <tablePart r:id="rId6"/>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R44"/>
  <sheetViews>
    <sheetView topLeftCell="AZ14" workbookViewId="0">
      <selection activeCell="BP34" sqref="BP34"/>
    </sheetView>
  </sheetViews>
  <sheetFormatPr defaultRowHeight="14.5" x14ac:dyDescent="0.35"/>
  <cols>
    <col min="1" max="1" width="13.54296875" customWidth="1"/>
    <col min="2" max="4" width="9.453125" bestFit="1" customWidth="1"/>
  </cols>
  <sheetData>
    <row r="1" spans="1:68" x14ac:dyDescent="0.35">
      <c r="A1" t="s">
        <v>55</v>
      </c>
      <c r="F1">
        <v>20</v>
      </c>
    </row>
    <row r="3" spans="1:68" x14ac:dyDescent="0.35">
      <c r="A3" t="s">
        <v>40</v>
      </c>
      <c r="B3" t="s">
        <v>39</v>
      </c>
      <c r="C3" t="s">
        <v>49</v>
      </c>
      <c r="D3" t="s">
        <v>45</v>
      </c>
      <c r="E3" t="s">
        <v>46</v>
      </c>
      <c r="F3" t="s">
        <v>49</v>
      </c>
      <c r="G3" t="s">
        <v>54</v>
      </c>
      <c r="H3" t="s">
        <v>49</v>
      </c>
      <c r="I3" t="s">
        <v>47</v>
      </c>
      <c r="J3" t="s">
        <v>48</v>
      </c>
      <c r="K3" t="s">
        <v>50</v>
      </c>
      <c r="L3" t="s">
        <v>56</v>
      </c>
      <c r="M3" t="s">
        <v>65</v>
      </c>
      <c r="N3" t="s">
        <v>58</v>
      </c>
      <c r="O3" t="s">
        <v>64</v>
      </c>
    </row>
    <row r="4" spans="1:68" x14ac:dyDescent="0.35">
      <c r="A4" t="s">
        <v>41</v>
      </c>
      <c r="B4" s="4">
        <f ca="1">VLOOKUP(WORKDAY(dashboard_now,-$F$1),actuals_prd_imp[End Date],1,TRUE)</f>
        <v>42495</v>
      </c>
      <c r="C4" s="48">
        <f ca="1">MATCH(B4,actuals_prd_imp[End Date])</f>
        <v>10</v>
      </c>
      <c r="D4" s="4">
        <f ca="1">WORKDAY(VLOOKUP(WORKDAY(B4,-1),actuals_prd_imp[End Date],1,TRUE),1)</f>
        <v>42489</v>
      </c>
      <c r="E4" s="4">
        <f ca="1">VLOOKUP(dashboard_now,actuals_prd_imp[End Date],1,TRUE)</f>
        <v>42523</v>
      </c>
      <c r="F4" s="48">
        <f ca="1">MATCH(E4,actuals_prd_imp[End Date])</f>
        <v>14</v>
      </c>
      <c r="G4" s="4">
        <f ca="1">INDEX(actuals_prd_imp[End Date],H4)</f>
        <v>42530</v>
      </c>
      <c r="H4" s="48">
        <f ca="1">F4+1</f>
        <v>15</v>
      </c>
      <c r="I4">
        <f ca="1">NETWORKDAYS(D4,E4)</f>
        <v>25</v>
      </c>
      <c r="J4">
        <f ca="1">SUM(OFFSET(actuals_prd_imp[Planned done],C4-1,0,F4-C4+1))</f>
        <v>59</v>
      </c>
      <c r="K4">
        <f ca="1">J4/I4</f>
        <v>2.36</v>
      </c>
      <c r="L4" s="48">
        <f ca="1">NETWORKDAYS(E4,G4)-1</f>
        <v>5</v>
      </c>
      <c r="M4" s="48">
        <f ca="1">NETWORKDAYS(E4,dashboard_now)-1</f>
        <v>2</v>
      </c>
      <c r="N4">
        <f ca="1">L4-M4</f>
        <v>3</v>
      </c>
      <c r="O4">
        <f ca="1">INDEX(actuals_prd_imp[Taken into Immediate Future Plan],H4)</f>
        <v>14</v>
      </c>
    </row>
    <row r="5" spans="1:68" x14ac:dyDescent="0.35">
      <c r="A5" t="s">
        <v>42</v>
      </c>
      <c r="B5" s="4">
        <f ca="1">VLOOKUP(WORKDAY(dashboard_now,-$F$1),actuals_prd_exp[End Date],1,TRUE)</f>
        <v>42495</v>
      </c>
      <c r="C5" s="48">
        <f ca="1">MATCH(B5,actuals_prd_exp[End Date])</f>
        <v>10</v>
      </c>
      <c r="D5" s="4">
        <f ca="1">WORKDAY(VLOOKUP(WORKDAY(B5,-1),actuals_prd_exp[End Date],1,TRUE),1)</f>
        <v>42489</v>
      </c>
      <c r="E5" s="4">
        <f ca="1">VLOOKUP(dashboard_now,actuals_prd_exp[End Date],1,TRUE)</f>
        <v>42523</v>
      </c>
      <c r="F5" s="48">
        <f ca="1">MATCH(E5,actuals_prd_exp[End Date])</f>
        <v>14</v>
      </c>
      <c r="G5" s="4">
        <f ca="1">INDEX(actuals_prd_exp[End Date],H5)</f>
        <v>42530</v>
      </c>
      <c r="H5" s="48">
        <f t="shared" ref="H5:H7" ca="1" si="0">F5+1</f>
        <v>15</v>
      </c>
      <c r="I5">
        <f t="shared" ref="I5:I7" ca="1" si="1">NETWORKDAYS(D5,E5)</f>
        <v>25</v>
      </c>
      <c r="J5">
        <f ca="1">SUM(OFFSET(actuals_prd_exp[Planned done],C5-1,0,F5-C5+1))</f>
        <v>49</v>
      </c>
      <c r="K5">
        <f t="shared" ref="K5:K7" ca="1" si="2">J5/I5</f>
        <v>1.96</v>
      </c>
      <c r="L5" s="48">
        <f t="shared" ref="L5:L7" ca="1" si="3">NETWORKDAYS(E5,G5)-1</f>
        <v>5</v>
      </c>
      <c r="M5" s="48">
        <f ca="1">NETWORKDAYS(E5,dashboard_now)-1</f>
        <v>2</v>
      </c>
      <c r="N5">
        <f t="shared" ref="N5:N7" ca="1" si="4">L5-M5</f>
        <v>3</v>
      </c>
      <c r="O5">
        <f ca="1">INDEX(actuals_prd_exp[Taken into Immediate Future Plan],H5)</f>
        <v>14</v>
      </c>
    </row>
    <row r="6" spans="1:68" x14ac:dyDescent="0.35">
      <c r="A6" t="s">
        <v>43</v>
      </c>
      <c r="B6" s="4">
        <f ca="1">VLOOKUP(WORKDAY(dashboard_now,-$F$1),actuals_stn_imp[End Date],1,TRUE)</f>
        <v>42499</v>
      </c>
      <c r="C6" s="48">
        <f ca="1">MATCH(B6,actuals_stn_imp[End Date])</f>
        <v>24</v>
      </c>
      <c r="D6" s="4">
        <f ca="1">WORKDAY(VLOOKUP(WORKDAY(B6,-1),actuals_stn_imp[End Date],1,TRUE),1)</f>
        <v>42496</v>
      </c>
      <c r="E6" s="4">
        <f ca="1">VLOOKUP(dashboard_now,actuals_stn_imp[End Date],1,TRUE)</f>
        <v>42527</v>
      </c>
      <c r="F6" s="48">
        <f ca="1">MATCH(E6,actuals_stn_imp[End Date])</f>
        <v>34</v>
      </c>
      <c r="G6" s="4">
        <f ca="1">INDEX(actuals_stn_imp[End Date],H6)</f>
        <v>42529</v>
      </c>
      <c r="H6" s="48">
        <f t="shared" ca="1" si="0"/>
        <v>35</v>
      </c>
      <c r="I6">
        <f t="shared" ca="1" si="1"/>
        <v>22</v>
      </c>
      <c r="J6">
        <f ca="1">SUM(OFFSET(actuals_stn_imp[Planned done],C6-1,0,F6-C6+1))</f>
        <v>23</v>
      </c>
      <c r="K6">
        <f t="shared" ca="1" si="2"/>
        <v>1.0454545454545454</v>
      </c>
      <c r="L6" s="48">
        <f t="shared" ca="1" si="3"/>
        <v>2</v>
      </c>
      <c r="M6" s="48">
        <f ca="1">NETWORKDAYS(E6,dashboard_now)-1</f>
        <v>0</v>
      </c>
      <c r="N6">
        <f t="shared" ca="1" si="4"/>
        <v>2</v>
      </c>
      <c r="O6">
        <f ca="1">INDEX(actuals_stn_imp[Taken into Immediate Future Plan],H6)</f>
        <v>2</v>
      </c>
    </row>
    <row r="7" spans="1:68" x14ac:dyDescent="0.35">
      <c r="A7" t="s">
        <v>44</v>
      </c>
      <c r="B7" s="4">
        <f ca="1">VLOOKUP(WORKDAY(dashboard_now,-$F$1),actuals_stn_exp[End Date],1,TRUE)</f>
        <v>42499</v>
      </c>
      <c r="C7" s="48">
        <f ca="1">MATCH(B7,actuals_stn_exp[End Date])</f>
        <v>24</v>
      </c>
      <c r="D7" s="4">
        <f ca="1">WORKDAY(VLOOKUP(WORKDAY(B7,-1),actuals_stn_exp[End Date],1,TRUE),1)</f>
        <v>42496</v>
      </c>
      <c r="E7" s="4">
        <f ca="1">VLOOKUP(dashboard_now,actuals_stn_exp[End Date],1,TRUE)</f>
        <v>42527</v>
      </c>
      <c r="F7" s="48">
        <f ca="1">MATCH(E7,actuals_stn_exp[End Date])</f>
        <v>34</v>
      </c>
      <c r="G7" s="4">
        <f ca="1">INDEX(actuals_stn_exp[End Date],H7)</f>
        <v>42529</v>
      </c>
      <c r="H7" s="48">
        <f t="shared" ca="1" si="0"/>
        <v>35</v>
      </c>
      <c r="I7">
        <f t="shared" ca="1" si="1"/>
        <v>22</v>
      </c>
      <c r="J7">
        <f ca="1">SUM(OFFSET(actuals_stn_exp[Planned done],C7-1,0,F7-C7+1))</f>
        <v>27</v>
      </c>
      <c r="K7">
        <f t="shared" ca="1" si="2"/>
        <v>1.2272727272727273</v>
      </c>
      <c r="L7" s="48">
        <f t="shared" ca="1" si="3"/>
        <v>2</v>
      </c>
      <c r="M7" s="48">
        <f ca="1">NETWORKDAYS(E7,dashboard_now)-1</f>
        <v>0</v>
      </c>
      <c r="N7">
        <f t="shared" ca="1" si="4"/>
        <v>2</v>
      </c>
      <c r="O7">
        <f ca="1">INDEX(actuals_stn_exp[Taken into Immediate Future Plan],H7)</f>
        <v>3</v>
      </c>
    </row>
    <row r="9" spans="1:68" x14ac:dyDescent="0.35">
      <c r="B9" t="s">
        <v>52</v>
      </c>
      <c r="C9" t="s">
        <v>57</v>
      </c>
      <c r="D9" t="s">
        <v>63</v>
      </c>
      <c r="E9" t="s">
        <v>66</v>
      </c>
      <c r="F9" t="s">
        <v>67</v>
      </c>
      <c r="G9" t="s">
        <v>69</v>
      </c>
      <c r="H9" t="s">
        <v>68</v>
      </c>
    </row>
    <row r="10" spans="1:68" x14ac:dyDescent="0.35">
      <c r="A10" t="s">
        <v>7</v>
      </c>
      <c r="B10">
        <f ca="1">K4+K5</f>
        <v>4.32</v>
      </c>
      <c r="C10">
        <f ca="1">total_daily_capacity*(1-current_budget)*L4</f>
        <v>19.778181818181817</v>
      </c>
      <c r="D10">
        <f ca="1">O4+O5</f>
        <v>28</v>
      </c>
      <c r="E10" s="49">
        <f ca="1">M4/L4</f>
        <v>0.4</v>
      </c>
      <c r="F10" s="49">
        <f ca="1">N4/L4</f>
        <v>0.6</v>
      </c>
      <c r="G10">
        <f ca="1">E10*D10</f>
        <v>11.200000000000001</v>
      </c>
      <c r="H10">
        <f ca="1">F10*C10</f>
        <v>11.86690909090909</v>
      </c>
    </row>
    <row r="11" spans="1:68" x14ac:dyDescent="0.35">
      <c r="A11" t="s">
        <v>51</v>
      </c>
      <c r="B11">
        <f ca="1">K6+K7</f>
        <v>2.2727272727272725</v>
      </c>
      <c r="C11">
        <f ca="1">total_daily_capacity*current_budget*L6</f>
        <v>5.2741818181818187</v>
      </c>
      <c r="D11">
        <f ca="1">O6+O7</f>
        <v>5</v>
      </c>
      <c r="E11" s="49">
        <f ca="1">M6/L6</f>
        <v>0</v>
      </c>
      <c r="F11" s="49">
        <f ca="1">N6/L6</f>
        <v>1</v>
      </c>
      <c r="G11">
        <f ca="1">E11*D11</f>
        <v>0</v>
      </c>
      <c r="H11">
        <f ca="1">F11*C11</f>
        <v>5.2741818181818187</v>
      </c>
    </row>
    <row r="12" spans="1:68" x14ac:dyDescent="0.35">
      <c r="A12" t="s">
        <v>53</v>
      </c>
      <c r="B12">
        <f ca="1">SUM(B10:B11)</f>
        <v>6.5927272727272728</v>
      </c>
      <c r="D12">
        <f ca="1">SUM(D10:D11)</f>
        <v>33</v>
      </c>
    </row>
    <row r="14" spans="1:68" x14ac:dyDescent="0.35">
      <c r="A14" t="s">
        <v>62</v>
      </c>
      <c r="B14" s="49">
        <f ca="1">VLOOKUP(dashboard_now,budget_history[],2,TRUE)</f>
        <v>0.4</v>
      </c>
    </row>
    <row r="16" spans="1:68" x14ac:dyDescent="0.35">
      <c r="B16" s="12" t="s">
        <v>77</v>
      </c>
      <c r="C16" s="12"/>
      <c r="D16" s="12"/>
      <c r="E16" s="12"/>
      <c r="F16" s="12"/>
      <c r="G16" s="12" t="s">
        <v>81</v>
      </c>
      <c r="H16" s="12"/>
      <c r="I16" s="12"/>
      <c r="J16" s="12"/>
      <c r="K16" s="12" t="s">
        <v>99</v>
      </c>
      <c r="L16" s="12"/>
      <c r="M16" s="12"/>
      <c r="N16" s="12"/>
      <c r="O16" s="12" t="s">
        <v>100</v>
      </c>
      <c r="P16" s="12"/>
      <c r="Q16" s="12"/>
      <c r="R16" s="12"/>
      <c r="S16" s="12" t="s">
        <v>9</v>
      </c>
      <c r="T16" s="12"/>
      <c r="U16" s="12"/>
      <c r="V16" s="12"/>
      <c r="W16" s="12" t="s">
        <v>8</v>
      </c>
      <c r="X16" s="12"/>
      <c r="Y16" s="12"/>
      <c r="Z16" s="12"/>
      <c r="AA16" s="12" t="s">
        <v>95</v>
      </c>
      <c r="AB16" s="12"/>
      <c r="AC16" s="12"/>
      <c r="AD16" s="12"/>
      <c r="AE16" s="12" t="s">
        <v>96</v>
      </c>
      <c r="AF16" s="12"/>
      <c r="AG16" s="12"/>
      <c r="AH16" s="12"/>
      <c r="AI16" s="12" t="s">
        <v>82</v>
      </c>
      <c r="AJ16" s="12"/>
      <c r="AK16" s="12"/>
      <c r="AL16" s="12"/>
      <c r="AM16" s="12" t="s">
        <v>83</v>
      </c>
      <c r="AN16" s="12"/>
      <c r="AO16" s="12"/>
      <c r="AP16" s="12"/>
      <c r="AQ16" s="12" t="s">
        <v>80</v>
      </c>
      <c r="AR16" s="12"/>
      <c r="AS16" s="12"/>
      <c r="AT16" s="12"/>
      <c r="AU16" s="12"/>
      <c r="AV16" s="12"/>
      <c r="AW16" s="12"/>
      <c r="AX16" s="12" t="s">
        <v>97</v>
      </c>
      <c r="AY16" s="12"/>
      <c r="AZ16" s="12"/>
      <c r="BA16" s="12"/>
      <c r="BB16" s="12"/>
      <c r="BC16" s="12"/>
      <c r="BD16" s="12"/>
      <c r="BE16" s="12" t="s">
        <v>98</v>
      </c>
      <c r="BF16" s="12"/>
      <c r="BG16" s="12"/>
      <c r="BH16" s="12"/>
      <c r="BI16" s="12"/>
      <c r="BJ16" s="12"/>
      <c r="BK16" s="12"/>
      <c r="BL16" s="12" t="s">
        <v>101</v>
      </c>
      <c r="BM16" s="12"/>
      <c r="BN16" s="12"/>
      <c r="BO16" s="12"/>
      <c r="BP16" s="12"/>
    </row>
    <row r="17" spans="1:70" x14ac:dyDescent="0.35">
      <c r="A17" t="s">
        <v>6</v>
      </c>
      <c r="B17" t="s">
        <v>78</v>
      </c>
      <c r="C17" t="str">
        <f>Data!$A$1</f>
        <v>Product Improvements</v>
      </c>
      <c r="D17" t="str">
        <f>Data!$L$1</f>
        <v>Product Experiments</v>
      </c>
      <c r="E17" t="str">
        <f>Data!$W$1</f>
        <v>Sustainability Improvements</v>
      </c>
      <c r="F17" t="str">
        <f>Data!$AH$1</f>
        <v>Sustainability Experiments</v>
      </c>
      <c r="G17" t="str">
        <f>Data!$A$1</f>
        <v>Product Improvements</v>
      </c>
      <c r="H17" t="str">
        <f>Data!$L$1</f>
        <v>Product Experiments</v>
      </c>
      <c r="I17" t="str">
        <f>Data!$W$1</f>
        <v>Sustainability Improvements</v>
      </c>
      <c r="J17" t="str">
        <f>Data!$AH$1</f>
        <v>Sustainability Experiments</v>
      </c>
      <c r="K17" t="str">
        <f>Data!$A$1</f>
        <v>Product Improvements</v>
      </c>
      <c r="L17" t="str">
        <f>Data!$L$1</f>
        <v>Product Experiments</v>
      </c>
      <c r="M17" t="str">
        <f>Data!$W$1</f>
        <v>Sustainability Improvements</v>
      </c>
      <c r="N17" t="str">
        <f>Data!$AH$1</f>
        <v>Sustainability Experiments</v>
      </c>
      <c r="O17" t="str">
        <f>Data!$A$1</f>
        <v>Product Improvements</v>
      </c>
      <c r="P17" t="str">
        <f>Data!$L$1</f>
        <v>Product Experiments</v>
      </c>
      <c r="Q17" t="str">
        <f>Data!$W$1</f>
        <v>Sustainability Improvements</v>
      </c>
      <c r="R17" t="str">
        <f>Data!$AH$1</f>
        <v>Sustainability Experiments</v>
      </c>
      <c r="S17" t="str">
        <f>Data!$A$1</f>
        <v>Product Improvements</v>
      </c>
      <c r="T17" t="str">
        <f>Data!$L$1</f>
        <v>Product Experiments</v>
      </c>
      <c r="U17" t="str">
        <f>Data!$W$1</f>
        <v>Sustainability Improvements</v>
      </c>
      <c r="V17" t="str">
        <f>Data!$AH$1</f>
        <v>Sustainability Experiments</v>
      </c>
      <c r="W17" t="str">
        <f>Data!$A$1</f>
        <v>Product Improvements</v>
      </c>
      <c r="X17" t="str">
        <f>Data!$L$1</f>
        <v>Product Experiments</v>
      </c>
      <c r="Y17" t="str">
        <f>Data!$W$1</f>
        <v>Sustainability Improvements</v>
      </c>
      <c r="Z17" t="str">
        <f>Data!$AH$1</f>
        <v>Sustainability Experiments</v>
      </c>
      <c r="AA17" t="str">
        <f>Data!$A$1</f>
        <v>Product Improvements</v>
      </c>
      <c r="AB17" t="str">
        <f>Data!$L$1</f>
        <v>Product Experiments</v>
      </c>
      <c r="AC17" t="str">
        <f>Data!$W$1</f>
        <v>Sustainability Improvements</v>
      </c>
      <c r="AD17" t="str">
        <f>Data!$AH$1</f>
        <v>Sustainability Experiments</v>
      </c>
      <c r="AE17" t="str">
        <f>Data!$A$1</f>
        <v>Product Improvements</v>
      </c>
      <c r="AF17" t="str">
        <f>Data!$L$1</f>
        <v>Product Experiments</v>
      </c>
      <c r="AG17" t="str">
        <f>Data!$W$1</f>
        <v>Sustainability Improvements</v>
      </c>
      <c r="AH17" t="str">
        <f>Data!$AH$1</f>
        <v>Sustainability Experiments</v>
      </c>
      <c r="AI17" t="str">
        <f>Data!$A$1</f>
        <v>Product Improvements</v>
      </c>
      <c r="AJ17" t="str">
        <f>Data!$L$1</f>
        <v>Product Experiments</v>
      </c>
      <c r="AK17" t="str">
        <f>Data!$W$1</f>
        <v>Sustainability Improvements</v>
      </c>
      <c r="AL17" t="str">
        <f>Data!$AH$1</f>
        <v>Sustainability Experiments</v>
      </c>
      <c r="AM17" t="str">
        <f>Data!$A$1</f>
        <v>Product Improvements</v>
      </c>
      <c r="AN17" t="str">
        <f>Data!$L$1</f>
        <v>Product Experiments</v>
      </c>
      <c r="AO17" t="str">
        <f>Data!$W$1</f>
        <v>Sustainability Improvements</v>
      </c>
      <c r="AP17" t="str">
        <f>Data!$AH$1</f>
        <v>Sustainability Experiments</v>
      </c>
      <c r="AQ17" t="s">
        <v>88</v>
      </c>
      <c r="AR17" t="s">
        <v>89</v>
      </c>
      <c r="AS17" t="s">
        <v>61</v>
      </c>
      <c r="AT17" t="s">
        <v>92</v>
      </c>
      <c r="AU17" t="s">
        <v>90</v>
      </c>
      <c r="AV17" t="s">
        <v>91</v>
      </c>
      <c r="AW17" t="s">
        <v>79</v>
      </c>
      <c r="AX17" t="s">
        <v>88</v>
      </c>
      <c r="AY17" t="s">
        <v>89</v>
      </c>
      <c r="AZ17" t="s">
        <v>92</v>
      </c>
      <c r="BA17" t="str">
        <f>Data!$A$1</f>
        <v>Product Improvements</v>
      </c>
      <c r="BB17" t="str">
        <f>Data!$L$1</f>
        <v>Product Experiments</v>
      </c>
      <c r="BC17" t="str">
        <f>Data!$W$1</f>
        <v>Sustainability Improvements</v>
      </c>
      <c r="BD17" t="str">
        <f>Data!$AH$1</f>
        <v>Sustainability Experiments</v>
      </c>
      <c r="BE17" t="s">
        <v>88</v>
      </c>
      <c r="BF17" t="s">
        <v>89</v>
      </c>
      <c r="BG17" t="s">
        <v>92</v>
      </c>
      <c r="BH17" t="str">
        <f>Data!$A$1</f>
        <v>Product Improvements</v>
      </c>
      <c r="BI17" t="str">
        <f>Data!$L$1</f>
        <v>Product Experiments</v>
      </c>
      <c r="BJ17" t="str">
        <f>Data!$W$1</f>
        <v>Sustainability Improvements</v>
      </c>
      <c r="BK17" t="str">
        <f>Data!$AH$1</f>
        <v>Sustainability Experiments</v>
      </c>
      <c r="BL17" t="s">
        <v>88</v>
      </c>
      <c r="BM17" t="s">
        <v>89</v>
      </c>
      <c r="BN17" t="s">
        <v>92</v>
      </c>
      <c r="BO17" t="str">
        <f>Data!$A$1</f>
        <v>Product Improvements</v>
      </c>
      <c r="BP17" t="str">
        <f>Data!$W$1</f>
        <v>Sustainability Improvements</v>
      </c>
    </row>
    <row r="18" spans="1:70" x14ac:dyDescent="0.35">
      <c r="A18" s="53">
        <f ca="1">WORKDAY(dashboard_now,-F1)</f>
        <v>42499</v>
      </c>
      <c r="B18" s="48">
        <f ca="1">MATCH($A18,budget_history[Date])</f>
        <v>2</v>
      </c>
      <c r="C18" s="48">
        <f ca="1">MATCH($A18,actuals_prd_imp[End Date])</f>
        <v>10</v>
      </c>
      <c r="D18" s="48">
        <f ca="1">MATCH($A18,actuals_prd_exp[End Date])</f>
        <v>10</v>
      </c>
      <c r="E18" s="48">
        <f ca="1">MATCH($A18,actuals_stn_imp[End Date])</f>
        <v>24</v>
      </c>
      <c r="F18" s="48">
        <f ca="1">MATCH($A18,actuals_stn_exp[End Date])</f>
        <v>24</v>
      </c>
      <c r="G18">
        <f ca="1">NETWORKDAYS(INDEX(actuals_prd_imp[End Date],$C18-1), INDEX(actuals_prd_imp[End Date],$C18))-1</f>
        <v>5</v>
      </c>
      <c r="H18">
        <f ca="1">NETWORKDAYS(INDEX(actuals_prd_exp[End Date],$C18-1), INDEX(actuals_prd_exp[End Date],$C18))-1</f>
        <v>5</v>
      </c>
      <c r="I18">
        <f ca="1">NETWORKDAYS(INDEX(actuals_stn_imp[End Date],$C18-1), INDEX(actuals_stn_imp[End Date],$C18))-1</f>
        <v>2</v>
      </c>
      <c r="J18">
        <f ca="1">NETWORKDAYS(INDEX(actuals_stn_exp[End Date],$C18-1), INDEX(actuals_stn_exp[End Date],$C18))-1</f>
        <v>2</v>
      </c>
      <c r="K18">
        <f ca="1">INDEX(actuals_prd_imp[Taken into Immediate Future Plan],$C18)</f>
        <v>14</v>
      </c>
      <c r="L18">
        <f ca="1">INDEX(actuals_prd_exp[Taken into Immediate Future Plan],$D18)</f>
        <v>12</v>
      </c>
      <c r="M18">
        <f ca="1">INDEX(actuals_stn_imp[Taken into Immediate Future Plan],$E18)</f>
        <v>3</v>
      </c>
      <c r="N18">
        <f ca="1">INDEX(actuals_stn_exp[Taken into Immediate Future Plan],$F18)</f>
        <v>2</v>
      </c>
      <c r="O18">
        <f ca="1">INDEX(actuals_prd_imp[Removed Planned],$C18)</f>
        <v>2</v>
      </c>
      <c r="P18">
        <f ca="1">INDEX(actuals_prd_exp[Removed Planned],$D18)</f>
        <v>2</v>
      </c>
      <c r="Q18">
        <f ca="1">INDEX(actuals_stn_imp[Removed Planned],$E18)</f>
        <v>0</v>
      </c>
      <c r="R18">
        <f ca="1">INDEX(actuals_stn_exp[Removed Planned],$F18)</f>
        <v>0</v>
      </c>
      <c r="S18">
        <f ca="1">INDEX(actuals_prd_imp[Planned done],$C18)</f>
        <v>11</v>
      </c>
      <c r="T18">
        <f ca="1">INDEX(actuals_prd_exp[Planned done],$D18)</f>
        <v>9</v>
      </c>
      <c r="U18">
        <f ca="1">INDEX(actuals_stn_imp[Planned done],$E18)</f>
        <v>2</v>
      </c>
      <c r="V18">
        <f ca="1">INDEX(actuals_stn_exp[Planned done],$F18)</f>
        <v>1</v>
      </c>
      <c r="W18">
        <f ca="1">INDEX(actuals_prd_imp[Additional done],$C18)</f>
        <v>4</v>
      </c>
      <c r="X18">
        <f ca="1">INDEX(actuals_prd_exp[Additional done],$D18)</f>
        <v>1</v>
      </c>
      <c r="Y18">
        <f ca="1">INDEX(actuals_stn_imp[Additional done],$E18)</f>
        <v>1</v>
      </c>
      <c r="Z18">
        <f ca="1">INDEX(actuals_stn_exp[Additional done],$F18)</f>
        <v>0</v>
      </c>
      <c r="AA18">
        <f ca="1">INDEX(actuals_prd_imp[Had expected impact],$C18)</f>
        <v>14</v>
      </c>
      <c r="AB18">
        <f ca="1">INDEX(actuals_prd_exp[Had expected impact],$D18)</f>
        <v>9</v>
      </c>
      <c r="AC18">
        <f ca="1">INDEX(actuals_stn_imp[Had expected impact],$E18)</f>
        <v>2</v>
      </c>
      <c r="AD18">
        <f ca="1">INDEX(actuals_stn_exp[Had expected impact],$F18)</f>
        <v>1</v>
      </c>
      <c r="AE18">
        <f ca="1">INDEX(actuals_prd_imp[Incorporated Learning into Future Plans],$C18)</f>
        <v>15</v>
      </c>
      <c r="AF18">
        <f ca="1">INDEX(actuals_prd_exp[Incorporated Learning into Future Plans],$D18)</f>
        <v>10</v>
      </c>
      <c r="AG18">
        <f ca="1">INDEX(actuals_stn_imp[Incorporated Learning into Future Plans],$E18)</f>
        <v>3</v>
      </c>
      <c r="AH18">
        <f ca="1">INDEX(actuals_stn_exp[Incorporated Learning into Future Plans],$F18)</f>
        <v>1</v>
      </c>
      <c r="AI18">
        <f ca="1">S18/G18</f>
        <v>2.2000000000000002</v>
      </c>
      <c r="AJ18">
        <f ca="1">T18/H18</f>
        <v>1.8</v>
      </c>
      <c r="AK18">
        <f ca="1">U18/I18</f>
        <v>1</v>
      </c>
      <c r="AL18">
        <f ca="1">V18/J18</f>
        <v>0.5</v>
      </c>
      <c r="AM18">
        <f ca="1">W18/G18</f>
        <v>0.8</v>
      </c>
      <c r="AN18">
        <f ca="1">X18/H18</f>
        <v>0.2</v>
      </c>
      <c r="AO18">
        <f ca="1">Y18/I18</f>
        <v>0.5</v>
      </c>
      <c r="AP18">
        <f ca="1">Z18/J18</f>
        <v>0</v>
      </c>
      <c r="AQ18" s="49">
        <f ca="1">AS18*0.75</f>
        <v>0.22499999999999998</v>
      </c>
      <c r="AR18" s="49">
        <f ca="1">AS18*0.9</f>
        <v>0.27</v>
      </c>
      <c r="AS18" s="49">
        <f ca="1">INDEX(budget_history[Budget],$B18)</f>
        <v>0.3</v>
      </c>
      <c r="AT18" s="49">
        <f ca="1">1-(0.9*(1-AS18))</f>
        <v>0.37</v>
      </c>
      <c r="AU18" s="49">
        <f ca="1">1-(0.75*(1-AS18))</f>
        <v>0.47500000000000009</v>
      </c>
      <c r="AV18" s="49">
        <v>1</v>
      </c>
      <c r="AW18" s="49">
        <f ca="1">SUM(AO18:AP18,AK18:AL18)/SUM(AI18:AP18)</f>
        <v>0.2857142857142857</v>
      </c>
      <c r="AX18" s="49">
        <v>0.6</v>
      </c>
      <c r="AY18" s="49">
        <v>0.8</v>
      </c>
      <c r="AZ18" s="49">
        <v>1</v>
      </c>
      <c r="BA18" s="49">
        <f ca="1">AI18/SUM(AI18,AM18)</f>
        <v>0.73333333333333339</v>
      </c>
      <c r="BB18" s="49">
        <f ca="1">AJ18/SUM(AJ18,AN18)</f>
        <v>0.9</v>
      </c>
      <c r="BC18" s="49">
        <f ca="1">AK18/SUM(AK18,AO18)</f>
        <v>0.66666666666666663</v>
      </c>
      <c r="BD18" s="49">
        <f ca="1">AL18/SUM(AL18,AP18)</f>
        <v>1</v>
      </c>
      <c r="BE18" s="49">
        <v>0.5</v>
      </c>
      <c r="BF18" s="49">
        <v>0.75</v>
      </c>
      <c r="BG18" s="49">
        <v>1</v>
      </c>
      <c r="BH18" s="49">
        <f ca="1">S18/(K18-O18)</f>
        <v>0.91666666666666663</v>
      </c>
      <c r="BI18" s="49">
        <f t="shared" ref="BI18:BK18" ca="1" si="5">T18/(L18-P18)</f>
        <v>0.9</v>
      </c>
      <c r="BJ18" s="49">
        <f t="shared" ca="1" si="5"/>
        <v>0.66666666666666663</v>
      </c>
      <c r="BK18" s="49">
        <f t="shared" ca="1" si="5"/>
        <v>0.5</v>
      </c>
      <c r="BL18" s="49">
        <v>0.75</v>
      </c>
      <c r="BM18" s="49">
        <v>0.9</v>
      </c>
      <c r="BN18" s="49">
        <v>1</v>
      </c>
      <c r="BO18" s="49">
        <f ca="1">AA18/SUM(S18,W18)</f>
        <v>0.93333333333333335</v>
      </c>
      <c r="BP18" s="49">
        <f ca="1">AC18/SUM(U18,Y18)</f>
        <v>0.66666666666666663</v>
      </c>
      <c r="BQ18" s="49"/>
    </row>
    <row r="19" spans="1:70" x14ac:dyDescent="0.35">
      <c r="A19" s="53">
        <f ca="1">WORKDAY(A18,1)</f>
        <v>42500</v>
      </c>
      <c r="B19" s="48">
        <f ca="1">MATCH($A19,budget_history[Date])</f>
        <v>2</v>
      </c>
      <c r="C19" s="48">
        <f ca="1">MATCH($A19,actuals_prd_imp[End Date])</f>
        <v>10</v>
      </c>
      <c r="D19" s="48">
        <f ca="1">MATCH($A19,actuals_prd_exp[End Date])</f>
        <v>10</v>
      </c>
      <c r="E19" s="48">
        <f ca="1">MATCH($A19,actuals_stn_imp[End Date])</f>
        <v>24</v>
      </c>
      <c r="F19" s="48">
        <f ca="1">MATCH($A19,actuals_stn_exp[End Date])</f>
        <v>24</v>
      </c>
      <c r="G19">
        <f ca="1">NETWORKDAYS(INDEX(actuals_prd_imp[End Date],$C19-1), INDEX(actuals_prd_imp[End Date],$C19))-1</f>
        <v>5</v>
      </c>
      <c r="H19">
        <f ca="1">NETWORKDAYS(INDEX(actuals_prd_exp[End Date],$C19-1), INDEX(actuals_prd_exp[End Date],$C19))-1</f>
        <v>5</v>
      </c>
      <c r="I19">
        <f ca="1">NETWORKDAYS(INDEX(actuals_stn_imp[End Date],$C19-1), INDEX(actuals_stn_imp[End Date],$C19))-1</f>
        <v>2</v>
      </c>
      <c r="J19">
        <f ca="1">NETWORKDAYS(INDEX(actuals_stn_exp[End Date],$C19-1), INDEX(actuals_stn_exp[End Date],$C19))-1</f>
        <v>2</v>
      </c>
      <c r="K19">
        <f ca="1">INDEX(actuals_prd_imp[Taken into Immediate Future Plan],$C19)</f>
        <v>14</v>
      </c>
      <c r="L19">
        <f ca="1">INDEX(actuals_prd_exp[Taken into Immediate Future Plan],$D19)</f>
        <v>12</v>
      </c>
      <c r="M19">
        <f ca="1">INDEX(actuals_stn_imp[Taken into Immediate Future Plan],$E19)</f>
        <v>3</v>
      </c>
      <c r="N19">
        <f ca="1">INDEX(actuals_stn_exp[Taken into Immediate Future Plan],$F19)</f>
        <v>2</v>
      </c>
      <c r="O19">
        <f ca="1">INDEX(actuals_prd_imp[Removed Planned],$C19)</f>
        <v>2</v>
      </c>
      <c r="P19">
        <f ca="1">INDEX(actuals_prd_exp[Removed Planned],$D19)</f>
        <v>2</v>
      </c>
      <c r="Q19">
        <f ca="1">INDEX(actuals_stn_imp[Removed Planned],$E19)</f>
        <v>0</v>
      </c>
      <c r="R19">
        <f ca="1">INDEX(actuals_stn_exp[Removed Planned],$F19)</f>
        <v>0</v>
      </c>
      <c r="S19">
        <f ca="1">INDEX(actuals_prd_imp[Planned done],$C19)</f>
        <v>11</v>
      </c>
      <c r="T19">
        <f ca="1">INDEX(actuals_prd_exp[Planned done],$D19)</f>
        <v>9</v>
      </c>
      <c r="U19">
        <f ca="1">INDEX(actuals_stn_imp[Planned done],$E19)</f>
        <v>2</v>
      </c>
      <c r="V19">
        <f ca="1">INDEX(actuals_stn_exp[Planned done],$F19)</f>
        <v>1</v>
      </c>
      <c r="W19">
        <f ca="1">INDEX(actuals_prd_imp[Additional done],$C19)</f>
        <v>4</v>
      </c>
      <c r="X19">
        <f ca="1">INDEX(actuals_prd_exp[Additional done],$D19)</f>
        <v>1</v>
      </c>
      <c r="Y19">
        <f ca="1">INDEX(actuals_stn_imp[Additional done],$E19)</f>
        <v>1</v>
      </c>
      <c r="Z19">
        <f ca="1">INDEX(actuals_stn_exp[Additional done],$F19)</f>
        <v>0</v>
      </c>
      <c r="AA19">
        <f ca="1">INDEX(actuals_prd_imp[Had expected impact],$C19)</f>
        <v>14</v>
      </c>
      <c r="AB19">
        <f ca="1">INDEX(actuals_prd_exp[Had expected impact],$D19)</f>
        <v>9</v>
      </c>
      <c r="AC19">
        <f ca="1">INDEX(actuals_stn_imp[Had expected impact],$E19)</f>
        <v>2</v>
      </c>
      <c r="AD19">
        <f ca="1">INDEX(actuals_stn_exp[Had expected impact],$F19)</f>
        <v>1</v>
      </c>
      <c r="AE19">
        <f ca="1">INDEX(actuals_prd_imp[Incorporated Learning into Future Plans],$C19)</f>
        <v>15</v>
      </c>
      <c r="AF19">
        <f ca="1">INDEX(actuals_prd_exp[Incorporated Learning into Future Plans],$D19)</f>
        <v>10</v>
      </c>
      <c r="AG19">
        <f ca="1">INDEX(actuals_stn_imp[Incorporated Learning into Future Plans],$E19)</f>
        <v>3</v>
      </c>
      <c r="AH19">
        <f ca="1">INDEX(actuals_stn_exp[Incorporated Learning into Future Plans],$F19)</f>
        <v>1</v>
      </c>
      <c r="AI19">
        <f ca="1">S19/G19</f>
        <v>2.2000000000000002</v>
      </c>
      <c r="AJ19">
        <f ca="1">T19/H19</f>
        <v>1.8</v>
      </c>
      <c r="AK19">
        <f ca="1">U19/I19</f>
        <v>1</v>
      </c>
      <c r="AL19">
        <f ca="1">V19/J19</f>
        <v>0.5</v>
      </c>
      <c r="AM19">
        <f ca="1">W19/G19</f>
        <v>0.8</v>
      </c>
      <c r="AN19">
        <f ca="1">X19/H19</f>
        <v>0.2</v>
      </c>
      <c r="AO19">
        <f ca="1">Y19/I19</f>
        <v>0.5</v>
      </c>
      <c r="AP19">
        <f ca="1">Z19/J19</f>
        <v>0</v>
      </c>
      <c r="AQ19" s="49">
        <f t="shared" ref="AQ19:AQ38" ca="1" si="6">AS19*0.75</f>
        <v>0.22499999999999998</v>
      </c>
      <c r="AR19" s="49">
        <f t="shared" ref="AR19:AR38" ca="1" si="7">AS19*0.9</f>
        <v>0.27</v>
      </c>
      <c r="AS19" s="49">
        <f ca="1">INDEX(budget_history[Budget],$B19)</f>
        <v>0.3</v>
      </c>
      <c r="AT19" s="49">
        <f t="shared" ref="AT19:AT38" ca="1" si="8">1-(0.9*(1-AS19))</f>
        <v>0.37</v>
      </c>
      <c r="AU19" s="49">
        <f t="shared" ref="AU19:AU38" ca="1" si="9">1-(0.75*(1-AS19))</f>
        <v>0.47500000000000009</v>
      </c>
      <c r="AV19" s="49">
        <v>1</v>
      </c>
      <c r="AW19" s="49">
        <f ca="1">SUM(AO19:AP19,AK19:AL19)/SUM(AI19:AP19)</f>
        <v>0.2857142857142857</v>
      </c>
      <c r="AX19" s="49">
        <v>0.6</v>
      </c>
      <c r="AY19" s="49">
        <v>0.8</v>
      </c>
      <c r="AZ19" s="49">
        <v>1</v>
      </c>
      <c r="BA19" s="49">
        <f ca="1">AI19/SUM(AI19,AM19)</f>
        <v>0.73333333333333339</v>
      </c>
      <c r="BB19" s="49">
        <f ca="1">AJ19/SUM(AJ19,AN19)</f>
        <v>0.9</v>
      </c>
      <c r="BC19" s="49">
        <f ca="1">AK19/SUM(AK19,AO19)</f>
        <v>0.66666666666666663</v>
      </c>
      <c r="BD19" s="49">
        <f ca="1">AL19/SUM(AL19,AP19)</f>
        <v>1</v>
      </c>
      <c r="BE19" s="49">
        <v>0.5</v>
      </c>
      <c r="BF19" s="49">
        <v>0.75</v>
      </c>
      <c r="BG19" s="49">
        <v>1</v>
      </c>
      <c r="BH19" s="49">
        <f t="shared" ref="BH19:BH38" ca="1" si="10">S19/(K19-O19)</f>
        <v>0.91666666666666663</v>
      </c>
      <c r="BI19" s="49">
        <f t="shared" ref="BI19:BI38" ca="1" si="11">T19/(L19-P19)</f>
        <v>0.9</v>
      </c>
      <c r="BJ19" s="49">
        <f t="shared" ref="BJ19:BJ38" ca="1" si="12">U19/(M19-Q19)</f>
        <v>0.66666666666666663</v>
      </c>
      <c r="BK19" s="49">
        <f t="shared" ref="BK19:BK38" ca="1" si="13">V19/(N19-R19)</f>
        <v>0.5</v>
      </c>
      <c r="BL19" s="49">
        <v>0.75</v>
      </c>
      <c r="BM19" s="49">
        <v>0.9</v>
      </c>
      <c r="BN19" s="49">
        <v>1</v>
      </c>
      <c r="BO19" s="49">
        <f t="shared" ref="BO19:BO38" ca="1" si="14">AA19/SUM(S19,W19)</f>
        <v>0.93333333333333335</v>
      </c>
      <c r="BP19" s="49">
        <f t="shared" ref="BP19:BP38" ca="1" si="15">AC19/SUM(U19,Y19)</f>
        <v>0.66666666666666663</v>
      </c>
      <c r="BQ19" s="49"/>
      <c r="BR19" s="49"/>
    </row>
    <row r="20" spans="1:70" x14ac:dyDescent="0.35">
      <c r="A20" s="53">
        <f t="shared" ref="A20:A38" ca="1" si="16">WORKDAY(A19,1)</f>
        <v>42501</v>
      </c>
      <c r="B20" s="48">
        <f ca="1">MATCH($A20,budget_history[Date])</f>
        <v>2</v>
      </c>
      <c r="C20" s="48">
        <f ca="1">MATCH($A20,actuals_prd_imp[End Date])</f>
        <v>10</v>
      </c>
      <c r="D20" s="48">
        <f ca="1">MATCH($A20,actuals_prd_exp[End Date])</f>
        <v>10</v>
      </c>
      <c r="E20" s="48">
        <f ca="1">MATCH($A20,actuals_stn_imp[End Date])</f>
        <v>25</v>
      </c>
      <c r="F20" s="48">
        <f ca="1">MATCH($A20,actuals_stn_exp[End Date])</f>
        <v>25</v>
      </c>
      <c r="G20">
        <f ca="1">NETWORKDAYS(INDEX(actuals_prd_imp[End Date],$C20-1), INDEX(actuals_prd_imp[End Date],$C20))-1</f>
        <v>5</v>
      </c>
      <c r="H20">
        <f ca="1">NETWORKDAYS(INDEX(actuals_prd_exp[End Date],$C20-1), INDEX(actuals_prd_exp[End Date],$C20))-1</f>
        <v>5</v>
      </c>
      <c r="I20">
        <f ca="1">NETWORKDAYS(INDEX(actuals_stn_imp[End Date],$C20-1), INDEX(actuals_stn_imp[End Date],$C20))-1</f>
        <v>2</v>
      </c>
      <c r="J20">
        <f ca="1">NETWORKDAYS(INDEX(actuals_stn_exp[End Date],$C20-1), INDEX(actuals_stn_exp[End Date],$C20))-1</f>
        <v>2</v>
      </c>
      <c r="K20">
        <f ca="1">INDEX(actuals_prd_imp[Taken into Immediate Future Plan],$C20)</f>
        <v>14</v>
      </c>
      <c r="L20">
        <f ca="1">INDEX(actuals_prd_exp[Taken into Immediate Future Plan],$D20)</f>
        <v>12</v>
      </c>
      <c r="M20">
        <f ca="1">INDEX(actuals_stn_imp[Taken into Immediate Future Plan],$E20)</f>
        <v>2</v>
      </c>
      <c r="N20">
        <f ca="1">INDEX(actuals_stn_exp[Taken into Immediate Future Plan],$F20)</f>
        <v>3</v>
      </c>
      <c r="O20">
        <f ca="1">INDEX(actuals_prd_imp[Removed Planned],$C20)</f>
        <v>2</v>
      </c>
      <c r="P20">
        <f ca="1">INDEX(actuals_prd_exp[Removed Planned],$D20)</f>
        <v>2</v>
      </c>
      <c r="Q20">
        <f ca="1">INDEX(actuals_stn_imp[Removed Planned],$E20)</f>
        <v>0</v>
      </c>
      <c r="R20">
        <f ca="1">INDEX(actuals_stn_exp[Removed Planned],$F20)</f>
        <v>0</v>
      </c>
      <c r="S20">
        <f ca="1">INDEX(actuals_prd_imp[Planned done],$C20)</f>
        <v>11</v>
      </c>
      <c r="T20">
        <f ca="1">INDEX(actuals_prd_exp[Planned done],$D20)</f>
        <v>9</v>
      </c>
      <c r="U20">
        <f ca="1">INDEX(actuals_stn_imp[Planned done],$E20)</f>
        <v>1</v>
      </c>
      <c r="V20">
        <f ca="1">INDEX(actuals_stn_exp[Planned done],$F20)</f>
        <v>2</v>
      </c>
      <c r="W20">
        <f ca="1">INDEX(actuals_prd_imp[Additional done],$C20)</f>
        <v>4</v>
      </c>
      <c r="X20">
        <f ca="1">INDEX(actuals_prd_exp[Additional done],$D20)</f>
        <v>1</v>
      </c>
      <c r="Y20">
        <f ca="1">INDEX(actuals_stn_imp[Additional done],$E20)</f>
        <v>0</v>
      </c>
      <c r="Z20">
        <f ca="1">INDEX(actuals_stn_exp[Additional done],$F20)</f>
        <v>0</v>
      </c>
      <c r="AA20">
        <f ca="1">INDEX(actuals_prd_imp[Had expected impact],$C20)</f>
        <v>14</v>
      </c>
      <c r="AB20">
        <f ca="1">INDEX(actuals_prd_exp[Had expected impact],$D20)</f>
        <v>9</v>
      </c>
      <c r="AC20">
        <f ca="1">INDEX(actuals_stn_imp[Had expected impact],$E20)</f>
        <v>1</v>
      </c>
      <c r="AD20">
        <f ca="1">INDEX(actuals_stn_exp[Had expected impact],$F20)</f>
        <v>1</v>
      </c>
      <c r="AE20">
        <f ca="1">INDEX(actuals_prd_imp[Incorporated Learning into Future Plans],$C20)</f>
        <v>15</v>
      </c>
      <c r="AF20">
        <f ca="1">INDEX(actuals_prd_exp[Incorporated Learning into Future Plans],$D20)</f>
        <v>10</v>
      </c>
      <c r="AG20">
        <f ca="1">INDEX(actuals_stn_imp[Incorporated Learning into Future Plans],$E20)</f>
        <v>1</v>
      </c>
      <c r="AH20">
        <f ca="1">INDEX(actuals_stn_exp[Incorporated Learning into Future Plans],$F20)</f>
        <v>2</v>
      </c>
      <c r="AI20">
        <f ca="1">S20/G20</f>
        <v>2.2000000000000002</v>
      </c>
      <c r="AJ20">
        <f ca="1">T20/H20</f>
        <v>1.8</v>
      </c>
      <c r="AK20">
        <f ca="1">U20/I20</f>
        <v>0.5</v>
      </c>
      <c r="AL20">
        <f ca="1">V20/J20</f>
        <v>1</v>
      </c>
      <c r="AM20">
        <f ca="1">W20/G20</f>
        <v>0.8</v>
      </c>
      <c r="AN20">
        <f ca="1">X20/H20</f>
        <v>0.2</v>
      </c>
      <c r="AO20">
        <f ca="1">Y20/I20</f>
        <v>0</v>
      </c>
      <c r="AP20">
        <f ca="1">Z20/J20</f>
        <v>0</v>
      </c>
      <c r="AQ20" s="49">
        <f t="shared" ca="1" si="6"/>
        <v>0.22499999999999998</v>
      </c>
      <c r="AR20" s="49">
        <f t="shared" ca="1" si="7"/>
        <v>0.27</v>
      </c>
      <c r="AS20" s="49">
        <f ca="1">INDEX(budget_history[Budget],$B20)</f>
        <v>0.3</v>
      </c>
      <c r="AT20" s="49">
        <f t="shared" ca="1" si="8"/>
        <v>0.37</v>
      </c>
      <c r="AU20" s="49">
        <f t="shared" ca="1" si="9"/>
        <v>0.47500000000000009</v>
      </c>
      <c r="AV20" s="49">
        <v>1</v>
      </c>
      <c r="AW20" s="49">
        <f ca="1">SUM(AO20:AP20,AK20:AL20)/SUM(AI20:AP20)</f>
        <v>0.23076923076923078</v>
      </c>
      <c r="AX20" s="49">
        <v>0.6</v>
      </c>
      <c r="AY20" s="49">
        <v>0.8</v>
      </c>
      <c r="AZ20" s="49">
        <v>1</v>
      </c>
      <c r="BA20" s="49">
        <f ca="1">AI20/SUM(AI20,AM20)</f>
        <v>0.73333333333333339</v>
      </c>
      <c r="BB20" s="49">
        <f ca="1">AJ20/SUM(AJ20,AN20)</f>
        <v>0.9</v>
      </c>
      <c r="BC20" s="49">
        <f ca="1">AK20/SUM(AK20,AO20)</f>
        <v>1</v>
      </c>
      <c r="BD20" s="49">
        <f ca="1">AL20/SUM(AL20,AP20)</f>
        <v>1</v>
      </c>
      <c r="BE20" s="49">
        <v>0.5</v>
      </c>
      <c r="BF20" s="49">
        <v>0.75</v>
      </c>
      <c r="BG20" s="49">
        <v>1</v>
      </c>
      <c r="BH20" s="49">
        <f t="shared" ca="1" si="10"/>
        <v>0.91666666666666663</v>
      </c>
      <c r="BI20" s="49">
        <f t="shared" ca="1" si="11"/>
        <v>0.9</v>
      </c>
      <c r="BJ20" s="49">
        <f t="shared" ca="1" si="12"/>
        <v>0.5</v>
      </c>
      <c r="BK20" s="49">
        <f t="shared" ca="1" si="13"/>
        <v>0.66666666666666663</v>
      </c>
      <c r="BL20" s="49">
        <v>0.75</v>
      </c>
      <c r="BM20" s="49">
        <v>0.9</v>
      </c>
      <c r="BN20" s="49">
        <v>1</v>
      </c>
      <c r="BO20" s="49">
        <f t="shared" ca="1" si="14"/>
        <v>0.93333333333333335</v>
      </c>
      <c r="BP20" s="49">
        <f t="shared" ca="1" si="15"/>
        <v>1</v>
      </c>
      <c r="BQ20" s="49"/>
      <c r="BR20" s="49"/>
    </row>
    <row r="21" spans="1:70" x14ac:dyDescent="0.35">
      <c r="A21" s="53">
        <f t="shared" ca="1" si="16"/>
        <v>42502</v>
      </c>
      <c r="B21" s="48">
        <f ca="1">MATCH($A21,budget_history[Date])</f>
        <v>2</v>
      </c>
      <c r="C21" s="48">
        <f ca="1">MATCH($A21,actuals_prd_imp[End Date])</f>
        <v>11</v>
      </c>
      <c r="D21" s="48">
        <f ca="1">MATCH($A21,actuals_prd_exp[End Date])</f>
        <v>11</v>
      </c>
      <c r="E21" s="48">
        <f ca="1">MATCH($A21,actuals_stn_imp[End Date])</f>
        <v>25</v>
      </c>
      <c r="F21" s="48">
        <f ca="1">MATCH($A21,actuals_stn_exp[End Date])</f>
        <v>25</v>
      </c>
      <c r="G21">
        <f ca="1">NETWORKDAYS(INDEX(actuals_prd_imp[End Date],$C21-1), INDEX(actuals_prd_imp[End Date],$C21))-1</f>
        <v>5</v>
      </c>
      <c r="H21">
        <f ca="1">NETWORKDAYS(INDEX(actuals_prd_exp[End Date],$C21-1), INDEX(actuals_prd_exp[End Date],$C21))-1</f>
        <v>5</v>
      </c>
      <c r="I21">
        <f ca="1">NETWORKDAYS(INDEX(actuals_stn_imp[End Date],$C21-1), INDEX(actuals_stn_imp[End Date],$C21))-1</f>
        <v>2</v>
      </c>
      <c r="J21">
        <f ca="1">NETWORKDAYS(INDEX(actuals_stn_exp[End Date],$C21-1), INDEX(actuals_stn_exp[End Date],$C21))-1</f>
        <v>2</v>
      </c>
      <c r="K21">
        <f ca="1">INDEX(actuals_prd_imp[Taken into Immediate Future Plan],$C21)</f>
        <v>14</v>
      </c>
      <c r="L21">
        <f ca="1">INDEX(actuals_prd_exp[Taken into Immediate Future Plan],$D21)</f>
        <v>11</v>
      </c>
      <c r="M21">
        <f ca="1">INDEX(actuals_stn_imp[Taken into Immediate Future Plan],$E21)</f>
        <v>2</v>
      </c>
      <c r="N21">
        <f ca="1">INDEX(actuals_stn_exp[Taken into Immediate Future Plan],$F21)</f>
        <v>3</v>
      </c>
      <c r="O21">
        <f ca="1">INDEX(actuals_prd_imp[Removed Planned],$C21)</f>
        <v>2</v>
      </c>
      <c r="P21">
        <f ca="1">INDEX(actuals_prd_exp[Removed Planned],$D21)</f>
        <v>1</v>
      </c>
      <c r="Q21">
        <f ca="1">INDEX(actuals_stn_imp[Removed Planned],$E21)</f>
        <v>0</v>
      </c>
      <c r="R21">
        <f ca="1">INDEX(actuals_stn_exp[Removed Planned],$F21)</f>
        <v>0</v>
      </c>
      <c r="S21">
        <f ca="1">INDEX(actuals_prd_imp[Planned done],$C21)</f>
        <v>12</v>
      </c>
      <c r="T21">
        <f ca="1">INDEX(actuals_prd_exp[Planned done],$D21)</f>
        <v>8</v>
      </c>
      <c r="U21">
        <f ca="1">INDEX(actuals_stn_imp[Planned done],$E21)</f>
        <v>1</v>
      </c>
      <c r="V21">
        <f ca="1">INDEX(actuals_stn_exp[Planned done],$F21)</f>
        <v>2</v>
      </c>
      <c r="W21">
        <f ca="1">INDEX(actuals_prd_imp[Additional done],$C21)</f>
        <v>1</v>
      </c>
      <c r="X21">
        <f ca="1">INDEX(actuals_prd_exp[Additional done],$D21)</f>
        <v>2</v>
      </c>
      <c r="Y21">
        <f ca="1">INDEX(actuals_stn_imp[Additional done],$E21)</f>
        <v>0</v>
      </c>
      <c r="Z21">
        <f ca="1">INDEX(actuals_stn_exp[Additional done],$F21)</f>
        <v>0</v>
      </c>
      <c r="AA21">
        <f ca="1">INDEX(actuals_prd_imp[Had expected impact],$C21)</f>
        <v>13</v>
      </c>
      <c r="AB21">
        <f ca="1">INDEX(actuals_prd_exp[Had expected impact],$D21)</f>
        <v>7</v>
      </c>
      <c r="AC21">
        <f ca="1">INDEX(actuals_stn_imp[Had expected impact],$E21)</f>
        <v>1</v>
      </c>
      <c r="AD21">
        <f ca="1">INDEX(actuals_stn_exp[Had expected impact],$F21)</f>
        <v>1</v>
      </c>
      <c r="AE21">
        <f ca="1">INDEX(actuals_prd_imp[Incorporated Learning into Future Plans],$C21)</f>
        <v>12</v>
      </c>
      <c r="AF21">
        <f ca="1">INDEX(actuals_prd_exp[Incorporated Learning into Future Plans],$D21)</f>
        <v>10</v>
      </c>
      <c r="AG21">
        <f ca="1">INDEX(actuals_stn_imp[Incorporated Learning into Future Plans],$E21)</f>
        <v>1</v>
      </c>
      <c r="AH21">
        <f ca="1">INDEX(actuals_stn_exp[Incorporated Learning into Future Plans],$F21)</f>
        <v>2</v>
      </c>
      <c r="AI21">
        <f ca="1">S21/G21</f>
        <v>2.4</v>
      </c>
      <c r="AJ21">
        <f ca="1">T21/H21</f>
        <v>1.6</v>
      </c>
      <c r="AK21">
        <f ca="1">U21/I21</f>
        <v>0.5</v>
      </c>
      <c r="AL21">
        <f ca="1">V21/J21</f>
        <v>1</v>
      </c>
      <c r="AM21">
        <f ca="1">W21/G21</f>
        <v>0.2</v>
      </c>
      <c r="AN21">
        <f ca="1">X21/H21</f>
        <v>0.4</v>
      </c>
      <c r="AO21">
        <f ca="1">Y21/I21</f>
        <v>0</v>
      </c>
      <c r="AP21">
        <f ca="1">Z21/J21</f>
        <v>0</v>
      </c>
      <c r="AQ21" s="49">
        <f t="shared" ca="1" si="6"/>
        <v>0.22499999999999998</v>
      </c>
      <c r="AR21" s="49">
        <f t="shared" ca="1" si="7"/>
        <v>0.27</v>
      </c>
      <c r="AS21" s="49">
        <f ca="1">INDEX(budget_history[Budget],$B21)</f>
        <v>0.3</v>
      </c>
      <c r="AT21" s="49">
        <f t="shared" ca="1" si="8"/>
        <v>0.37</v>
      </c>
      <c r="AU21" s="49">
        <f t="shared" ca="1" si="9"/>
        <v>0.47500000000000009</v>
      </c>
      <c r="AV21" s="49">
        <v>1</v>
      </c>
      <c r="AW21" s="49">
        <f ca="1">SUM(AO21:AP21,AK21:AL21)/SUM(AI21:AP21)</f>
        <v>0.24590163934426226</v>
      </c>
      <c r="AX21" s="49">
        <v>0.6</v>
      </c>
      <c r="AY21" s="49">
        <v>0.8</v>
      </c>
      <c r="AZ21" s="49">
        <v>1</v>
      </c>
      <c r="BA21" s="49">
        <f ca="1">AI21/SUM(AI21,AM21)</f>
        <v>0.92307692307692302</v>
      </c>
      <c r="BB21" s="49">
        <f ca="1">AJ21/SUM(AJ21,AN21)</f>
        <v>0.8</v>
      </c>
      <c r="BC21" s="49">
        <f ca="1">AK21/SUM(AK21,AO21)</f>
        <v>1</v>
      </c>
      <c r="BD21" s="49">
        <f ca="1">AL21/SUM(AL21,AP21)</f>
        <v>1</v>
      </c>
      <c r="BE21" s="49">
        <v>0.5</v>
      </c>
      <c r="BF21" s="49">
        <v>0.75</v>
      </c>
      <c r="BG21" s="49">
        <v>1</v>
      </c>
      <c r="BH21" s="49">
        <f t="shared" ca="1" si="10"/>
        <v>1</v>
      </c>
      <c r="BI21" s="49">
        <f t="shared" ca="1" si="11"/>
        <v>0.8</v>
      </c>
      <c r="BJ21" s="49">
        <f t="shared" ca="1" si="12"/>
        <v>0.5</v>
      </c>
      <c r="BK21" s="49">
        <f t="shared" ca="1" si="13"/>
        <v>0.66666666666666663</v>
      </c>
      <c r="BL21" s="49">
        <v>0.75</v>
      </c>
      <c r="BM21" s="49">
        <v>0.9</v>
      </c>
      <c r="BN21" s="49">
        <v>1</v>
      </c>
      <c r="BO21" s="49">
        <f t="shared" ca="1" si="14"/>
        <v>1</v>
      </c>
      <c r="BP21" s="49">
        <f t="shared" ca="1" si="15"/>
        <v>1</v>
      </c>
      <c r="BQ21" s="49"/>
      <c r="BR21" s="49"/>
    </row>
    <row r="22" spans="1:70" x14ac:dyDescent="0.35">
      <c r="A22" s="53">
        <f t="shared" ca="1" si="16"/>
        <v>42503</v>
      </c>
      <c r="B22" s="48">
        <f ca="1">MATCH($A22,budget_history[Date])</f>
        <v>2</v>
      </c>
      <c r="C22" s="48">
        <f ca="1">MATCH($A22,actuals_prd_imp[End Date])</f>
        <v>11</v>
      </c>
      <c r="D22" s="48">
        <f ca="1">MATCH($A22,actuals_prd_exp[End Date])</f>
        <v>11</v>
      </c>
      <c r="E22" s="48">
        <f ca="1">MATCH($A22,actuals_stn_imp[End Date])</f>
        <v>26</v>
      </c>
      <c r="F22" s="48">
        <f ca="1">MATCH($A22,actuals_stn_exp[End Date])</f>
        <v>26</v>
      </c>
      <c r="G22">
        <f ca="1">NETWORKDAYS(INDEX(actuals_prd_imp[End Date],$C22-1), INDEX(actuals_prd_imp[End Date],$C22))-1</f>
        <v>5</v>
      </c>
      <c r="H22">
        <f ca="1">NETWORKDAYS(INDEX(actuals_prd_exp[End Date],$C22-1), INDEX(actuals_prd_exp[End Date],$C22))-1</f>
        <v>5</v>
      </c>
      <c r="I22">
        <f ca="1">NETWORKDAYS(INDEX(actuals_stn_imp[End Date],$C22-1), INDEX(actuals_stn_imp[End Date],$C22))-1</f>
        <v>2</v>
      </c>
      <c r="J22">
        <f ca="1">NETWORKDAYS(INDEX(actuals_stn_exp[End Date],$C22-1), INDEX(actuals_stn_exp[End Date],$C22))-1</f>
        <v>2</v>
      </c>
      <c r="K22">
        <f ca="1">INDEX(actuals_prd_imp[Taken into Immediate Future Plan],$C22)</f>
        <v>14</v>
      </c>
      <c r="L22">
        <f ca="1">INDEX(actuals_prd_exp[Taken into Immediate Future Plan],$D22)</f>
        <v>11</v>
      </c>
      <c r="M22">
        <f ca="1">INDEX(actuals_stn_imp[Taken into Immediate Future Plan],$E22)</f>
        <v>3</v>
      </c>
      <c r="N22">
        <f ca="1">INDEX(actuals_stn_exp[Taken into Immediate Future Plan],$F22)</f>
        <v>3</v>
      </c>
      <c r="O22">
        <f ca="1">INDEX(actuals_prd_imp[Removed Planned],$C22)</f>
        <v>2</v>
      </c>
      <c r="P22">
        <f ca="1">INDEX(actuals_prd_exp[Removed Planned],$D22)</f>
        <v>1</v>
      </c>
      <c r="Q22">
        <f ca="1">INDEX(actuals_stn_imp[Removed Planned],$E22)</f>
        <v>0</v>
      </c>
      <c r="R22">
        <f ca="1">INDEX(actuals_stn_exp[Removed Planned],$F22)</f>
        <v>0</v>
      </c>
      <c r="S22">
        <f ca="1">INDEX(actuals_prd_imp[Planned done],$C22)</f>
        <v>12</v>
      </c>
      <c r="T22">
        <f ca="1">INDEX(actuals_prd_exp[Planned done],$D22)</f>
        <v>8</v>
      </c>
      <c r="U22">
        <f ca="1">INDEX(actuals_stn_imp[Planned done],$E22)</f>
        <v>3</v>
      </c>
      <c r="V22">
        <f ca="1">INDEX(actuals_stn_exp[Planned done],$F22)</f>
        <v>2</v>
      </c>
      <c r="W22">
        <f ca="1">INDEX(actuals_prd_imp[Additional done],$C22)</f>
        <v>1</v>
      </c>
      <c r="X22">
        <f ca="1">INDEX(actuals_prd_exp[Additional done],$D22)</f>
        <v>2</v>
      </c>
      <c r="Y22">
        <f ca="1">INDEX(actuals_stn_imp[Additional done],$E22)</f>
        <v>1</v>
      </c>
      <c r="Z22">
        <f ca="1">INDEX(actuals_stn_exp[Additional done],$F22)</f>
        <v>0</v>
      </c>
      <c r="AA22">
        <f ca="1">INDEX(actuals_prd_imp[Had expected impact],$C22)</f>
        <v>13</v>
      </c>
      <c r="AB22">
        <f ca="1">INDEX(actuals_prd_exp[Had expected impact],$D22)</f>
        <v>7</v>
      </c>
      <c r="AC22">
        <f ca="1">INDEX(actuals_stn_imp[Had expected impact],$E22)</f>
        <v>3</v>
      </c>
      <c r="AD22">
        <f ca="1">INDEX(actuals_stn_exp[Had expected impact],$F22)</f>
        <v>2</v>
      </c>
      <c r="AE22">
        <f ca="1">INDEX(actuals_prd_imp[Incorporated Learning into Future Plans],$C22)</f>
        <v>12</v>
      </c>
      <c r="AF22">
        <f ca="1">INDEX(actuals_prd_exp[Incorporated Learning into Future Plans],$D22)</f>
        <v>10</v>
      </c>
      <c r="AG22">
        <f ca="1">INDEX(actuals_stn_imp[Incorporated Learning into Future Plans],$E22)</f>
        <v>4</v>
      </c>
      <c r="AH22">
        <f ca="1">INDEX(actuals_stn_exp[Incorporated Learning into Future Plans],$F22)</f>
        <v>2</v>
      </c>
      <c r="AI22">
        <f ca="1">S22/G22</f>
        <v>2.4</v>
      </c>
      <c r="AJ22">
        <f ca="1">T22/H22</f>
        <v>1.6</v>
      </c>
      <c r="AK22">
        <f ca="1">U22/I22</f>
        <v>1.5</v>
      </c>
      <c r="AL22">
        <f ca="1">V22/J22</f>
        <v>1</v>
      </c>
      <c r="AM22">
        <f ca="1">W22/G22</f>
        <v>0.2</v>
      </c>
      <c r="AN22">
        <f ca="1">X22/H22</f>
        <v>0.4</v>
      </c>
      <c r="AO22">
        <f ca="1">Y22/I22</f>
        <v>0.5</v>
      </c>
      <c r="AP22">
        <f ca="1">Z22/J22</f>
        <v>0</v>
      </c>
      <c r="AQ22" s="49">
        <f t="shared" ca="1" si="6"/>
        <v>0.22499999999999998</v>
      </c>
      <c r="AR22" s="49">
        <f t="shared" ca="1" si="7"/>
        <v>0.27</v>
      </c>
      <c r="AS22" s="49">
        <f ca="1">INDEX(budget_history[Budget],$B22)</f>
        <v>0.3</v>
      </c>
      <c r="AT22" s="49">
        <f t="shared" ca="1" si="8"/>
        <v>0.37</v>
      </c>
      <c r="AU22" s="49">
        <f t="shared" ca="1" si="9"/>
        <v>0.47500000000000009</v>
      </c>
      <c r="AV22" s="49">
        <v>1</v>
      </c>
      <c r="AW22" s="49">
        <f ca="1">SUM(AO22:AP22,AK22:AL22)/SUM(AI22:AP22)</f>
        <v>0.39473684210526311</v>
      </c>
      <c r="AX22" s="49">
        <v>0.6</v>
      </c>
      <c r="AY22" s="49">
        <v>0.8</v>
      </c>
      <c r="AZ22" s="49">
        <v>1</v>
      </c>
      <c r="BA22" s="49">
        <f ca="1">AI22/SUM(AI22,AM22)</f>
        <v>0.92307692307692302</v>
      </c>
      <c r="BB22" s="49">
        <f ca="1">AJ22/SUM(AJ22,AN22)</f>
        <v>0.8</v>
      </c>
      <c r="BC22" s="49">
        <f ca="1">AK22/SUM(AK22,AO22)</f>
        <v>0.75</v>
      </c>
      <c r="BD22" s="49">
        <f ca="1">AL22/SUM(AL22,AP22)</f>
        <v>1</v>
      </c>
      <c r="BE22" s="49">
        <v>0.5</v>
      </c>
      <c r="BF22" s="49">
        <v>0.75</v>
      </c>
      <c r="BG22" s="49">
        <v>1</v>
      </c>
      <c r="BH22" s="49">
        <f t="shared" ca="1" si="10"/>
        <v>1</v>
      </c>
      <c r="BI22" s="49">
        <f t="shared" ca="1" si="11"/>
        <v>0.8</v>
      </c>
      <c r="BJ22" s="49">
        <f t="shared" ca="1" si="12"/>
        <v>1</v>
      </c>
      <c r="BK22" s="49">
        <f t="shared" ca="1" si="13"/>
        <v>0.66666666666666663</v>
      </c>
      <c r="BL22" s="49">
        <v>0.75</v>
      </c>
      <c r="BM22" s="49">
        <v>0.9</v>
      </c>
      <c r="BN22" s="49">
        <v>1</v>
      </c>
      <c r="BO22" s="49">
        <f t="shared" ca="1" si="14"/>
        <v>1</v>
      </c>
      <c r="BP22" s="49">
        <f t="shared" ca="1" si="15"/>
        <v>0.75</v>
      </c>
      <c r="BQ22" s="49"/>
      <c r="BR22" s="49"/>
    </row>
    <row r="23" spans="1:70" x14ac:dyDescent="0.35">
      <c r="A23" s="53">
        <f t="shared" ca="1" si="16"/>
        <v>42506</v>
      </c>
      <c r="B23" s="48">
        <f ca="1">MATCH($A23,budget_history[Date])</f>
        <v>2</v>
      </c>
      <c r="C23" s="48">
        <f ca="1">MATCH($A23,actuals_prd_imp[End Date])</f>
        <v>11</v>
      </c>
      <c r="D23" s="48">
        <f ca="1">MATCH($A23,actuals_prd_exp[End Date])</f>
        <v>11</v>
      </c>
      <c r="E23" s="48">
        <f ca="1">MATCH($A23,actuals_stn_imp[End Date])</f>
        <v>26</v>
      </c>
      <c r="F23" s="48">
        <f ca="1">MATCH($A23,actuals_stn_exp[End Date])</f>
        <v>26</v>
      </c>
      <c r="G23">
        <f ca="1">NETWORKDAYS(INDEX(actuals_prd_imp[End Date],$C23-1), INDEX(actuals_prd_imp[End Date],$C23))-1</f>
        <v>5</v>
      </c>
      <c r="H23">
        <f ca="1">NETWORKDAYS(INDEX(actuals_prd_exp[End Date],$C23-1), INDEX(actuals_prd_exp[End Date],$C23))-1</f>
        <v>5</v>
      </c>
      <c r="I23">
        <f ca="1">NETWORKDAYS(INDEX(actuals_stn_imp[End Date],$C23-1), INDEX(actuals_stn_imp[End Date],$C23))-1</f>
        <v>2</v>
      </c>
      <c r="J23">
        <f ca="1">NETWORKDAYS(INDEX(actuals_stn_exp[End Date],$C23-1), INDEX(actuals_stn_exp[End Date],$C23))-1</f>
        <v>2</v>
      </c>
      <c r="K23">
        <f ca="1">INDEX(actuals_prd_imp[Taken into Immediate Future Plan],$C23)</f>
        <v>14</v>
      </c>
      <c r="L23">
        <f ca="1">INDEX(actuals_prd_exp[Taken into Immediate Future Plan],$D23)</f>
        <v>11</v>
      </c>
      <c r="M23">
        <f ca="1">INDEX(actuals_stn_imp[Taken into Immediate Future Plan],$E23)</f>
        <v>3</v>
      </c>
      <c r="N23">
        <f ca="1">INDEX(actuals_stn_exp[Taken into Immediate Future Plan],$F23)</f>
        <v>3</v>
      </c>
      <c r="O23">
        <f ca="1">INDEX(actuals_prd_imp[Removed Planned],$C23)</f>
        <v>2</v>
      </c>
      <c r="P23">
        <f ca="1">INDEX(actuals_prd_exp[Removed Planned],$D23)</f>
        <v>1</v>
      </c>
      <c r="Q23">
        <f ca="1">INDEX(actuals_stn_imp[Removed Planned],$E23)</f>
        <v>0</v>
      </c>
      <c r="R23">
        <f ca="1">INDEX(actuals_stn_exp[Removed Planned],$F23)</f>
        <v>0</v>
      </c>
      <c r="S23">
        <f ca="1">INDEX(actuals_prd_imp[Planned done],$C23)</f>
        <v>12</v>
      </c>
      <c r="T23">
        <f ca="1">INDEX(actuals_prd_exp[Planned done],$D23)</f>
        <v>8</v>
      </c>
      <c r="U23">
        <f ca="1">INDEX(actuals_stn_imp[Planned done],$E23)</f>
        <v>3</v>
      </c>
      <c r="V23">
        <f ca="1">INDEX(actuals_stn_exp[Planned done],$F23)</f>
        <v>2</v>
      </c>
      <c r="W23">
        <f ca="1">INDEX(actuals_prd_imp[Additional done],$C23)</f>
        <v>1</v>
      </c>
      <c r="X23">
        <f ca="1">INDEX(actuals_prd_exp[Additional done],$D23)</f>
        <v>2</v>
      </c>
      <c r="Y23">
        <f ca="1">INDEX(actuals_stn_imp[Additional done],$E23)</f>
        <v>1</v>
      </c>
      <c r="Z23">
        <f ca="1">INDEX(actuals_stn_exp[Additional done],$F23)</f>
        <v>0</v>
      </c>
      <c r="AA23">
        <f ca="1">INDEX(actuals_prd_imp[Had expected impact],$C23)</f>
        <v>13</v>
      </c>
      <c r="AB23">
        <f ca="1">INDEX(actuals_prd_exp[Had expected impact],$D23)</f>
        <v>7</v>
      </c>
      <c r="AC23">
        <f ca="1">INDEX(actuals_stn_imp[Had expected impact],$E23)</f>
        <v>3</v>
      </c>
      <c r="AD23">
        <f ca="1">INDEX(actuals_stn_exp[Had expected impact],$F23)</f>
        <v>2</v>
      </c>
      <c r="AE23">
        <f ca="1">INDEX(actuals_prd_imp[Incorporated Learning into Future Plans],$C23)</f>
        <v>12</v>
      </c>
      <c r="AF23">
        <f ca="1">INDEX(actuals_prd_exp[Incorporated Learning into Future Plans],$D23)</f>
        <v>10</v>
      </c>
      <c r="AG23">
        <f ca="1">INDEX(actuals_stn_imp[Incorporated Learning into Future Plans],$E23)</f>
        <v>4</v>
      </c>
      <c r="AH23">
        <f ca="1">INDEX(actuals_stn_exp[Incorporated Learning into Future Plans],$F23)</f>
        <v>2</v>
      </c>
      <c r="AI23">
        <f ca="1">S23/G23</f>
        <v>2.4</v>
      </c>
      <c r="AJ23">
        <f ca="1">T23/H23</f>
        <v>1.6</v>
      </c>
      <c r="AK23">
        <f ca="1">U23/I23</f>
        <v>1.5</v>
      </c>
      <c r="AL23">
        <f ca="1">V23/J23</f>
        <v>1</v>
      </c>
      <c r="AM23">
        <f ca="1">W23/G23</f>
        <v>0.2</v>
      </c>
      <c r="AN23">
        <f ca="1">X23/H23</f>
        <v>0.4</v>
      </c>
      <c r="AO23">
        <f ca="1">Y23/I23</f>
        <v>0.5</v>
      </c>
      <c r="AP23">
        <f ca="1">Z23/J23</f>
        <v>0</v>
      </c>
      <c r="AQ23" s="49">
        <f t="shared" ca="1" si="6"/>
        <v>0.22499999999999998</v>
      </c>
      <c r="AR23" s="49">
        <f t="shared" ca="1" si="7"/>
        <v>0.27</v>
      </c>
      <c r="AS23" s="49">
        <f ca="1">INDEX(budget_history[Budget],$B23)</f>
        <v>0.3</v>
      </c>
      <c r="AT23" s="49">
        <f t="shared" ca="1" si="8"/>
        <v>0.37</v>
      </c>
      <c r="AU23" s="49">
        <f t="shared" ca="1" si="9"/>
        <v>0.47500000000000009</v>
      </c>
      <c r="AV23" s="49">
        <v>1</v>
      </c>
      <c r="AW23" s="49">
        <f ca="1">SUM(AO23:AP23,AK23:AL23)/SUM(AI23:AP23)</f>
        <v>0.39473684210526311</v>
      </c>
      <c r="AX23" s="49">
        <v>0.6</v>
      </c>
      <c r="AY23" s="49">
        <v>0.8</v>
      </c>
      <c r="AZ23" s="49">
        <v>1</v>
      </c>
      <c r="BA23" s="49">
        <f ca="1">AI23/SUM(AI23,AM23)</f>
        <v>0.92307692307692302</v>
      </c>
      <c r="BB23" s="49">
        <f ca="1">AJ23/SUM(AJ23,AN23)</f>
        <v>0.8</v>
      </c>
      <c r="BC23" s="49">
        <f ca="1">AK23/SUM(AK23,AO23)</f>
        <v>0.75</v>
      </c>
      <c r="BD23" s="49">
        <f ca="1">AL23/SUM(AL23,AP23)</f>
        <v>1</v>
      </c>
      <c r="BE23" s="49">
        <v>0.5</v>
      </c>
      <c r="BF23" s="49">
        <v>0.75</v>
      </c>
      <c r="BG23" s="49">
        <v>1</v>
      </c>
      <c r="BH23" s="49">
        <f t="shared" ca="1" si="10"/>
        <v>1</v>
      </c>
      <c r="BI23" s="49">
        <f t="shared" ca="1" si="11"/>
        <v>0.8</v>
      </c>
      <c r="BJ23" s="49">
        <f t="shared" ca="1" si="12"/>
        <v>1</v>
      </c>
      <c r="BK23" s="49">
        <f t="shared" ca="1" si="13"/>
        <v>0.66666666666666663</v>
      </c>
      <c r="BL23" s="49">
        <v>0.75</v>
      </c>
      <c r="BM23" s="49">
        <v>0.9</v>
      </c>
      <c r="BN23" s="49">
        <v>1</v>
      </c>
      <c r="BO23" s="49">
        <f t="shared" ca="1" si="14"/>
        <v>1</v>
      </c>
      <c r="BP23" s="49">
        <f t="shared" ca="1" si="15"/>
        <v>0.75</v>
      </c>
      <c r="BQ23" s="49"/>
      <c r="BR23" s="49"/>
    </row>
    <row r="24" spans="1:70" x14ac:dyDescent="0.35">
      <c r="A24" s="53">
        <f t="shared" ca="1" si="16"/>
        <v>42507</v>
      </c>
      <c r="B24" s="48">
        <f ca="1">MATCH($A24,budget_history[Date])</f>
        <v>2</v>
      </c>
      <c r="C24" s="48">
        <f ca="1">MATCH($A24,actuals_prd_imp[End Date])</f>
        <v>11</v>
      </c>
      <c r="D24" s="48">
        <f ca="1">MATCH($A24,actuals_prd_exp[End Date])</f>
        <v>11</v>
      </c>
      <c r="E24" s="48">
        <f ca="1">MATCH($A24,actuals_stn_imp[End Date])</f>
        <v>27</v>
      </c>
      <c r="F24" s="48">
        <f ca="1">MATCH($A24,actuals_stn_exp[End Date])</f>
        <v>27</v>
      </c>
      <c r="G24">
        <f ca="1">NETWORKDAYS(INDEX(actuals_prd_imp[End Date],$C24-1), INDEX(actuals_prd_imp[End Date],$C24))-1</f>
        <v>5</v>
      </c>
      <c r="H24">
        <f ca="1">NETWORKDAYS(INDEX(actuals_prd_exp[End Date],$C24-1), INDEX(actuals_prd_exp[End Date],$C24))-1</f>
        <v>5</v>
      </c>
      <c r="I24">
        <f ca="1">NETWORKDAYS(INDEX(actuals_stn_imp[End Date],$C24-1), INDEX(actuals_stn_imp[End Date],$C24))-1</f>
        <v>2</v>
      </c>
      <c r="J24">
        <f ca="1">NETWORKDAYS(INDEX(actuals_stn_exp[End Date],$C24-1), INDEX(actuals_stn_exp[End Date],$C24))-1</f>
        <v>2</v>
      </c>
      <c r="K24">
        <f ca="1">INDEX(actuals_prd_imp[Taken into Immediate Future Plan],$C24)</f>
        <v>14</v>
      </c>
      <c r="L24">
        <f ca="1">INDEX(actuals_prd_exp[Taken into Immediate Future Plan],$D24)</f>
        <v>11</v>
      </c>
      <c r="M24">
        <f ca="1">INDEX(actuals_stn_imp[Taken into Immediate Future Plan],$E24)</f>
        <v>2</v>
      </c>
      <c r="N24">
        <f ca="1">INDEX(actuals_stn_exp[Taken into Immediate Future Plan],$F24)</f>
        <v>3</v>
      </c>
      <c r="O24">
        <f ca="1">INDEX(actuals_prd_imp[Removed Planned],$C24)</f>
        <v>2</v>
      </c>
      <c r="P24">
        <f ca="1">INDEX(actuals_prd_exp[Removed Planned],$D24)</f>
        <v>1</v>
      </c>
      <c r="Q24">
        <f ca="1">INDEX(actuals_stn_imp[Removed Planned],$E24)</f>
        <v>0</v>
      </c>
      <c r="R24">
        <f ca="1">INDEX(actuals_stn_exp[Removed Planned],$F24)</f>
        <v>0</v>
      </c>
      <c r="S24">
        <f ca="1">INDEX(actuals_prd_imp[Planned done],$C24)</f>
        <v>12</v>
      </c>
      <c r="T24">
        <f ca="1">INDEX(actuals_prd_exp[Planned done],$D24)</f>
        <v>8</v>
      </c>
      <c r="U24">
        <f ca="1">INDEX(actuals_stn_imp[Planned done],$E24)</f>
        <v>2</v>
      </c>
      <c r="V24">
        <f ca="1">INDEX(actuals_stn_exp[Planned done],$F24)</f>
        <v>3</v>
      </c>
      <c r="W24">
        <f ca="1">INDEX(actuals_prd_imp[Additional done],$C24)</f>
        <v>1</v>
      </c>
      <c r="X24">
        <f ca="1">INDEX(actuals_prd_exp[Additional done],$D24)</f>
        <v>2</v>
      </c>
      <c r="Y24">
        <f ca="1">INDEX(actuals_stn_imp[Additional done],$E24)</f>
        <v>0</v>
      </c>
      <c r="Z24">
        <f ca="1">INDEX(actuals_stn_exp[Additional done],$F24)</f>
        <v>1</v>
      </c>
      <c r="AA24">
        <f ca="1">INDEX(actuals_prd_imp[Had expected impact],$C24)</f>
        <v>13</v>
      </c>
      <c r="AB24">
        <f ca="1">INDEX(actuals_prd_exp[Had expected impact],$D24)</f>
        <v>7</v>
      </c>
      <c r="AC24">
        <f ca="1">INDEX(actuals_stn_imp[Had expected impact],$E24)</f>
        <v>2</v>
      </c>
      <c r="AD24">
        <f ca="1">INDEX(actuals_stn_exp[Had expected impact],$F24)</f>
        <v>3</v>
      </c>
      <c r="AE24">
        <f ca="1">INDEX(actuals_prd_imp[Incorporated Learning into Future Plans],$C24)</f>
        <v>12</v>
      </c>
      <c r="AF24">
        <f ca="1">INDEX(actuals_prd_exp[Incorporated Learning into Future Plans],$D24)</f>
        <v>10</v>
      </c>
      <c r="AG24">
        <f ca="1">INDEX(actuals_stn_imp[Incorporated Learning into Future Plans],$E24)</f>
        <v>2</v>
      </c>
      <c r="AH24">
        <f ca="1">INDEX(actuals_stn_exp[Incorporated Learning into Future Plans],$F24)</f>
        <v>4</v>
      </c>
      <c r="AI24">
        <f ca="1">S24/G24</f>
        <v>2.4</v>
      </c>
      <c r="AJ24">
        <f ca="1">T24/H24</f>
        <v>1.6</v>
      </c>
      <c r="AK24">
        <f ca="1">U24/I24</f>
        <v>1</v>
      </c>
      <c r="AL24">
        <f ca="1">V24/J24</f>
        <v>1.5</v>
      </c>
      <c r="AM24">
        <f ca="1">W24/G24</f>
        <v>0.2</v>
      </c>
      <c r="AN24">
        <f ca="1">X24/H24</f>
        <v>0.4</v>
      </c>
      <c r="AO24">
        <f ca="1">Y24/I24</f>
        <v>0</v>
      </c>
      <c r="AP24">
        <f ca="1">Z24/J24</f>
        <v>0.5</v>
      </c>
      <c r="AQ24" s="49">
        <f t="shared" ca="1" si="6"/>
        <v>0.22499999999999998</v>
      </c>
      <c r="AR24" s="49">
        <f t="shared" ca="1" si="7"/>
        <v>0.27</v>
      </c>
      <c r="AS24" s="49">
        <f ca="1">INDEX(budget_history[Budget],$B24)</f>
        <v>0.3</v>
      </c>
      <c r="AT24" s="49">
        <f t="shared" ca="1" si="8"/>
        <v>0.37</v>
      </c>
      <c r="AU24" s="49">
        <f t="shared" ca="1" si="9"/>
        <v>0.47500000000000009</v>
      </c>
      <c r="AV24" s="49">
        <v>1</v>
      </c>
      <c r="AW24" s="49">
        <f ca="1">SUM(AO24:AP24,AK24:AL24)/SUM(AI24:AP24)</f>
        <v>0.39473684210526311</v>
      </c>
      <c r="AX24" s="49">
        <v>0.6</v>
      </c>
      <c r="AY24" s="49">
        <v>0.8</v>
      </c>
      <c r="AZ24" s="49">
        <v>1</v>
      </c>
      <c r="BA24" s="49">
        <f ca="1">AI24/SUM(AI24,AM24)</f>
        <v>0.92307692307692302</v>
      </c>
      <c r="BB24" s="49">
        <f ca="1">AJ24/SUM(AJ24,AN24)</f>
        <v>0.8</v>
      </c>
      <c r="BC24" s="49">
        <f ca="1">AK24/SUM(AK24,AO24)</f>
        <v>1</v>
      </c>
      <c r="BD24" s="49">
        <f ca="1">AL24/SUM(AL24,AP24)</f>
        <v>0.75</v>
      </c>
      <c r="BE24" s="49">
        <v>0.5</v>
      </c>
      <c r="BF24" s="49">
        <v>0.75</v>
      </c>
      <c r="BG24" s="49">
        <v>1</v>
      </c>
      <c r="BH24" s="49">
        <f t="shared" ca="1" si="10"/>
        <v>1</v>
      </c>
      <c r="BI24" s="49">
        <f t="shared" ca="1" si="11"/>
        <v>0.8</v>
      </c>
      <c r="BJ24" s="49">
        <f t="shared" ca="1" si="12"/>
        <v>1</v>
      </c>
      <c r="BK24" s="49">
        <f t="shared" ca="1" si="13"/>
        <v>1</v>
      </c>
      <c r="BL24" s="49">
        <v>0.75</v>
      </c>
      <c r="BM24" s="49">
        <v>0.9</v>
      </c>
      <c r="BN24" s="49">
        <v>1</v>
      </c>
      <c r="BO24" s="49">
        <f t="shared" ca="1" si="14"/>
        <v>1</v>
      </c>
      <c r="BP24" s="49">
        <f t="shared" ca="1" si="15"/>
        <v>1</v>
      </c>
      <c r="BQ24" s="49"/>
      <c r="BR24" s="49"/>
    </row>
    <row r="25" spans="1:70" x14ac:dyDescent="0.35">
      <c r="A25" s="53">
        <f t="shared" ca="1" si="16"/>
        <v>42508</v>
      </c>
      <c r="B25" s="48">
        <f ca="1">MATCH($A25,budget_history[Date])</f>
        <v>2</v>
      </c>
      <c r="C25" s="48">
        <f ca="1">MATCH($A25,actuals_prd_imp[End Date])</f>
        <v>11</v>
      </c>
      <c r="D25" s="48">
        <f ca="1">MATCH($A25,actuals_prd_exp[End Date])</f>
        <v>11</v>
      </c>
      <c r="E25" s="48">
        <f ca="1">MATCH($A25,actuals_stn_imp[End Date])</f>
        <v>27</v>
      </c>
      <c r="F25" s="48">
        <f ca="1">MATCH($A25,actuals_stn_exp[End Date])</f>
        <v>27</v>
      </c>
      <c r="G25">
        <f ca="1">NETWORKDAYS(INDEX(actuals_prd_imp[End Date],$C25-1), INDEX(actuals_prd_imp[End Date],$C25))-1</f>
        <v>5</v>
      </c>
      <c r="H25">
        <f ca="1">NETWORKDAYS(INDEX(actuals_prd_exp[End Date],$C25-1), INDEX(actuals_prd_exp[End Date],$C25))-1</f>
        <v>5</v>
      </c>
      <c r="I25">
        <f ca="1">NETWORKDAYS(INDEX(actuals_stn_imp[End Date],$C25-1), INDEX(actuals_stn_imp[End Date],$C25))-1</f>
        <v>2</v>
      </c>
      <c r="J25">
        <f ca="1">NETWORKDAYS(INDEX(actuals_stn_exp[End Date],$C25-1), INDEX(actuals_stn_exp[End Date],$C25))-1</f>
        <v>2</v>
      </c>
      <c r="K25">
        <f ca="1">INDEX(actuals_prd_imp[Taken into Immediate Future Plan],$C25)</f>
        <v>14</v>
      </c>
      <c r="L25">
        <f ca="1">INDEX(actuals_prd_exp[Taken into Immediate Future Plan],$D25)</f>
        <v>11</v>
      </c>
      <c r="M25">
        <f ca="1">INDEX(actuals_stn_imp[Taken into Immediate Future Plan],$E25)</f>
        <v>2</v>
      </c>
      <c r="N25">
        <f ca="1">INDEX(actuals_stn_exp[Taken into Immediate Future Plan],$F25)</f>
        <v>3</v>
      </c>
      <c r="O25">
        <f ca="1">INDEX(actuals_prd_imp[Removed Planned],$C25)</f>
        <v>2</v>
      </c>
      <c r="P25">
        <f ca="1">INDEX(actuals_prd_exp[Removed Planned],$D25)</f>
        <v>1</v>
      </c>
      <c r="Q25">
        <f ca="1">INDEX(actuals_stn_imp[Removed Planned],$E25)</f>
        <v>0</v>
      </c>
      <c r="R25">
        <f ca="1">INDEX(actuals_stn_exp[Removed Planned],$F25)</f>
        <v>0</v>
      </c>
      <c r="S25">
        <f ca="1">INDEX(actuals_prd_imp[Planned done],$C25)</f>
        <v>12</v>
      </c>
      <c r="T25">
        <f ca="1">INDEX(actuals_prd_exp[Planned done],$D25)</f>
        <v>8</v>
      </c>
      <c r="U25">
        <f ca="1">INDEX(actuals_stn_imp[Planned done],$E25)</f>
        <v>2</v>
      </c>
      <c r="V25">
        <f ca="1">INDEX(actuals_stn_exp[Planned done],$F25)</f>
        <v>3</v>
      </c>
      <c r="W25">
        <f ca="1">INDEX(actuals_prd_imp[Additional done],$C25)</f>
        <v>1</v>
      </c>
      <c r="X25">
        <f ca="1">INDEX(actuals_prd_exp[Additional done],$D25)</f>
        <v>2</v>
      </c>
      <c r="Y25">
        <f ca="1">INDEX(actuals_stn_imp[Additional done],$E25)</f>
        <v>0</v>
      </c>
      <c r="Z25">
        <f ca="1">INDEX(actuals_stn_exp[Additional done],$F25)</f>
        <v>1</v>
      </c>
      <c r="AA25">
        <f ca="1">INDEX(actuals_prd_imp[Had expected impact],$C25)</f>
        <v>13</v>
      </c>
      <c r="AB25">
        <f ca="1">INDEX(actuals_prd_exp[Had expected impact],$D25)</f>
        <v>7</v>
      </c>
      <c r="AC25">
        <f ca="1">INDEX(actuals_stn_imp[Had expected impact],$E25)</f>
        <v>2</v>
      </c>
      <c r="AD25">
        <f ca="1">INDEX(actuals_stn_exp[Had expected impact],$F25)</f>
        <v>3</v>
      </c>
      <c r="AE25">
        <f ca="1">INDEX(actuals_prd_imp[Incorporated Learning into Future Plans],$C25)</f>
        <v>12</v>
      </c>
      <c r="AF25">
        <f ca="1">INDEX(actuals_prd_exp[Incorporated Learning into Future Plans],$D25)</f>
        <v>10</v>
      </c>
      <c r="AG25">
        <f ca="1">INDEX(actuals_stn_imp[Incorporated Learning into Future Plans],$E25)</f>
        <v>2</v>
      </c>
      <c r="AH25">
        <f ca="1">INDEX(actuals_stn_exp[Incorporated Learning into Future Plans],$F25)</f>
        <v>4</v>
      </c>
      <c r="AI25">
        <f ca="1">S25/G25</f>
        <v>2.4</v>
      </c>
      <c r="AJ25">
        <f ca="1">T25/H25</f>
        <v>1.6</v>
      </c>
      <c r="AK25">
        <f ca="1">U25/I25</f>
        <v>1</v>
      </c>
      <c r="AL25">
        <f ca="1">V25/J25</f>
        <v>1.5</v>
      </c>
      <c r="AM25">
        <f ca="1">W25/G25</f>
        <v>0.2</v>
      </c>
      <c r="AN25">
        <f ca="1">X25/H25</f>
        <v>0.4</v>
      </c>
      <c r="AO25">
        <f ca="1">Y25/I25</f>
        <v>0</v>
      </c>
      <c r="AP25">
        <f ca="1">Z25/J25</f>
        <v>0.5</v>
      </c>
      <c r="AQ25" s="49">
        <f t="shared" ca="1" si="6"/>
        <v>0.22499999999999998</v>
      </c>
      <c r="AR25" s="49">
        <f t="shared" ca="1" si="7"/>
        <v>0.27</v>
      </c>
      <c r="AS25" s="49">
        <f ca="1">INDEX(budget_history[Budget],$B25)</f>
        <v>0.3</v>
      </c>
      <c r="AT25" s="49">
        <f t="shared" ca="1" si="8"/>
        <v>0.37</v>
      </c>
      <c r="AU25" s="49">
        <f t="shared" ca="1" si="9"/>
        <v>0.47500000000000009</v>
      </c>
      <c r="AV25" s="49">
        <v>1</v>
      </c>
      <c r="AW25" s="49">
        <f ca="1">SUM(AO25:AP25,AK25:AL25)/SUM(AI25:AP25)</f>
        <v>0.39473684210526311</v>
      </c>
      <c r="AX25" s="49">
        <v>0.6</v>
      </c>
      <c r="AY25" s="49">
        <v>0.8</v>
      </c>
      <c r="AZ25" s="49">
        <v>1</v>
      </c>
      <c r="BA25" s="49">
        <f ca="1">AI25/SUM(AI25,AM25)</f>
        <v>0.92307692307692302</v>
      </c>
      <c r="BB25" s="49">
        <f ca="1">AJ25/SUM(AJ25,AN25)</f>
        <v>0.8</v>
      </c>
      <c r="BC25" s="49">
        <f ca="1">AK25/SUM(AK25,AO25)</f>
        <v>1</v>
      </c>
      <c r="BD25" s="49">
        <f ca="1">AL25/SUM(AL25,AP25)</f>
        <v>0.75</v>
      </c>
      <c r="BE25" s="49">
        <v>0.5</v>
      </c>
      <c r="BF25" s="49">
        <v>0.75</v>
      </c>
      <c r="BG25" s="49">
        <v>1</v>
      </c>
      <c r="BH25" s="49">
        <f t="shared" ca="1" si="10"/>
        <v>1</v>
      </c>
      <c r="BI25" s="49">
        <f t="shared" ca="1" si="11"/>
        <v>0.8</v>
      </c>
      <c r="BJ25" s="49">
        <f t="shared" ca="1" si="12"/>
        <v>1</v>
      </c>
      <c r="BK25" s="49">
        <f t="shared" ca="1" si="13"/>
        <v>1</v>
      </c>
      <c r="BL25" s="49">
        <v>0.75</v>
      </c>
      <c r="BM25" s="49">
        <v>0.9</v>
      </c>
      <c r="BN25" s="49">
        <v>1</v>
      </c>
      <c r="BO25" s="49">
        <f t="shared" ca="1" si="14"/>
        <v>1</v>
      </c>
      <c r="BP25" s="49">
        <f t="shared" ca="1" si="15"/>
        <v>1</v>
      </c>
      <c r="BQ25" s="49"/>
      <c r="BR25" s="49"/>
    </row>
    <row r="26" spans="1:70" x14ac:dyDescent="0.35">
      <c r="A26" s="53">
        <f t="shared" ca="1" si="16"/>
        <v>42509</v>
      </c>
      <c r="B26" s="48">
        <f ca="1">MATCH($A26,budget_history[Date])</f>
        <v>2</v>
      </c>
      <c r="C26" s="48">
        <f ca="1">MATCH($A26,actuals_prd_imp[End Date])</f>
        <v>12</v>
      </c>
      <c r="D26" s="48">
        <f ca="1">MATCH($A26,actuals_prd_exp[End Date])</f>
        <v>12</v>
      </c>
      <c r="E26" s="48">
        <f ca="1">MATCH($A26,actuals_stn_imp[End Date])</f>
        <v>28</v>
      </c>
      <c r="F26" s="48">
        <f ca="1">MATCH($A26,actuals_stn_exp[End Date])</f>
        <v>28</v>
      </c>
      <c r="G26">
        <f ca="1">NETWORKDAYS(INDEX(actuals_prd_imp[End Date],$C26-1), INDEX(actuals_prd_imp[End Date],$C26))-1</f>
        <v>5</v>
      </c>
      <c r="H26">
        <f ca="1">NETWORKDAYS(INDEX(actuals_prd_exp[End Date],$C26-1), INDEX(actuals_prd_exp[End Date],$C26))-1</f>
        <v>5</v>
      </c>
      <c r="I26">
        <f ca="1">NETWORKDAYS(INDEX(actuals_stn_imp[End Date],$C26-1), INDEX(actuals_stn_imp[End Date],$C26))-1</f>
        <v>2</v>
      </c>
      <c r="J26">
        <f ca="1">NETWORKDAYS(INDEX(actuals_stn_exp[End Date],$C26-1), INDEX(actuals_stn_exp[End Date],$C26))-1</f>
        <v>2</v>
      </c>
      <c r="K26">
        <f ca="1">INDEX(actuals_prd_imp[Taken into Immediate Future Plan],$C26)</f>
        <v>13</v>
      </c>
      <c r="L26">
        <f ca="1">INDEX(actuals_prd_exp[Taken into Immediate Future Plan],$D26)</f>
        <v>12</v>
      </c>
      <c r="M26">
        <f ca="1">INDEX(actuals_stn_imp[Taken into Immediate Future Plan],$E26)</f>
        <v>3</v>
      </c>
      <c r="N26">
        <f ca="1">INDEX(actuals_stn_exp[Taken into Immediate Future Plan],$F26)</f>
        <v>3</v>
      </c>
      <c r="O26">
        <f ca="1">INDEX(actuals_prd_imp[Removed Planned],$C26)</f>
        <v>2</v>
      </c>
      <c r="P26">
        <f ca="1">INDEX(actuals_prd_exp[Removed Planned],$D26)</f>
        <v>1</v>
      </c>
      <c r="Q26">
        <f ca="1">INDEX(actuals_stn_imp[Removed Planned],$E26)</f>
        <v>0</v>
      </c>
      <c r="R26">
        <f ca="1">INDEX(actuals_stn_exp[Removed Planned],$F26)</f>
        <v>0</v>
      </c>
      <c r="S26">
        <f ca="1">INDEX(actuals_prd_imp[Planned done],$C26)</f>
        <v>11</v>
      </c>
      <c r="T26">
        <f ca="1">INDEX(actuals_prd_exp[Planned done],$D26)</f>
        <v>8</v>
      </c>
      <c r="U26">
        <f ca="1">INDEX(actuals_stn_imp[Planned done],$E26)</f>
        <v>3</v>
      </c>
      <c r="V26">
        <f ca="1">INDEX(actuals_stn_exp[Planned done],$F26)</f>
        <v>3</v>
      </c>
      <c r="W26">
        <f ca="1">INDEX(actuals_prd_imp[Additional done],$C26)</f>
        <v>2</v>
      </c>
      <c r="X26">
        <f ca="1">INDEX(actuals_prd_exp[Additional done],$D26)</f>
        <v>1</v>
      </c>
      <c r="Y26">
        <f ca="1">INDEX(actuals_stn_imp[Additional done],$E26)</f>
        <v>1</v>
      </c>
      <c r="Z26">
        <f ca="1">INDEX(actuals_stn_exp[Additional done],$F26)</f>
        <v>1</v>
      </c>
      <c r="AA26">
        <f ca="1">INDEX(actuals_prd_imp[Had expected impact],$C26)</f>
        <v>10</v>
      </c>
      <c r="AB26">
        <f ca="1">INDEX(actuals_prd_exp[Had expected impact],$D26)</f>
        <v>8</v>
      </c>
      <c r="AC26">
        <f ca="1">INDEX(actuals_stn_imp[Had expected impact],$E26)</f>
        <v>3</v>
      </c>
      <c r="AD26">
        <f ca="1">INDEX(actuals_stn_exp[Had expected impact],$F26)</f>
        <v>3</v>
      </c>
      <c r="AE26">
        <f ca="1">INDEX(actuals_prd_imp[Incorporated Learning into Future Plans],$C26)</f>
        <v>12</v>
      </c>
      <c r="AF26">
        <f ca="1">INDEX(actuals_prd_exp[Incorporated Learning into Future Plans],$D26)</f>
        <v>8</v>
      </c>
      <c r="AG26">
        <f ca="1">INDEX(actuals_stn_imp[Incorporated Learning into Future Plans],$E26)</f>
        <v>4</v>
      </c>
      <c r="AH26">
        <f ca="1">INDEX(actuals_stn_exp[Incorporated Learning into Future Plans],$F26)</f>
        <v>4</v>
      </c>
      <c r="AI26">
        <f ca="1">S26/G26</f>
        <v>2.2000000000000002</v>
      </c>
      <c r="AJ26">
        <f ca="1">T26/H26</f>
        <v>1.6</v>
      </c>
      <c r="AK26">
        <f ca="1">U26/I26</f>
        <v>1.5</v>
      </c>
      <c r="AL26">
        <f ca="1">V26/J26</f>
        <v>1.5</v>
      </c>
      <c r="AM26">
        <f ca="1">W26/G26</f>
        <v>0.4</v>
      </c>
      <c r="AN26">
        <f ca="1">X26/H26</f>
        <v>0.2</v>
      </c>
      <c r="AO26">
        <f ca="1">Y26/I26</f>
        <v>0.5</v>
      </c>
      <c r="AP26">
        <f ca="1">Z26/J26</f>
        <v>0.5</v>
      </c>
      <c r="AQ26" s="49">
        <f t="shared" ca="1" si="6"/>
        <v>0.22499999999999998</v>
      </c>
      <c r="AR26" s="49">
        <f t="shared" ca="1" si="7"/>
        <v>0.27</v>
      </c>
      <c r="AS26" s="49">
        <f ca="1">INDEX(budget_history[Budget],$B26)</f>
        <v>0.3</v>
      </c>
      <c r="AT26" s="49">
        <f t="shared" ca="1" si="8"/>
        <v>0.37</v>
      </c>
      <c r="AU26" s="49">
        <f t="shared" ca="1" si="9"/>
        <v>0.47500000000000009</v>
      </c>
      <c r="AV26" s="49">
        <v>1</v>
      </c>
      <c r="AW26" s="49">
        <f ca="1">SUM(AO26:AP26,AK26:AL26)/SUM(AI26:AP26)</f>
        <v>0.47619047619047605</v>
      </c>
      <c r="AX26" s="49">
        <v>0.6</v>
      </c>
      <c r="AY26" s="49">
        <v>0.8</v>
      </c>
      <c r="AZ26" s="49">
        <v>1</v>
      </c>
      <c r="BA26" s="49">
        <f ca="1">AI26/SUM(AI26,AM26)</f>
        <v>0.84615384615384615</v>
      </c>
      <c r="BB26" s="49">
        <f ca="1">AJ26/SUM(AJ26,AN26)</f>
        <v>0.88888888888888895</v>
      </c>
      <c r="BC26" s="49">
        <f ca="1">AK26/SUM(AK26,AO26)</f>
        <v>0.75</v>
      </c>
      <c r="BD26" s="49">
        <f ca="1">AL26/SUM(AL26,AP26)</f>
        <v>0.75</v>
      </c>
      <c r="BE26" s="49">
        <v>0.5</v>
      </c>
      <c r="BF26" s="49">
        <v>0.75</v>
      </c>
      <c r="BG26" s="49">
        <v>1</v>
      </c>
      <c r="BH26" s="49">
        <f t="shared" ca="1" si="10"/>
        <v>1</v>
      </c>
      <c r="BI26" s="49">
        <f t="shared" ca="1" si="11"/>
        <v>0.72727272727272729</v>
      </c>
      <c r="BJ26" s="49">
        <f t="shared" ca="1" si="12"/>
        <v>1</v>
      </c>
      <c r="BK26" s="49">
        <f t="shared" ca="1" si="13"/>
        <v>1</v>
      </c>
      <c r="BL26" s="49">
        <v>0.75</v>
      </c>
      <c r="BM26" s="49">
        <v>0.9</v>
      </c>
      <c r="BN26" s="49">
        <v>1</v>
      </c>
      <c r="BO26" s="49">
        <f t="shared" ca="1" si="14"/>
        <v>0.76923076923076927</v>
      </c>
      <c r="BP26" s="49">
        <f t="shared" ca="1" si="15"/>
        <v>0.75</v>
      </c>
      <c r="BQ26" s="49"/>
      <c r="BR26" s="49"/>
    </row>
    <row r="27" spans="1:70" x14ac:dyDescent="0.35">
      <c r="A27" s="53">
        <f t="shared" ca="1" si="16"/>
        <v>42510</v>
      </c>
      <c r="B27" s="48">
        <f ca="1">MATCH($A27,budget_history[Date])</f>
        <v>2</v>
      </c>
      <c r="C27" s="48">
        <f ca="1">MATCH($A27,actuals_prd_imp[End Date])</f>
        <v>12</v>
      </c>
      <c r="D27" s="48">
        <f ca="1">MATCH($A27,actuals_prd_exp[End Date])</f>
        <v>12</v>
      </c>
      <c r="E27" s="48">
        <f ca="1">MATCH($A27,actuals_stn_imp[End Date])</f>
        <v>28</v>
      </c>
      <c r="F27" s="48">
        <f ca="1">MATCH($A27,actuals_stn_exp[End Date])</f>
        <v>28</v>
      </c>
      <c r="G27">
        <f ca="1">NETWORKDAYS(INDEX(actuals_prd_imp[End Date],$C27-1), INDEX(actuals_prd_imp[End Date],$C27))-1</f>
        <v>5</v>
      </c>
      <c r="H27">
        <f ca="1">NETWORKDAYS(INDEX(actuals_prd_exp[End Date],$C27-1), INDEX(actuals_prd_exp[End Date],$C27))-1</f>
        <v>5</v>
      </c>
      <c r="I27">
        <f ca="1">NETWORKDAYS(INDEX(actuals_stn_imp[End Date],$C27-1), INDEX(actuals_stn_imp[End Date],$C27))-1</f>
        <v>2</v>
      </c>
      <c r="J27">
        <f ca="1">NETWORKDAYS(INDEX(actuals_stn_exp[End Date],$C27-1), INDEX(actuals_stn_exp[End Date],$C27))-1</f>
        <v>2</v>
      </c>
      <c r="K27">
        <f ca="1">INDEX(actuals_prd_imp[Taken into Immediate Future Plan],$C27)</f>
        <v>13</v>
      </c>
      <c r="L27">
        <f ca="1">INDEX(actuals_prd_exp[Taken into Immediate Future Plan],$D27)</f>
        <v>12</v>
      </c>
      <c r="M27">
        <f ca="1">INDEX(actuals_stn_imp[Taken into Immediate Future Plan],$E27)</f>
        <v>3</v>
      </c>
      <c r="N27">
        <f ca="1">INDEX(actuals_stn_exp[Taken into Immediate Future Plan],$F27)</f>
        <v>3</v>
      </c>
      <c r="O27">
        <f ca="1">INDEX(actuals_prd_imp[Removed Planned],$C27)</f>
        <v>2</v>
      </c>
      <c r="P27">
        <f ca="1">INDEX(actuals_prd_exp[Removed Planned],$D27)</f>
        <v>1</v>
      </c>
      <c r="Q27">
        <f ca="1">INDEX(actuals_stn_imp[Removed Planned],$E27)</f>
        <v>0</v>
      </c>
      <c r="R27">
        <f ca="1">INDEX(actuals_stn_exp[Removed Planned],$F27)</f>
        <v>0</v>
      </c>
      <c r="S27">
        <f ca="1">INDEX(actuals_prd_imp[Planned done],$C27)</f>
        <v>11</v>
      </c>
      <c r="T27">
        <f ca="1">INDEX(actuals_prd_exp[Planned done],$D27)</f>
        <v>8</v>
      </c>
      <c r="U27">
        <f ca="1">INDEX(actuals_stn_imp[Planned done],$E27)</f>
        <v>3</v>
      </c>
      <c r="V27">
        <f ca="1">INDEX(actuals_stn_exp[Planned done],$F27)</f>
        <v>3</v>
      </c>
      <c r="W27">
        <f ca="1">INDEX(actuals_prd_imp[Additional done],$C27)</f>
        <v>2</v>
      </c>
      <c r="X27">
        <f ca="1">INDEX(actuals_prd_exp[Additional done],$D27)</f>
        <v>1</v>
      </c>
      <c r="Y27">
        <f ca="1">INDEX(actuals_stn_imp[Additional done],$E27)</f>
        <v>1</v>
      </c>
      <c r="Z27">
        <f ca="1">INDEX(actuals_stn_exp[Additional done],$F27)</f>
        <v>1</v>
      </c>
      <c r="AA27">
        <f ca="1">INDEX(actuals_prd_imp[Had expected impact],$C27)</f>
        <v>10</v>
      </c>
      <c r="AB27">
        <f ca="1">INDEX(actuals_prd_exp[Had expected impact],$D27)</f>
        <v>8</v>
      </c>
      <c r="AC27">
        <f ca="1">INDEX(actuals_stn_imp[Had expected impact],$E27)</f>
        <v>3</v>
      </c>
      <c r="AD27">
        <f ca="1">INDEX(actuals_stn_exp[Had expected impact],$F27)</f>
        <v>3</v>
      </c>
      <c r="AE27">
        <f ca="1">INDEX(actuals_prd_imp[Incorporated Learning into Future Plans],$C27)</f>
        <v>12</v>
      </c>
      <c r="AF27">
        <f ca="1">INDEX(actuals_prd_exp[Incorporated Learning into Future Plans],$D27)</f>
        <v>8</v>
      </c>
      <c r="AG27">
        <f ca="1">INDEX(actuals_stn_imp[Incorporated Learning into Future Plans],$E27)</f>
        <v>4</v>
      </c>
      <c r="AH27">
        <f ca="1">INDEX(actuals_stn_exp[Incorporated Learning into Future Plans],$F27)</f>
        <v>4</v>
      </c>
      <c r="AI27">
        <f ca="1">S27/G27</f>
        <v>2.2000000000000002</v>
      </c>
      <c r="AJ27">
        <f ca="1">T27/H27</f>
        <v>1.6</v>
      </c>
      <c r="AK27">
        <f ca="1">U27/I27</f>
        <v>1.5</v>
      </c>
      <c r="AL27">
        <f ca="1">V27/J27</f>
        <v>1.5</v>
      </c>
      <c r="AM27">
        <f ca="1">W27/G27</f>
        <v>0.4</v>
      </c>
      <c r="AN27">
        <f ca="1">X27/H27</f>
        <v>0.2</v>
      </c>
      <c r="AO27">
        <f ca="1">Y27/I27</f>
        <v>0.5</v>
      </c>
      <c r="AP27">
        <f ca="1">Z27/J27</f>
        <v>0.5</v>
      </c>
      <c r="AQ27" s="49">
        <f t="shared" ca="1" si="6"/>
        <v>0.22499999999999998</v>
      </c>
      <c r="AR27" s="49">
        <f t="shared" ca="1" si="7"/>
        <v>0.27</v>
      </c>
      <c r="AS27" s="49">
        <f ca="1">INDEX(budget_history[Budget],$B27)</f>
        <v>0.3</v>
      </c>
      <c r="AT27" s="49">
        <f t="shared" ca="1" si="8"/>
        <v>0.37</v>
      </c>
      <c r="AU27" s="49">
        <f t="shared" ca="1" si="9"/>
        <v>0.47500000000000009</v>
      </c>
      <c r="AV27" s="49">
        <v>1</v>
      </c>
      <c r="AW27" s="49">
        <f ca="1">SUM(AO27:AP27,AK27:AL27)/SUM(AI27:AP27)</f>
        <v>0.47619047619047605</v>
      </c>
      <c r="AX27" s="49">
        <v>0.6</v>
      </c>
      <c r="AY27" s="49">
        <v>0.8</v>
      </c>
      <c r="AZ27" s="49">
        <v>1</v>
      </c>
      <c r="BA27" s="49">
        <f ca="1">AI27/SUM(AI27,AM27)</f>
        <v>0.84615384615384615</v>
      </c>
      <c r="BB27" s="49">
        <f ca="1">AJ27/SUM(AJ27,AN27)</f>
        <v>0.88888888888888895</v>
      </c>
      <c r="BC27" s="49">
        <f ca="1">AK27/SUM(AK27,AO27)</f>
        <v>0.75</v>
      </c>
      <c r="BD27" s="49">
        <f ca="1">AL27/SUM(AL27,AP27)</f>
        <v>0.75</v>
      </c>
      <c r="BE27" s="49">
        <v>0.5</v>
      </c>
      <c r="BF27" s="49">
        <v>0.75</v>
      </c>
      <c r="BG27" s="49">
        <v>1</v>
      </c>
      <c r="BH27" s="49">
        <f t="shared" ca="1" si="10"/>
        <v>1</v>
      </c>
      <c r="BI27" s="49">
        <f t="shared" ca="1" si="11"/>
        <v>0.72727272727272729</v>
      </c>
      <c r="BJ27" s="49">
        <f t="shared" ca="1" si="12"/>
        <v>1</v>
      </c>
      <c r="BK27" s="49">
        <f t="shared" ca="1" si="13"/>
        <v>1</v>
      </c>
      <c r="BL27" s="49">
        <v>0.75</v>
      </c>
      <c r="BM27" s="49">
        <v>0.9</v>
      </c>
      <c r="BN27" s="49">
        <v>1</v>
      </c>
      <c r="BO27" s="49">
        <f t="shared" ca="1" si="14"/>
        <v>0.76923076923076927</v>
      </c>
      <c r="BP27" s="49">
        <f t="shared" ca="1" si="15"/>
        <v>0.75</v>
      </c>
      <c r="BQ27" s="49"/>
      <c r="BR27" s="49"/>
    </row>
    <row r="28" spans="1:70" x14ac:dyDescent="0.35">
      <c r="A28" s="53">
        <f t="shared" ca="1" si="16"/>
        <v>42513</v>
      </c>
      <c r="B28" s="48">
        <f ca="1">MATCH($A28,budget_history[Date])</f>
        <v>2</v>
      </c>
      <c r="C28" s="48">
        <f ca="1">MATCH($A28,actuals_prd_imp[End Date])</f>
        <v>12</v>
      </c>
      <c r="D28" s="48">
        <f ca="1">MATCH($A28,actuals_prd_exp[End Date])</f>
        <v>12</v>
      </c>
      <c r="E28" s="48">
        <f ca="1">MATCH($A28,actuals_stn_imp[End Date])</f>
        <v>29</v>
      </c>
      <c r="F28" s="48">
        <f ca="1">MATCH($A28,actuals_stn_exp[End Date])</f>
        <v>29</v>
      </c>
      <c r="G28">
        <f ca="1">NETWORKDAYS(INDEX(actuals_prd_imp[End Date],$C28-1), INDEX(actuals_prd_imp[End Date],$C28))-1</f>
        <v>5</v>
      </c>
      <c r="H28">
        <f ca="1">NETWORKDAYS(INDEX(actuals_prd_exp[End Date],$C28-1), INDEX(actuals_prd_exp[End Date],$C28))-1</f>
        <v>5</v>
      </c>
      <c r="I28">
        <f ca="1">NETWORKDAYS(INDEX(actuals_stn_imp[End Date],$C28-1), INDEX(actuals_stn_imp[End Date],$C28))-1</f>
        <v>2</v>
      </c>
      <c r="J28">
        <f ca="1">NETWORKDAYS(INDEX(actuals_stn_exp[End Date],$C28-1), INDEX(actuals_stn_exp[End Date],$C28))-1</f>
        <v>2</v>
      </c>
      <c r="K28">
        <f ca="1">INDEX(actuals_prd_imp[Taken into Immediate Future Plan],$C28)</f>
        <v>13</v>
      </c>
      <c r="L28">
        <f ca="1">INDEX(actuals_prd_exp[Taken into Immediate Future Plan],$D28)</f>
        <v>12</v>
      </c>
      <c r="M28">
        <f ca="1">INDEX(actuals_stn_imp[Taken into Immediate Future Plan],$E28)</f>
        <v>3</v>
      </c>
      <c r="N28">
        <f ca="1">INDEX(actuals_stn_exp[Taken into Immediate Future Plan],$F28)</f>
        <v>3</v>
      </c>
      <c r="O28">
        <f ca="1">INDEX(actuals_prd_imp[Removed Planned],$C28)</f>
        <v>2</v>
      </c>
      <c r="P28">
        <f ca="1">INDEX(actuals_prd_exp[Removed Planned],$D28)</f>
        <v>1</v>
      </c>
      <c r="Q28">
        <f ca="1">INDEX(actuals_stn_imp[Removed Planned],$E28)</f>
        <v>0</v>
      </c>
      <c r="R28">
        <f ca="1">INDEX(actuals_stn_exp[Removed Planned],$F28)</f>
        <v>0</v>
      </c>
      <c r="S28">
        <f ca="1">INDEX(actuals_prd_imp[Planned done],$C28)</f>
        <v>11</v>
      </c>
      <c r="T28">
        <f ca="1">INDEX(actuals_prd_exp[Planned done],$D28)</f>
        <v>8</v>
      </c>
      <c r="U28">
        <f ca="1">INDEX(actuals_stn_imp[Planned done],$E28)</f>
        <v>3</v>
      </c>
      <c r="V28">
        <f ca="1">INDEX(actuals_stn_exp[Planned done],$F28)</f>
        <v>3</v>
      </c>
      <c r="W28">
        <f ca="1">INDEX(actuals_prd_imp[Additional done],$C28)</f>
        <v>2</v>
      </c>
      <c r="X28">
        <f ca="1">INDEX(actuals_prd_exp[Additional done],$D28)</f>
        <v>1</v>
      </c>
      <c r="Y28">
        <f ca="1">INDEX(actuals_stn_imp[Additional done],$E28)</f>
        <v>1</v>
      </c>
      <c r="Z28">
        <f ca="1">INDEX(actuals_stn_exp[Additional done],$F28)</f>
        <v>0</v>
      </c>
      <c r="AA28">
        <f ca="1">INDEX(actuals_prd_imp[Had expected impact],$C28)</f>
        <v>10</v>
      </c>
      <c r="AB28">
        <f ca="1">INDEX(actuals_prd_exp[Had expected impact],$D28)</f>
        <v>8</v>
      </c>
      <c r="AC28">
        <f ca="1">INDEX(actuals_stn_imp[Had expected impact],$E28)</f>
        <v>4</v>
      </c>
      <c r="AD28">
        <f ca="1">INDEX(actuals_stn_exp[Had expected impact],$F28)</f>
        <v>3</v>
      </c>
      <c r="AE28">
        <f ca="1">INDEX(actuals_prd_imp[Incorporated Learning into Future Plans],$C28)</f>
        <v>12</v>
      </c>
      <c r="AF28">
        <f ca="1">INDEX(actuals_prd_exp[Incorporated Learning into Future Plans],$D28)</f>
        <v>8</v>
      </c>
      <c r="AG28">
        <f ca="1">INDEX(actuals_stn_imp[Incorporated Learning into Future Plans],$E28)</f>
        <v>4</v>
      </c>
      <c r="AH28">
        <f ca="1">INDEX(actuals_stn_exp[Incorporated Learning into Future Plans],$F28)</f>
        <v>3</v>
      </c>
      <c r="AI28">
        <f ca="1">S28/G28</f>
        <v>2.2000000000000002</v>
      </c>
      <c r="AJ28">
        <f ca="1">T28/H28</f>
        <v>1.6</v>
      </c>
      <c r="AK28">
        <f ca="1">U28/I28</f>
        <v>1.5</v>
      </c>
      <c r="AL28">
        <f ca="1">V28/J28</f>
        <v>1.5</v>
      </c>
      <c r="AM28">
        <f ca="1">W28/G28</f>
        <v>0.4</v>
      </c>
      <c r="AN28">
        <f ca="1">X28/H28</f>
        <v>0.2</v>
      </c>
      <c r="AO28">
        <f ca="1">Y28/I28</f>
        <v>0.5</v>
      </c>
      <c r="AP28">
        <f ca="1">Z28/J28</f>
        <v>0</v>
      </c>
      <c r="AQ28" s="49">
        <f t="shared" ca="1" si="6"/>
        <v>0.22499999999999998</v>
      </c>
      <c r="AR28" s="49">
        <f t="shared" ca="1" si="7"/>
        <v>0.27</v>
      </c>
      <c r="AS28" s="49">
        <f ca="1">INDEX(budget_history[Budget],$B28)</f>
        <v>0.3</v>
      </c>
      <c r="AT28" s="49">
        <f t="shared" ca="1" si="8"/>
        <v>0.37</v>
      </c>
      <c r="AU28" s="49">
        <f t="shared" ca="1" si="9"/>
        <v>0.47500000000000009</v>
      </c>
      <c r="AV28" s="49">
        <v>1</v>
      </c>
      <c r="AW28" s="49">
        <f ca="1">SUM(AO28:AP28,AK28:AL28)/SUM(AI28:AP28)</f>
        <v>0.44303797468354422</v>
      </c>
      <c r="AX28" s="49">
        <v>0.6</v>
      </c>
      <c r="AY28" s="49">
        <v>0.8</v>
      </c>
      <c r="AZ28" s="49">
        <v>1</v>
      </c>
      <c r="BA28" s="49">
        <f ca="1">AI28/SUM(AI28,AM28)</f>
        <v>0.84615384615384615</v>
      </c>
      <c r="BB28" s="49">
        <f ca="1">AJ28/SUM(AJ28,AN28)</f>
        <v>0.88888888888888895</v>
      </c>
      <c r="BC28" s="49">
        <f ca="1">AK28/SUM(AK28,AO28)</f>
        <v>0.75</v>
      </c>
      <c r="BD28" s="49">
        <f ca="1">AL28/SUM(AL28,AP28)</f>
        <v>1</v>
      </c>
      <c r="BE28" s="49">
        <v>0.5</v>
      </c>
      <c r="BF28" s="49">
        <v>0.75</v>
      </c>
      <c r="BG28" s="49">
        <v>1</v>
      </c>
      <c r="BH28" s="49">
        <f t="shared" ca="1" si="10"/>
        <v>1</v>
      </c>
      <c r="BI28" s="49">
        <f t="shared" ca="1" si="11"/>
        <v>0.72727272727272729</v>
      </c>
      <c r="BJ28" s="49">
        <f t="shared" ca="1" si="12"/>
        <v>1</v>
      </c>
      <c r="BK28" s="49">
        <f t="shared" ca="1" si="13"/>
        <v>1</v>
      </c>
      <c r="BL28" s="49">
        <v>0.75</v>
      </c>
      <c r="BM28" s="49">
        <v>0.9</v>
      </c>
      <c r="BN28" s="49">
        <v>1</v>
      </c>
      <c r="BO28" s="49">
        <f t="shared" ca="1" si="14"/>
        <v>0.76923076923076927</v>
      </c>
      <c r="BP28" s="49">
        <f t="shared" ca="1" si="15"/>
        <v>1</v>
      </c>
      <c r="BQ28" s="49"/>
      <c r="BR28" s="49"/>
    </row>
    <row r="29" spans="1:70" x14ac:dyDescent="0.35">
      <c r="A29" s="53">
        <f t="shared" ca="1" si="16"/>
        <v>42514</v>
      </c>
      <c r="B29" s="48">
        <f ca="1">MATCH($A29,budget_history[Date])</f>
        <v>2</v>
      </c>
      <c r="C29" s="48">
        <f ca="1">MATCH($A29,actuals_prd_imp[End Date])</f>
        <v>12</v>
      </c>
      <c r="D29" s="48">
        <f ca="1">MATCH($A29,actuals_prd_exp[End Date])</f>
        <v>12</v>
      </c>
      <c r="E29" s="48">
        <f ca="1">MATCH($A29,actuals_stn_imp[End Date])</f>
        <v>29</v>
      </c>
      <c r="F29" s="48">
        <f ca="1">MATCH($A29,actuals_stn_exp[End Date])</f>
        <v>29</v>
      </c>
      <c r="G29">
        <f ca="1">NETWORKDAYS(INDEX(actuals_prd_imp[End Date],$C29-1), INDEX(actuals_prd_imp[End Date],$C29))-1</f>
        <v>5</v>
      </c>
      <c r="H29">
        <f ca="1">NETWORKDAYS(INDEX(actuals_prd_exp[End Date],$C29-1), INDEX(actuals_prd_exp[End Date],$C29))-1</f>
        <v>5</v>
      </c>
      <c r="I29">
        <f ca="1">NETWORKDAYS(INDEX(actuals_stn_imp[End Date],$C29-1), INDEX(actuals_stn_imp[End Date],$C29))-1</f>
        <v>2</v>
      </c>
      <c r="J29">
        <f ca="1">NETWORKDAYS(INDEX(actuals_stn_exp[End Date],$C29-1), INDEX(actuals_stn_exp[End Date],$C29))-1</f>
        <v>2</v>
      </c>
      <c r="K29">
        <f ca="1">INDEX(actuals_prd_imp[Taken into Immediate Future Plan],$C29)</f>
        <v>13</v>
      </c>
      <c r="L29">
        <f ca="1">INDEX(actuals_prd_exp[Taken into Immediate Future Plan],$D29)</f>
        <v>12</v>
      </c>
      <c r="M29">
        <f ca="1">INDEX(actuals_stn_imp[Taken into Immediate Future Plan],$E29)</f>
        <v>3</v>
      </c>
      <c r="N29">
        <f ca="1">INDEX(actuals_stn_exp[Taken into Immediate Future Plan],$F29)</f>
        <v>3</v>
      </c>
      <c r="O29">
        <f ca="1">INDEX(actuals_prd_imp[Removed Planned],$C29)</f>
        <v>2</v>
      </c>
      <c r="P29">
        <f ca="1">INDEX(actuals_prd_exp[Removed Planned],$D29)</f>
        <v>1</v>
      </c>
      <c r="Q29">
        <f ca="1">INDEX(actuals_stn_imp[Removed Planned],$E29)</f>
        <v>0</v>
      </c>
      <c r="R29">
        <f ca="1">INDEX(actuals_stn_exp[Removed Planned],$F29)</f>
        <v>0</v>
      </c>
      <c r="S29">
        <f ca="1">INDEX(actuals_prd_imp[Planned done],$C29)</f>
        <v>11</v>
      </c>
      <c r="T29">
        <f ca="1">INDEX(actuals_prd_exp[Planned done],$D29)</f>
        <v>8</v>
      </c>
      <c r="U29">
        <f ca="1">INDEX(actuals_stn_imp[Planned done],$E29)</f>
        <v>3</v>
      </c>
      <c r="V29">
        <f ca="1">INDEX(actuals_stn_exp[Planned done],$F29)</f>
        <v>3</v>
      </c>
      <c r="W29">
        <f ca="1">INDEX(actuals_prd_imp[Additional done],$C29)</f>
        <v>2</v>
      </c>
      <c r="X29">
        <f ca="1">INDEX(actuals_prd_exp[Additional done],$D29)</f>
        <v>1</v>
      </c>
      <c r="Y29">
        <f ca="1">INDEX(actuals_stn_imp[Additional done],$E29)</f>
        <v>1</v>
      </c>
      <c r="Z29">
        <f ca="1">INDEX(actuals_stn_exp[Additional done],$F29)</f>
        <v>0</v>
      </c>
      <c r="AA29">
        <f ca="1">INDEX(actuals_prd_imp[Had expected impact],$C29)</f>
        <v>10</v>
      </c>
      <c r="AB29">
        <f ca="1">INDEX(actuals_prd_exp[Had expected impact],$D29)</f>
        <v>8</v>
      </c>
      <c r="AC29">
        <f ca="1">INDEX(actuals_stn_imp[Had expected impact],$E29)</f>
        <v>4</v>
      </c>
      <c r="AD29">
        <f ca="1">INDEX(actuals_stn_exp[Had expected impact],$F29)</f>
        <v>3</v>
      </c>
      <c r="AE29">
        <f ca="1">INDEX(actuals_prd_imp[Incorporated Learning into Future Plans],$C29)</f>
        <v>12</v>
      </c>
      <c r="AF29">
        <f ca="1">INDEX(actuals_prd_exp[Incorporated Learning into Future Plans],$D29)</f>
        <v>8</v>
      </c>
      <c r="AG29">
        <f ca="1">INDEX(actuals_stn_imp[Incorporated Learning into Future Plans],$E29)</f>
        <v>4</v>
      </c>
      <c r="AH29">
        <f ca="1">INDEX(actuals_stn_exp[Incorporated Learning into Future Plans],$F29)</f>
        <v>3</v>
      </c>
      <c r="AI29">
        <f ca="1">S29/G29</f>
        <v>2.2000000000000002</v>
      </c>
      <c r="AJ29">
        <f ca="1">T29/H29</f>
        <v>1.6</v>
      </c>
      <c r="AK29">
        <f ca="1">U29/I29</f>
        <v>1.5</v>
      </c>
      <c r="AL29">
        <f ca="1">V29/J29</f>
        <v>1.5</v>
      </c>
      <c r="AM29">
        <f ca="1">W29/G29</f>
        <v>0.4</v>
      </c>
      <c r="AN29">
        <f ca="1">X29/H29</f>
        <v>0.2</v>
      </c>
      <c r="AO29">
        <f ca="1">Y29/I29</f>
        <v>0.5</v>
      </c>
      <c r="AP29">
        <f ca="1">Z29/J29</f>
        <v>0</v>
      </c>
      <c r="AQ29" s="49">
        <f t="shared" ca="1" si="6"/>
        <v>0.22499999999999998</v>
      </c>
      <c r="AR29" s="49">
        <f t="shared" ca="1" si="7"/>
        <v>0.27</v>
      </c>
      <c r="AS29" s="49">
        <f ca="1">INDEX(budget_history[Budget],$B29)</f>
        <v>0.3</v>
      </c>
      <c r="AT29" s="49">
        <f t="shared" ca="1" si="8"/>
        <v>0.37</v>
      </c>
      <c r="AU29" s="49">
        <f t="shared" ca="1" si="9"/>
        <v>0.47500000000000009</v>
      </c>
      <c r="AV29" s="49">
        <v>1</v>
      </c>
      <c r="AW29" s="49">
        <f ca="1">SUM(AO29:AP29,AK29:AL29)/SUM(AI29:AP29)</f>
        <v>0.44303797468354422</v>
      </c>
      <c r="AX29" s="49">
        <v>0.6</v>
      </c>
      <c r="AY29" s="49">
        <v>0.8</v>
      </c>
      <c r="AZ29" s="49">
        <v>1</v>
      </c>
      <c r="BA29" s="49">
        <f ca="1">AI29/SUM(AI29,AM29)</f>
        <v>0.84615384615384615</v>
      </c>
      <c r="BB29" s="49">
        <f ca="1">AJ29/SUM(AJ29,AN29)</f>
        <v>0.88888888888888895</v>
      </c>
      <c r="BC29" s="49">
        <f ca="1">AK29/SUM(AK29,AO29)</f>
        <v>0.75</v>
      </c>
      <c r="BD29" s="49">
        <f ca="1">AL29/SUM(AL29,AP29)</f>
        <v>1</v>
      </c>
      <c r="BE29" s="49">
        <v>0.5</v>
      </c>
      <c r="BF29" s="49">
        <v>0.75</v>
      </c>
      <c r="BG29" s="49">
        <v>1</v>
      </c>
      <c r="BH29" s="49">
        <f t="shared" ca="1" si="10"/>
        <v>1</v>
      </c>
      <c r="BI29" s="49">
        <f t="shared" ca="1" si="11"/>
        <v>0.72727272727272729</v>
      </c>
      <c r="BJ29" s="49">
        <f t="shared" ca="1" si="12"/>
        <v>1</v>
      </c>
      <c r="BK29" s="49">
        <f t="shared" ca="1" si="13"/>
        <v>1</v>
      </c>
      <c r="BL29" s="49">
        <v>0.75</v>
      </c>
      <c r="BM29" s="49">
        <v>0.9</v>
      </c>
      <c r="BN29" s="49">
        <v>1</v>
      </c>
      <c r="BO29" s="49">
        <f t="shared" ca="1" si="14"/>
        <v>0.76923076923076927</v>
      </c>
      <c r="BP29" s="49">
        <f t="shared" ca="1" si="15"/>
        <v>1</v>
      </c>
      <c r="BQ29" s="49"/>
      <c r="BR29" s="49"/>
    </row>
    <row r="30" spans="1:70" x14ac:dyDescent="0.35">
      <c r="A30" s="53">
        <f t="shared" ca="1" si="16"/>
        <v>42515</v>
      </c>
      <c r="B30" s="48">
        <f ca="1">MATCH($A30,budget_history[Date])</f>
        <v>3</v>
      </c>
      <c r="C30" s="48">
        <f ca="1">MATCH($A30,actuals_prd_imp[End Date])</f>
        <v>12</v>
      </c>
      <c r="D30" s="48">
        <f ca="1">MATCH($A30,actuals_prd_exp[End Date])</f>
        <v>12</v>
      </c>
      <c r="E30" s="48">
        <f ca="1">MATCH($A30,actuals_stn_imp[End Date])</f>
        <v>30</v>
      </c>
      <c r="F30" s="48">
        <f ca="1">MATCH($A30,actuals_stn_exp[End Date])</f>
        <v>30</v>
      </c>
      <c r="G30">
        <f ca="1">NETWORKDAYS(INDEX(actuals_prd_imp[End Date],$C30-1), INDEX(actuals_prd_imp[End Date],$C30))-1</f>
        <v>5</v>
      </c>
      <c r="H30">
        <f ca="1">NETWORKDAYS(INDEX(actuals_prd_exp[End Date],$C30-1), INDEX(actuals_prd_exp[End Date],$C30))-1</f>
        <v>5</v>
      </c>
      <c r="I30">
        <f ca="1">NETWORKDAYS(INDEX(actuals_stn_imp[End Date],$C30-1), INDEX(actuals_stn_imp[End Date],$C30))-1</f>
        <v>2</v>
      </c>
      <c r="J30">
        <f ca="1">NETWORKDAYS(INDEX(actuals_stn_exp[End Date],$C30-1), INDEX(actuals_stn_exp[End Date],$C30))-1</f>
        <v>2</v>
      </c>
      <c r="K30">
        <f ca="1">INDEX(actuals_prd_imp[Taken into Immediate Future Plan],$C30)</f>
        <v>13</v>
      </c>
      <c r="L30">
        <f ca="1">INDEX(actuals_prd_exp[Taken into Immediate Future Plan],$D30)</f>
        <v>12</v>
      </c>
      <c r="M30">
        <f ca="1">INDEX(actuals_stn_imp[Taken into Immediate Future Plan],$E30)</f>
        <v>2</v>
      </c>
      <c r="N30">
        <f ca="1">INDEX(actuals_stn_exp[Taken into Immediate Future Plan],$F30)</f>
        <v>3</v>
      </c>
      <c r="O30">
        <f ca="1">INDEX(actuals_prd_imp[Removed Planned],$C30)</f>
        <v>2</v>
      </c>
      <c r="P30">
        <f ca="1">INDEX(actuals_prd_exp[Removed Planned],$D30)</f>
        <v>1</v>
      </c>
      <c r="Q30">
        <f ca="1">INDEX(actuals_stn_imp[Removed Planned],$E30)</f>
        <v>0</v>
      </c>
      <c r="R30">
        <f ca="1">INDEX(actuals_stn_exp[Removed Planned],$F30)</f>
        <v>0</v>
      </c>
      <c r="S30">
        <f ca="1">INDEX(actuals_prd_imp[Planned done],$C30)</f>
        <v>11</v>
      </c>
      <c r="T30">
        <f ca="1">INDEX(actuals_prd_exp[Planned done],$D30)</f>
        <v>8</v>
      </c>
      <c r="U30">
        <f ca="1">INDEX(actuals_stn_imp[Planned done],$E30)</f>
        <v>1</v>
      </c>
      <c r="V30">
        <f ca="1">INDEX(actuals_stn_exp[Planned done],$F30)</f>
        <v>3</v>
      </c>
      <c r="W30">
        <f ca="1">INDEX(actuals_prd_imp[Additional done],$C30)</f>
        <v>2</v>
      </c>
      <c r="X30">
        <f ca="1">INDEX(actuals_prd_exp[Additional done],$D30)</f>
        <v>1</v>
      </c>
      <c r="Y30">
        <f ca="1">INDEX(actuals_stn_imp[Additional done],$E30)</f>
        <v>0</v>
      </c>
      <c r="Z30">
        <f ca="1">INDEX(actuals_stn_exp[Additional done],$F30)</f>
        <v>0</v>
      </c>
      <c r="AA30">
        <f ca="1">INDEX(actuals_prd_imp[Had expected impact],$C30)</f>
        <v>10</v>
      </c>
      <c r="AB30">
        <f ca="1">INDEX(actuals_prd_exp[Had expected impact],$D30)</f>
        <v>8</v>
      </c>
      <c r="AC30">
        <f ca="1">INDEX(actuals_stn_imp[Had expected impact],$E30)</f>
        <v>1</v>
      </c>
      <c r="AD30">
        <f ca="1">INDEX(actuals_stn_exp[Had expected impact],$F30)</f>
        <v>2</v>
      </c>
      <c r="AE30">
        <f ca="1">INDEX(actuals_prd_imp[Incorporated Learning into Future Plans],$C30)</f>
        <v>12</v>
      </c>
      <c r="AF30">
        <f ca="1">INDEX(actuals_prd_exp[Incorporated Learning into Future Plans],$D30)</f>
        <v>8</v>
      </c>
      <c r="AG30">
        <f ca="1">INDEX(actuals_stn_imp[Incorporated Learning into Future Plans],$E30)</f>
        <v>1</v>
      </c>
      <c r="AH30">
        <f ca="1">INDEX(actuals_stn_exp[Incorporated Learning into Future Plans],$F30)</f>
        <v>3</v>
      </c>
      <c r="AI30">
        <f ca="1">S30/G30</f>
        <v>2.2000000000000002</v>
      </c>
      <c r="AJ30">
        <f ca="1">T30/H30</f>
        <v>1.6</v>
      </c>
      <c r="AK30">
        <f ca="1">U30/I30</f>
        <v>0.5</v>
      </c>
      <c r="AL30">
        <f ca="1">V30/J30</f>
        <v>1.5</v>
      </c>
      <c r="AM30">
        <f ca="1">W30/G30</f>
        <v>0.4</v>
      </c>
      <c r="AN30">
        <f ca="1">X30/H30</f>
        <v>0.2</v>
      </c>
      <c r="AO30">
        <f ca="1">Y30/I30</f>
        <v>0</v>
      </c>
      <c r="AP30">
        <f ca="1">Z30/J30</f>
        <v>0</v>
      </c>
      <c r="AQ30" s="49">
        <f t="shared" ca="1" si="6"/>
        <v>0.30000000000000004</v>
      </c>
      <c r="AR30" s="49">
        <f t="shared" ca="1" si="7"/>
        <v>0.36000000000000004</v>
      </c>
      <c r="AS30" s="49">
        <f ca="1">INDEX(budget_history[Budget],$B30)</f>
        <v>0.4</v>
      </c>
      <c r="AT30" s="49">
        <f t="shared" ca="1" si="8"/>
        <v>0.45999999999999996</v>
      </c>
      <c r="AU30" s="49">
        <f t="shared" ca="1" si="9"/>
        <v>0.55000000000000004</v>
      </c>
      <c r="AV30" s="49">
        <v>1</v>
      </c>
      <c r="AW30" s="49">
        <f ca="1">SUM(AO30:AP30,AK30:AL30)/SUM(AI30:AP30)</f>
        <v>0.31249999999999994</v>
      </c>
      <c r="AX30" s="49">
        <v>0.6</v>
      </c>
      <c r="AY30" s="49">
        <v>0.8</v>
      </c>
      <c r="AZ30" s="49">
        <v>1</v>
      </c>
      <c r="BA30" s="49">
        <f ca="1">AI30/SUM(AI30,AM30)</f>
        <v>0.84615384615384615</v>
      </c>
      <c r="BB30" s="49">
        <f ca="1">AJ30/SUM(AJ30,AN30)</f>
        <v>0.88888888888888895</v>
      </c>
      <c r="BC30" s="49">
        <f ca="1">AK30/SUM(AK30,AO30)</f>
        <v>1</v>
      </c>
      <c r="BD30" s="49">
        <f ca="1">AL30/SUM(AL30,AP30)</f>
        <v>1</v>
      </c>
      <c r="BE30" s="49">
        <v>0.5</v>
      </c>
      <c r="BF30" s="49">
        <v>0.75</v>
      </c>
      <c r="BG30" s="49">
        <v>1</v>
      </c>
      <c r="BH30" s="49">
        <f t="shared" ca="1" si="10"/>
        <v>1</v>
      </c>
      <c r="BI30" s="49">
        <f t="shared" ca="1" si="11"/>
        <v>0.72727272727272729</v>
      </c>
      <c r="BJ30" s="49">
        <f t="shared" ca="1" si="12"/>
        <v>0.5</v>
      </c>
      <c r="BK30" s="49">
        <f t="shared" ca="1" si="13"/>
        <v>1</v>
      </c>
      <c r="BL30" s="49">
        <v>0.75</v>
      </c>
      <c r="BM30" s="49">
        <v>0.9</v>
      </c>
      <c r="BN30" s="49">
        <v>1</v>
      </c>
      <c r="BO30" s="49">
        <f t="shared" ca="1" si="14"/>
        <v>0.76923076923076927</v>
      </c>
      <c r="BP30" s="49">
        <f t="shared" ca="1" si="15"/>
        <v>1</v>
      </c>
      <c r="BQ30" s="49"/>
      <c r="BR30" s="49"/>
    </row>
    <row r="31" spans="1:70" x14ac:dyDescent="0.35">
      <c r="A31" s="53">
        <f t="shared" ca="1" si="16"/>
        <v>42516</v>
      </c>
      <c r="B31" s="48">
        <f ca="1">MATCH($A31,budget_history[Date])</f>
        <v>3</v>
      </c>
      <c r="C31" s="48">
        <f ca="1">MATCH($A31,actuals_prd_imp[End Date])</f>
        <v>13</v>
      </c>
      <c r="D31" s="48">
        <f ca="1">MATCH($A31,actuals_prd_exp[End Date])</f>
        <v>13</v>
      </c>
      <c r="E31" s="48">
        <f ca="1">MATCH($A31,actuals_stn_imp[End Date])</f>
        <v>30</v>
      </c>
      <c r="F31" s="48">
        <f ca="1">MATCH($A31,actuals_stn_exp[End Date])</f>
        <v>30</v>
      </c>
      <c r="G31">
        <f ca="1">NETWORKDAYS(INDEX(actuals_prd_imp[End Date],$C31-1), INDEX(actuals_prd_imp[End Date],$C31))-1</f>
        <v>5</v>
      </c>
      <c r="H31">
        <f ca="1">NETWORKDAYS(INDEX(actuals_prd_exp[End Date],$C31-1), INDEX(actuals_prd_exp[End Date],$C31))-1</f>
        <v>5</v>
      </c>
      <c r="I31">
        <f ca="1">NETWORKDAYS(INDEX(actuals_stn_imp[End Date],$C31-1), INDEX(actuals_stn_imp[End Date],$C31))-1</f>
        <v>2</v>
      </c>
      <c r="J31">
        <f ca="1">NETWORKDAYS(INDEX(actuals_stn_exp[End Date],$C31-1), INDEX(actuals_stn_exp[End Date],$C31))-1</f>
        <v>2</v>
      </c>
      <c r="K31">
        <f ca="1">INDEX(actuals_prd_imp[Taken into Immediate Future Plan],$C31)</f>
        <v>15</v>
      </c>
      <c r="L31">
        <f ca="1">INDEX(actuals_prd_exp[Taken into Immediate Future Plan],$D31)</f>
        <v>14</v>
      </c>
      <c r="M31">
        <f ca="1">INDEX(actuals_stn_imp[Taken into Immediate Future Plan],$E31)</f>
        <v>2</v>
      </c>
      <c r="N31">
        <f ca="1">INDEX(actuals_stn_exp[Taken into Immediate Future Plan],$F31)</f>
        <v>3</v>
      </c>
      <c r="O31">
        <f ca="1">INDEX(actuals_prd_imp[Removed Planned],$C31)</f>
        <v>1</v>
      </c>
      <c r="P31">
        <f ca="1">INDEX(actuals_prd_exp[Removed Planned],$D31)</f>
        <v>2</v>
      </c>
      <c r="Q31">
        <f ca="1">INDEX(actuals_stn_imp[Removed Planned],$E31)</f>
        <v>0</v>
      </c>
      <c r="R31">
        <f ca="1">INDEX(actuals_stn_exp[Removed Planned],$F31)</f>
        <v>0</v>
      </c>
      <c r="S31">
        <f ca="1">INDEX(actuals_prd_imp[Planned done],$C31)</f>
        <v>14</v>
      </c>
      <c r="T31">
        <f ca="1">INDEX(actuals_prd_exp[Planned done],$D31)</f>
        <v>12</v>
      </c>
      <c r="U31">
        <f ca="1">INDEX(actuals_stn_imp[Planned done],$E31)</f>
        <v>1</v>
      </c>
      <c r="V31">
        <f ca="1">INDEX(actuals_stn_exp[Planned done],$F31)</f>
        <v>3</v>
      </c>
      <c r="W31">
        <f ca="1">INDEX(actuals_prd_imp[Additional done],$C31)</f>
        <v>1</v>
      </c>
      <c r="X31">
        <f ca="1">INDEX(actuals_prd_exp[Additional done],$D31)</f>
        <v>2</v>
      </c>
      <c r="Y31">
        <f ca="1">INDEX(actuals_stn_imp[Additional done],$E31)</f>
        <v>0</v>
      </c>
      <c r="Z31">
        <f ca="1">INDEX(actuals_stn_exp[Additional done],$F31)</f>
        <v>0</v>
      </c>
      <c r="AA31">
        <f ca="1">INDEX(actuals_prd_imp[Had expected impact],$C31)</f>
        <v>15</v>
      </c>
      <c r="AB31">
        <f ca="1">INDEX(actuals_prd_exp[Had expected impact],$D31)</f>
        <v>12</v>
      </c>
      <c r="AC31">
        <f ca="1">INDEX(actuals_stn_imp[Had expected impact],$E31)</f>
        <v>1</v>
      </c>
      <c r="AD31">
        <f ca="1">INDEX(actuals_stn_exp[Had expected impact],$F31)</f>
        <v>2</v>
      </c>
      <c r="AE31">
        <f ca="1">INDEX(actuals_prd_imp[Incorporated Learning into Future Plans],$C31)</f>
        <v>14</v>
      </c>
      <c r="AF31">
        <f ca="1">INDEX(actuals_prd_exp[Incorporated Learning into Future Plans],$D31)</f>
        <v>13</v>
      </c>
      <c r="AG31">
        <f ca="1">INDEX(actuals_stn_imp[Incorporated Learning into Future Plans],$E31)</f>
        <v>1</v>
      </c>
      <c r="AH31">
        <f ca="1">INDEX(actuals_stn_exp[Incorporated Learning into Future Plans],$F31)</f>
        <v>3</v>
      </c>
      <c r="AI31">
        <f ca="1">S31/G31</f>
        <v>2.8</v>
      </c>
      <c r="AJ31">
        <f ca="1">T31/H31</f>
        <v>2.4</v>
      </c>
      <c r="AK31">
        <f ca="1">U31/I31</f>
        <v>0.5</v>
      </c>
      <c r="AL31">
        <f ca="1">V31/J31</f>
        <v>1.5</v>
      </c>
      <c r="AM31">
        <f ca="1">W31/G31</f>
        <v>0.2</v>
      </c>
      <c r="AN31">
        <f ca="1">X31/H31</f>
        <v>0.4</v>
      </c>
      <c r="AO31">
        <f ca="1">Y31/I31</f>
        <v>0</v>
      </c>
      <c r="AP31">
        <f ca="1">Z31/J31</f>
        <v>0</v>
      </c>
      <c r="AQ31" s="49">
        <f t="shared" ca="1" si="6"/>
        <v>0.30000000000000004</v>
      </c>
      <c r="AR31" s="49">
        <f t="shared" ca="1" si="7"/>
        <v>0.36000000000000004</v>
      </c>
      <c r="AS31" s="49">
        <f ca="1">INDEX(budget_history[Budget],$B31)</f>
        <v>0.4</v>
      </c>
      <c r="AT31" s="49">
        <f t="shared" ca="1" si="8"/>
        <v>0.45999999999999996</v>
      </c>
      <c r="AU31" s="49">
        <f t="shared" ca="1" si="9"/>
        <v>0.55000000000000004</v>
      </c>
      <c r="AV31" s="49">
        <v>1</v>
      </c>
      <c r="AW31" s="49">
        <f ca="1">SUM(AO31:AP31,AK31:AL31)/SUM(AI31:AP31)</f>
        <v>0.25641025641025644</v>
      </c>
      <c r="AX31" s="49">
        <v>0.6</v>
      </c>
      <c r="AY31" s="49">
        <v>0.8</v>
      </c>
      <c r="AZ31" s="49">
        <v>1</v>
      </c>
      <c r="BA31" s="49">
        <f ca="1">AI31/SUM(AI31,AM31)</f>
        <v>0.93333333333333324</v>
      </c>
      <c r="BB31" s="49">
        <f ca="1">AJ31/SUM(AJ31,AN31)</f>
        <v>0.85714285714285721</v>
      </c>
      <c r="BC31" s="49">
        <f ca="1">AK31/SUM(AK31,AO31)</f>
        <v>1</v>
      </c>
      <c r="BD31" s="49">
        <f ca="1">AL31/SUM(AL31,AP31)</f>
        <v>1</v>
      </c>
      <c r="BE31" s="49">
        <v>0.5</v>
      </c>
      <c r="BF31" s="49">
        <v>0.75</v>
      </c>
      <c r="BG31" s="49">
        <v>1</v>
      </c>
      <c r="BH31" s="49">
        <f t="shared" ca="1" si="10"/>
        <v>1</v>
      </c>
      <c r="BI31" s="49">
        <f t="shared" ca="1" si="11"/>
        <v>1</v>
      </c>
      <c r="BJ31" s="49">
        <f t="shared" ca="1" si="12"/>
        <v>0.5</v>
      </c>
      <c r="BK31" s="49">
        <f t="shared" ca="1" si="13"/>
        <v>1</v>
      </c>
      <c r="BL31" s="49">
        <v>0.75</v>
      </c>
      <c r="BM31" s="49">
        <v>0.9</v>
      </c>
      <c r="BN31" s="49">
        <v>1</v>
      </c>
      <c r="BO31" s="49">
        <f t="shared" ca="1" si="14"/>
        <v>1</v>
      </c>
      <c r="BP31" s="49">
        <f t="shared" ca="1" si="15"/>
        <v>1</v>
      </c>
      <c r="BQ31" s="49"/>
      <c r="BR31" s="49"/>
    </row>
    <row r="32" spans="1:70" x14ac:dyDescent="0.35">
      <c r="A32" s="53">
        <f t="shared" ca="1" si="16"/>
        <v>42517</v>
      </c>
      <c r="B32" s="48">
        <f ca="1">MATCH($A32,budget_history[Date])</f>
        <v>3</v>
      </c>
      <c r="C32" s="48">
        <f ca="1">MATCH($A32,actuals_prd_imp[End Date])</f>
        <v>13</v>
      </c>
      <c r="D32" s="48">
        <f ca="1">MATCH($A32,actuals_prd_exp[End Date])</f>
        <v>13</v>
      </c>
      <c r="E32" s="48">
        <f ca="1">MATCH($A32,actuals_stn_imp[End Date])</f>
        <v>31</v>
      </c>
      <c r="F32" s="48">
        <f ca="1">MATCH($A32,actuals_stn_exp[End Date])</f>
        <v>31</v>
      </c>
      <c r="G32">
        <f ca="1">NETWORKDAYS(INDEX(actuals_prd_imp[End Date],$C32-1), INDEX(actuals_prd_imp[End Date],$C32))-1</f>
        <v>5</v>
      </c>
      <c r="H32">
        <f ca="1">NETWORKDAYS(INDEX(actuals_prd_exp[End Date],$C32-1), INDEX(actuals_prd_exp[End Date],$C32))-1</f>
        <v>5</v>
      </c>
      <c r="I32">
        <f ca="1">NETWORKDAYS(INDEX(actuals_stn_imp[End Date],$C32-1), INDEX(actuals_stn_imp[End Date],$C32))-1</f>
        <v>2</v>
      </c>
      <c r="J32">
        <f ca="1">NETWORKDAYS(INDEX(actuals_stn_exp[End Date],$C32-1), INDEX(actuals_stn_exp[End Date],$C32))-1</f>
        <v>2</v>
      </c>
      <c r="K32">
        <f ca="1">INDEX(actuals_prd_imp[Taken into Immediate Future Plan],$C32)</f>
        <v>15</v>
      </c>
      <c r="L32">
        <f ca="1">INDEX(actuals_prd_exp[Taken into Immediate Future Plan],$D32)</f>
        <v>14</v>
      </c>
      <c r="M32">
        <f ca="1">INDEX(actuals_stn_imp[Taken into Immediate Future Plan],$E32)</f>
        <v>3</v>
      </c>
      <c r="N32">
        <f ca="1">INDEX(actuals_stn_exp[Taken into Immediate Future Plan],$F32)</f>
        <v>2</v>
      </c>
      <c r="O32">
        <f ca="1">INDEX(actuals_prd_imp[Removed Planned],$C32)</f>
        <v>1</v>
      </c>
      <c r="P32">
        <f ca="1">INDEX(actuals_prd_exp[Removed Planned],$D32)</f>
        <v>2</v>
      </c>
      <c r="Q32">
        <f ca="1">INDEX(actuals_stn_imp[Removed Planned],$E32)</f>
        <v>0</v>
      </c>
      <c r="R32">
        <f ca="1">INDEX(actuals_stn_exp[Removed Planned],$F32)</f>
        <v>0</v>
      </c>
      <c r="S32">
        <f ca="1">INDEX(actuals_prd_imp[Planned done],$C32)</f>
        <v>14</v>
      </c>
      <c r="T32">
        <f ca="1">INDEX(actuals_prd_exp[Planned done],$D32)</f>
        <v>12</v>
      </c>
      <c r="U32">
        <f ca="1">INDEX(actuals_stn_imp[Planned done],$E32)</f>
        <v>3</v>
      </c>
      <c r="V32">
        <f ca="1">INDEX(actuals_stn_exp[Planned done],$F32)</f>
        <v>2</v>
      </c>
      <c r="W32">
        <f ca="1">INDEX(actuals_prd_imp[Additional done],$C32)</f>
        <v>1</v>
      </c>
      <c r="X32">
        <f ca="1">INDEX(actuals_prd_exp[Additional done],$D32)</f>
        <v>2</v>
      </c>
      <c r="Y32">
        <f ca="1">INDEX(actuals_stn_imp[Additional done],$E32)</f>
        <v>1</v>
      </c>
      <c r="Z32">
        <f ca="1">INDEX(actuals_stn_exp[Additional done],$F32)</f>
        <v>1</v>
      </c>
      <c r="AA32">
        <f ca="1">INDEX(actuals_prd_imp[Had expected impact],$C32)</f>
        <v>15</v>
      </c>
      <c r="AB32">
        <f ca="1">INDEX(actuals_prd_exp[Had expected impact],$D32)</f>
        <v>12</v>
      </c>
      <c r="AC32">
        <f ca="1">INDEX(actuals_stn_imp[Had expected impact],$E32)</f>
        <v>3</v>
      </c>
      <c r="AD32">
        <f ca="1">INDEX(actuals_stn_exp[Had expected impact],$F32)</f>
        <v>3</v>
      </c>
      <c r="AE32">
        <f ca="1">INDEX(actuals_prd_imp[Incorporated Learning into Future Plans],$C32)</f>
        <v>14</v>
      </c>
      <c r="AF32">
        <f ca="1">INDEX(actuals_prd_exp[Incorporated Learning into Future Plans],$D32)</f>
        <v>13</v>
      </c>
      <c r="AG32">
        <f ca="1">INDEX(actuals_stn_imp[Incorporated Learning into Future Plans],$E32)</f>
        <v>4</v>
      </c>
      <c r="AH32">
        <f ca="1">INDEX(actuals_stn_exp[Incorporated Learning into Future Plans],$F32)</f>
        <v>3</v>
      </c>
      <c r="AI32">
        <f ca="1">S32/G32</f>
        <v>2.8</v>
      </c>
      <c r="AJ32">
        <f ca="1">T32/H32</f>
        <v>2.4</v>
      </c>
      <c r="AK32">
        <f ca="1">U32/I32</f>
        <v>1.5</v>
      </c>
      <c r="AL32">
        <f ca="1">V32/J32</f>
        <v>1</v>
      </c>
      <c r="AM32">
        <f ca="1">W32/G32</f>
        <v>0.2</v>
      </c>
      <c r="AN32">
        <f ca="1">X32/H32</f>
        <v>0.4</v>
      </c>
      <c r="AO32">
        <f ca="1">Y32/I32</f>
        <v>0.5</v>
      </c>
      <c r="AP32">
        <f ca="1">Z32/J32</f>
        <v>0.5</v>
      </c>
      <c r="AQ32" s="49">
        <f t="shared" ca="1" si="6"/>
        <v>0.30000000000000004</v>
      </c>
      <c r="AR32" s="49">
        <f t="shared" ca="1" si="7"/>
        <v>0.36000000000000004</v>
      </c>
      <c r="AS32" s="49">
        <f ca="1">INDEX(budget_history[Budget],$B32)</f>
        <v>0.4</v>
      </c>
      <c r="AT32" s="49">
        <f t="shared" ca="1" si="8"/>
        <v>0.45999999999999996</v>
      </c>
      <c r="AU32" s="49">
        <f t="shared" ca="1" si="9"/>
        <v>0.55000000000000004</v>
      </c>
      <c r="AV32" s="49">
        <v>1</v>
      </c>
      <c r="AW32" s="49">
        <f ca="1">SUM(AO32:AP32,AK32:AL32)/SUM(AI32:AP32)</f>
        <v>0.37634408602150543</v>
      </c>
      <c r="AX32" s="49">
        <v>0.6</v>
      </c>
      <c r="AY32" s="49">
        <v>0.8</v>
      </c>
      <c r="AZ32" s="49">
        <v>1</v>
      </c>
      <c r="BA32" s="49">
        <f ca="1">AI32/SUM(AI32,AM32)</f>
        <v>0.93333333333333324</v>
      </c>
      <c r="BB32" s="49">
        <f ca="1">AJ32/SUM(AJ32,AN32)</f>
        <v>0.85714285714285721</v>
      </c>
      <c r="BC32" s="49">
        <f ca="1">AK32/SUM(AK32,AO32)</f>
        <v>0.75</v>
      </c>
      <c r="BD32" s="49">
        <f ca="1">AL32/SUM(AL32,AP32)</f>
        <v>0.66666666666666663</v>
      </c>
      <c r="BE32" s="49">
        <v>0.5</v>
      </c>
      <c r="BF32" s="49">
        <v>0.75</v>
      </c>
      <c r="BG32" s="49">
        <v>1</v>
      </c>
      <c r="BH32" s="49">
        <f t="shared" ca="1" si="10"/>
        <v>1</v>
      </c>
      <c r="BI32" s="49">
        <f t="shared" ca="1" si="11"/>
        <v>1</v>
      </c>
      <c r="BJ32" s="49">
        <f t="shared" ca="1" si="12"/>
        <v>1</v>
      </c>
      <c r="BK32" s="49">
        <f t="shared" ca="1" si="13"/>
        <v>1</v>
      </c>
      <c r="BL32" s="49">
        <v>0.75</v>
      </c>
      <c r="BM32" s="49">
        <v>0.9</v>
      </c>
      <c r="BN32" s="49">
        <v>1</v>
      </c>
      <c r="BO32" s="49">
        <f t="shared" ca="1" si="14"/>
        <v>1</v>
      </c>
      <c r="BP32" s="49">
        <f t="shared" ca="1" si="15"/>
        <v>0.75</v>
      </c>
      <c r="BQ32" s="49"/>
      <c r="BR32" s="49"/>
    </row>
    <row r="33" spans="1:70" x14ac:dyDescent="0.35">
      <c r="A33" s="53">
        <f t="shared" ca="1" si="16"/>
        <v>42520</v>
      </c>
      <c r="B33" s="48">
        <f ca="1">MATCH($A33,budget_history[Date])</f>
        <v>3</v>
      </c>
      <c r="C33" s="48">
        <f ca="1">MATCH($A33,actuals_prd_imp[End Date])</f>
        <v>13</v>
      </c>
      <c r="D33" s="48">
        <f ca="1">MATCH($A33,actuals_prd_exp[End Date])</f>
        <v>13</v>
      </c>
      <c r="E33" s="48">
        <f ca="1">MATCH($A33,actuals_stn_imp[End Date])</f>
        <v>31</v>
      </c>
      <c r="F33" s="48">
        <f ca="1">MATCH($A33,actuals_stn_exp[End Date])</f>
        <v>31</v>
      </c>
      <c r="G33">
        <f ca="1">NETWORKDAYS(INDEX(actuals_prd_imp[End Date],$C33-1), INDEX(actuals_prd_imp[End Date],$C33))-1</f>
        <v>5</v>
      </c>
      <c r="H33">
        <f ca="1">NETWORKDAYS(INDEX(actuals_prd_exp[End Date],$C33-1), INDEX(actuals_prd_exp[End Date],$C33))-1</f>
        <v>5</v>
      </c>
      <c r="I33">
        <f ca="1">NETWORKDAYS(INDEX(actuals_stn_imp[End Date],$C33-1), INDEX(actuals_stn_imp[End Date],$C33))-1</f>
        <v>2</v>
      </c>
      <c r="J33">
        <f ca="1">NETWORKDAYS(INDEX(actuals_stn_exp[End Date],$C33-1), INDEX(actuals_stn_exp[End Date],$C33))-1</f>
        <v>2</v>
      </c>
      <c r="K33">
        <f ca="1">INDEX(actuals_prd_imp[Taken into Immediate Future Plan],$C33)</f>
        <v>15</v>
      </c>
      <c r="L33">
        <f ca="1">INDEX(actuals_prd_exp[Taken into Immediate Future Plan],$D33)</f>
        <v>14</v>
      </c>
      <c r="M33">
        <f ca="1">INDEX(actuals_stn_imp[Taken into Immediate Future Plan],$E33)</f>
        <v>3</v>
      </c>
      <c r="N33">
        <f ca="1">INDEX(actuals_stn_exp[Taken into Immediate Future Plan],$F33)</f>
        <v>2</v>
      </c>
      <c r="O33">
        <f ca="1">INDEX(actuals_prd_imp[Removed Planned],$C33)</f>
        <v>1</v>
      </c>
      <c r="P33">
        <f ca="1">INDEX(actuals_prd_exp[Removed Planned],$D33)</f>
        <v>2</v>
      </c>
      <c r="Q33">
        <f ca="1">INDEX(actuals_stn_imp[Removed Planned],$E33)</f>
        <v>0</v>
      </c>
      <c r="R33">
        <f ca="1">INDEX(actuals_stn_exp[Removed Planned],$F33)</f>
        <v>0</v>
      </c>
      <c r="S33">
        <f ca="1">INDEX(actuals_prd_imp[Planned done],$C33)</f>
        <v>14</v>
      </c>
      <c r="T33">
        <f ca="1">INDEX(actuals_prd_exp[Planned done],$D33)</f>
        <v>12</v>
      </c>
      <c r="U33">
        <f ca="1">INDEX(actuals_stn_imp[Planned done],$E33)</f>
        <v>3</v>
      </c>
      <c r="V33">
        <f ca="1">INDEX(actuals_stn_exp[Planned done],$F33)</f>
        <v>2</v>
      </c>
      <c r="W33">
        <f ca="1">INDEX(actuals_prd_imp[Additional done],$C33)</f>
        <v>1</v>
      </c>
      <c r="X33">
        <f ca="1">INDEX(actuals_prd_exp[Additional done],$D33)</f>
        <v>2</v>
      </c>
      <c r="Y33">
        <f ca="1">INDEX(actuals_stn_imp[Additional done],$E33)</f>
        <v>1</v>
      </c>
      <c r="Z33">
        <f ca="1">INDEX(actuals_stn_exp[Additional done],$F33)</f>
        <v>1</v>
      </c>
      <c r="AA33">
        <f ca="1">INDEX(actuals_prd_imp[Had expected impact],$C33)</f>
        <v>15</v>
      </c>
      <c r="AB33">
        <f ca="1">INDEX(actuals_prd_exp[Had expected impact],$D33)</f>
        <v>12</v>
      </c>
      <c r="AC33">
        <f ca="1">INDEX(actuals_stn_imp[Had expected impact],$E33)</f>
        <v>3</v>
      </c>
      <c r="AD33">
        <f ca="1">INDEX(actuals_stn_exp[Had expected impact],$F33)</f>
        <v>3</v>
      </c>
      <c r="AE33">
        <f ca="1">INDEX(actuals_prd_imp[Incorporated Learning into Future Plans],$C33)</f>
        <v>14</v>
      </c>
      <c r="AF33">
        <f ca="1">INDEX(actuals_prd_exp[Incorporated Learning into Future Plans],$D33)</f>
        <v>13</v>
      </c>
      <c r="AG33">
        <f ca="1">INDEX(actuals_stn_imp[Incorporated Learning into Future Plans],$E33)</f>
        <v>4</v>
      </c>
      <c r="AH33">
        <f ca="1">INDEX(actuals_stn_exp[Incorporated Learning into Future Plans],$F33)</f>
        <v>3</v>
      </c>
      <c r="AI33">
        <f ca="1">S33/G33</f>
        <v>2.8</v>
      </c>
      <c r="AJ33">
        <f ca="1">T33/H33</f>
        <v>2.4</v>
      </c>
      <c r="AK33">
        <f ca="1">U33/I33</f>
        <v>1.5</v>
      </c>
      <c r="AL33">
        <f ca="1">V33/J33</f>
        <v>1</v>
      </c>
      <c r="AM33">
        <f ca="1">W33/G33</f>
        <v>0.2</v>
      </c>
      <c r="AN33">
        <f ca="1">X33/H33</f>
        <v>0.4</v>
      </c>
      <c r="AO33">
        <f ca="1">Y33/I33</f>
        <v>0.5</v>
      </c>
      <c r="AP33">
        <f ca="1">Z33/J33</f>
        <v>0.5</v>
      </c>
      <c r="AQ33" s="49">
        <f t="shared" ca="1" si="6"/>
        <v>0.30000000000000004</v>
      </c>
      <c r="AR33" s="49">
        <f t="shared" ca="1" si="7"/>
        <v>0.36000000000000004</v>
      </c>
      <c r="AS33" s="49">
        <f ca="1">INDEX(budget_history[Budget],$B33)</f>
        <v>0.4</v>
      </c>
      <c r="AT33" s="49">
        <f t="shared" ca="1" si="8"/>
        <v>0.45999999999999996</v>
      </c>
      <c r="AU33" s="49">
        <f t="shared" ca="1" si="9"/>
        <v>0.55000000000000004</v>
      </c>
      <c r="AV33" s="49">
        <v>1</v>
      </c>
      <c r="AW33" s="49">
        <f ca="1">SUM(AO33:AP33,AK33:AL33)/SUM(AI33:AP33)</f>
        <v>0.37634408602150543</v>
      </c>
      <c r="AX33" s="49">
        <v>0.6</v>
      </c>
      <c r="AY33" s="49">
        <v>0.8</v>
      </c>
      <c r="AZ33" s="49">
        <v>1</v>
      </c>
      <c r="BA33" s="49">
        <f ca="1">AI33/SUM(AI33,AM33)</f>
        <v>0.93333333333333324</v>
      </c>
      <c r="BB33" s="49">
        <f ca="1">AJ33/SUM(AJ33,AN33)</f>
        <v>0.85714285714285721</v>
      </c>
      <c r="BC33" s="49">
        <f ca="1">AK33/SUM(AK33,AO33)</f>
        <v>0.75</v>
      </c>
      <c r="BD33" s="49">
        <f ca="1">AL33/SUM(AL33,AP33)</f>
        <v>0.66666666666666663</v>
      </c>
      <c r="BE33" s="49">
        <v>0.5</v>
      </c>
      <c r="BF33" s="49">
        <v>0.75</v>
      </c>
      <c r="BG33" s="49">
        <v>1</v>
      </c>
      <c r="BH33" s="49">
        <f t="shared" ca="1" si="10"/>
        <v>1</v>
      </c>
      <c r="BI33" s="49">
        <f t="shared" ca="1" si="11"/>
        <v>1</v>
      </c>
      <c r="BJ33" s="49">
        <f t="shared" ca="1" si="12"/>
        <v>1</v>
      </c>
      <c r="BK33" s="49">
        <f t="shared" ca="1" si="13"/>
        <v>1</v>
      </c>
      <c r="BL33" s="49">
        <v>0.75</v>
      </c>
      <c r="BM33" s="49">
        <v>0.9</v>
      </c>
      <c r="BN33" s="49">
        <v>1</v>
      </c>
      <c r="BO33" s="49">
        <f t="shared" ca="1" si="14"/>
        <v>1</v>
      </c>
      <c r="BP33" s="49">
        <f t="shared" ca="1" si="15"/>
        <v>0.75</v>
      </c>
      <c r="BQ33" s="49"/>
      <c r="BR33" s="49"/>
    </row>
    <row r="34" spans="1:70" x14ac:dyDescent="0.35">
      <c r="A34" s="53">
        <f t="shared" ca="1" si="16"/>
        <v>42521</v>
      </c>
      <c r="B34" s="48">
        <f ca="1">MATCH($A34,budget_history[Date])</f>
        <v>3</v>
      </c>
      <c r="C34" s="48">
        <f ca="1">MATCH($A34,actuals_prd_imp[End Date])</f>
        <v>13</v>
      </c>
      <c r="D34" s="48">
        <f ca="1">MATCH($A34,actuals_prd_exp[End Date])</f>
        <v>13</v>
      </c>
      <c r="E34" s="48">
        <f ca="1">MATCH($A34,actuals_stn_imp[End Date])</f>
        <v>32</v>
      </c>
      <c r="F34" s="48">
        <f ca="1">MATCH($A34,actuals_stn_exp[End Date])</f>
        <v>32</v>
      </c>
      <c r="G34">
        <f ca="1">NETWORKDAYS(INDEX(actuals_prd_imp[End Date],$C34-1), INDEX(actuals_prd_imp[End Date],$C34))-1</f>
        <v>5</v>
      </c>
      <c r="H34">
        <f ca="1">NETWORKDAYS(INDEX(actuals_prd_exp[End Date],$C34-1), INDEX(actuals_prd_exp[End Date],$C34))-1</f>
        <v>5</v>
      </c>
      <c r="I34">
        <f ca="1">NETWORKDAYS(INDEX(actuals_stn_imp[End Date],$C34-1), INDEX(actuals_stn_imp[End Date],$C34))-1</f>
        <v>2</v>
      </c>
      <c r="J34">
        <f ca="1">NETWORKDAYS(INDEX(actuals_stn_exp[End Date],$C34-1), INDEX(actuals_stn_exp[End Date],$C34))-1</f>
        <v>2</v>
      </c>
      <c r="K34">
        <f ca="1">INDEX(actuals_prd_imp[Taken into Immediate Future Plan],$C34)</f>
        <v>15</v>
      </c>
      <c r="L34">
        <f ca="1">INDEX(actuals_prd_exp[Taken into Immediate Future Plan],$D34)</f>
        <v>14</v>
      </c>
      <c r="M34">
        <f ca="1">INDEX(actuals_stn_imp[Taken into Immediate Future Plan],$E34)</f>
        <v>3</v>
      </c>
      <c r="N34">
        <f ca="1">INDEX(actuals_stn_exp[Taken into Immediate Future Plan],$F34)</f>
        <v>3</v>
      </c>
      <c r="O34">
        <f ca="1">INDEX(actuals_prd_imp[Removed Planned],$C34)</f>
        <v>1</v>
      </c>
      <c r="P34">
        <f ca="1">INDEX(actuals_prd_exp[Removed Planned],$D34)</f>
        <v>2</v>
      </c>
      <c r="Q34">
        <f ca="1">INDEX(actuals_stn_imp[Removed Planned],$E34)</f>
        <v>0</v>
      </c>
      <c r="R34">
        <f ca="1">INDEX(actuals_stn_exp[Removed Planned],$F34)</f>
        <v>0</v>
      </c>
      <c r="S34">
        <f ca="1">INDEX(actuals_prd_imp[Planned done],$C34)</f>
        <v>14</v>
      </c>
      <c r="T34">
        <f ca="1">INDEX(actuals_prd_exp[Planned done],$D34)</f>
        <v>12</v>
      </c>
      <c r="U34">
        <f ca="1">INDEX(actuals_stn_imp[Planned done],$E34)</f>
        <v>3</v>
      </c>
      <c r="V34">
        <f ca="1">INDEX(actuals_stn_exp[Planned done],$F34)</f>
        <v>3</v>
      </c>
      <c r="W34">
        <f ca="1">INDEX(actuals_prd_imp[Additional done],$C34)</f>
        <v>1</v>
      </c>
      <c r="X34">
        <f ca="1">INDEX(actuals_prd_exp[Additional done],$D34)</f>
        <v>2</v>
      </c>
      <c r="Y34">
        <f ca="1">INDEX(actuals_stn_imp[Additional done],$E34)</f>
        <v>0</v>
      </c>
      <c r="Z34">
        <f ca="1">INDEX(actuals_stn_exp[Additional done],$F34)</f>
        <v>1</v>
      </c>
      <c r="AA34">
        <f ca="1">INDEX(actuals_prd_imp[Had expected impact],$C34)</f>
        <v>15</v>
      </c>
      <c r="AB34">
        <f ca="1">INDEX(actuals_prd_exp[Had expected impact],$D34)</f>
        <v>12</v>
      </c>
      <c r="AC34">
        <f ca="1">INDEX(actuals_stn_imp[Had expected impact],$E34)</f>
        <v>2</v>
      </c>
      <c r="AD34">
        <f ca="1">INDEX(actuals_stn_exp[Had expected impact],$F34)</f>
        <v>3</v>
      </c>
      <c r="AE34">
        <f ca="1">INDEX(actuals_prd_imp[Incorporated Learning into Future Plans],$C34)</f>
        <v>14</v>
      </c>
      <c r="AF34">
        <f ca="1">INDEX(actuals_prd_exp[Incorporated Learning into Future Plans],$D34)</f>
        <v>13</v>
      </c>
      <c r="AG34">
        <f ca="1">INDEX(actuals_stn_imp[Incorporated Learning into Future Plans],$E34)</f>
        <v>3</v>
      </c>
      <c r="AH34">
        <f ca="1">INDEX(actuals_stn_exp[Incorporated Learning into Future Plans],$F34)</f>
        <v>4</v>
      </c>
      <c r="AI34">
        <f ca="1">S34/G34</f>
        <v>2.8</v>
      </c>
      <c r="AJ34">
        <f ca="1">T34/H34</f>
        <v>2.4</v>
      </c>
      <c r="AK34">
        <f ca="1">U34/I34</f>
        <v>1.5</v>
      </c>
      <c r="AL34">
        <f ca="1">V34/J34</f>
        <v>1.5</v>
      </c>
      <c r="AM34">
        <f ca="1">W34/G34</f>
        <v>0.2</v>
      </c>
      <c r="AN34">
        <f ca="1">X34/H34</f>
        <v>0.4</v>
      </c>
      <c r="AO34">
        <f ca="1">Y34/I34</f>
        <v>0</v>
      </c>
      <c r="AP34">
        <f ca="1">Z34/J34</f>
        <v>0.5</v>
      </c>
      <c r="AQ34" s="49">
        <f t="shared" ca="1" si="6"/>
        <v>0.30000000000000004</v>
      </c>
      <c r="AR34" s="49">
        <f t="shared" ca="1" si="7"/>
        <v>0.36000000000000004</v>
      </c>
      <c r="AS34" s="49">
        <f ca="1">INDEX(budget_history[Budget],$B34)</f>
        <v>0.4</v>
      </c>
      <c r="AT34" s="49">
        <f t="shared" ca="1" si="8"/>
        <v>0.45999999999999996</v>
      </c>
      <c r="AU34" s="49">
        <f t="shared" ca="1" si="9"/>
        <v>0.55000000000000004</v>
      </c>
      <c r="AV34" s="49">
        <v>1</v>
      </c>
      <c r="AW34" s="49">
        <f ca="1">SUM(AO34:AP34,AK34:AL34)/SUM(AI34:AP34)</f>
        <v>0.37634408602150543</v>
      </c>
      <c r="AX34" s="49">
        <v>0.6</v>
      </c>
      <c r="AY34" s="49">
        <v>0.8</v>
      </c>
      <c r="AZ34" s="49">
        <v>1</v>
      </c>
      <c r="BA34" s="49">
        <f ca="1">AI34/SUM(AI34,AM34)</f>
        <v>0.93333333333333324</v>
      </c>
      <c r="BB34" s="49">
        <f ca="1">AJ34/SUM(AJ34,AN34)</f>
        <v>0.85714285714285721</v>
      </c>
      <c r="BC34" s="49">
        <f ca="1">AK34/SUM(AK34,AO34)</f>
        <v>1</v>
      </c>
      <c r="BD34" s="49">
        <f ca="1">AL34/SUM(AL34,AP34)</f>
        <v>0.75</v>
      </c>
      <c r="BE34" s="49">
        <v>0.5</v>
      </c>
      <c r="BF34" s="49">
        <v>0.75</v>
      </c>
      <c r="BG34" s="49">
        <v>1</v>
      </c>
      <c r="BH34" s="49">
        <f t="shared" ca="1" si="10"/>
        <v>1</v>
      </c>
      <c r="BI34" s="49">
        <f t="shared" ca="1" si="11"/>
        <v>1</v>
      </c>
      <c r="BJ34" s="49">
        <f t="shared" ca="1" si="12"/>
        <v>1</v>
      </c>
      <c r="BK34" s="49">
        <f t="shared" ca="1" si="13"/>
        <v>1</v>
      </c>
      <c r="BL34" s="49">
        <v>0.75</v>
      </c>
      <c r="BM34" s="49">
        <v>0.9</v>
      </c>
      <c r="BN34" s="49">
        <v>1</v>
      </c>
      <c r="BO34" s="49">
        <f t="shared" ca="1" si="14"/>
        <v>1</v>
      </c>
      <c r="BP34" s="49">
        <f t="shared" ca="1" si="15"/>
        <v>0.66666666666666663</v>
      </c>
      <c r="BQ34" s="49"/>
      <c r="BR34" s="49"/>
    </row>
    <row r="35" spans="1:70" x14ac:dyDescent="0.35">
      <c r="A35" s="53">
        <f t="shared" ca="1" si="16"/>
        <v>42522</v>
      </c>
      <c r="B35" s="48">
        <f ca="1">MATCH($A35,budget_history[Date])</f>
        <v>3</v>
      </c>
      <c r="C35" s="48">
        <f ca="1">MATCH($A35,actuals_prd_imp[End Date])</f>
        <v>13</v>
      </c>
      <c r="D35" s="48">
        <f ca="1">MATCH($A35,actuals_prd_exp[End Date])</f>
        <v>13</v>
      </c>
      <c r="E35" s="48">
        <f ca="1">MATCH($A35,actuals_stn_imp[End Date])</f>
        <v>32</v>
      </c>
      <c r="F35" s="48">
        <f ca="1">MATCH($A35,actuals_stn_exp[End Date])</f>
        <v>32</v>
      </c>
      <c r="G35">
        <f ca="1">NETWORKDAYS(INDEX(actuals_prd_imp[End Date],$C35-1), INDEX(actuals_prd_imp[End Date],$C35))-1</f>
        <v>5</v>
      </c>
      <c r="H35">
        <f ca="1">NETWORKDAYS(INDEX(actuals_prd_exp[End Date],$C35-1), INDEX(actuals_prd_exp[End Date],$C35))-1</f>
        <v>5</v>
      </c>
      <c r="I35">
        <f ca="1">NETWORKDAYS(INDEX(actuals_stn_imp[End Date],$C35-1), INDEX(actuals_stn_imp[End Date],$C35))-1</f>
        <v>2</v>
      </c>
      <c r="J35">
        <f ca="1">NETWORKDAYS(INDEX(actuals_stn_exp[End Date],$C35-1), INDEX(actuals_stn_exp[End Date],$C35))-1</f>
        <v>2</v>
      </c>
      <c r="K35">
        <f ca="1">INDEX(actuals_prd_imp[Taken into Immediate Future Plan],$C35)</f>
        <v>15</v>
      </c>
      <c r="L35">
        <f ca="1">INDEX(actuals_prd_exp[Taken into Immediate Future Plan],$D35)</f>
        <v>14</v>
      </c>
      <c r="M35">
        <f ca="1">INDEX(actuals_stn_imp[Taken into Immediate Future Plan],$E35)</f>
        <v>3</v>
      </c>
      <c r="N35">
        <f ca="1">INDEX(actuals_stn_exp[Taken into Immediate Future Plan],$F35)</f>
        <v>3</v>
      </c>
      <c r="O35">
        <f ca="1">INDEX(actuals_prd_imp[Removed Planned],$C35)</f>
        <v>1</v>
      </c>
      <c r="P35">
        <f ca="1">INDEX(actuals_prd_exp[Removed Planned],$D35)</f>
        <v>2</v>
      </c>
      <c r="Q35">
        <f ca="1">INDEX(actuals_stn_imp[Removed Planned],$E35)</f>
        <v>0</v>
      </c>
      <c r="R35">
        <f ca="1">INDEX(actuals_stn_exp[Removed Planned],$F35)</f>
        <v>0</v>
      </c>
      <c r="S35">
        <f ca="1">INDEX(actuals_prd_imp[Planned done],$C35)</f>
        <v>14</v>
      </c>
      <c r="T35">
        <f ca="1">INDEX(actuals_prd_exp[Planned done],$D35)</f>
        <v>12</v>
      </c>
      <c r="U35">
        <f ca="1">INDEX(actuals_stn_imp[Planned done],$E35)</f>
        <v>3</v>
      </c>
      <c r="V35">
        <f ca="1">INDEX(actuals_stn_exp[Planned done],$F35)</f>
        <v>3</v>
      </c>
      <c r="W35">
        <f ca="1">INDEX(actuals_prd_imp[Additional done],$C35)</f>
        <v>1</v>
      </c>
      <c r="X35">
        <f ca="1">INDEX(actuals_prd_exp[Additional done],$D35)</f>
        <v>2</v>
      </c>
      <c r="Y35">
        <f ca="1">INDEX(actuals_stn_imp[Additional done],$E35)</f>
        <v>0</v>
      </c>
      <c r="Z35">
        <f ca="1">INDEX(actuals_stn_exp[Additional done],$F35)</f>
        <v>1</v>
      </c>
      <c r="AA35">
        <f ca="1">INDEX(actuals_prd_imp[Had expected impact],$C35)</f>
        <v>15</v>
      </c>
      <c r="AB35">
        <f ca="1">INDEX(actuals_prd_exp[Had expected impact],$D35)</f>
        <v>12</v>
      </c>
      <c r="AC35">
        <f ca="1">INDEX(actuals_stn_imp[Had expected impact],$E35)</f>
        <v>2</v>
      </c>
      <c r="AD35">
        <f ca="1">INDEX(actuals_stn_exp[Had expected impact],$F35)</f>
        <v>3</v>
      </c>
      <c r="AE35">
        <f ca="1">INDEX(actuals_prd_imp[Incorporated Learning into Future Plans],$C35)</f>
        <v>14</v>
      </c>
      <c r="AF35">
        <f ca="1">INDEX(actuals_prd_exp[Incorporated Learning into Future Plans],$D35)</f>
        <v>13</v>
      </c>
      <c r="AG35">
        <f ca="1">INDEX(actuals_stn_imp[Incorporated Learning into Future Plans],$E35)</f>
        <v>3</v>
      </c>
      <c r="AH35">
        <f ca="1">INDEX(actuals_stn_exp[Incorporated Learning into Future Plans],$F35)</f>
        <v>4</v>
      </c>
      <c r="AI35">
        <f ca="1">S35/G35</f>
        <v>2.8</v>
      </c>
      <c r="AJ35">
        <f ca="1">T35/H35</f>
        <v>2.4</v>
      </c>
      <c r="AK35">
        <f ca="1">U35/I35</f>
        <v>1.5</v>
      </c>
      <c r="AL35">
        <f ca="1">V35/J35</f>
        <v>1.5</v>
      </c>
      <c r="AM35">
        <f ca="1">W35/G35</f>
        <v>0.2</v>
      </c>
      <c r="AN35">
        <f ca="1">X35/H35</f>
        <v>0.4</v>
      </c>
      <c r="AO35">
        <f ca="1">Y35/I35</f>
        <v>0</v>
      </c>
      <c r="AP35">
        <f ca="1">Z35/J35</f>
        <v>0.5</v>
      </c>
      <c r="AQ35" s="49">
        <f t="shared" ca="1" si="6"/>
        <v>0.30000000000000004</v>
      </c>
      <c r="AR35" s="49">
        <f t="shared" ca="1" si="7"/>
        <v>0.36000000000000004</v>
      </c>
      <c r="AS35" s="49">
        <f ca="1">INDEX(budget_history[Budget],$B35)</f>
        <v>0.4</v>
      </c>
      <c r="AT35" s="49">
        <f t="shared" ca="1" si="8"/>
        <v>0.45999999999999996</v>
      </c>
      <c r="AU35" s="49">
        <f t="shared" ca="1" si="9"/>
        <v>0.55000000000000004</v>
      </c>
      <c r="AV35" s="49">
        <v>1</v>
      </c>
      <c r="AW35" s="49">
        <f ca="1">SUM(AO35:AP35,AK35:AL35)/SUM(AI35:AP35)</f>
        <v>0.37634408602150543</v>
      </c>
      <c r="AX35" s="49">
        <v>0.6</v>
      </c>
      <c r="AY35" s="49">
        <v>0.8</v>
      </c>
      <c r="AZ35" s="49">
        <v>1</v>
      </c>
      <c r="BA35" s="49">
        <f ca="1">AI35/SUM(AI35,AM35)</f>
        <v>0.93333333333333324</v>
      </c>
      <c r="BB35" s="49">
        <f ca="1">AJ35/SUM(AJ35,AN35)</f>
        <v>0.85714285714285721</v>
      </c>
      <c r="BC35" s="49">
        <f ca="1">AK35/SUM(AK35,AO35)</f>
        <v>1</v>
      </c>
      <c r="BD35" s="49">
        <f ca="1">AL35/SUM(AL35,AP35)</f>
        <v>0.75</v>
      </c>
      <c r="BE35" s="49">
        <v>0.5</v>
      </c>
      <c r="BF35" s="49">
        <v>0.75</v>
      </c>
      <c r="BG35" s="49">
        <v>1</v>
      </c>
      <c r="BH35" s="49">
        <f t="shared" ca="1" si="10"/>
        <v>1</v>
      </c>
      <c r="BI35" s="49">
        <f t="shared" ca="1" si="11"/>
        <v>1</v>
      </c>
      <c r="BJ35" s="49">
        <f t="shared" ca="1" si="12"/>
        <v>1</v>
      </c>
      <c r="BK35" s="49">
        <f t="shared" ca="1" si="13"/>
        <v>1</v>
      </c>
      <c r="BL35" s="49">
        <v>0.75</v>
      </c>
      <c r="BM35" s="49">
        <v>0.9</v>
      </c>
      <c r="BN35" s="49">
        <v>1</v>
      </c>
      <c r="BO35" s="49">
        <f t="shared" ca="1" si="14"/>
        <v>1</v>
      </c>
      <c r="BP35" s="49">
        <f t="shared" ca="1" si="15"/>
        <v>0.66666666666666663</v>
      </c>
      <c r="BQ35" s="49"/>
      <c r="BR35" s="49"/>
    </row>
    <row r="36" spans="1:70" x14ac:dyDescent="0.35">
      <c r="A36" s="53">
        <f t="shared" ca="1" si="16"/>
        <v>42523</v>
      </c>
      <c r="B36" s="48">
        <f ca="1">MATCH($A36,budget_history[Date])</f>
        <v>3</v>
      </c>
      <c r="C36" s="48">
        <f ca="1">MATCH($A36,actuals_prd_imp[End Date])</f>
        <v>14</v>
      </c>
      <c r="D36" s="48">
        <f ca="1">MATCH($A36,actuals_prd_exp[End Date])</f>
        <v>14</v>
      </c>
      <c r="E36" s="48">
        <f ca="1">MATCH($A36,actuals_stn_imp[End Date])</f>
        <v>33</v>
      </c>
      <c r="F36" s="48">
        <f ca="1">MATCH($A36,actuals_stn_exp[End Date])</f>
        <v>33</v>
      </c>
      <c r="G36">
        <f ca="1">NETWORKDAYS(INDEX(actuals_prd_imp[End Date],$C36-1), INDEX(actuals_prd_imp[End Date],$C36))-1</f>
        <v>5</v>
      </c>
      <c r="H36">
        <f ca="1">NETWORKDAYS(INDEX(actuals_prd_exp[End Date],$C36-1), INDEX(actuals_prd_exp[End Date],$C36))-1</f>
        <v>5</v>
      </c>
      <c r="I36">
        <f ca="1">NETWORKDAYS(INDEX(actuals_stn_imp[End Date],$C36-1), INDEX(actuals_stn_imp[End Date],$C36))-1</f>
        <v>2</v>
      </c>
      <c r="J36">
        <f ca="1">NETWORKDAYS(INDEX(actuals_stn_exp[End Date],$C36-1), INDEX(actuals_stn_exp[End Date],$C36))-1</f>
        <v>2</v>
      </c>
      <c r="K36">
        <f ca="1">INDEX(actuals_prd_imp[Taken into Immediate Future Plan],$C36)</f>
        <v>12</v>
      </c>
      <c r="L36">
        <f ca="1">INDEX(actuals_prd_exp[Taken into Immediate Future Plan],$D36)</f>
        <v>14</v>
      </c>
      <c r="M36">
        <f ca="1">INDEX(actuals_stn_imp[Taken into Immediate Future Plan],$E36)</f>
        <v>2</v>
      </c>
      <c r="N36">
        <f ca="1">INDEX(actuals_stn_exp[Taken into Immediate Future Plan],$F36)</f>
        <v>2</v>
      </c>
      <c r="O36">
        <f ca="1">INDEX(actuals_prd_imp[Removed Planned],$C36)</f>
        <v>1</v>
      </c>
      <c r="P36">
        <f ca="1">INDEX(actuals_prd_exp[Removed Planned],$D36)</f>
        <v>0</v>
      </c>
      <c r="Q36">
        <f ca="1">INDEX(actuals_stn_imp[Removed Planned],$E36)</f>
        <v>0</v>
      </c>
      <c r="R36">
        <f ca="1">INDEX(actuals_stn_exp[Removed Planned],$F36)</f>
        <v>0</v>
      </c>
      <c r="S36">
        <f ca="1">INDEX(actuals_prd_imp[Planned done],$C36)</f>
        <v>11</v>
      </c>
      <c r="T36">
        <f ca="1">INDEX(actuals_prd_exp[Planned done],$D36)</f>
        <v>12</v>
      </c>
      <c r="U36">
        <f ca="1">INDEX(actuals_stn_imp[Planned done],$E36)</f>
        <v>1</v>
      </c>
      <c r="V36">
        <f ca="1">INDEX(actuals_stn_exp[Planned done],$F36)</f>
        <v>2</v>
      </c>
      <c r="W36">
        <f ca="1">INDEX(actuals_prd_imp[Additional done],$C36)</f>
        <v>3</v>
      </c>
      <c r="X36">
        <f ca="1">INDEX(actuals_prd_exp[Additional done],$D36)</f>
        <v>4</v>
      </c>
      <c r="Y36">
        <f ca="1">INDEX(actuals_stn_imp[Additional done],$E36)</f>
        <v>1</v>
      </c>
      <c r="Z36">
        <f ca="1">INDEX(actuals_stn_exp[Additional done],$F36)</f>
        <v>1</v>
      </c>
      <c r="AA36">
        <f ca="1">INDEX(actuals_prd_imp[Had expected impact],$C36)</f>
        <v>10</v>
      </c>
      <c r="AB36">
        <f ca="1">INDEX(actuals_prd_exp[Had expected impact],$D36)</f>
        <v>15</v>
      </c>
      <c r="AC36">
        <f ca="1">INDEX(actuals_stn_imp[Had expected impact],$E36)</f>
        <v>2</v>
      </c>
      <c r="AD36">
        <f ca="1">INDEX(actuals_stn_exp[Had expected impact],$F36)</f>
        <v>3</v>
      </c>
      <c r="AE36">
        <f ca="1">INDEX(actuals_prd_imp[Incorporated Learning into Future Plans],$C36)</f>
        <v>13</v>
      </c>
      <c r="AF36">
        <f ca="1">INDEX(actuals_prd_exp[Incorporated Learning into Future Plans],$D36)</f>
        <v>16</v>
      </c>
      <c r="AG36">
        <f ca="1">INDEX(actuals_stn_imp[Incorporated Learning into Future Plans],$E36)</f>
        <v>2</v>
      </c>
      <c r="AH36">
        <f ca="1">INDEX(actuals_stn_exp[Incorporated Learning into Future Plans],$F36)</f>
        <v>3</v>
      </c>
      <c r="AI36">
        <f ca="1">S36/G36</f>
        <v>2.2000000000000002</v>
      </c>
      <c r="AJ36">
        <f ca="1">T36/H36</f>
        <v>2.4</v>
      </c>
      <c r="AK36">
        <f ca="1">U36/I36</f>
        <v>0.5</v>
      </c>
      <c r="AL36">
        <f ca="1">V36/J36</f>
        <v>1</v>
      </c>
      <c r="AM36">
        <f ca="1">W36/G36</f>
        <v>0.6</v>
      </c>
      <c r="AN36">
        <f ca="1">X36/H36</f>
        <v>0.8</v>
      </c>
      <c r="AO36">
        <f ca="1">Y36/I36</f>
        <v>0.5</v>
      </c>
      <c r="AP36">
        <f ca="1">Z36/J36</f>
        <v>0.5</v>
      </c>
      <c r="AQ36" s="49">
        <f t="shared" ca="1" si="6"/>
        <v>0.30000000000000004</v>
      </c>
      <c r="AR36" s="49">
        <f t="shared" ca="1" si="7"/>
        <v>0.36000000000000004</v>
      </c>
      <c r="AS36" s="49">
        <f ca="1">INDEX(budget_history[Budget],$B36)</f>
        <v>0.4</v>
      </c>
      <c r="AT36" s="49">
        <f t="shared" ca="1" si="8"/>
        <v>0.45999999999999996</v>
      </c>
      <c r="AU36" s="49">
        <f t="shared" ca="1" si="9"/>
        <v>0.55000000000000004</v>
      </c>
      <c r="AV36" s="49">
        <v>1</v>
      </c>
      <c r="AW36" s="49">
        <f ca="1">SUM(AO36:AP36,AK36:AL36)/SUM(AI36:AP36)</f>
        <v>0.29411764705882354</v>
      </c>
      <c r="AX36" s="49">
        <v>0.6</v>
      </c>
      <c r="AY36" s="49">
        <v>0.8</v>
      </c>
      <c r="AZ36" s="49">
        <v>1</v>
      </c>
      <c r="BA36" s="49">
        <f ca="1">AI36/SUM(AI36,AM36)</f>
        <v>0.7857142857142857</v>
      </c>
      <c r="BB36" s="49">
        <f ca="1">AJ36/SUM(AJ36,AN36)</f>
        <v>0.74999999999999989</v>
      </c>
      <c r="BC36" s="49">
        <f ca="1">AK36/SUM(AK36,AO36)</f>
        <v>0.5</v>
      </c>
      <c r="BD36" s="49">
        <f ca="1">AL36/SUM(AL36,AP36)</f>
        <v>0.66666666666666663</v>
      </c>
      <c r="BE36" s="49">
        <v>0.5</v>
      </c>
      <c r="BF36" s="49">
        <v>0.75</v>
      </c>
      <c r="BG36" s="49">
        <v>1</v>
      </c>
      <c r="BH36" s="49">
        <f t="shared" ca="1" si="10"/>
        <v>1</v>
      </c>
      <c r="BI36" s="49">
        <f t="shared" ca="1" si="11"/>
        <v>0.8571428571428571</v>
      </c>
      <c r="BJ36" s="49">
        <f t="shared" ca="1" si="12"/>
        <v>0.5</v>
      </c>
      <c r="BK36" s="49">
        <f t="shared" ca="1" si="13"/>
        <v>1</v>
      </c>
      <c r="BL36" s="49">
        <v>0.75</v>
      </c>
      <c r="BM36" s="49">
        <v>0.9</v>
      </c>
      <c r="BN36" s="49">
        <v>1</v>
      </c>
      <c r="BO36" s="49">
        <f t="shared" ca="1" si="14"/>
        <v>0.7142857142857143</v>
      </c>
      <c r="BP36" s="49">
        <f t="shared" ca="1" si="15"/>
        <v>1</v>
      </c>
      <c r="BQ36" s="49"/>
      <c r="BR36" s="49"/>
    </row>
    <row r="37" spans="1:70" x14ac:dyDescent="0.35">
      <c r="A37" s="53">
        <f t="shared" ca="1" si="16"/>
        <v>42524</v>
      </c>
      <c r="B37" s="48">
        <f ca="1">MATCH($A37,budget_history[Date])</f>
        <v>3</v>
      </c>
      <c r="C37" s="48">
        <f ca="1">MATCH($A37,actuals_prd_imp[End Date])</f>
        <v>14</v>
      </c>
      <c r="D37" s="48">
        <f ca="1">MATCH($A37,actuals_prd_exp[End Date])</f>
        <v>14</v>
      </c>
      <c r="E37" s="48">
        <f ca="1">MATCH($A37,actuals_stn_imp[End Date])</f>
        <v>33</v>
      </c>
      <c r="F37" s="48">
        <f ca="1">MATCH($A37,actuals_stn_exp[End Date])</f>
        <v>33</v>
      </c>
      <c r="G37">
        <f ca="1">NETWORKDAYS(INDEX(actuals_prd_imp[End Date],$C37-1), INDEX(actuals_prd_imp[End Date],$C37))-1</f>
        <v>5</v>
      </c>
      <c r="H37">
        <f ca="1">NETWORKDAYS(INDEX(actuals_prd_exp[End Date],$C37-1), INDEX(actuals_prd_exp[End Date],$C37))-1</f>
        <v>5</v>
      </c>
      <c r="I37">
        <f ca="1">NETWORKDAYS(INDEX(actuals_stn_imp[End Date],$C37-1), INDEX(actuals_stn_imp[End Date],$C37))-1</f>
        <v>2</v>
      </c>
      <c r="J37">
        <f ca="1">NETWORKDAYS(INDEX(actuals_stn_exp[End Date],$C37-1), INDEX(actuals_stn_exp[End Date],$C37))-1</f>
        <v>2</v>
      </c>
      <c r="K37">
        <f ca="1">INDEX(actuals_prd_imp[Taken into Immediate Future Plan],$C37)</f>
        <v>12</v>
      </c>
      <c r="L37">
        <f ca="1">INDEX(actuals_prd_exp[Taken into Immediate Future Plan],$D37)</f>
        <v>14</v>
      </c>
      <c r="M37">
        <f ca="1">INDEX(actuals_stn_imp[Taken into Immediate Future Plan],$E37)</f>
        <v>2</v>
      </c>
      <c r="N37">
        <f ca="1">INDEX(actuals_stn_exp[Taken into Immediate Future Plan],$F37)</f>
        <v>2</v>
      </c>
      <c r="O37">
        <f ca="1">INDEX(actuals_prd_imp[Removed Planned],$C37)</f>
        <v>1</v>
      </c>
      <c r="P37">
        <f ca="1">INDEX(actuals_prd_exp[Removed Planned],$D37)</f>
        <v>0</v>
      </c>
      <c r="Q37">
        <f ca="1">INDEX(actuals_stn_imp[Removed Planned],$E37)</f>
        <v>0</v>
      </c>
      <c r="R37">
        <f ca="1">INDEX(actuals_stn_exp[Removed Planned],$F37)</f>
        <v>0</v>
      </c>
      <c r="S37">
        <f ca="1">INDEX(actuals_prd_imp[Planned done],$C37)</f>
        <v>11</v>
      </c>
      <c r="T37">
        <f ca="1">INDEX(actuals_prd_exp[Planned done],$D37)</f>
        <v>12</v>
      </c>
      <c r="U37">
        <f ca="1">INDEX(actuals_stn_imp[Planned done],$E37)</f>
        <v>1</v>
      </c>
      <c r="V37">
        <f ca="1">INDEX(actuals_stn_exp[Planned done],$F37)</f>
        <v>2</v>
      </c>
      <c r="W37">
        <f ca="1">INDEX(actuals_prd_imp[Additional done],$C37)</f>
        <v>3</v>
      </c>
      <c r="X37">
        <f ca="1">INDEX(actuals_prd_exp[Additional done],$D37)</f>
        <v>4</v>
      </c>
      <c r="Y37">
        <f ca="1">INDEX(actuals_stn_imp[Additional done],$E37)</f>
        <v>1</v>
      </c>
      <c r="Z37">
        <f ca="1">INDEX(actuals_stn_exp[Additional done],$F37)</f>
        <v>1</v>
      </c>
      <c r="AA37">
        <f ca="1">INDEX(actuals_prd_imp[Had expected impact],$C37)</f>
        <v>10</v>
      </c>
      <c r="AB37">
        <f ca="1">INDEX(actuals_prd_exp[Had expected impact],$D37)</f>
        <v>15</v>
      </c>
      <c r="AC37">
        <f ca="1">INDEX(actuals_stn_imp[Had expected impact],$E37)</f>
        <v>2</v>
      </c>
      <c r="AD37">
        <f ca="1">INDEX(actuals_stn_exp[Had expected impact],$F37)</f>
        <v>3</v>
      </c>
      <c r="AE37">
        <f ca="1">INDEX(actuals_prd_imp[Incorporated Learning into Future Plans],$C37)</f>
        <v>13</v>
      </c>
      <c r="AF37">
        <f ca="1">INDEX(actuals_prd_exp[Incorporated Learning into Future Plans],$D37)</f>
        <v>16</v>
      </c>
      <c r="AG37">
        <f ca="1">INDEX(actuals_stn_imp[Incorporated Learning into Future Plans],$E37)</f>
        <v>2</v>
      </c>
      <c r="AH37">
        <f ca="1">INDEX(actuals_stn_exp[Incorporated Learning into Future Plans],$F37)</f>
        <v>3</v>
      </c>
      <c r="AI37">
        <f ca="1">S37/G37</f>
        <v>2.2000000000000002</v>
      </c>
      <c r="AJ37">
        <f ca="1">T37/H37</f>
        <v>2.4</v>
      </c>
      <c r="AK37">
        <f ca="1">U37/I37</f>
        <v>0.5</v>
      </c>
      <c r="AL37">
        <f ca="1">V37/J37</f>
        <v>1</v>
      </c>
      <c r="AM37">
        <f ca="1">W37/G37</f>
        <v>0.6</v>
      </c>
      <c r="AN37">
        <f ca="1">X37/H37</f>
        <v>0.8</v>
      </c>
      <c r="AO37">
        <f ca="1">Y37/I37</f>
        <v>0.5</v>
      </c>
      <c r="AP37">
        <f ca="1">Z37/J37</f>
        <v>0.5</v>
      </c>
      <c r="AQ37" s="49">
        <f t="shared" ca="1" si="6"/>
        <v>0.30000000000000004</v>
      </c>
      <c r="AR37" s="49">
        <f t="shared" ca="1" si="7"/>
        <v>0.36000000000000004</v>
      </c>
      <c r="AS37" s="49">
        <f ca="1">INDEX(budget_history[Budget],$B37)</f>
        <v>0.4</v>
      </c>
      <c r="AT37" s="49">
        <f t="shared" ca="1" si="8"/>
        <v>0.45999999999999996</v>
      </c>
      <c r="AU37" s="49">
        <f t="shared" ca="1" si="9"/>
        <v>0.55000000000000004</v>
      </c>
      <c r="AV37" s="49">
        <v>1</v>
      </c>
      <c r="AW37" s="49">
        <f ca="1">SUM(AO37:AP37,AK37:AL37)/SUM(AI37:AP37)</f>
        <v>0.29411764705882354</v>
      </c>
      <c r="AX37" s="49">
        <v>0.6</v>
      </c>
      <c r="AY37" s="49">
        <v>0.8</v>
      </c>
      <c r="AZ37" s="49">
        <v>1</v>
      </c>
      <c r="BA37" s="49">
        <f ca="1">AI37/SUM(AI37,AM37)</f>
        <v>0.7857142857142857</v>
      </c>
      <c r="BB37" s="49">
        <f ca="1">AJ37/SUM(AJ37,AN37)</f>
        <v>0.74999999999999989</v>
      </c>
      <c r="BC37" s="49">
        <f ca="1">AK37/SUM(AK37,AO37)</f>
        <v>0.5</v>
      </c>
      <c r="BD37" s="49">
        <f ca="1">AL37/SUM(AL37,AP37)</f>
        <v>0.66666666666666663</v>
      </c>
      <c r="BE37" s="49">
        <v>0.5</v>
      </c>
      <c r="BF37" s="49">
        <v>0.75</v>
      </c>
      <c r="BG37" s="49">
        <v>1</v>
      </c>
      <c r="BH37" s="49">
        <f t="shared" ca="1" si="10"/>
        <v>1</v>
      </c>
      <c r="BI37" s="49">
        <f t="shared" ca="1" si="11"/>
        <v>0.8571428571428571</v>
      </c>
      <c r="BJ37" s="49">
        <f t="shared" ca="1" si="12"/>
        <v>0.5</v>
      </c>
      <c r="BK37" s="49">
        <f t="shared" ca="1" si="13"/>
        <v>1</v>
      </c>
      <c r="BL37" s="49">
        <v>0.75</v>
      </c>
      <c r="BM37" s="49">
        <v>0.9</v>
      </c>
      <c r="BN37" s="49">
        <v>1</v>
      </c>
      <c r="BO37" s="49">
        <f t="shared" ca="1" si="14"/>
        <v>0.7142857142857143</v>
      </c>
      <c r="BP37" s="49">
        <f t="shared" ca="1" si="15"/>
        <v>1</v>
      </c>
      <c r="BQ37" s="49"/>
      <c r="BR37" s="49"/>
    </row>
    <row r="38" spans="1:70" x14ac:dyDescent="0.35">
      <c r="A38" s="53">
        <f t="shared" ca="1" si="16"/>
        <v>42527</v>
      </c>
      <c r="B38" s="48">
        <f ca="1">MATCH($A38,budget_history[Date])</f>
        <v>3</v>
      </c>
      <c r="C38" s="48">
        <f ca="1">MATCH($A38,actuals_prd_imp[End Date])</f>
        <v>14</v>
      </c>
      <c r="D38" s="48">
        <f ca="1">MATCH($A38,actuals_prd_exp[End Date])</f>
        <v>14</v>
      </c>
      <c r="E38" s="48">
        <f ca="1">MATCH($A38,actuals_stn_imp[End Date])</f>
        <v>34</v>
      </c>
      <c r="F38" s="48">
        <f ca="1">MATCH($A38,actuals_stn_exp[End Date])</f>
        <v>34</v>
      </c>
      <c r="G38">
        <f ca="1">NETWORKDAYS(INDEX(actuals_prd_imp[End Date],$C38-1), INDEX(actuals_prd_imp[End Date],$C38))-1</f>
        <v>5</v>
      </c>
      <c r="H38">
        <f ca="1">NETWORKDAYS(INDEX(actuals_prd_exp[End Date],$C38-1), INDEX(actuals_prd_exp[End Date],$C38))-1</f>
        <v>5</v>
      </c>
      <c r="I38">
        <f ca="1">NETWORKDAYS(INDEX(actuals_stn_imp[End Date],$C38-1), INDEX(actuals_stn_imp[End Date],$C38))-1</f>
        <v>2</v>
      </c>
      <c r="J38">
        <f ca="1">NETWORKDAYS(INDEX(actuals_stn_exp[End Date],$C38-1), INDEX(actuals_stn_exp[End Date],$C38))-1</f>
        <v>2</v>
      </c>
      <c r="K38">
        <f ca="1">INDEX(actuals_prd_imp[Taken into Immediate Future Plan],$C38)</f>
        <v>12</v>
      </c>
      <c r="L38">
        <f ca="1">INDEX(actuals_prd_exp[Taken into Immediate Future Plan],$D38)</f>
        <v>14</v>
      </c>
      <c r="M38">
        <f ca="1">INDEX(actuals_stn_imp[Taken into Immediate Future Plan],$E38)</f>
        <v>2</v>
      </c>
      <c r="N38">
        <f ca="1">INDEX(actuals_stn_exp[Taken into Immediate Future Plan],$F38)</f>
        <v>3</v>
      </c>
      <c r="O38">
        <f ca="1">INDEX(actuals_prd_imp[Removed Planned],$C38)</f>
        <v>1</v>
      </c>
      <c r="P38">
        <f ca="1">INDEX(actuals_prd_exp[Removed Planned],$D38)</f>
        <v>0</v>
      </c>
      <c r="Q38">
        <f ca="1">INDEX(actuals_stn_imp[Removed Planned],$E38)</f>
        <v>0</v>
      </c>
      <c r="R38">
        <f ca="1">INDEX(actuals_stn_exp[Removed Planned],$F38)</f>
        <v>0</v>
      </c>
      <c r="S38">
        <f ca="1">INDEX(actuals_prd_imp[Planned done],$C38)</f>
        <v>11</v>
      </c>
      <c r="T38">
        <f ca="1">INDEX(actuals_prd_exp[Planned done],$D38)</f>
        <v>12</v>
      </c>
      <c r="U38">
        <f ca="1">INDEX(actuals_stn_imp[Planned done],$E38)</f>
        <v>1</v>
      </c>
      <c r="V38">
        <f ca="1">INDEX(actuals_stn_exp[Planned done],$F38)</f>
        <v>3</v>
      </c>
      <c r="W38">
        <f ca="1">INDEX(actuals_prd_imp[Additional done],$C38)</f>
        <v>3</v>
      </c>
      <c r="X38">
        <f ca="1">INDEX(actuals_prd_exp[Additional done],$D38)</f>
        <v>4</v>
      </c>
      <c r="Y38">
        <f ca="1">INDEX(actuals_stn_imp[Additional done],$E38)</f>
        <v>0</v>
      </c>
      <c r="Z38">
        <f ca="1">INDEX(actuals_stn_exp[Additional done],$F38)</f>
        <v>1</v>
      </c>
      <c r="AA38">
        <f ca="1">INDEX(actuals_prd_imp[Had expected impact],$C38)</f>
        <v>10</v>
      </c>
      <c r="AB38">
        <f ca="1">INDEX(actuals_prd_exp[Had expected impact],$D38)</f>
        <v>15</v>
      </c>
      <c r="AC38">
        <f ca="1">INDEX(actuals_stn_imp[Had expected impact],$E38)</f>
        <v>1</v>
      </c>
      <c r="AD38">
        <f ca="1">INDEX(actuals_stn_exp[Had expected impact],$F38)</f>
        <v>4</v>
      </c>
      <c r="AE38">
        <f ca="1">INDEX(actuals_prd_imp[Incorporated Learning into Future Plans],$C38)</f>
        <v>13</v>
      </c>
      <c r="AF38">
        <f ca="1">INDEX(actuals_prd_exp[Incorporated Learning into Future Plans],$D38)</f>
        <v>16</v>
      </c>
      <c r="AG38">
        <f ca="1">INDEX(actuals_stn_imp[Incorporated Learning into Future Plans],$E38)</f>
        <v>1</v>
      </c>
      <c r="AH38">
        <f ca="1">INDEX(actuals_stn_exp[Incorporated Learning into Future Plans],$F38)</f>
        <v>4</v>
      </c>
      <c r="AI38">
        <f ca="1">S38/G38</f>
        <v>2.2000000000000002</v>
      </c>
      <c r="AJ38">
        <f ca="1">T38/H38</f>
        <v>2.4</v>
      </c>
      <c r="AK38">
        <f ca="1">U38/I38</f>
        <v>0.5</v>
      </c>
      <c r="AL38">
        <f ca="1">V38/J38</f>
        <v>1.5</v>
      </c>
      <c r="AM38">
        <f ca="1">W38/G38</f>
        <v>0.6</v>
      </c>
      <c r="AN38">
        <f ca="1">X38/H38</f>
        <v>0.8</v>
      </c>
      <c r="AO38">
        <f ca="1">Y38/I38</f>
        <v>0</v>
      </c>
      <c r="AP38">
        <f ca="1">Z38/J38</f>
        <v>0.5</v>
      </c>
      <c r="AQ38" s="49">
        <f t="shared" ca="1" si="6"/>
        <v>0.30000000000000004</v>
      </c>
      <c r="AR38" s="49">
        <f t="shared" ca="1" si="7"/>
        <v>0.36000000000000004</v>
      </c>
      <c r="AS38" s="49">
        <f ca="1">INDEX(budget_history[Budget],$B38)</f>
        <v>0.4</v>
      </c>
      <c r="AT38" s="49">
        <f t="shared" ca="1" si="8"/>
        <v>0.45999999999999996</v>
      </c>
      <c r="AU38" s="49">
        <f t="shared" ca="1" si="9"/>
        <v>0.55000000000000004</v>
      </c>
      <c r="AV38" s="49">
        <v>1</v>
      </c>
      <c r="AW38" s="49">
        <f ca="1">SUM(AO38:AP38,AK38:AL38)/SUM(AI38:AP38)</f>
        <v>0.29411764705882354</v>
      </c>
      <c r="AX38" s="49">
        <v>0.6</v>
      </c>
      <c r="AY38" s="49">
        <v>0.8</v>
      </c>
      <c r="AZ38" s="49">
        <v>1</v>
      </c>
      <c r="BA38" s="49">
        <f ca="1">AI38/SUM(AI38,AM38)</f>
        <v>0.7857142857142857</v>
      </c>
      <c r="BB38" s="49">
        <f ca="1">AJ38/SUM(AJ38,AN38)</f>
        <v>0.74999999999999989</v>
      </c>
      <c r="BC38" s="49">
        <f ca="1">AK38/SUM(AK38,AO38)</f>
        <v>1</v>
      </c>
      <c r="BD38" s="49">
        <f ca="1">AL38/SUM(AL38,AP38)</f>
        <v>0.75</v>
      </c>
      <c r="BE38" s="49">
        <v>0.5</v>
      </c>
      <c r="BF38" s="49">
        <v>0.75</v>
      </c>
      <c r="BG38" s="49">
        <v>1</v>
      </c>
      <c r="BH38" s="49">
        <f t="shared" ca="1" si="10"/>
        <v>1</v>
      </c>
      <c r="BI38" s="49">
        <f t="shared" ca="1" si="11"/>
        <v>0.8571428571428571</v>
      </c>
      <c r="BJ38" s="49">
        <f t="shared" ca="1" si="12"/>
        <v>0.5</v>
      </c>
      <c r="BK38" s="49">
        <f t="shared" ca="1" si="13"/>
        <v>1</v>
      </c>
      <c r="BL38" s="49">
        <v>0.75</v>
      </c>
      <c r="BM38" s="49">
        <v>0.9</v>
      </c>
      <c r="BN38" s="49">
        <v>1</v>
      </c>
      <c r="BO38" s="49">
        <f t="shared" ca="1" si="14"/>
        <v>0.7142857142857143</v>
      </c>
      <c r="BP38" s="49">
        <f t="shared" ca="1" si="15"/>
        <v>1</v>
      </c>
      <c r="BQ38" s="49"/>
      <c r="BR38" s="49"/>
    </row>
    <row r="39" spans="1:70" x14ac:dyDescent="0.35">
      <c r="A39" s="4"/>
    </row>
    <row r="40" spans="1:70" x14ac:dyDescent="0.35">
      <c r="A40" s="4"/>
    </row>
    <row r="41" spans="1:70" x14ac:dyDescent="0.35">
      <c r="A41" s="4"/>
    </row>
    <row r="42" spans="1:70" x14ac:dyDescent="0.35">
      <c r="A42" s="4"/>
    </row>
    <row r="43" spans="1:70" x14ac:dyDescent="0.35">
      <c r="A43" s="4"/>
    </row>
    <row r="44" spans="1:70" x14ac:dyDescent="0.35">
      <c r="A44" s="4"/>
    </row>
  </sheetData>
  <mergeCells count="14">
    <mergeCell ref="BL16:BP16"/>
    <mergeCell ref="AQ16:AW16"/>
    <mergeCell ref="AX16:BD16"/>
    <mergeCell ref="AA16:AD16"/>
    <mergeCell ref="AE16:AH16"/>
    <mergeCell ref="BE16:BK16"/>
    <mergeCell ref="S16:V16"/>
    <mergeCell ref="W16:Z16"/>
    <mergeCell ref="B16:F16"/>
    <mergeCell ref="G16:J16"/>
    <mergeCell ref="AI16:AL16"/>
    <mergeCell ref="AM16:AP16"/>
    <mergeCell ref="K16:N16"/>
    <mergeCell ref="O16:R16"/>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4</vt:i4>
      </vt:variant>
    </vt:vector>
  </HeadingPairs>
  <TitlesOfParts>
    <vt:vector size="9" baseType="lpstr">
      <vt:lpstr>Readme - how to use</vt:lpstr>
      <vt:lpstr>Dashboard</vt:lpstr>
      <vt:lpstr>Historical trends</vt:lpstr>
      <vt:lpstr>Data</vt:lpstr>
      <vt:lpstr>Calcs</vt:lpstr>
      <vt:lpstr>current_budget</vt:lpstr>
      <vt:lpstr>dashboard_now</vt:lpstr>
      <vt:lpstr>exp_number_of_options</vt:lpstr>
      <vt:lpstr>total_daily_capacity</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2016-06-06T17:24:48Z</dcterms:modified>
</cp:coreProperties>
</file>