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Dashboard!$B$45</definedName>
    <definedName name="total_daily_capacity">Calcs!$B$12</definedName>
  </definedNames>
  <calcPr calcId="152511"/>
</workbook>
</file>

<file path=xl/calcChain.xml><?xml version="1.0" encoding="utf-8"?>
<calcChain xmlns="http://schemas.openxmlformats.org/spreadsheetml/2006/main">
  <c r="AJ36" i="4" l="1"/>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A18" i="7" l="1"/>
  <c r="A19" i="7" s="1"/>
  <c r="A20" i="7" s="1"/>
  <c r="A21" i="7" s="1"/>
  <c r="A22" i="7" s="1"/>
  <c r="A23" i="7" s="1"/>
  <c r="A24" i="7" s="1"/>
  <c r="A25" i="7" s="1"/>
  <c r="A26" i="7" s="1"/>
  <c r="A27" i="7" s="1"/>
  <c r="A28" i="7" s="1"/>
  <c r="A29" i="7" s="1"/>
  <c r="A30" i="7" s="1"/>
  <c r="A31" i="7" s="1"/>
  <c r="A32" i="7" s="1"/>
  <c r="A33" i="7" s="1"/>
  <c r="A34" i="7" s="1"/>
  <c r="A35" i="7" s="1"/>
  <c r="A36" i="7" s="1"/>
  <c r="A37" i="7" s="1"/>
  <c r="A38" i="7" s="1"/>
  <c r="B6" i="7"/>
  <c r="C6" i="7" s="1"/>
  <c r="B7" i="7"/>
  <c r="C7" i="7" s="1"/>
  <c r="B4" i="7"/>
  <c r="B5" i="7"/>
  <c r="C5" i="7" s="1"/>
  <c r="E7" i="7"/>
  <c r="M7" i="7" s="1"/>
  <c r="E5" i="7"/>
  <c r="M5" i="7" s="1"/>
  <c r="E6" i="7"/>
  <c r="M6" i="7" s="1"/>
  <c r="E4" i="7"/>
  <c r="M4" i="7" s="1"/>
  <c r="AM3" i="4"/>
  <c r="AR3" i="4" s="1"/>
  <c r="AB11" i="4"/>
  <c r="AG11" i="4" s="1"/>
  <c r="AM19" i="4"/>
  <c r="AR19" i="4" s="1"/>
  <c r="AM11" i="4"/>
  <c r="AR11" i="4" s="1"/>
  <c r="AM35" i="4"/>
  <c r="AR35" i="4" s="1"/>
  <c r="AM24" i="4"/>
  <c r="AQ24" i="4" s="1"/>
  <c r="AM7" i="4"/>
  <c r="AR7" i="4" s="1"/>
  <c r="Q14" i="4"/>
  <c r="T14" i="4" s="1"/>
  <c r="AB28" i="4"/>
  <c r="AG28" i="4" s="1"/>
  <c r="AM31" i="4"/>
  <c r="AR31" i="4" s="1"/>
  <c r="AM29" i="4"/>
  <c r="AR29" i="4" s="1"/>
  <c r="AB3" i="4"/>
  <c r="AE3" i="4" s="1"/>
  <c r="AM27" i="4"/>
  <c r="AP27" i="4" s="1"/>
  <c r="AM25" i="4"/>
  <c r="AR25" i="4" s="1"/>
  <c r="AM20" i="4"/>
  <c r="AQ20" i="4" s="1"/>
  <c r="AM5" i="4"/>
  <c r="AQ5" i="4" s="1"/>
  <c r="AB33" i="4"/>
  <c r="AE33" i="4" s="1"/>
  <c r="AB25" i="4"/>
  <c r="AF25" i="4" s="1"/>
  <c r="AM32" i="4"/>
  <c r="AP32" i="4" s="1"/>
  <c r="AM23" i="4"/>
  <c r="AR23" i="4" s="1"/>
  <c r="AM21" i="4"/>
  <c r="AR21" i="4" s="1"/>
  <c r="AM15" i="4"/>
  <c r="AQ15" i="4" s="1"/>
  <c r="Q10" i="4"/>
  <c r="T10" i="4" s="1"/>
  <c r="AB17" i="4"/>
  <c r="AG17" i="4" s="1"/>
  <c r="AM33" i="4"/>
  <c r="AR33" i="4" s="1"/>
  <c r="AM28" i="4"/>
  <c r="AR28" i="4" s="1"/>
  <c r="AB29" i="4"/>
  <c r="AE29" i="4" s="1"/>
  <c r="AB24" i="4"/>
  <c r="AE24" i="4" s="1"/>
  <c r="AB13" i="4"/>
  <c r="AE13" i="4" s="1"/>
  <c r="AB9" i="4"/>
  <c r="AG9" i="4" s="1"/>
  <c r="AP19" i="4"/>
  <c r="AM16" i="4"/>
  <c r="AQ16" i="4" s="1"/>
  <c r="AM13" i="4"/>
  <c r="AR13" i="4" s="1"/>
  <c r="Q4" i="4"/>
  <c r="V4" i="4" s="1"/>
  <c r="AB20" i="4"/>
  <c r="AG20" i="4" s="1"/>
  <c r="AB7" i="4"/>
  <c r="AG7" i="4" s="1"/>
  <c r="AM12" i="4"/>
  <c r="AQ12" i="4" s="1"/>
  <c r="AM9" i="4"/>
  <c r="AQ9" i="4" s="1"/>
  <c r="AM8" i="4"/>
  <c r="AR8" i="4" s="1"/>
  <c r="AM4" i="4"/>
  <c r="AR4" i="4" s="1"/>
  <c r="AB32" i="4"/>
  <c r="AE32" i="4" s="1"/>
  <c r="AB21" i="4"/>
  <c r="AF21" i="4" s="1"/>
  <c r="AB16" i="4"/>
  <c r="AG16" i="4" s="1"/>
  <c r="AM17" i="4"/>
  <c r="AP17" i="4" s="1"/>
  <c r="AB4" i="4"/>
  <c r="AG4" i="4" s="1"/>
  <c r="AM34" i="4"/>
  <c r="AP34" i="4" s="1"/>
  <c r="AM30" i="4"/>
  <c r="AP30" i="4" s="1"/>
  <c r="AM26" i="4"/>
  <c r="AM22" i="4"/>
  <c r="AP22" i="4" s="1"/>
  <c r="AM18" i="4"/>
  <c r="AM14" i="4"/>
  <c r="AP14" i="4" s="1"/>
  <c r="AM10" i="4"/>
  <c r="AP10" i="4" s="1"/>
  <c r="AM6" i="4"/>
  <c r="AP6" i="4" s="1"/>
  <c r="AB12" i="4"/>
  <c r="AG12" i="4" s="1"/>
  <c r="AB8" i="4"/>
  <c r="AF8" i="4" s="1"/>
  <c r="Q3" i="4"/>
  <c r="V3" i="4" s="1"/>
  <c r="Q6" i="4"/>
  <c r="U6" i="4" s="1"/>
  <c r="AB35" i="4"/>
  <c r="AE35" i="4" s="1"/>
  <c r="AB31" i="4"/>
  <c r="AE31" i="4" s="1"/>
  <c r="AB27" i="4"/>
  <c r="AB23" i="4"/>
  <c r="AB19" i="4"/>
  <c r="AE19" i="4" s="1"/>
  <c r="AB15" i="4"/>
  <c r="AE15" i="4" s="1"/>
  <c r="AB5" i="4"/>
  <c r="AE5" i="4" s="1"/>
  <c r="AB34" i="4"/>
  <c r="AE34" i="4" s="1"/>
  <c r="AB30" i="4"/>
  <c r="AE30" i="4" s="1"/>
  <c r="AB26" i="4"/>
  <c r="AB22" i="4"/>
  <c r="AB18" i="4"/>
  <c r="AB14" i="4"/>
  <c r="AE14" i="4" s="1"/>
  <c r="AB10" i="4"/>
  <c r="AB6" i="4"/>
  <c r="AE6" i="4" s="1"/>
  <c r="Q15" i="4"/>
  <c r="U15" i="4" s="1"/>
  <c r="Q12" i="4"/>
  <c r="U12" i="4" s="1"/>
  <c r="Q11" i="4"/>
  <c r="T11" i="4" s="1"/>
  <c r="Q8" i="4"/>
  <c r="T8" i="4" s="1"/>
  <c r="Q7" i="4"/>
  <c r="U7" i="4" s="1"/>
  <c r="Q13" i="4"/>
  <c r="Q9" i="4"/>
  <c r="Q5" i="4"/>
  <c r="T5" i="4" s="1"/>
  <c r="AM2" i="4"/>
  <c r="AB2" i="4"/>
  <c r="Q2" i="4"/>
  <c r="F6" i="4"/>
  <c r="J6" i="4" s="1"/>
  <c r="F10" i="4"/>
  <c r="J10" i="4" s="1"/>
  <c r="F8" i="4"/>
  <c r="J8" i="4" s="1"/>
  <c r="F4" i="4"/>
  <c r="J4" i="4" s="1"/>
  <c r="F12" i="4"/>
  <c r="J12" i="4" s="1"/>
  <c r="F14" i="4"/>
  <c r="K14" i="4" s="1"/>
  <c r="F15" i="4"/>
  <c r="K15" i="4" s="1"/>
  <c r="F11" i="4"/>
  <c r="K11" i="4" s="1"/>
  <c r="F7" i="4"/>
  <c r="K7" i="4" s="1"/>
  <c r="F13" i="4"/>
  <c r="K13" i="4" s="1"/>
  <c r="F9" i="4"/>
  <c r="K9" i="4" s="1"/>
  <c r="F5" i="4"/>
  <c r="K5" i="4" s="1"/>
  <c r="F3" i="4"/>
  <c r="F2" i="4"/>
  <c r="F18" i="7" l="1"/>
  <c r="B18" i="7"/>
  <c r="AC18" i="7" s="1"/>
  <c r="AE18" i="7" s="1"/>
  <c r="D18" i="7"/>
  <c r="P18" i="7" s="1"/>
  <c r="E18" i="7"/>
  <c r="Q18" i="7" s="1"/>
  <c r="C18" i="7"/>
  <c r="J18" i="7" s="1"/>
  <c r="B19" i="7"/>
  <c r="AC19" i="7" s="1"/>
  <c r="F6" i="7"/>
  <c r="F5" i="7"/>
  <c r="F7" i="7"/>
  <c r="F4" i="7"/>
  <c r="D5" i="7"/>
  <c r="I5" i="7" s="1"/>
  <c r="D6" i="7"/>
  <c r="I6" i="7" s="1"/>
  <c r="D7" i="7"/>
  <c r="I7" i="7" s="1"/>
  <c r="D4" i="7"/>
  <c r="I4" i="7" s="1"/>
  <c r="C4" i="7"/>
  <c r="AQ2" i="4"/>
  <c r="AG2" i="4"/>
  <c r="AP3" i="4"/>
  <c r="AQ3" i="4"/>
  <c r="AQ19" i="4"/>
  <c r="V10" i="4"/>
  <c r="AP29" i="4"/>
  <c r="AE12" i="4"/>
  <c r="AP7" i="4"/>
  <c r="AF12" i="4"/>
  <c r="AF16" i="4"/>
  <c r="AQ7" i="4"/>
  <c r="AQ29" i="4"/>
  <c r="AF17" i="4"/>
  <c r="AP5" i="4"/>
  <c r="AR32" i="4"/>
  <c r="AQ11" i="4"/>
  <c r="AG29" i="4"/>
  <c r="AF3" i="4"/>
  <c r="AE11" i="4"/>
  <c r="AF9" i="4"/>
  <c r="AF20" i="4"/>
  <c r="AF11" i="4"/>
  <c r="AE9" i="4"/>
  <c r="AP9" i="4"/>
  <c r="AG33" i="4"/>
  <c r="AP21" i="4"/>
  <c r="AP33" i="4"/>
  <c r="AR27" i="4"/>
  <c r="AE21" i="4"/>
  <c r="AG21" i="4"/>
  <c r="AR9" i="4"/>
  <c r="AP8" i="4"/>
  <c r="AG32" i="4"/>
  <c r="AQ28" i="4"/>
  <c r="AP15" i="4"/>
  <c r="AR12" i="4"/>
  <c r="AE25" i="4"/>
  <c r="AP24" i="4"/>
  <c r="AR15" i="4"/>
  <c r="AF24" i="4"/>
  <c r="AQ25" i="4"/>
  <c r="U4" i="4"/>
  <c r="AQ13" i="4"/>
  <c r="AR24" i="4"/>
  <c r="AP25" i="4"/>
  <c r="AP31" i="4"/>
  <c r="U3" i="4"/>
  <c r="AG25" i="4"/>
  <c r="AP28" i="4"/>
  <c r="AQ31" i="4"/>
  <c r="AF4" i="4"/>
  <c r="AF33" i="4"/>
  <c r="AF29" i="4"/>
  <c r="AQ35" i="4"/>
  <c r="T3" i="4"/>
  <c r="AE7" i="4"/>
  <c r="AE4" i="4"/>
  <c r="AF28" i="4"/>
  <c r="AE16" i="4"/>
  <c r="AE20" i="4"/>
  <c r="AQ8" i="4"/>
  <c r="AQ21" i="4"/>
  <c r="AQ33" i="4"/>
  <c r="AP11" i="4"/>
  <c r="AP35" i="4"/>
  <c r="U14" i="4"/>
  <c r="AQ27" i="4"/>
  <c r="AF7" i="4"/>
  <c r="AE28" i="4"/>
  <c r="AQ23" i="4"/>
  <c r="V14" i="4"/>
  <c r="AE17" i="4"/>
  <c r="AQ4" i="4"/>
  <c r="AG3" i="4"/>
  <c r="AP23" i="4"/>
  <c r="T7" i="4"/>
  <c r="T6" i="4"/>
  <c r="AR5" i="4"/>
  <c r="T15" i="4"/>
  <c r="T12" i="4"/>
  <c r="AG13" i="4"/>
  <c r="AF32" i="4"/>
  <c r="AP12" i="4"/>
  <c r="AP13" i="4"/>
  <c r="AR20" i="4"/>
  <c r="AQ32" i="4"/>
  <c r="U10" i="4"/>
  <c r="T4" i="4"/>
  <c r="V12" i="4"/>
  <c r="AF13" i="4"/>
  <c r="AP20" i="4"/>
  <c r="AE8" i="4"/>
  <c r="AR17" i="4"/>
  <c r="AP16" i="4"/>
  <c r="V8" i="4"/>
  <c r="AG8" i="4"/>
  <c r="AG24" i="4"/>
  <c r="AQ17" i="4"/>
  <c r="AP4" i="4"/>
  <c r="AR16" i="4"/>
  <c r="AR2" i="4"/>
  <c r="AG23" i="4"/>
  <c r="AF23" i="4"/>
  <c r="AP2" i="4"/>
  <c r="V7" i="4"/>
  <c r="V15" i="4"/>
  <c r="AG5" i="4"/>
  <c r="AG27" i="4"/>
  <c r="AF27" i="4"/>
  <c r="AQ14" i="4"/>
  <c r="AR14" i="4"/>
  <c r="AR30" i="4"/>
  <c r="AQ30" i="4"/>
  <c r="AQ10" i="4"/>
  <c r="AR10" i="4"/>
  <c r="V6" i="4"/>
  <c r="AF5" i="4"/>
  <c r="AG15" i="4"/>
  <c r="AF15" i="4"/>
  <c r="AG31" i="4"/>
  <c r="AF31" i="4"/>
  <c r="AE23" i="4"/>
  <c r="AQ18" i="4"/>
  <c r="AR18" i="4"/>
  <c r="AR34" i="4"/>
  <c r="AQ34" i="4"/>
  <c r="AP18" i="4"/>
  <c r="AR26" i="4"/>
  <c r="AQ26" i="4"/>
  <c r="V11" i="4"/>
  <c r="AG19" i="4"/>
  <c r="AF19" i="4"/>
  <c r="AG35" i="4"/>
  <c r="AF35" i="4"/>
  <c r="AE27" i="4"/>
  <c r="AQ6" i="4"/>
  <c r="AR6" i="4"/>
  <c r="AR22" i="4"/>
  <c r="AQ22" i="4"/>
  <c r="AP26" i="4"/>
  <c r="AG22" i="4"/>
  <c r="AF22" i="4"/>
  <c r="U8" i="4"/>
  <c r="AG10" i="4"/>
  <c r="AF10" i="4"/>
  <c r="AF26" i="4"/>
  <c r="AG26" i="4"/>
  <c r="U11" i="4"/>
  <c r="AG14" i="4"/>
  <c r="AF14" i="4"/>
  <c r="AG30" i="4"/>
  <c r="AF30" i="4"/>
  <c r="AE10" i="4"/>
  <c r="AE22" i="4"/>
  <c r="AG6" i="4"/>
  <c r="AF6" i="4"/>
  <c r="AG18" i="4"/>
  <c r="AF18" i="4"/>
  <c r="AG34" i="4"/>
  <c r="AF34" i="4"/>
  <c r="AE18" i="4"/>
  <c r="AE26" i="4"/>
  <c r="U13" i="4"/>
  <c r="V13" i="4"/>
  <c r="T13" i="4"/>
  <c r="U5" i="4"/>
  <c r="V5" i="4"/>
  <c r="K10" i="4"/>
  <c r="U9" i="4"/>
  <c r="V9" i="4"/>
  <c r="T9" i="4"/>
  <c r="AF2" i="4"/>
  <c r="AE2" i="4"/>
  <c r="I6" i="4"/>
  <c r="V2" i="4"/>
  <c r="U2" i="4"/>
  <c r="T2" i="4"/>
  <c r="I10" i="4"/>
  <c r="K6" i="4"/>
  <c r="K8" i="4"/>
  <c r="I8" i="4"/>
  <c r="I4" i="4"/>
  <c r="K4" i="4"/>
  <c r="I12" i="4"/>
  <c r="K12" i="4"/>
  <c r="J3" i="4"/>
  <c r="K3" i="4"/>
  <c r="J2" i="4"/>
  <c r="K2" i="4"/>
  <c r="I13" i="4"/>
  <c r="J13" i="4"/>
  <c r="I7" i="4"/>
  <c r="J7" i="4"/>
  <c r="I9" i="4"/>
  <c r="J9" i="4"/>
  <c r="I15" i="4"/>
  <c r="J15" i="4"/>
  <c r="I3" i="4"/>
  <c r="I5" i="4"/>
  <c r="J5" i="4"/>
  <c r="I11" i="4"/>
  <c r="J11" i="4"/>
  <c r="I14" i="4"/>
  <c r="J14" i="4"/>
  <c r="I2" i="4"/>
  <c r="H5" i="7" l="1"/>
  <c r="H6" i="7"/>
  <c r="O6" i="7" s="1"/>
  <c r="H4" i="7"/>
  <c r="G4" i="7" s="1"/>
  <c r="H7" i="7"/>
  <c r="O7" i="7" s="1"/>
  <c r="D11" i="7" s="1"/>
  <c r="H9" i="2" s="1"/>
  <c r="R18" i="7"/>
  <c r="AD19" i="7"/>
  <c r="AE19" i="7"/>
  <c r="AB18" i="7"/>
  <c r="AD18" i="7"/>
  <c r="AA19" i="7"/>
  <c r="AB19" i="7"/>
  <c r="AA18" i="7"/>
  <c r="Z18" i="7"/>
  <c r="H18" i="7"/>
  <c r="X18" i="7" s="1"/>
  <c r="I18" i="7"/>
  <c r="Y18" i="7" s="1"/>
  <c r="G18" i="7"/>
  <c r="O18" i="7"/>
  <c r="J6" i="7"/>
  <c r="K6" i="7" s="1"/>
  <c r="C19" i="7"/>
  <c r="D19" i="7"/>
  <c r="F19" i="7"/>
  <c r="E19" i="7"/>
  <c r="N18" i="7"/>
  <c r="V18" i="7" s="1"/>
  <c r="AN18" i="7" s="1"/>
  <c r="M18" i="7"/>
  <c r="L18" i="7"/>
  <c r="K18" i="7"/>
  <c r="O4" i="7"/>
  <c r="B20" i="7"/>
  <c r="AC20" i="7" s="1"/>
  <c r="J5" i="7"/>
  <c r="K5" i="7" s="1"/>
  <c r="G5" i="7"/>
  <c r="L5" i="7" s="1"/>
  <c r="N5" i="7" s="1"/>
  <c r="O5" i="7"/>
  <c r="G6" i="7"/>
  <c r="J4" i="7"/>
  <c r="K4" i="7" s="1"/>
  <c r="J7" i="7"/>
  <c r="K7" i="7" s="1"/>
  <c r="G7" i="7" l="1"/>
  <c r="L7" i="7" s="1"/>
  <c r="N7" i="7" s="1"/>
  <c r="AD20" i="7"/>
  <c r="AE20" i="7"/>
  <c r="AA20" i="7"/>
  <c r="AB20" i="7"/>
  <c r="U18" i="7"/>
  <c r="AM18" i="7" s="1"/>
  <c r="S18" i="7"/>
  <c r="T18" i="7"/>
  <c r="AL18" i="7" s="1"/>
  <c r="W18" i="7"/>
  <c r="G19" i="7"/>
  <c r="J19" i="7"/>
  <c r="H19" i="7"/>
  <c r="I19" i="7"/>
  <c r="D10" i="7"/>
  <c r="D12" i="7" s="1"/>
  <c r="C20" i="7"/>
  <c r="D20" i="7"/>
  <c r="E20" i="7"/>
  <c r="F20" i="7"/>
  <c r="L19" i="7"/>
  <c r="P19" i="7"/>
  <c r="K19" i="7"/>
  <c r="O19" i="7"/>
  <c r="W19" i="7" s="1"/>
  <c r="N19" i="7"/>
  <c r="R19" i="7"/>
  <c r="M19" i="7"/>
  <c r="Q19" i="7"/>
  <c r="B21" i="7"/>
  <c r="AC21" i="7" s="1"/>
  <c r="L6" i="7"/>
  <c r="D9" i="2"/>
  <c r="L4" i="7"/>
  <c r="D8" i="2"/>
  <c r="B10" i="7"/>
  <c r="B11" i="7"/>
  <c r="AK18" i="7" l="1"/>
  <c r="AD21" i="7"/>
  <c r="AE21" i="7"/>
  <c r="AA21" i="7"/>
  <c r="AB21" i="7"/>
  <c r="T19" i="7"/>
  <c r="X19" i="7"/>
  <c r="AG18" i="7"/>
  <c r="H8" i="2"/>
  <c r="S19" i="7"/>
  <c r="AK19" i="7" s="1"/>
  <c r="Y19" i="7"/>
  <c r="Z19" i="7"/>
  <c r="V19" i="7"/>
  <c r="U19" i="7"/>
  <c r="G20" i="7"/>
  <c r="H20" i="7"/>
  <c r="I20" i="7"/>
  <c r="J20" i="7"/>
  <c r="C21" i="7"/>
  <c r="F21" i="7"/>
  <c r="D21" i="7"/>
  <c r="E21" i="7"/>
  <c r="L20" i="7"/>
  <c r="P20" i="7"/>
  <c r="N20" i="7"/>
  <c r="R20" i="7"/>
  <c r="K20" i="7"/>
  <c r="O20" i="7"/>
  <c r="M20" i="7"/>
  <c r="Q20" i="7"/>
  <c r="B22" i="7"/>
  <c r="AC22" i="7" s="1"/>
  <c r="N6" i="7"/>
  <c r="F11" i="7" s="1"/>
  <c r="E11" i="7"/>
  <c r="N4" i="7"/>
  <c r="F10" i="7" s="1"/>
  <c r="E10" i="7"/>
  <c r="B12" i="7"/>
  <c r="C10" i="7" s="1"/>
  <c r="F8" i="2" s="1"/>
  <c r="AM19" i="7" l="1"/>
  <c r="AL19" i="7"/>
  <c r="AN19" i="7"/>
  <c r="AD22" i="7"/>
  <c r="AE22" i="7"/>
  <c r="AA22" i="7"/>
  <c r="AB22" i="7"/>
  <c r="V20" i="7"/>
  <c r="Y20" i="7"/>
  <c r="T20" i="7"/>
  <c r="AG19" i="7"/>
  <c r="X20" i="7"/>
  <c r="Z20" i="7"/>
  <c r="W20" i="7"/>
  <c r="S20" i="7"/>
  <c r="U20" i="7"/>
  <c r="AM20" i="7" s="1"/>
  <c r="G21" i="7"/>
  <c r="H21" i="7"/>
  <c r="J21" i="7"/>
  <c r="I21" i="7"/>
  <c r="C22" i="7"/>
  <c r="D22" i="7"/>
  <c r="F22" i="7"/>
  <c r="E22" i="7"/>
  <c r="L21" i="7"/>
  <c r="P21" i="7"/>
  <c r="K21" i="7"/>
  <c r="O21" i="7"/>
  <c r="N21" i="7"/>
  <c r="R21" i="7"/>
  <c r="M21" i="7"/>
  <c r="Q21" i="7"/>
  <c r="B23" i="7"/>
  <c r="AC23" i="7" s="1"/>
  <c r="H10" i="7"/>
  <c r="L8" i="2" s="1"/>
  <c r="G11" i="7"/>
  <c r="J9" i="2" s="1"/>
  <c r="G10" i="7"/>
  <c r="J8" i="2" s="1"/>
  <c r="C11" i="7"/>
  <c r="F9" i="2" s="1"/>
  <c r="AL20" i="7" l="1"/>
  <c r="AN20" i="7"/>
  <c r="AK20" i="7"/>
  <c r="AD23" i="7"/>
  <c r="AE23" i="7"/>
  <c r="AA23" i="7"/>
  <c r="AB23" i="7"/>
  <c r="X21" i="7"/>
  <c r="T21" i="7"/>
  <c r="W21" i="7"/>
  <c r="AG20" i="7"/>
  <c r="Z21" i="7"/>
  <c r="U21" i="7"/>
  <c r="Y21" i="7"/>
  <c r="S21" i="7"/>
  <c r="V21" i="7"/>
  <c r="AN21" i="7" s="1"/>
  <c r="G22" i="7"/>
  <c r="H22" i="7"/>
  <c r="J22" i="7"/>
  <c r="I22" i="7"/>
  <c r="C23" i="7"/>
  <c r="F23" i="7"/>
  <c r="D23" i="7"/>
  <c r="E23" i="7"/>
  <c r="L22" i="7"/>
  <c r="P22" i="7"/>
  <c r="M22" i="7"/>
  <c r="Q22" i="7"/>
  <c r="K22" i="7"/>
  <c r="O22" i="7"/>
  <c r="N22" i="7"/>
  <c r="R22" i="7"/>
  <c r="B24" i="7"/>
  <c r="AC24" i="7" s="1"/>
  <c r="H11" i="7"/>
  <c r="L9" i="2" s="1"/>
  <c r="AM21" i="7" l="1"/>
  <c r="AL21" i="7"/>
  <c r="AK21" i="7"/>
  <c r="AD24" i="7"/>
  <c r="AE24" i="7"/>
  <c r="Y22" i="7"/>
  <c r="AA24" i="7"/>
  <c r="AB24" i="7"/>
  <c r="T22" i="7"/>
  <c r="Z22" i="7"/>
  <c r="U22" i="7"/>
  <c r="AG21" i="7"/>
  <c r="W22" i="7"/>
  <c r="S22" i="7"/>
  <c r="X22" i="7"/>
  <c r="V22" i="7"/>
  <c r="AN22" i="7" s="1"/>
  <c r="G23" i="7"/>
  <c r="J23" i="7"/>
  <c r="H23" i="7"/>
  <c r="I23" i="7"/>
  <c r="C24" i="7"/>
  <c r="D24" i="7"/>
  <c r="E24" i="7"/>
  <c r="F24" i="7"/>
  <c r="N23" i="7"/>
  <c r="R23" i="7"/>
  <c r="L23" i="7"/>
  <c r="P23" i="7"/>
  <c r="K23" i="7"/>
  <c r="O23" i="7"/>
  <c r="M23" i="7"/>
  <c r="Q23" i="7"/>
  <c r="B25" i="7"/>
  <c r="AC25" i="7" s="1"/>
  <c r="AK22" i="7" l="1"/>
  <c r="AM22" i="7"/>
  <c r="AL22" i="7"/>
  <c r="AD25" i="7"/>
  <c r="AE25" i="7"/>
  <c r="AA25" i="7"/>
  <c r="AB25" i="7"/>
  <c r="U23" i="7"/>
  <c r="X23" i="7"/>
  <c r="AG22" i="7"/>
  <c r="W23" i="7"/>
  <c r="Y23" i="7"/>
  <c r="V23" i="7"/>
  <c r="Z23" i="7"/>
  <c r="S23" i="7"/>
  <c r="AK23" i="7" s="1"/>
  <c r="T23" i="7"/>
  <c r="G24" i="7"/>
  <c r="H24" i="7"/>
  <c r="J24" i="7"/>
  <c r="I24" i="7"/>
  <c r="C25" i="7"/>
  <c r="D25" i="7"/>
  <c r="F25" i="7"/>
  <c r="E25" i="7"/>
  <c r="M24" i="7"/>
  <c r="Q24" i="7"/>
  <c r="L24" i="7"/>
  <c r="P24" i="7"/>
  <c r="K24" i="7"/>
  <c r="O24" i="7"/>
  <c r="N24" i="7"/>
  <c r="R24" i="7"/>
  <c r="B26" i="7"/>
  <c r="AC26" i="7" s="1"/>
  <c r="AN23" i="7" l="1"/>
  <c r="AL23" i="7"/>
  <c r="AM23" i="7"/>
  <c r="AD26" i="7"/>
  <c r="AE26" i="7"/>
  <c r="AA26" i="7"/>
  <c r="AB26" i="7"/>
  <c r="S24" i="7"/>
  <c r="W24" i="7"/>
  <c r="X24" i="7"/>
  <c r="AG23" i="7"/>
  <c r="Z24" i="7"/>
  <c r="Y24" i="7"/>
  <c r="T24" i="7"/>
  <c r="AL24" i="7" s="1"/>
  <c r="V24" i="7"/>
  <c r="U24" i="7"/>
  <c r="G25" i="7"/>
  <c r="J25" i="7"/>
  <c r="H25" i="7"/>
  <c r="I25" i="7"/>
  <c r="C26" i="7"/>
  <c r="F26" i="7"/>
  <c r="D26" i="7"/>
  <c r="E26" i="7"/>
  <c r="L25" i="7"/>
  <c r="P25" i="7"/>
  <c r="N25" i="7"/>
  <c r="R25" i="7"/>
  <c r="K25" i="7"/>
  <c r="O25" i="7"/>
  <c r="M25" i="7"/>
  <c r="Q25" i="7"/>
  <c r="B27" i="7"/>
  <c r="AC27" i="7" s="1"/>
  <c r="AN24" i="7" l="1"/>
  <c r="AM24" i="7"/>
  <c r="AK24" i="7"/>
  <c r="AD27" i="7"/>
  <c r="AE27" i="7"/>
  <c r="AA27" i="7"/>
  <c r="AB27" i="7"/>
  <c r="Z25" i="7"/>
  <c r="X25" i="7"/>
  <c r="AG24" i="7"/>
  <c r="U25" i="7"/>
  <c r="W25" i="7"/>
  <c r="Y25" i="7"/>
  <c r="S25" i="7"/>
  <c r="T25" i="7"/>
  <c r="V25" i="7"/>
  <c r="AN25" i="7" s="1"/>
  <c r="G26" i="7"/>
  <c r="H26" i="7"/>
  <c r="J26" i="7"/>
  <c r="I26" i="7"/>
  <c r="C27" i="7"/>
  <c r="D27" i="7"/>
  <c r="E27" i="7"/>
  <c r="F27" i="7"/>
  <c r="M26" i="7"/>
  <c r="Q26" i="7"/>
  <c r="L26" i="7"/>
  <c r="P26" i="7"/>
  <c r="K26" i="7"/>
  <c r="O26" i="7"/>
  <c r="N26" i="7"/>
  <c r="R26" i="7"/>
  <c r="B28" i="7"/>
  <c r="AC28" i="7" s="1"/>
  <c r="AK25" i="7" l="1"/>
  <c r="AL25" i="7"/>
  <c r="AM25" i="7"/>
  <c r="V26" i="7"/>
  <c r="AD28" i="7"/>
  <c r="AE28" i="7"/>
  <c r="AA28" i="7"/>
  <c r="AB28" i="7"/>
  <c r="W26" i="7"/>
  <c r="X26" i="7"/>
  <c r="AG25" i="7"/>
  <c r="Z26" i="7"/>
  <c r="Y26" i="7"/>
  <c r="U26" i="7"/>
  <c r="S26" i="7"/>
  <c r="T26" i="7"/>
  <c r="G27" i="7"/>
  <c r="J27" i="7"/>
  <c r="H27" i="7"/>
  <c r="I27" i="7"/>
  <c r="C28" i="7"/>
  <c r="D28" i="7"/>
  <c r="F28" i="7"/>
  <c r="E28" i="7"/>
  <c r="N27" i="7"/>
  <c r="R27" i="7"/>
  <c r="L27" i="7"/>
  <c r="P27" i="7"/>
  <c r="K27" i="7"/>
  <c r="O27" i="7"/>
  <c r="M27" i="7"/>
  <c r="Q27" i="7"/>
  <c r="B29" i="7"/>
  <c r="AC29" i="7" s="1"/>
  <c r="AL26" i="7" l="1"/>
  <c r="S27" i="7"/>
  <c r="AN26" i="7"/>
  <c r="AK26" i="7"/>
  <c r="AM26" i="7"/>
  <c r="AD29" i="7"/>
  <c r="AE29" i="7"/>
  <c r="AA29" i="7"/>
  <c r="AB29" i="7"/>
  <c r="W27" i="7"/>
  <c r="AK27" i="7" s="1"/>
  <c r="Z27" i="7"/>
  <c r="X27" i="7"/>
  <c r="U27" i="7"/>
  <c r="V27" i="7"/>
  <c r="AG26" i="7"/>
  <c r="Y27" i="7"/>
  <c r="T27" i="7"/>
  <c r="G28" i="7"/>
  <c r="H28" i="7"/>
  <c r="I28" i="7"/>
  <c r="J28" i="7"/>
  <c r="C29" i="7"/>
  <c r="F29" i="7"/>
  <c r="D29" i="7"/>
  <c r="E29" i="7"/>
  <c r="M28" i="7"/>
  <c r="Q28" i="7"/>
  <c r="L28" i="7"/>
  <c r="P28" i="7"/>
  <c r="K28" i="7"/>
  <c r="O28" i="7"/>
  <c r="N28" i="7"/>
  <c r="R28" i="7"/>
  <c r="B30" i="7"/>
  <c r="AC30" i="7" s="1"/>
  <c r="AN27" i="7" l="1"/>
  <c r="AL27" i="7"/>
  <c r="AM27" i="7"/>
  <c r="Z28" i="7"/>
  <c r="AD30" i="7"/>
  <c r="AE30" i="7"/>
  <c r="AA30" i="7"/>
  <c r="AB30" i="7"/>
  <c r="S28" i="7"/>
  <c r="W28" i="7"/>
  <c r="Y28" i="7"/>
  <c r="V28" i="7"/>
  <c r="AN28" i="7" s="1"/>
  <c r="AG27" i="7"/>
  <c r="X28" i="7"/>
  <c r="T28" i="7"/>
  <c r="U28" i="7"/>
  <c r="G29" i="7"/>
  <c r="H29" i="7"/>
  <c r="J29" i="7"/>
  <c r="I29" i="7"/>
  <c r="C30" i="7"/>
  <c r="D30" i="7"/>
  <c r="E30" i="7"/>
  <c r="F30" i="7"/>
  <c r="N29" i="7"/>
  <c r="R29" i="7"/>
  <c r="L29" i="7"/>
  <c r="P29" i="7"/>
  <c r="K29" i="7"/>
  <c r="O29" i="7"/>
  <c r="M29" i="7"/>
  <c r="Q29" i="7"/>
  <c r="B31" i="7"/>
  <c r="AC31" i="7" s="1"/>
  <c r="AL28" i="7" l="1"/>
  <c r="Y29" i="7"/>
  <c r="AK28" i="7"/>
  <c r="AM28" i="7"/>
  <c r="AD31" i="7"/>
  <c r="AE31" i="7"/>
  <c r="AA31" i="7"/>
  <c r="AB31" i="7"/>
  <c r="AG28" i="7"/>
  <c r="Z29" i="7"/>
  <c r="U29" i="7"/>
  <c r="AM29" i="7" s="1"/>
  <c r="X29" i="7"/>
  <c r="T29" i="7"/>
  <c r="W29" i="7"/>
  <c r="S29" i="7"/>
  <c r="V29" i="7"/>
  <c r="AN29" i="7" s="1"/>
  <c r="G30" i="7"/>
  <c r="J30" i="7"/>
  <c r="H30" i="7"/>
  <c r="I30" i="7"/>
  <c r="C31" i="7"/>
  <c r="F31" i="7"/>
  <c r="D31" i="7"/>
  <c r="E31" i="7"/>
  <c r="L30" i="7"/>
  <c r="P30" i="7"/>
  <c r="K30" i="7"/>
  <c r="O30" i="7"/>
  <c r="M30" i="7"/>
  <c r="Q30" i="7"/>
  <c r="N30" i="7"/>
  <c r="R30" i="7"/>
  <c r="B32" i="7"/>
  <c r="AC32" i="7" s="1"/>
  <c r="AK29" i="7" l="1"/>
  <c r="AL29" i="7"/>
  <c r="AD32" i="7"/>
  <c r="AE32" i="7"/>
  <c r="AA32" i="7"/>
  <c r="AB32" i="7"/>
  <c r="U30" i="7"/>
  <c r="Y30" i="7"/>
  <c r="AG29" i="7"/>
  <c r="X30" i="7"/>
  <c r="W30" i="7"/>
  <c r="Z30" i="7"/>
  <c r="V30" i="7"/>
  <c r="T30" i="7"/>
  <c r="AL30" i="7" s="1"/>
  <c r="S30" i="7"/>
  <c r="AK30" i="7" s="1"/>
  <c r="G31" i="7"/>
  <c r="H31" i="7"/>
  <c r="J31" i="7"/>
  <c r="I31" i="7"/>
  <c r="C32" i="7"/>
  <c r="D32" i="7"/>
  <c r="F32" i="7"/>
  <c r="E32" i="7"/>
  <c r="L31" i="7"/>
  <c r="P31" i="7"/>
  <c r="X31" i="7" s="1"/>
  <c r="K31" i="7"/>
  <c r="O31" i="7"/>
  <c r="N31" i="7"/>
  <c r="R31" i="7"/>
  <c r="M31" i="7"/>
  <c r="Q31" i="7"/>
  <c r="B33" i="7"/>
  <c r="AC33" i="7" s="1"/>
  <c r="AN30" i="7" l="1"/>
  <c r="AM30" i="7"/>
  <c r="AD33" i="7"/>
  <c r="AE33" i="7"/>
  <c r="AA33" i="7"/>
  <c r="AB33" i="7"/>
  <c r="T31" i="7"/>
  <c r="AL31" i="7" s="1"/>
  <c r="U31" i="7"/>
  <c r="W31" i="7"/>
  <c r="AG30" i="7"/>
  <c r="Z31" i="7"/>
  <c r="V31" i="7"/>
  <c r="Y31" i="7"/>
  <c r="S31" i="7"/>
  <c r="G32" i="7"/>
  <c r="H32" i="7"/>
  <c r="I32" i="7"/>
  <c r="J32" i="7"/>
  <c r="C33" i="7"/>
  <c r="D33" i="7"/>
  <c r="E33" i="7"/>
  <c r="F33" i="7"/>
  <c r="M32" i="7"/>
  <c r="Q32" i="7"/>
  <c r="L32" i="7"/>
  <c r="P32" i="7"/>
  <c r="K32" i="7"/>
  <c r="O32" i="7"/>
  <c r="N32" i="7"/>
  <c r="R32" i="7"/>
  <c r="B34" i="7"/>
  <c r="AC34" i="7" s="1"/>
  <c r="AN31" i="7" l="1"/>
  <c r="AM31" i="7"/>
  <c r="AK31" i="7"/>
  <c r="AD34" i="7"/>
  <c r="AE34" i="7"/>
  <c r="AA34" i="7"/>
  <c r="AB34" i="7"/>
  <c r="S32" i="7"/>
  <c r="W32" i="7"/>
  <c r="AG31" i="7"/>
  <c r="Z32" i="7"/>
  <c r="V32" i="7"/>
  <c r="Y32" i="7"/>
  <c r="X32" i="7"/>
  <c r="U32" i="7"/>
  <c r="AM32" i="7" s="1"/>
  <c r="T32" i="7"/>
  <c r="G33" i="7"/>
  <c r="J33" i="7"/>
  <c r="H33" i="7"/>
  <c r="I33" i="7"/>
  <c r="C34" i="7"/>
  <c r="F34" i="7"/>
  <c r="D34" i="7"/>
  <c r="E34" i="7"/>
  <c r="L33" i="7"/>
  <c r="P33" i="7"/>
  <c r="K33" i="7"/>
  <c r="O33" i="7"/>
  <c r="N33" i="7"/>
  <c r="R33" i="7"/>
  <c r="Z33" i="7" s="1"/>
  <c r="M33" i="7"/>
  <c r="Q33" i="7"/>
  <c r="B35" i="7"/>
  <c r="AC35" i="7" s="1"/>
  <c r="Y33" i="7" l="1"/>
  <c r="AL32" i="7"/>
  <c r="AN32" i="7"/>
  <c r="AK32" i="7"/>
  <c r="AD35" i="7"/>
  <c r="AE35" i="7"/>
  <c r="AA35" i="7"/>
  <c r="AB35" i="7"/>
  <c r="V33" i="7"/>
  <c r="AN33" i="7" s="1"/>
  <c r="X33" i="7"/>
  <c r="U33" i="7"/>
  <c r="AM33" i="7" s="1"/>
  <c r="T33" i="7"/>
  <c r="AG32" i="7"/>
  <c r="W33" i="7"/>
  <c r="S33" i="7"/>
  <c r="G34" i="7"/>
  <c r="H34" i="7"/>
  <c r="J34" i="7"/>
  <c r="I34" i="7"/>
  <c r="C35" i="7"/>
  <c r="D35" i="7"/>
  <c r="E35" i="7"/>
  <c r="F35" i="7"/>
  <c r="N34" i="7"/>
  <c r="R34" i="7"/>
  <c r="M34" i="7"/>
  <c r="Q34" i="7"/>
  <c r="L34" i="7"/>
  <c r="P34" i="7"/>
  <c r="K34" i="7"/>
  <c r="O34" i="7"/>
  <c r="B36" i="7"/>
  <c r="AC36" i="7" s="1"/>
  <c r="X34" i="7" l="1"/>
  <c r="AL33" i="7"/>
  <c r="AK33" i="7"/>
  <c r="Y34" i="7"/>
  <c r="AD36" i="7"/>
  <c r="AE36" i="7"/>
  <c r="AA36" i="7"/>
  <c r="AB36" i="7"/>
  <c r="T34" i="7"/>
  <c r="AL34" i="7" s="1"/>
  <c r="U34" i="7"/>
  <c r="AG33" i="7"/>
  <c r="W34" i="7"/>
  <c r="S34" i="7"/>
  <c r="Z34" i="7"/>
  <c r="V34" i="7"/>
  <c r="G35" i="7"/>
  <c r="J35" i="7"/>
  <c r="H35" i="7"/>
  <c r="I35" i="7"/>
  <c r="C36" i="7"/>
  <c r="D36" i="7"/>
  <c r="F36" i="7"/>
  <c r="E36" i="7"/>
  <c r="L35" i="7"/>
  <c r="P35" i="7"/>
  <c r="N35" i="7"/>
  <c r="R35" i="7"/>
  <c r="K35" i="7"/>
  <c r="O35" i="7"/>
  <c r="M35" i="7"/>
  <c r="Q35" i="7"/>
  <c r="B37" i="7"/>
  <c r="AC37" i="7" s="1"/>
  <c r="AM34" i="7" l="1"/>
  <c r="AK34" i="7"/>
  <c r="AN34" i="7"/>
  <c r="Y35" i="7"/>
  <c r="AD37" i="7"/>
  <c r="AE37" i="7"/>
  <c r="AA37" i="7"/>
  <c r="AB37" i="7"/>
  <c r="S35" i="7"/>
  <c r="W35" i="7"/>
  <c r="U35" i="7"/>
  <c r="AG34" i="7"/>
  <c r="X35" i="7"/>
  <c r="Z35" i="7"/>
  <c r="T35" i="7"/>
  <c r="V35" i="7"/>
  <c r="AN35" i="7" s="1"/>
  <c r="G36" i="7"/>
  <c r="H36" i="7"/>
  <c r="I36" i="7"/>
  <c r="J36" i="7"/>
  <c r="C37" i="7"/>
  <c r="F37" i="7"/>
  <c r="D37" i="7"/>
  <c r="E37" i="7"/>
  <c r="M36" i="7"/>
  <c r="Q36" i="7"/>
  <c r="L36" i="7"/>
  <c r="P36" i="7"/>
  <c r="K36" i="7"/>
  <c r="O36" i="7"/>
  <c r="N36" i="7"/>
  <c r="R36" i="7"/>
  <c r="Z36" i="7" s="1"/>
  <c r="B38" i="7"/>
  <c r="AC38" i="7" s="1"/>
  <c r="AL35" i="7" l="1"/>
  <c r="AK35" i="7"/>
  <c r="AM35" i="7"/>
  <c r="AD38" i="7"/>
  <c r="AE38" i="7"/>
  <c r="AA38" i="7"/>
  <c r="AB38" i="7"/>
  <c r="X36" i="7"/>
  <c r="AG35" i="7"/>
  <c r="V36" i="7"/>
  <c r="AN36" i="7" s="1"/>
  <c r="Y36" i="7"/>
  <c r="U36" i="7"/>
  <c r="W36" i="7"/>
  <c r="S36" i="7"/>
  <c r="T36" i="7"/>
  <c r="G37" i="7"/>
  <c r="H37" i="7"/>
  <c r="J37" i="7"/>
  <c r="I37" i="7"/>
  <c r="C38" i="7"/>
  <c r="D38" i="7"/>
  <c r="E38" i="7"/>
  <c r="F38" i="7"/>
  <c r="N37" i="7"/>
  <c r="R37" i="7"/>
  <c r="L37" i="7"/>
  <c r="P37" i="7"/>
  <c r="K37" i="7"/>
  <c r="O37" i="7"/>
  <c r="M37" i="7"/>
  <c r="Q37" i="7"/>
  <c r="AL36" i="7" l="1"/>
  <c r="AK36" i="7"/>
  <c r="AM36" i="7"/>
  <c r="Y37" i="7"/>
  <c r="U37" i="7"/>
  <c r="Z37" i="7"/>
  <c r="X37" i="7"/>
  <c r="AG36" i="7"/>
  <c r="W37" i="7"/>
  <c r="S37" i="7"/>
  <c r="V37" i="7"/>
  <c r="T37" i="7"/>
  <c r="G38" i="7"/>
  <c r="J38" i="7"/>
  <c r="H38" i="7"/>
  <c r="I38" i="7"/>
  <c r="N38" i="7"/>
  <c r="R38" i="7"/>
  <c r="M38" i="7"/>
  <c r="Q38" i="7"/>
  <c r="L38" i="7"/>
  <c r="P38" i="7"/>
  <c r="K38" i="7"/>
  <c r="O38" i="7"/>
  <c r="AM37" i="7" l="1"/>
  <c r="AN37" i="7"/>
  <c r="AL37" i="7"/>
  <c r="AK37" i="7"/>
  <c r="W38" i="7"/>
  <c r="AG37" i="7"/>
  <c r="X38" i="7"/>
  <c r="T38" i="7"/>
  <c r="Z38" i="7"/>
  <c r="U38" i="7"/>
  <c r="Y38" i="7"/>
  <c r="S38" i="7"/>
  <c r="V38" i="7"/>
  <c r="AN38" i="7" s="1"/>
  <c r="AK38" i="7" l="1"/>
  <c r="AL38" i="7"/>
  <c r="AM38" i="7"/>
  <c r="AG38" i="7"/>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work items that were planned (as in, showed up in the added to plan column at some point in the past and were never removed).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<sst xmlns="http://schemas.openxmlformats.org/spreadsheetml/2006/main" count="167" uniqueCount="106">
  <si>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</si>
  <si>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</si>
  <si>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</si>
  <si>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</si>
  <si>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</si>
  <si>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</si>
  <si>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</si>
  <si>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</si>
  <si>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</si>
  <si>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</si>
  <si>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</si>
  <si>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</si>
  <si>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</si>
  <si>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</si>
  <si>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</si>
  <si>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</si>
  <si>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</si>
  <si>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</si>
  <si>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</si>
  <si>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</si>
  <si>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</si>
  <si>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</si>
  <si>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</si>
  <si>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</si>
  <si>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</si>
  <si>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</si>
  <si>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</si>
  <si>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</si>
  <si>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</si>
  <si>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</si>
  <si>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</si>
  <si>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</si>
  <si>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</si>
  <si>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</si>
  <si>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</si>
  <si>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</si>
  <si>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</si>
  <si>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</si>
  <si>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Amount actually planned</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</si>
  <si>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</si>
  <si>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</si>
  <si>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</si>
  <si>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</si>
  <si>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</si>
  <si>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</si>
  <si>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</si>
  <si>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</si>
  <si>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</si>
  <si>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</si>
  <si>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</si>
  <si>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</si>
  <si>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</si>
  <si>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</si>
  <si>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</si>
  <si>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</si>
  <si>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</si>
  <si>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</si>
  <si>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</si>
  <si>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</si>
  <si>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</si>
  <si>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</si>
  <si>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</si>
  <si>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</si>
  <si>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</si>
  <si>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</si>
  <si>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</si>
  <si>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</si>
  <si>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</si>
  <si>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</si>
  <si>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</si>
  <si>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</si>
  <si>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</si>
  <si>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</si>
  <si>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</si>
  <si>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Insert chart here: Actual % implemented (instantaneous percentage by day for same time period as above), for each of the 4 colors on one chart. With control band seeking 80% or above, green down to 70%</t>
  </si>
  <si>
    <t>Insert chart here: actual % with impact (same % calc method), for the two experiment colors, with control band green in range around 1/# of experiments</t>
  </si>
  <si>
    <t>Insert chart here: actual % with incorporated learning (same % calc method), for each of the 4 colors, with control band (seeking 100%, green above 95%).</t>
  </si>
  <si>
    <t>Insert chart here: actual % with impact (same % calc method), for the two improvement colors, with control band green at 90%+, seeking 95%</t>
  </si>
  <si>
    <t>Approximate amount that should done to be on plan</t>
  </si>
  <si>
    <t>pi line</t>
  </si>
  <si>
    <t>pe line</t>
  </si>
  <si>
    <t>si line</t>
  </si>
  <si>
    <t>se line</t>
  </si>
  <si>
    <t>pi</t>
  </si>
  <si>
    <t>pe</t>
  </si>
  <si>
    <t>si</t>
  </si>
  <si>
    <t>se</t>
  </si>
  <si>
    <t>that cycle's line index</t>
  </si>
  <si>
    <t>budget plan</t>
  </si>
  <si>
    <t>Actual</t>
  </si>
  <si>
    <t>Spend ratio</t>
  </si>
  <si>
    <t>Cycle length</t>
  </si>
  <si>
    <t>Planned done per day</t>
  </si>
  <si>
    <t>Additional done per day</t>
  </si>
  <si>
    <t>Sum</t>
  </si>
  <si>
    <t>Average</t>
  </si>
  <si>
    <t>Running Total</t>
  </si>
  <si>
    <t>Count</t>
  </si>
  <si>
    <t>Way low</t>
  </si>
  <si>
    <t>Low</t>
  </si>
  <si>
    <t>High</t>
  </si>
  <si>
    <t>Way High</t>
  </si>
  <si>
    <t>Good</t>
  </si>
  <si>
    <t>Estimated capacity for current cycle</t>
  </si>
  <si>
    <t>Estimated remaining capacity before next demo</t>
  </si>
  <si>
    <t>Percent planned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</si>
</sst>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m/d;@"/>
  </numFmts>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4">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0" fillId="0" borderId="0" xfId="0" applyAlignment="1">
      <alignment horizontal="center" vertical="center"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0" fillId="0" borderId="0" xfId="0" applyAlignment="1">
      <alignment horizontal="center"/>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xf numFmtId="170" fontId="0" fillId="0" borderId="0" xfId="0" applyNumberForma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6">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colors>
    <mruColors>
      <color rgb="FFA7FFA7"/>
      <color rgb="FFFFFFBD"/>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5"/>
          <c:order val="0"/>
          <c:tx>
            <c:strRef>
              <c:f>Calcs!$AF$17</c:f>
              <c:strCache>
                <c:ptCount val="1"/>
                <c:pt idx="0">
                  <c:v>Way High</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Calcs!$AF$18:$AF$38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4"/>
          <c:order val="1"/>
          <c:tx>
            <c:strRef>
              <c:f>Calcs!$AE$17</c:f>
              <c:strCache>
                <c:ptCount val="1"/>
                <c:pt idx="0">
                  <c:v>High</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Calcs!$AE$18:$AE$38</c:f>
              <c:numCache>
                <c:formatCode>0%</c:formatCode>
                <c:ptCount val="21"/>
                <c:pt idx="0">
                  <c:v>0.47500000000000009</c:v>
                </c:pt>
                <c:pt idx="1">
                  <c:v>0.47500000000000009</c:v>
                </c:pt>
                <c:pt idx="2">
                  <c:v>0.47500000000000009</c:v>
                </c:pt>
                <c:pt idx="3">
                  <c:v>0.47500000000000009</c:v>
                </c:pt>
                <c:pt idx="4">
                  <c:v>0.47500000000000009</c:v>
                </c:pt>
                <c:pt idx="5">
                  <c:v>0.47500000000000009</c:v>
                </c:pt>
                <c:pt idx="6">
                  <c:v>0.47500000000000009</c:v>
                </c:pt>
                <c:pt idx="7">
                  <c:v>0.47500000000000009</c:v>
                </c:pt>
                <c:pt idx="8">
                  <c:v>0.47500000000000009</c:v>
                </c:pt>
                <c:pt idx="9">
                  <c:v>0.47500000000000009</c:v>
                </c:pt>
                <c:pt idx="10">
                  <c:v>0.47500000000000009</c:v>
                </c:pt>
                <c:pt idx="11">
                  <c:v>0.47500000000000009</c:v>
                </c:pt>
                <c:pt idx="12">
                  <c:v>0.55000000000000004</c:v>
                </c:pt>
                <c:pt idx="13">
                  <c:v>0.55000000000000004</c:v>
                </c:pt>
                <c:pt idx="14">
                  <c:v>0.55000000000000004</c:v>
                </c:pt>
                <c:pt idx="15">
                  <c:v>0.55000000000000004</c:v>
                </c:pt>
                <c:pt idx="16">
                  <c:v>0.55000000000000004</c:v>
                </c:pt>
                <c:pt idx="17">
                  <c:v>0.55000000000000004</c:v>
                </c:pt>
                <c:pt idx="18">
                  <c:v>0.55000000000000004</c:v>
                </c:pt>
                <c:pt idx="19">
                  <c:v>0.55000000000000004</c:v>
                </c:pt>
                <c:pt idx="20">
                  <c:v>0.55000000000000004</c:v>
                </c:pt>
              </c:numCache>
            </c:numRef>
          </c:val>
        </c:ser>
        <c:ser>
          <c:idx val="3"/>
          <c:order val="2"/>
          <c:tx>
            <c:strRef>
              <c:f>Calcs!$AD$17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Calcs!$AD$18:$AD$38</c:f>
              <c:numCache>
                <c:formatCode>0%</c:formatCode>
                <c:ptCount val="21"/>
                <c:pt idx="0">
                  <c:v>0.37</c:v>
                </c:pt>
                <c:pt idx="1">
                  <c:v>0.37</c:v>
                </c:pt>
                <c:pt idx="2">
                  <c:v>0.37</c:v>
                </c:pt>
                <c:pt idx="3">
                  <c:v>0.37</c:v>
                </c:pt>
                <c:pt idx="4">
                  <c:v>0.37</c:v>
                </c:pt>
                <c:pt idx="5">
                  <c:v>0.37</c:v>
                </c:pt>
                <c:pt idx="6">
                  <c:v>0.37</c:v>
                </c:pt>
                <c:pt idx="7">
                  <c:v>0.37</c:v>
                </c:pt>
                <c:pt idx="8">
                  <c:v>0.37</c:v>
                </c:pt>
                <c:pt idx="9">
                  <c:v>0.37</c:v>
                </c:pt>
                <c:pt idx="10">
                  <c:v>0.37</c:v>
                </c:pt>
                <c:pt idx="11">
                  <c:v>0.37</c:v>
                </c:pt>
                <c:pt idx="12">
                  <c:v>0.45999999999999996</c:v>
                </c:pt>
                <c:pt idx="13">
                  <c:v>0.45999999999999996</c:v>
                </c:pt>
                <c:pt idx="14">
                  <c:v>0.45999999999999996</c:v>
                </c:pt>
                <c:pt idx="15">
                  <c:v>0.45999999999999996</c:v>
                </c:pt>
                <c:pt idx="16">
                  <c:v>0.45999999999999996</c:v>
                </c:pt>
                <c:pt idx="17">
                  <c:v>0.45999999999999996</c:v>
                </c:pt>
                <c:pt idx="18">
                  <c:v>0.45999999999999996</c:v>
                </c:pt>
                <c:pt idx="19">
                  <c:v>0.45999999999999996</c:v>
                </c:pt>
                <c:pt idx="20">
                  <c:v>0.45999999999999996</c:v>
                </c:pt>
              </c:numCache>
            </c:numRef>
          </c:val>
        </c:ser>
        <c:ser>
          <c:idx val="1"/>
          <c:order val="3"/>
          <c:tx>
            <c:strRef>
              <c:f>Calcs!$AB$17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Calcs!$AB$18:$AB$38</c:f>
              <c:numCache>
                <c:formatCode>0%</c:formatCode>
                <c:ptCount val="21"/>
                <c:pt idx="0">
                  <c:v>0.27</c:v>
                </c:pt>
                <c:pt idx="1">
                  <c:v>0.27</c:v>
                </c:pt>
                <c:pt idx="2">
                  <c:v>0.27</c:v>
                </c:pt>
                <c:pt idx="3">
                  <c:v>0.27</c:v>
                </c:pt>
                <c:pt idx="4">
                  <c:v>0.27</c:v>
                </c:pt>
                <c:pt idx="5">
                  <c:v>0.27</c:v>
                </c:pt>
                <c:pt idx="6">
                  <c:v>0.27</c:v>
                </c:pt>
                <c:pt idx="7">
                  <c:v>0.27</c:v>
                </c:pt>
                <c:pt idx="8">
                  <c:v>0.27</c:v>
                </c:pt>
                <c:pt idx="9">
                  <c:v>0.27</c:v>
                </c:pt>
                <c:pt idx="10">
                  <c:v>0.27</c:v>
                </c:pt>
                <c:pt idx="11">
                  <c:v>0.27</c:v>
                </c:pt>
                <c:pt idx="12">
                  <c:v>0.36000000000000004</c:v>
                </c:pt>
                <c:pt idx="13">
                  <c:v>0.36000000000000004</c:v>
                </c:pt>
                <c:pt idx="14">
                  <c:v>0.36000000000000004</c:v>
                </c:pt>
                <c:pt idx="15">
                  <c:v>0.36000000000000004</c:v>
                </c:pt>
                <c:pt idx="16">
                  <c:v>0.36000000000000004</c:v>
                </c:pt>
                <c:pt idx="17">
                  <c:v>0.36000000000000004</c:v>
                </c:pt>
                <c:pt idx="18">
                  <c:v>0.36000000000000004</c:v>
                </c:pt>
                <c:pt idx="19">
                  <c:v>0.36000000000000004</c:v>
                </c:pt>
                <c:pt idx="20">
                  <c:v>0.36000000000000004</c:v>
                </c:pt>
              </c:numCache>
            </c:numRef>
          </c:val>
        </c:ser>
        <c:ser>
          <c:idx val="0"/>
          <c:order val="4"/>
          <c:tx>
            <c:strRef>
              <c:f>Calcs!$AA$17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Calcs!$AA$18:$AA$38</c:f>
              <c:numCache>
                <c:formatCode>0%</c:formatCode>
                <c:ptCount val="21"/>
                <c:pt idx="0">
                  <c:v>0.22499999999999998</c:v>
                </c:pt>
                <c:pt idx="1">
                  <c:v>0.22499999999999998</c:v>
                </c:pt>
                <c:pt idx="2">
                  <c:v>0.22499999999999998</c:v>
                </c:pt>
                <c:pt idx="3">
                  <c:v>0.22499999999999998</c:v>
                </c:pt>
                <c:pt idx="4">
                  <c:v>0.22499999999999998</c:v>
                </c:pt>
                <c:pt idx="5">
                  <c:v>0.22499999999999998</c:v>
                </c:pt>
                <c:pt idx="6">
                  <c:v>0.22499999999999998</c:v>
                </c:pt>
                <c:pt idx="7">
                  <c:v>0.22499999999999998</c:v>
                </c:pt>
                <c:pt idx="8">
                  <c:v>0.22499999999999998</c:v>
                </c:pt>
                <c:pt idx="9">
                  <c:v>0.22499999999999998</c:v>
                </c:pt>
                <c:pt idx="10">
                  <c:v>0.22499999999999998</c:v>
                </c:pt>
                <c:pt idx="11">
                  <c:v>0.22499999999999998</c:v>
                </c:pt>
                <c:pt idx="12">
                  <c:v>0.30000000000000004</c:v>
                </c:pt>
                <c:pt idx="13">
                  <c:v>0.30000000000000004</c:v>
                </c:pt>
                <c:pt idx="14">
                  <c:v>0.30000000000000004</c:v>
                </c:pt>
                <c:pt idx="15">
                  <c:v>0.30000000000000004</c:v>
                </c:pt>
                <c:pt idx="16">
                  <c:v>0.30000000000000004</c:v>
                </c:pt>
                <c:pt idx="17">
                  <c:v>0.30000000000000004</c:v>
                </c:pt>
                <c:pt idx="18">
                  <c:v>0.30000000000000004</c:v>
                </c:pt>
                <c:pt idx="19">
                  <c:v>0.30000000000000004</c:v>
                </c:pt>
                <c:pt idx="20">
                  <c:v>0.30000000000000004</c:v>
                </c:pt>
              </c:numCache>
            </c:numRef>
          </c:val>
        </c:ser>
        <c:dLbls>
          <c:showLegendKey val="0"/>
          <c:showVal val="0"/>
          <c:showCatName val="0"/>
          <c:showSerName val="0"/>
          <c:showPercent val="0"/>
          <c:showBubbleSize val="0"/>
        </c:dLbls>
        <c:axId val="1277319760"/>
        <c:axId val="1277319216"/>
      </c:areaChart>
      <c:lineChart>
        <c:grouping val="standard"/>
        <c:varyColors val="0"/>
        <c:ser>
          <c:idx val="2"/>
          <c:order val="5"/>
          <c:tx>
            <c:strRef>
              <c:f>Calcs!$AC$17</c:f>
              <c:strCache>
                <c:ptCount val="1"/>
                <c:pt idx="0">
                  <c:v>Budget</c:v>
                </c:pt>
              </c:strCache>
            </c:strRef>
          </c:tx>
          <c:spPr>
            <a:ln w="28575" cap="rnd">
              <a:solidFill>
                <a:schemeClr val="tx1"/>
              </a:solidFill>
              <a:prstDash val="sysDot"/>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Calcs!$AC$18:$AC$38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0.4</c:v>
                </c:pt>
                <c:pt idx="13">
                  <c:v>0.4</c:v>
                </c:pt>
                <c:pt idx="14">
                  <c:v>0.4</c:v>
                </c:pt>
                <c:pt idx="15">
                  <c:v>0.4</c:v>
                </c:pt>
                <c:pt idx="16">
                  <c:v>0.4</c:v>
                </c:pt>
                <c:pt idx="17">
                  <c:v>0.4</c:v>
                </c:pt>
                <c:pt idx="18">
                  <c:v>0.4</c:v>
                </c:pt>
                <c:pt idx="19">
                  <c:v>0.4</c:v>
                </c:pt>
                <c:pt idx="20">
                  <c:v>0.4</c:v>
                </c:pt>
              </c:numCache>
            </c:numRef>
          </c:val>
          <c:smooth val="0"/>
        </c:ser>
        <c:ser>
          <c:idx val="6"/>
          <c:order val="6"/>
          <c:tx>
            <c:strRef>
              <c:f>Calcs!$AG$17</c:f>
              <c:strCache>
                <c:ptCount val="1"/>
                <c:pt idx="0">
                  <c:v>Actual</c:v>
                </c:pt>
              </c:strCache>
            </c:strRef>
          </c:tx>
          <c:spPr>
            <a:ln w="28575" cap="rnd">
              <a:solidFill>
                <a:schemeClr val="tx1"/>
              </a:solidFill>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Calcs!$AG$18:$AG$38</c:f>
              <c:numCache>
                <c:formatCode>0%</c:formatCode>
                <c:ptCount val="21"/>
                <c:pt idx="0">
                  <c:v>0.3658536585365853</c:v>
                </c:pt>
                <c:pt idx="1">
                  <c:v>0.3658536585365853</c:v>
                </c:pt>
                <c:pt idx="2">
                  <c:v>0.32467532467532462</c:v>
                </c:pt>
                <c:pt idx="3">
                  <c:v>0.352112676056338</c:v>
                </c:pt>
                <c:pt idx="4">
                  <c:v>0.46511627906976738</c:v>
                </c:pt>
                <c:pt idx="5">
                  <c:v>0.46511627906976738</c:v>
                </c:pt>
                <c:pt idx="6">
                  <c:v>0.30303030303030298</c:v>
                </c:pt>
                <c:pt idx="7">
                  <c:v>0.30303030303030298</c:v>
                </c:pt>
                <c:pt idx="8">
                  <c:v>0.32258064516129026</c:v>
                </c:pt>
                <c:pt idx="9">
                  <c:v>0.32258064516129026</c:v>
                </c:pt>
                <c:pt idx="10">
                  <c:v>0.32258064516129026</c:v>
                </c:pt>
                <c:pt idx="11">
                  <c:v>0.32258064516129026</c:v>
                </c:pt>
                <c:pt idx="12">
                  <c:v>0.32258064516129026</c:v>
                </c:pt>
                <c:pt idx="13">
                  <c:v>0.30303030303030298</c:v>
                </c:pt>
                <c:pt idx="14">
                  <c:v>0.39473684210526311</c:v>
                </c:pt>
                <c:pt idx="15">
                  <c:v>0.39473684210526311</c:v>
                </c:pt>
                <c:pt idx="16">
                  <c:v>0.30303030303030298</c:v>
                </c:pt>
                <c:pt idx="17">
                  <c:v>0.30303030303030298</c:v>
                </c:pt>
                <c:pt idx="18">
                  <c:v>0.29411764705882354</c:v>
                </c:pt>
                <c:pt idx="19">
                  <c:v>0.29411764705882354</c:v>
                </c:pt>
                <c:pt idx="20">
                  <c:v>0.23809523809523811</c:v>
                </c:pt>
              </c:numCache>
            </c:numRef>
          </c:val>
          <c:smooth val="0"/>
        </c:ser>
        <c:dLbls>
          <c:showLegendKey val="0"/>
          <c:showVal val="0"/>
          <c:showCatName val="0"/>
          <c:showSerName val="0"/>
          <c:showPercent val="0"/>
          <c:showBubbleSize val="0"/>
        </c:dLbls>
        <c:marker val="1"/>
        <c:smooth val="0"/>
        <c:axId val="1277319760"/>
        <c:axId val="1277319216"/>
      </c:lineChart>
      <c:dateAx>
        <c:axId val="127731976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216"/>
        <c:crosses val="autoZero"/>
        <c:auto val="1"/>
        <c:lblOffset val="100"/>
        <c:baseTimeUnit val="days"/>
      </c:dateAx>
      <c:valAx>
        <c:axId val="12773192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76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work going towards plan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Calcs!$AJ$17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Calcs!$AJ$18:$AJ$38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Calcs!$AI$17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Calcs!$AI$18:$AI$38</c:f>
              <c:numCache>
                <c:formatCode>0%</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val>
        </c:ser>
        <c:ser>
          <c:idx val="0"/>
          <c:order val="2"/>
          <c:tx>
            <c:strRef>
              <c:f>Calcs!$AH$17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Calcs!$AH$18:$AH$38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dLbls>
          <c:showLegendKey val="0"/>
          <c:showVal val="0"/>
          <c:showCatName val="0"/>
          <c:showSerName val="0"/>
          <c:showPercent val="0"/>
          <c:showBubbleSize val="0"/>
        </c:dLbls>
        <c:axId val="-1650468176"/>
        <c:axId val="-1650487760"/>
      </c:areaChart>
      <c:lineChart>
        <c:grouping val="standard"/>
        <c:varyColors val="0"/>
        <c:ser>
          <c:idx val="2"/>
          <c:order val="3"/>
          <c:tx>
            <c:strRef>
              <c:f>Calcs!$AK$17</c:f>
              <c:strCache>
                <c:ptCount val="1"/>
                <c:pt idx="0">
                  <c:v>Product Improvements</c:v>
                </c:pt>
              </c:strCache>
            </c:strRef>
          </c:tx>
          <c:spPr>
            <a:ln w="28575" cap="rnd">
              <a:solidFill>
                <a:schemeClr val="accent1"/>
              </a:solidFill>
              <a:round/>
            </a:ln>
            <a:effectLst/>
          </c:spPr>
          <c:marker>
            <c:symbol val="none"/>
          </c:marker>
          <c:val>
            <c:numRef>
              <c:f>Calcs!$AK$18:$AK$38</c:f>
              <c:numCache>
                <c:formatCode>0%</c:formatCode>
                <c:ptCount val="21"/>
                <c:pt idx="0">
                  <c:v>0.84615384615384615</c:v>
                </c:pt>
                <c:pt idx="1">
                  <c:v>0.84615384615384615</c:v>
                </c:pt>
                <c:pt idx="2">
                  <c:v>0.84615384615384615</c:v>
                </c:pt>
                <c:pt idx="3">
                  <c:v>0.91666666666666663</c:v>
                </c:pt>
                <c:pt idx="4">
                  <c:v>0.91666666666666663</c:v>
                </c:pt>
                <c:pt idx="5">
                  <c:v>0.91666666666666663</c:v>
                </c:pt>
                <c:pt idx="6">
                  <c:v>0.91666666666666663</c:v>
                </c:pt>
                <c:pt idx="7">
                  <c:v>0.91666666666666663</c:v>
                </c:pt>
                <c:pt idx="8">
                  <c:v>0.88888888888888895</c:v>
                </c:pt>
                <c:pt idx="9">
                  <c:v>0.88888888888888895</c:v>
                </c:pt>
                <c:pt idx="10">
                  <c:v>0.88888888888888895</c:v>
                </c:pt>
                <c:pt idx="11">
                  <c:v>0.88888888888888895</c:v>
                </c:pt>
                <c:pt idx="12">
                  <c:v>0.88888888888888895</c:v>
                </c:pt>
                <c:pt idx="13">
                  <c:v>0.83333333333333337</c:v>
                </c:pt>
                <c:pt idx="14">
                  <c:v>0.83333333333333337</c:v>
                </c:pt>
                <c:pt idx="15">
                  <c:v>0.83333333333333337</c:v>
                </c:pt>
                <c:pt idx="16">
                  <c:v>0.83333333333333337</c:v>
                </c:pt>
                <c:pt idx="17">
                  <c:v>0.83333333333333337</c:v>
                </c:pt>
                <c:pt idx="18">
                  <c:v>0.75</c:v>
                </c:pt>
                <c:pt idx="19">
                  <c:v>0.75</c:v>
                </c:pt>
                <c:pt idx="20">
                  <c:v>0.75</c:v>
                </c:pt>
              </c:numCache>
            </c:numRef>
          </c:val>
          <c:smooth val="0"/>
        </c:ser>
        <c:ser>
          <c:idx val="4"/>
          <c:order val="4"/>
          <c:tx>
            <c:strRef>
              <c:f>Calcs!$AL$17</c:f>
              <c:strCache>
                <c:ptCount val="1"/>
                <c:pt idx="0">
                  <c:v>Product Experiments</c:v>
                </c:pt>
              </c:strCache>
            </c:strRef>
          </c:tx>
          <c:spPr>
            <a:ln w="28575" cap="rnd">
              <a:solidFill>
                <a:schemeClr val="accent3"/>
              </a:solidFill>
              <a:round/>
            </a:ln>
            <a:effectLst/>
          </c:spPr>
          <c:marker>
            <c:symbol val="none"/>
          </c:marker>
          <c:val>
            <c:numRef>
              <c:f>Calcs!$AL$18:$AL$38</c:f>
              <c:numCache>
                <c:formatCode>0%</c:formatCode>
                <c:ptCount val="21"/>
                <c:pt idx="0">
                  <c:v>1</c:v>
                </c:pt>
                <c:pt idx="1">
                  <c:v>1</c:v>
                </c:pt>
                <c:pt idx="2">
                  <c:v>1</c:v>
                </c:pt>
                <c:pt idx="3">
                  <c:v>1</c:v>
                </c:pt>
                <c:pt idx="4">
                  <c:v>1</c:v>
                </c:pt>
                <c:pt idx="5">
                  <c:v>1</c:v>
                </c:pt>
                <c:pt idx="6">
                  <c:v>1</c:v>
                </c:pt>
                <c:pt idx="7">
                  <c:v>1</c:v>
                </c:pt>
                <c:pt idx="8">
                  <c:v>0.91666666666666663</c:v>
                </c:pt>
                <c:pt idx="9">
                  <c:v>0.91666666666666663</c:v>
                </c:pt>
                <c:pt idx="10">
                  <c:v>0.91666666666666663</c:v>
                </c:pt>
                <c:pt idx="11">
                  <c:v>0.91666666666666663</c:v>
                </c:pt>
                <c:pt idx="12">
                  <c:v>0.91666666666666663</c:v>
                </c:pt>
                <c:pt idx="13">
                  <c:v>1</c:v>
                </c:pt>
                <c:pt idx="14">
                  <c:v>1</c:v>
                </c:pt>
                <c:pt idx="15">
                  <c:v>1</c:v>
                </c:pt>
                <c:pt idx="16">
                  <c:v>1</c:v>
                </c:pt>
                <c:pt idx="17">
                  <c:v>1</c:v>
                </c:pt>
                <c:pt idx="18">
                  <c:v>0.83333333333333337</c:v>
                </c:pt>
                <c:pt idx="19">
                  <c:v>0.83333333333333337</c:v>
                </c:pt>
                <c:pt idx="20">
                  <c:v>0.83333333333333337</c:v>
                </c:pt>
              </c:numCache>
            </c:numRef>
          </c:val>
          <c:smooth val="0"/>
        </c:ser>
        <c:ser>
          <c:idx val="5"/>
          <c:order val="5"/>
          <c:tx>
            <c:strRef>
              <c:f>Calcs!$AM$17</c:f>
              <c:strCache>
                <c:ptCount val="1"/>
                <c:pt idx="0">
                  <c:v>Sustainability Improvements</c:v>
                </c:pt>
              </c:strCache>
            </c:strRef>
          </c:tx>
          <c:spPr>
            <a:ln w="28575" cap="rnd">
              <a:solidFill>
                <a:schemeClr val="accent4"/>
              </a:solidFill>
              <a:round/>
            </a:ln>
            <a:effectLst/>
          </c:spPr>
          <c:marker>
            <c:symbol val="none"/>
          </c:marker>
          <c:val>
            <c:numRef>
              <c:f>Calcs!$AM$18:$AM$38</c:f>
              <c:numCache>
                <c:formatCode>0%</c:formatCode>
                <c:ptCount val="21"/>
                <c:pt idx="0">
                  <c:v>1</c:v>
                </c:pt>
                <c:pt idx="1">
                  <c:v>1</c:v>
                </c:pt>
                <c:pt idx="2">
                  <c:v>1</c:v>
                </c:pt>
                <c:pt idx="3">
                  <c:v>1</c:v>
                </c:pt>
                <c:pt idx="4">
                  <c:v>0.75</c:v>
                </c:pt>
                <c:pt idx="5">
                  <c:v>0.75</c:v>
                </c:pt>
                <c:pt idx="6">
                  <c:v>0.5</c:v>
                </c:pt>
                <c:pt idx="7">
                  <c:v>0.5</c:v>
                </c:pt>
                <c:pt idx="8">
                  <c:v>1</c:v>
                </c:pt>
                <c:pt idx="9">
                  <c:v>1</c:v>
                </c:pt>
                <c:pt idx="10">
                  <c:v>1</c:v>
                </c:pt>
                <c:pt idx="11">
                  <c:v>1</c:v>
                </c:pt>
                <c:pt idx="12">
                  <c:v>1</c:v>
                </c:pt>
                <c:pt idx="13">
                  <c:v>1</c:v>
                </c:pt>
                <c:pt idx="14">
                  <c:v>0.66666666666666663</c:v>
                </c:pt>
                <c:pt idx="15">
                  <c:v>0.66666666666666663</c:v>
                </c:pt>
                <c:pt idx="16">
                  <c:v>1</c:v>
                </c:pt>
                <c:pt idx="17">
                  <c:v>1</c:v>
                </c:pt>
                <c:pt idx="18">
                  <c:v>1</c:v>
                </c:pt>
                <c:pt idx="19">
                  <c:v>1</c:v>
                </c:pt>
                <c:pt idx="20">
                  <c:v>1</c:v>
                </c:pt>
              </c:numCache>
            </c:numRef>
          </c:val>
          <c:smooth val="0"/>
        </c:ser>
        <c:ser>
          <c:idx val="7"/>
          <c:order val="6"/>
          <c:tx>
            <c:strRef>
              <c:f>Calcs!$AN$17</c:f>
              <c:strCache>
                <c:ptCount val="1"/>
                <c:pt idx="0">
                  <c:v>Sustainability Experiments</c:v>
                </c:pt>
              </c:strCache>
            </c:strRef>
          </c:tx>
          <c:spPr>
            <a:ln w="28575" cap="rnd">
              <a:solidFill>
                <a:schemeClr val="accent6"/>
              </a:solidFill>
              <a:round/>
            </a:ln>
            <a:effectLst/>
          </c:spPr>
          <c:marker>
            <c:symbol val="none"/>
          </c:marker>
          <c:val>
            <c:numRef>
              <c:f>Calcs!$AN$18:$AN$38</c:f>
              <c:numCache>
                <c:formatCode>0%</c:formatCode>
                <c:ptCount val="21"/>
                <c:pt idx="0">
                  <c:v>1</c:v>
                </c:pt>
                <c:pt idx="1">
                  <c:v>1</c:v>
                </c:pt>
                <c:pt idx="2">
                  <c:v>1</c:v>
                </c:pt>
                <c:pt idx="3">
                  <c:v>1</c:v>
                </c:pt>
                <c:pt idx="4">
                  <c:v>0.75</c:v>
                </c:pt>
                <c:pt idx="5">
                  <c:v>0.75</c:v>
                </c:pt>
                <c:pt idx="6">
                  <c:v>1</c:v>
                </c:pt>
                <c:pt idx="7">
                  <c:v>1</c:v>
                </c:pt>
                <c:pt idx="8">
                  <c:v>0.66666666666666663</c:v>
                </c:pt>
                <c:pt idx="9">
                  <c:v>0.66666666666666663</c:v>
                </c:pt>
                <c:pt idx="10">
                  <c:v>1</c:v>
                </c:pt>
                <c:pt idx="11">
                  <c:v>1</c:v>
                </c:pt>
                <c:pt idx="12">
                  <c:v>1</c:v>
                </c:pt>
                <c:pt idx="13">
                  <c:v>1</c:v>
                </c:pt>
                <c:pt idx="14">
                  <c:v>1</c:v>
                </c:pt>
                <c:pt idx="15">
                  <c:v>1</c:v>
                </c:pt>
                <c:pt idx="16">
                  <c:v>0.5</c:v>
                </c:pt>
                <c:pt idx="17">
                  <c:v>0.5</c:v>
                </c:pt>
                <c:pt idx="18">
                  <c:v>1</c:v>
                </c:pt>
                <c:pt idx="19">
                  <c:v>1</c:v>
                </c:pt>
                <c:pt idx="20">
                  <c:v>1</c:v>
                </c:pt>
              </c:numCache>
            </c:numRef>
          </c:val>
          <c:smooth val="0"/>
        </c:ser>
        <c:dLbls>
          <c:showLegendKey val="0"/>
          <c:showVal val="0"/>
          <c:showCatName val="0"/>
          <c:showSerName val="0"/>
          <c:showPercent val="0"/>
          <c:showBubbleSize val="0"/>
        </c:dLbls>
        <c:marker val="1"/>
        <c:smooth val="0"/>
        <c:axId val="-1650468176"/>
        <c:axId val="-1650487760"/>
      </c:lineChart>
      <c:dateAx>
        <c:axId val="-165046817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7760"/>
        <c:crosses val="autoZero"/>
        <c:auto val="1"/>
        <c:lblOffset val="100"/>
        <c:baseTimeUnit val="days"/>
      </c:dateAx>
      <c:valAx>
        <c:axId val="-165048776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6817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323850</xdr:colOff>
      <xdr:row>11</xdr:row>
      <xdr:rowOff>95250</xdr:rowOff>
    </xdr:from>
    <xdr:to>
      <xdr:col>11</xdr:col>
      <xdr:colOff>19050</xdr:colOff>
      <xdr:row>26</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51</xdr:row>
      <xdr:rowOff>82550</xdr:rowOff>
    </xdr:from>
    <xdr:to>
      <xdr:col>8</xdr:col>
      <xdr:colOff>114300</xdr:colOff>
      <xdr:row>66</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6" name="budget_history" displayName="budget_history" ref="B16:C25" totalsRowShown="0">
  <autoFilter ref="B16:C25">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5">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4">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0" name="Balance" dataDxfId="6"/>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2">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8"/>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3">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70</v>
      </c>
    </row>
    <row r="14" spans="1:1" ht="20" thickBot="1" x14ac:dyDescent="0.5">
      <c r="A14" s="2" t="s">
        <v>25</v>
      </c>
    </row>
    <row r="15" spans="1:1" ht="44" thickTop="1" x14ac:dyDescent="0.35">
      <c r="A15" s="1" t="s">
        <v>28</v>
      </c>
    </row>
    <row r="16" spans="1:1" ht="29" x14ac:dyDescent="0.35">
      <c r="A16" s="1" t="s">
        <v>71</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3"/>
  <sheetViews>
    <sheetView tabSelected="1" workbookViewId="0">
      <selection sqref="A1:E1"/>
    </sheetView>
  </sheetViews>
  <sheetFormatPr defaultRowHeight="14.5" x14ac:dyDescent="0.35"/>
  <cols>
    <col min="2" max="2" width="9.453125" bestFit="1" customWidth="1"/>
  </cols>
  <sheetData>
    <row r="1" spans="1:13" s="6" customFormat="1" ht="23" thickBot="1" x14ac:dyDescent="0.5">
      <c r="A1" s="14" t="s">
        <v>36</v>
      </c>
      <c r="B1" s="14"/>
      <c r="C1" s="14"/>
      <c r="D1" s="14"/>
      <c r="E1" s="14"/>
      <c r="F1" s="15">
        <f ca="1">TODAY()</f>
        <v>42527</v>
      </c>
      <c r="G1" s="16"/>
      <c r="H1" s="37"/>
      <c r="I1" s="37"/>
    </row>
    <row r="2" spans="1:13" s="5" customFormat="1" ht="20" thickBot="1" x14ac:dyDescent="0.5">
      <c r="A2" s="5" t="s">
        <v>31</v>
      </c>
    </row>
    <row r="3" spans="1:13" ht="15.5" thickTop="1" thickBot="1" x14ac:dyDescent="0.4"/>
    <row r="4" spans="1:13" x14ac:dyDescent="0.35">
      <c r="B4" s="27"/>
      <c r="C4" s="28"/>
      <c r="D4" s="29" t="s">
        <v>32</v>
      </c>
      <c r="E4" s="29"/>
      <c r="F4" s="30" t="s">
        <v>37</v>
      </c>
      <c r="G4" s="30"/>
      <c r="H4" s="30"/>
      <c r="I4" s="30"/>
      <c r="J4" s="30"/>
      <c r="K4" s="30"/>
      <c r="L4" s="30"/>
      <c r="M4" s="31"/>
    </row>
    <row r="5" spans="1:13" x14ac:dyDescent="0.35">
      <c r="B5" s="32"/>
      <c r="C5" s="33"/>
      <c r="D5" s="34"/>
      <c r="E5" s="34"/>
      <c r="F5" s="35" t="s">
        <v>103</v>
      </c>
      <c r="G5" s="35"/>
      <c r="H5" s="38" t="s">
        <v>38</v>
      </c>
      <c r="I5" s="39"/>
      <c r="J5" s="35" t="s">
        <v>78</v>
      </c>
      <c r="K5" s="35"/>
      <c r="L5" s="35" t="s">
        <v>104</v>
      </c>
      <c r="M5" s="36"/>
    </row>
    <row r="6" spans="1:13" ht="14.5" customHeight="1" x14ac:dyDescent="0.35">
      <c r="B6" s="32"/>
      <c r="C6" s="33"/>
      <c r="D6" s="34"/>
      <c r="E6" s="34"/>
      <c r="F6" s="35"/>
      <c r="G6" s="35"/>
      <c r="H6" s="40"/>
      <c r="I6" s="41"/>
      <c r="J6" s="35"/>
      <c r="K6" s="35"/>
      <c r="L6" s="35"/>
      <c r="M6" s="36"/>
    </row>
    <row r="7" spans="1:13" x14ac:dyDescent="0.35">
      <c r="B7" s="32"/>
      <c r="C7" s="33"/>
      <c r="D7" s="34"/>
      <c r="E7" s="34"/>
      <c r="F7" s="35"/>
      <c r="G7" s="35"/>
      <c r="H7" s="42"/>
      <c r="I7" s="43"/>
      <c r="J7" s="35"/>
      <c r="K7" s="35"/>
      <c r="L7" s="35"/>
      <c r="M7" s="36"/>
    </row>
    <row r="8" spans="1:13" x14ac:dyDescent="0.35">
      <c r="B8" s="22" t="s">
        <v>7</v>
      </c>
      <c r="C8" s="13"/>
      <c r="D8" s="21">
        <f ca="1">Calcs!G4</f>
        <v>42530</v>
      </c>
      <c r="E8" s="21"/>
      <c r="F8" s="20">
        <f ca="1">_xlfn.FLOOR.MATH(Calcs!C10)</f>
        <v>18</v>
      </c>
      <c r="G8" s="20"/>
      <c r="H8" s="44">
        <f ca="1">Calcs!D10</f>
        <v>25</v>
      </c>
      <c r="I8" s="45"/>
      <c r="J8" s="20">
        <f ca="1">_xlfn.FLOOR.MATH(Calcs!G10)</f>
        <v>10</v>
      </c>
      <c r="K8" s="20"/>
      <c r="L8" s="20">
        <f ca="1">_xlfn.FLOOR.MATH(Calcs!H10)</f>
        <v>11</v>
      </c>
      <c r="M8" s="23"/>
    </row>
    <row r="9" spans="1:13" ht="15" thickBot="1" x14ac:dyDescent="0.4">
      <c r="B9" s="17" t="s">
        <v>35</v>
      </c>
      <c r="C9" s="18"/>
      <c r="D9" s="24">
        <f ca="1">Calcs!G6</f>
        <v>42529</v>
      </c>
      <c r="E9" s="24"/>
      <c r="F9" s="25">
        <f ca="1">_xlfn.FLOOR.MATH(Calcs!C11)</f>
        <v>5</v>
      </c>
      <c r="G9" s="25"/>
      <c r="H9" s="46">
        <f ca="1">Calcs!D11</f>
        <v>5</v>
      </c>
      <c r="I9" s="47"/>
      <c r="J9" s="25">
        <f ca="1">_xlfn.FLOOR.MATH(Calcs!G11)</f>
        <v>0</v>
      </c>
      <c r="K9" s="25"/>
      <c r="L9" s="25">
        <f ca="1">_xlfn.FLOOR.MATH(Calcs!H11)</f>
        <v>5</v>
      </c>
      <c r="M9" s="26"/>
    </row>
    <row r="11" spans="1:13" s="5" customFormat="1" ht="20" thickBot="1" x14ac:dyDescent="0.5">
      <c r="A11" s="5" t="s">
        <v>59</v>
      </c>
    </row>
    <row r="12" spans="1:13" ht="15" thickTop="1" x14ac:dyDescent="0.35"/>
    <row r="13" spans="1:13" ht="14.5" customHeight="1" x14ac:dyDescent="0.35">
      <c r="A13" s="19" t="s">
        <v>60</v>
      </c>
      <c r="B13" s="19"/>
      <c r="C13" s="19"/>
    </row>
    <row r="14" spans="1:13" x14ac:dyDescent="0.35">
      <c r="A14" s="19"/>
      <c r="B14" s="19"/>
      <c r="C14" s="19"/>
    </row>
    <row r="15" spans="1:13" x14ac:dyDescent="0.35">
      <c r="A15" s="19"/>
      <c r="B15" s="19"/>
      <c r="C15" s="19"/>
    </row>
    <row r="16" spans="1:13" x14ac:dyDescent="0.35">
      <c r="B16" t="s">
        <v>6</v>
      </c>
      <c r="C16" t="s">
        <v>61</v>
      </c>
    </row>
    <row r="17" spans="1:16" x14ac:dyDescent="0.35">
      <c r="B17" s="4">
        <v>42370</v>
      </c>
      <c r="C17" s="49">
        <v>0.25</v>
      </c>
    </row>
    <row r="18" spans="1:16" x14ac:dyDescent="0.35">
      <c r="B18" s="4">
        <v>42430</v>
      </c>
      <c r="C18" s="49">
        <v>0.3</v>
      </c>
    </row>
    <row r="19" spans="1:16" x14ac:dyDescent="0.35">
      <c r="B19" s="4">
        <v>42515</v>
      </c>
      <c r="C19" s="49">
        <v>0.4</v>
      </c>
    </row>
    <row r="20" spans="1:16" x14ac:dyDescent="0.35">
      <c r="C20" s="49"/>
    </row>
    <row r="21" spans="1:16" x14ac:dyDescent="0.35">
      <c r="C21" s="49"/>
    </row>
    <row r="22" spans="1:16" x14ac:dyDescent="0.35">
      <c r="C22" s="49"/>
    </row>
    <row r="23" spans="1:16" x14ac:dyDescent="0.35">
      <c r="C23" s="49"/>
    </row>
    <row r="24" spans="1:16" x14ac:dyDescent="0.35">
      <c r="C24" s="49"/>
    </row>
    <row r="25" spans="1:16" x14ac:dyDescent="0.35">
      <c r="C25" s="49"/>
    </row>
    <row r="26" spans="1:16" x14ac:dyDescent="0.35">
      <c r="C26" s="49"/>
    </row>
    <row r="27" spans="1:16" s="5" customFormat="1" ht="20" thickBot="1" x14ac:dyDescent="0.5">
      <c r="A27" s="5" t="s">
        <v>72</v>
      </c>
      <c r="C27" s="50"/>
    </row>
    <row r="28" spans="1:16" ht="15" thickTop="1" x14ac:dyDescent="0.35">
      <c r="C28" s="49"/>
    </row>
    <row r="29" spans="1:16" x14ac:dyDescent="0.35">
      <c r="B29" s="9" t="s">
        <v>74</v>
      </c>
      <c r="C29" s="9"/>
      <c r="D29" s="9"/>
      <c r="E29" s="9"/>
      <c r="F29" s="9"/>
      <c r="G29" s="9"/>
      <c r="H29" s="9"/>
      <c r="J29" s="9" t="s">
        <v>77</v>
      </c>
      <c r="K29" s="9"/>
      <c r="L29" s="9"/>
      <c r="M29" s="9"/>
      <c r="N29" s="9"/>
      <c r="O29" s="9"/>
      <c r="P29" s="9"/>
    </row>
    <row r="30" spans="1:16" x14ac:dyDescent="0.35">
      <c r="B30" s="9"/>
      <c r="C30" s="9"/>
      <c r="D30" s="9"/>
      <c r="E30" s="9"/>
      <c r="F30" s="9"/>
      <c r="G30" s="9"/>
      <c r="H30" s="9"/>
      <c r="J30" s="9"/>
      <c r="K30" s="9"/>
      <c r="L30" s="9"/>
      <c r="M30" s="9"/>
      <c r="N30" s="9"/>
      <c r="O30" s="9"/>
      <c r="P30" s="9"/>
    </row>
    <row r="31" spans="1:16" x14ac:dyDescent="0.35">
      <c r="B31" s="9"/>
      <c r="C31" s="9"/>
      <c r="D31" s="9"/>
      <c r="E31" s="9"/>
      <c r="F31" s="9"/>
      <c r="G31" s="9"/>
      <c r="H31" s="9"/>
      <c r="J31" s="9"/>
      <c r="K31" s="9"/>
      <c r="L31" s="9"/>
      <c r="M31" s="9"/>
      <c r="N31" s="9"/>
      <c r="O31" s="9"/>
      <c r="P31" s="9"/>
    </row>
    <row r="32" spans="1:16" x14ac:dyDescent="0.35">
      <c r="B32" s="9"/>
      <c r="C32" s="9"/>
      <c r="D32" s="9"/>
      <c r="E32" s="9"/>
      <c r="F32" s="9"/>
      <c r="G32" s="9"/>
      <c r="H32" s="9"/>
      <c r="J32" s="9"/>
      <c r="K32" s="9"/>
      <c r="L32" s="9"/>
      <c r="M32" s="9"/>
      <c r="N32" s="9"/>
      <c r="O32" s="9"/>
      <c r="P32" s="9"/>
    </row>
    <row r="33" spans="2:16" x14ac:dyDescent="0.35">
      <c r="B33" s="9"/>
      <c r="C33" s="9"/>
      <c r="D33" s="9"/>
      <c r="E33" s="9"/>
      <c r="F33" s="9"/>
      <c r="G33" s="9"/>
      <c r="H33" s="9"/>
      <c r="J33" s="9"/>
      <c r="K33" s="9"/>
      <c r="L33" s="9"/>
      <c r="M33" s="9"/>
      <c r="N33" s="9"/>
      <c r="O33" s="9"/>
      <c r="P33" s="9"/>
    </row>
    <row r="34" spans="2:16" x14ac:dyDescent="0.35">
      <c r="B34" s="9"/>
      <c r="C34" s="9"/>
      <c r="D34" s="9"/>
      <c r="E34" s="9"/>
      <c r="F34" s="9"/>
      <c r="G34" s="9"/>
      <c r="H34" s="9"/>
      <c r="J34" s="9"/>
      <c r="K34" s="9"/>
      <c r="L34" s="9"/>
      <c r="M34" s="9"/>
      <c r="N34" s="9"/>
      <c r="O34" s="9"/>
      <c r="P34" s="9"/>
    </row>
    <row r="35" spans="2:16" x14ac:dyDescent="0.35">
      <c r="B35" s="9"/>
      <c r="C35" s="9"/>
      <c r="D35" s="9"/>
      <c r="E35" s="9"/>
      <c r="F35" s="9"/>
      <c r="G35" s="9"/>
      <c r="H35" s="9"/>
      <c r="J35" s="9"/>
      <c r="K35" s="9"/>
      <c r="L35" s="9"/>
      <c r="M35" s="9"/>
      <c r="N35" s="9"/>
      <c r="O35" s="9"/>
      <c r="P35" s="9"/>
    </row>
    <row r="36" spans="2:16" x14ac:dyDescent="0.35">
      <c r="B36" s="9"/>
      <c r="C36" s="9"/>
      <c r="D36" s="9"/>
      <c r="E36" s="9"/>
      <c r="F36" s="9"/>
      <c r="G36" s="9"/>
      <c r="H36" s="9"/>
      <c r="J36" s="9"/>
      <c r="K36" s="9"/>
      <c r="L36" s="9"/>
      <c r="M36" s="9"/>
      <c r="N36" s="9"/>
      <c r="O36" s="9"/>
      <c r="P36" s="9"/>
    </row>
    <row r="37" spans="2:16" x14ac:dyDescent="0.35">
      <c r="B37" s="9"/>
      <c r="C37" s="9"/>
      <c r="D37" s="9"/>
      <c r="E37" s="9"/>
      <c r="F37" s="9"/>
      <c r="G37" s="9"/>
      <c r="H37" s="9"/>
      <c r="J37" s="9"/>
      <c r="K37" s="9"/>
      <c r="L37" s="9"/>
      <c r="M37" s="9"/>
      <c r="N37" s="9"/>
      <c r="O37" s="9"/>
      <c r="P37" s="9"/>
    </row>
    <row r="38" spans="2:16" x14ac:dyDescent="0.35">
      <c r="B38" s="9"/>
      <c r="C38" s="9"/>
      <c r="D38" s="9"/>
      <c r="E38" s="9"/>
      <c r="F38" s="9"/>
      <c r="G38" s="9"/>
      <c r="H38" s="9"/>
      <c r="J38" s="9"/>
      <c r="K38" s="9"/>
      <c r="L38" s="9"/>
      <c r="M38" s="9"/>
      <c r="N38" s="9"/>
      <c r="O38" s="9"/>
      <c r="P38" s="9"/>
    </row>
    <row r="39" spans="2:16" x14ac:dyDescent="0.35">
      <c r="B39" s="9"/>
      <c r="C39" s="9"/>
      <c r="D39" s="9"/>
      <c r="E39" s="9"/>
      <c r="F39" s="9"/>
      <c r="G39" s="9"/>
      <c r="H39" s="9"/>
      <c r="J39" s="9"/>
      <c r="K39" s="9"/>
      <c r="L39" s="9"/>
      <c r="M39" s="9"/>
      <c r="N39" s="9"/>
      <c r="O39" s="9"/>
      <c r="P39" s="9"/>
    </row>
    <row r="41" spans="2:16" ht="14.5" customHeight="1" x14ac:dyDescent="0.35">
      <c r="B41" s="19" t="s">
        <v>73</v>
      </c>
      <c r="C41" s="19"/>
      <c r="D41" s="19"/>
      <c r="E41" s="19"/>
      <c r="F41" s="19"/>
      <c r="G41" s="19"/>
      <c r="H41" s="19"/>
      <c r="J41" s="9" t="s">
        <v>75</v>
      </c>
      <c r="K41" s="9"/>
      <c r="L41" s="9"/>
      <c r="M41" s="9"/>
      <c r="N41" s="9"/>
      <c r="O41" s="9"/>
      <c r="P41" s="9"/>
    </row>
    <row r="42" spans="2:16" x14ac:dyDescent="0.35">
      <c r="B42" s="19"/>
      <c r="C42" s="19"/>
      <c r="D42" s="19"/>
      <c r="E42" s="19"/>
      <c r="F42" s="19"/>
      <c r="G42" s="19"/>
      <c r="H42" s="19"/>
      <c r="J42" s="9"/>
      <c r="K42" s="9"/>
      <c r="L42" s="9"/>
      <c r="M42" s="9"/>
      <c r="N42" s="9"/>
      <c r="O42" s="9"/>
      <c r="P42" s="9"/>
    </row>
    <row r="43" spans="2:16" x14ac:dyDescent="0.35">
      <c r="B43" s="19"/>
      <c r="C43" s="19"/>
      <c r="D43" s="19"/>
      <c r="E43" s="19"/>
      <c r="F43" s="19"/>
      <c r="G43" s="19"/>
      <c r="H43" s="19"/>
      <c r="J43" s="9"/>
      <c r="K43" s="9"/>
      <c r="L43" s="9"/>
      <c r="M43" s="9"/>
      <c r="N43" s="9"/>
      <c r="O43" s="9"/>
      <c r="P43" s="9"/>
    </row>
    <row r="44" spans="2:16" ht="15" thickBot="1" x14ac:dyDescent="0.4">
      <c r="B44" s="51"/>
      <c r="C44" s="51"/>
      <c r="D44" s="51"/>
      <c r="E44" s="51"/>
      <c r="F44" s="51"/>
      <c r="G44" s="51"/>
      <c r="H44" s="51"/>
      <c r="J44" s="9"/>
      <c r="K44" s="9"/>
      <c r="L44" s="9"/>
      <c r="M44" s="9"/>
      <c r="N44" s="9"/>
      <c r="O44" s="9"/>
      <c r="P44" s="9"/>
    </row>
    <row r="45" spans="2:16" ht="15" thickBot="1" x14ac:dyDescent="0.4">
      <c r="B45" s="52">
        <v>2</v>
      </c>
      <c r="C45" s="51"/>
      <c r="D45" s="51"/>
      <c r="E45" s="51"/>
      <c r="F45" s="51"/>
      <c r="G45" s="51"/>
      <c r="H45" s="51"/>
      <c r="J45" s="9"/>
      <c r="K45" s="9"/>
      <c r="L45" s="9"/>
      <c r="M45" s="9"/>
      <c r="N45" s="9"/>
      <c r="O45" s="9"/>
      <c r="P45" s="9"/>
    </row>
    <row r="46" spans="2:16" x14ac:dyDescent="0.35">
      <c r="B46" s="51"/>
      <c r="C46" s="51"/>
      <c r="D46" s="51"/>
      <c r="E46" s="51"/>
      <c r="F46" s="51"/>
      <c r="G46" s="51"/>
      <c r="H46" s="51"/>
      <c r="J46" s="9"/>
      <c r="K46" s="9"/>
      <c r="L46" s="9"/>
      <c r="M46" s="9"/>
      <c r="N46" s="9"/>
      <c r="O46" s="9"/>
      <c r="P46" s="9"/>
    </row>
    <row r="47" spans="2:16" x14ac:dyDescent="0.35">
      <c r="B47" s="51"/>
      <c r="C47" s="51"/>
      <c r="D47" s="51"/>
      <c r="E47" s="51"/>
      <c r="F47" s="51"/>
      <c r="G47" s="51"/>
      <c r="H47" s="51"/>
      <c r="J47" s="9"/>
      <c r="K47" s="9"/>
      <c r="L47" s="9"/>
      <c r="M47" s="9"/>
      <c r="N47" s="9"/>
      <c r="O47" s="9"/>
      <c r="P47" s="9"/>
    </row>
    <row r="48" spans="2:16" x14ac:dyDescent="0.35">
      <c r="B48" s="51"/>
      <c r="C48" s="51"/>
      <c r="D48" s="51"/>
      <c r="E48" s="51"/>
      <c r="F48" s="51"/>
      <c r="G48" s="51"/>
      <c r="H48" s="51"/>
      <c r="J48" s="9"/>
      <c r="K48" s="9"/>
      <c r="L48" s="9"/>
      <c r="M48" s="9"/>
      <c r="N48" s="9"/>
      <c r="O48" s="9"/>
      <c r="P48" s="9"/>
    </row>
    <row r="49" spans="2:16" x14ac:dyDescent="0.35">
      <c r="B49" s="51"/>
      <c r="C49" s="51"/>
      <c r="D49" s="51"/>
      <c r="E49" s="51"/>
      <c r="F49" s="51"/>
      <c r="G49" s="51"/>
      <c r="H49" s="51"/>
      <c r="J49" s="9"/>
      <c r="K49" s="9"/>
      <c r="L49" s="9"/>
      <c r="M49" s="9"/>
      <c r="N49" s="9"/>
      <c r="O49" s="9"/>
      <c r="P49" s="9"/>
    </row>
    <row r="50" spans="2:16" x14ac:dyDescent="0.35">
      <c r="B50" s="51"/>
      <c r="C50" s="51"/>
      <c r="D50" s="51"/>
      <c r="E50" s="51"/>
      <c r="F50" s="51"/>
      <c r="G50" s="51"/>
      <c r="H50" s="51"/>
      <c r="J50" s="9"/>
      <c r="K50" s="9"/>
      <c r="L50" s="9"/>
      <c r="M50" s="9"/>
      <c r="N50" s="9"/>
      <c r="O50" s="9"/>
      <c r="P50" s="9"/>
    </row>
    <row r="51" spans="2:16" x14ac:dyDescent="0.35">
      <c r="B51" s="51"/>
      <c r="C51" s="51"/>
      <c r="D51" s="51"/>
      <c r="E51" s="51"/>
      <c r="F51" s="51"/>
      <c r="G51" s="51"/>
      <c r="H51" s="51"/>
      <c r="J51" s="9"/>
      <c r="K51" s="9"/>
      <c r="L51" s="9"/>
      <c r="M51" s="9"/>
      <c r="N51" s="9"/>
      <c r="O51" s="9"/>
      <c r="P51" s="9"/>
    </row>
    <row r="53" spans="2:16" ht="14.5" customHeight="1" x14ac:dyDescent="0.35">
      <c r="J53" s="9" t="s">
        <v>76</v>
      </c>
      <c r="K53" s="9"/>
      <c r="L53" s="9"/>
      <c r="M53" s="9"/>
      <c r="N53" s="9"/>
      <c r="O53" s="9"/>
      <c r="P53" s="9"/>
    </row>
    <row r="54" spans="2:16" x14ac:dyDescent="0.35">
      <c r="J54" s="9"/>
      <c r="K54" s="9"/>
      <c r="L54" s="9"/>
      <c r="M54" s="9"/>
      <c r="N54" s="9"/>
      <c r="O54" s="9"/>
      <c r="P54" s="9"/>
    </row>
    <row r="55" spans="2:16" x14ac:dyDescent="0.35">
      <c r="J55" s="9"/>
      <c r="K55" s="9"/>
      <c r="L55" s="9"/>
      <c r="M55" s="9"/>
      <c r="N55" s="9"/>
      <c r="O55" s="9"/>
      <c r="P55" s="9"/>
    </row>
    <row r="56" spans="2:16" x14ac:dyDescent="0.35">
      <c r="J56" s="9"/>
      <c r="K56" s="9"/>
      <c r="L56" s="9"/>
      <c r="M56" s="9"/>
      <c r="N56" s="9"/>
      <c r="O56" s="9"/>
      <c r="P56" s="9"/>
    </row>
    <row r="57" spans="2:16" x14ac:dyDescent="0.35">
      <c r="J57" s="9"/>
      <c r="K57" s="9"/>
      <c r="L57" s="9"/>
      <c r="M57" s="9"/>
      <c r="N57" s="9"/>
      <c r="O57" s="9"/>
      <c r="P57" s="9"/>
    </row>
    <row r="58" spans="2:16" x14ac:dyDescent="0.35">
      <c r="J58" s="9"/>
      <c r="K58" s="9"/>
      <c r="L58" s="9"/>
      <c r="M58" s="9"/>
      <c r="N58" s="9"/>
      <c r="O58" s="9"/>
      <c r="P58" s="9"/>
    </row>
    <row r="59" spans="2:16" x14ac:dyDescent="0.35">
      <c r="J59" s="9"/>
      <c r="K59" s="9"/>
      <c r="L59" s="9"/>
      <c r="M59" s="9"/>
      <c r="N59" s="9"/>
      <c r="O59" s="9"/>
      <c r="P59" s="9"/>
    </row>
    <row r="60" spans="2:16" x14ac:dyDescent="0.35">
      <c r="J60" s="9"/>
      <c r="K60" s="9"/>
      <c r="L60" s="9"/>
      <c r="M60" s="9"/>
      <c r="N60" s="9"/>
      <c r="O60" s="9"/>
      <c r="P60" s="9"/>
    </row>
    <row r="61" spans="2:16" x14ac:dyDescent="0.35">
      <c r="J61" s="9"/>
      <c r="K61" s="9"/>
      <c r="L61" s="9"/>
      <c r="M61" s="9"/>
      <c r="N61" s="9"/>
      <c r="O61" s="9"/>
      <c r="P61" s="9"/>
    </row>
    <row r="62" spans="2:16" x14ac:dyDescent="0.35">
      <c r="J62" s="9"/>
      <c r="K62" s="9"/>
      <c r="L62" s="9"/>
      <c r="M62" s="9"/>
      <c r="N62" s="9"/>
      <c r="O62" s="9"/>
      <c r="P62" s="9"/>
    </row>
    <row r="63" spans="2:16" x14ac:dyDescent="0.35">
      <c r="J63" s="9"/>
      <c r="K63" s="9"/>
      <c r="L63" s="9"/>
      <c r="M63" s="9"/>
      <c r="N63" s="9"/>
      <c r="O63" s="9"/>
      <c r="P63" s="9"/>
    </row>
  </sheetData>
  <mergeCells count="27">
    <mergeCell ref="J53:P63"/>
    <mergeCell ref="B41:H43"/>
    <mergeCell ref="A13:C15"/>
    <mergeCell ref="B29:H39"/>
    <mergeCell ref="J41:P51"/>
    <mergeCell ref="J29:P39"/>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activeCell="F11" sqref="F11"/>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10" t="s">
        <v>13</v>
      </c>
      <c r="X1" s="1" t="s">
        <v>23</v>
      </c>
      <c r="Y1" s="1" t="s">
        <v>18</v>
      </c>
      <c r="Z1" s="1" t="s">
        <v>15</v>
      </c>
      <c r="AA1" s="1" t="s">
        <v>21</v>
      </c>
      <c r="AB1" s="1" t="s">
        <v>9</v>
      </c>
      <c r="AC1" s="1" t="s">
        <v>8</v>
      </c>
      <c r="AD1" s="1" t="s">
        <v>20</v>
      </c>
      <c r="AE1" s="1" t="s">
        <v>26</v>
      </c>
      <c r="AF1" s="1" t="s">
        <v>10</v>
      </c>
      <c r="AG1" s="1" t="s">
        <v>27</v>
      </c>
      <c r="AH1" s="11"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42432</v>
      </c>
      <c r="C2">
        <f ca="1">RANDBETWEEN(11,15)</f>
        <v>11</v>
      </c>
      <c r="D2">
        <f ca="1">RANDBETWEEN(0,4)</f>
        <v>3</v>
      </c>
      <c r="E2">
        <f ca="1">RANDBETWEEN(0,2)</f>
        <v>2</v>
      </c>
      <c r="F2">
        <f ca="1">actuals_prd_imp[[#This Row],[Taken into Immediate Future Plan]]-actuals_prd_imp[[#This Row],[Removed Planned]]-actuals_prd_imp[[#This Row],[Remaining Planned]]</f>
        <v>7</v>
      </c>
      <c r="G2">
        <f ca="1">ROUND(RANDBETWEEN(50,100)/100*actuals_prd_imp[[#This Row],[Added Additional]],0)</f>
        <v>3</v>
      </c>
      <c r="H2">
        <f ca="1">RANDBETWEEN(0,3)</f>
        <v>2</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done]],0)</f>
        <v>6</v>
      </c>
      <c r="K2">
        <f ca="1">ROUND(RANDBETWEEN(90,100)/100*actuals_prd_imp[[#This Row],[Planned done]],0)</f>
        <v>7</v>
      </c>
      <c r="L2" s="8"/>
      <c r="M2" s="4">
        <f t="shared" ref="M2:M13" ca="1" si="1">WORKDAY(M3,-5)</f>
        <v>42432</v>
      </c>
      <c r="N2">
        <f ca="1">RANDBETWEEN(11,15)</f>
        <v>13</v>
      </c>
      <c r="O2">
        <f ca="1">RANDBETWEEN(0,4)</f>
        <v>0</v>
      </c>
      <c r="P2">
        <f ca="1">RANDBETWEEN(0,2)</f>
        <v>0</v>
      </c>
      <c r="Q2">
        <f ca="1">actuals_prd_exp[[#This Row],[Taken into Immediate Future Plan]]-actuals_prd_exp[[#This Row],[Removed Planned]]-actuals_prd_exp[[#This Row],[Remaining Planned]]</f>
        <v>12</v>
      </c>
      <c r="R2">
        <f ca="1">ROUND(RANDBETWEEN(50,100)/100*actuals_prd_exp[[#This Row],[Added Additional]],0)</f>
        <v>0</v>
      </c>
      <c r="S2">
        <f ca="1">RANDBETWEEN(0,3)</f>
        <v>1</v>
      </c>
      <c r="T2">
        <f ca="1">IF(actuals_prd_exp[[#This Row],[End Date]],actuals_prd_exp[[#This Row],[Taken into Immediate Future Plan]]-actuals_prd_exp[[#This Row],[Removed Planned]]-actuals_prd_exp[[#This Row],[Planned done]]-actuals_prd_exp[[#This Row],[Remaining Planned]],"TBD")</f>
        <v>0</v>
      </c>
      <c r="U2">
        <f ca="1">ROUND(RANDBETWEEN(70,100)/100*actuals_prd_exp[[#This Row],[Planned done]],0)</f>
        <v>10</v>
      </c>
      <c r="V2">
        <f ca="1">ROUND(RANDBETWEEN(90,100)/100*actuals_prd_exp[[#This Row],[Planned done]],0)</f>
        <v>11</v>
      </c>
      <c r="W2" s="10"/>
      <c r="X2" s="4">
        <f t="shared" ref="X2:X33" ca="1" si="2">WORKDAY(X3,-2)</f>
        <v>42433</v>
      </c>
      <c r="Y2">
        <f ca="1">RANDBETWEEN(2,3)</f>
        <v>3</v>
      </c>
      <c r="Z2">
        <f ca="1">RANDBETWEEN(0,1)</f>
        <v>1</v>
      </c>
      <c r="AA2">
        <v>0</v>
      </c>
      <c r="AB2">
        <f ca="1">actuals_stn_imp[[#This Row],[Taken into Immediate Future Plan]]-actuals_stn_imp[[#This Row],[Removed Planned]]-actuals_stn_imp[[#This Row],[Remaining Planned]]</f>
        <v>3</v>
      </c>
      <c r="AC2">
        <f ca="1">ROUND(RANDBETWEEN(50,100)/100*actuals_stn_imp[[#This Row],[Added Additional]],0)</f>
        <v>1</v>
      </c>
      <c r="AD2">
        <f ca="1">RANDBETWEEN(0,1)</f>
        <v>0</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done]],0)</f>
        <v>3</v>
      </c>
      <c r="AG2">
        <f ca="1">ROUND(RANDBETWEEN(90,100)/100*actuals_stn_imp[[#This Row],[Planned done]],0)</f>
        <v>3</v>
      </c>
      <c r="AH2" s="11"/>
      <c r="AI2" s="4">
        <f t="shared" ref="AI2:AI33" ca="1" si="3">WORKDAY(AI3,-2)</f>
        <v>42433</v>
      </c>
      <c r="AJ2">
        <f ca="1">RANDBETWEEN(2,3)</f>
        <v>2</v>
      </c>
      <c r="AK2">
        <f ca="1">RANDBETWEEN(0,1)</f>
        <v>0</v>
      </c>
      <c r="AL2">
        <v>0</v>
      </c>
      <c r="AM2">
        <f ca="1">actuals_stn_exp[[#This Row],[Taken into Immediate Future Plan]]-actuals_stn_exp[[#This Row],[Removed Planned]]-actuals_stn_exp[[#This Row],[Remaining Planned]]</f>
        <v>1</v>
      </c>
      <c r="AN2">
        <f ca="1">ROUND(RANDBETWEEN(50,100)/100*actuals_stn_exp[[#This Row],[Added Additional]],0)</f>
        <v>0</v>
      </c>
      <c r="AO2">
        <f ca="1">RANDBETWEEN(0,1)</f>
        <v>1</v>
      </c>
      <c r="AP2">
        <f ca="1">IF(actuals_stn_exp[[#This Row],[End Date]],actuals_stn_exp[[#This Row],[Taken into Immediate Future Plan]]-actuals_stn_exp[[#This Row],[Removed Planned]]-actuals_stn_exp[[#This Row],[Planned done]]-actuals_stn_exp[[#This Row],[Remaining Planned]],"TBD")</f>
        <v>0</v>
      </c>
      <c r="AQ2">
        <f ca="1">ROUND(RANDBETWEEN(70,100)/100*actuals_stn_exp[[#This Row],[Planned done]],0)</f>
        <v>1</v>
      </c>
      <c r="AR2">
        <f ca="1">ROUND(RANDBETWEEN(90,100)/100*actuals_stn_exp[[#This Row],[Planned done]],0)</f>
        <v>1</v>
      </c>
    </row>
    <row r="3" spans="1:44" x14ac:dyDescent="0.35">
      <c r="A3" s="7"/>
      <c r="B3" s="4">
        <f t="shared" ca="1" si="0"/>
        <v>42439</v>
      </c>
      <c r="C3">
        <f t="shared" ref="C3:C16" ca="1" si="4">RANDBETWEEN(11,15)</f>
        <v>13</v>
      </c>
      <c r="D3">
        <f t="shared" ref="D3:D15" ca="1" si="5">RANDBETWEEN(0,4)</f>
        <v>1</v>
      </c>
      <c r="E3">
        <f t="shared" ref="E3:E15" ca="1" si="6">RANDBETWEEN(0,2)</f>
        <v>0</v>
      </c>
      <c r="F3">
        <f ca="1">actuals_prd_imp[[#This Row],[Taken into Immediate Future Plan]]-actuals_prd_imp[[#This Row],[Removed Planned]]-actuals_prd_imp[[#This Row],[Remaining Planned]]</f>
        <v>13</v>
      </c>
      <c r="G3">
        <f ca="1">ROUND(RANDBETWEEN(50,100)/100*actuals_prd_imp[[#This Row],[Added Additional]],0)</f>
        <v>1</v>
      </c>
      <c r="H3">
        <f t="shared" ref="H3:H15" ca="1" si="7">RANDBETWEEN(0,3)</f>
        <v>0</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done]],0)</f>
        <v>10</v>
      </c>
      <c r="K3">
        <f ca="1">ROUND(RANDBETWEEN(90,100)/100*actuals_prd_imp[[#This Row],[Planned done]],0)</f>
        <v>12</v>
      </c>
      <c r="L3" s="8"/>
      <c r="M3" s="4">
        <f t="shared" ca="1" si="1"/>
        <v>42439</v>
      </c>
      <c r="N3">
        <f t="shared" ref="N3:N16" ca="1" si="8">RANDBETWEEN(11,15)</f>
        <v>12</v>
      </c>
      <c r="O3">
        <f t="shared" ref="O3:O15" ca="1" si="9">RANDBETWEEN(0,4)</f>
        <v>1</v>
      </c>
      <c r="P3">
        <f t="shared" ref="P3:P15" ca="1" si="10">RANDBETWEEN(0,2)</f>
        <v>2</v>
      </c>
      <c r="Q3">
        <f ca="1">actuals_prd_exp[[#This Row],[Taken into Immediate Future Plan]]-actuals_prd_exp[[#This Row],[Removed Planned]]-actuals_prd_exp[[#This Row],[Remaining Planned]]</f>
        <v>10</v>
      </c>
      <c r="R3">
        <f ca="1">ROUND(RANDBETWEEN(50,100)/100*actuals_prd_exp[[#This Row],[Added Additional]],0)</f>
        <v>1</v>
      </c>
      <c r="S3">
        <f t="shared" ref="S3:S15" ca="1" si="11">RANDBETWEEN(0,3)</f>
        <v>0</v>
      </c>
      <c r="T3">
        <f ca="1">IF(actuals_prd_exp[[#This Row],[End Date]],actuals_prd_exp[[#This Row],[Taken into Immediate Future Plan]]-actuals_prd_exp[[#This Row],[Removed Planned]]-actuals_prd_exp[[#This Row],[Planned done]]-actuals_prd_exp[[#This Row],[Remaining Planned]],"TBD")</f>
        <v>0</v>
      </c>
      <c r="U3">
        <f ca="1">ROUND(RANDBETWEEN(70,100)/100*actuals_prd_exp[[#This Row],[Planned done]],0)</f>
        <v>8</v>
      </c>
      <c r="V3">
        <f ca="1">ROUND(RANDBETWEEN(90,100)/100*actuals_prd_exp[[#This Row],[Planned done]],0)</f>
        <v>10</v>
      </c>
      <c r="W3" s="10"/>
      <c r="X3" s="4">
        <f t="shared" ca="1" si="2"/>
        <v>42437</v>
      </c>
      <c r="Y3">
        <f t="shared" ref="Y3:Y36" ca="1" si="12">RANDBETWEEN(2,3)</f>
        <v>2</v>
      </c>
      <c r="Z3">
        <f t="shared" ref="Z3:Z35" ca="1" si="13">RANDBETWEEN(0,1)</f>
        <v>0</v>
      </c>
      <c r="AA3">
        <v>0</v>
      </c>
      <c r="AB3">
        <f ca="1">actuals_stn_imp[[#This Row],[Taken into Immediate Future Plan]]-actuals_stn_imp[[#This Row],[Removed Planned]]-actuals_stn_imp[[#This Row],[Remaining Planned]]</f>
        <v>2</v>
      </c>
      <c r="AC3">
        <f ca="1">ROUND(RANDBETWEEN(50,100)/100*actuals_stn_imp[[#This Row],[Added Additional]],0)</f>
        <v>0</v>
      </c>
      <c r="AD3">
        <f t="shared" ref="AD3:AD35" ca="1" si="14">RANDBETWEEN(0,1)</f>
        <v>0</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done]],0)</f>
        <v>2</v>
      </c>
      <c r="AG3">
        <f ca="1">ROUND(RANDBETWEEN(90,100)/100*actuals_stn_imp[[#This Row],[Planned done]],0)</f>
        <v>2</v>
      </c>
      <c r="AH3" s="11"/>
      <c r="AI3" s="4">
        <f t="shared" ca="1" si="3"/>
        <v>42437</v>
      </c>
      <c r="AJ3">
        <f t="shared" ref="AJ3:AJ36" ca="1" si="15">RANDBETWEEN(2,3)</f>
        <v>2</v>
      </c>
      <c r="AK3">
        <f t="shared" ref="AK3:AK35" ca="1" si="16">RANDBETWEEN(0,1)</f>
        <v>0</v>
      </c>
      <c r="AL3">
        <v>0</v>
      </c>
      <c r="AM3">
        <f ca="1">actuals_stn_exp[[#This Row],[Taken into Immediate Future Plan]]-actuals_stn_exp[[#This Row],[Removed Planned]]-actuals_stn_exp[[#This Row],[Remaining Planned]]</f>
        <v>2</v>
      </c>
      <c r="AN3">
        <f ca="1">ROUND(RANDBETWEEN(50,100)/100*actuals_stn_exp[[#This Row],[Added Additional]],0)</f>
        <v>0</v>
      </c>
      <c r="AO3">
        <f t="shared" ref="AO3:AO35" ca="1" si="17">RANDBETWEEN(0,1)</f>
        <v>0</v>
      </c>
      <c r="AP3">
        <f ca="1">IF(actuals_stn_exp[[#This Row],[End Date]],actuals_stn_exp[[#This Row],[Taken into Immediate Future Plan]]-actuals_stn_exp[[#This Row],[Removed Planned]]-actuals_stn_exp[[#This Row],[Planned done]]-actuals_stn_exp[[#This Row],[Remaining Planned]],"TBD")</f>
        <v>0</v>
      </c>
      <c r="AQ3">
        <f ca="1">ROUND(RANDBETWEEN(70,100)/100*actuals_stn_exp[[#This Row],[Planned done]],0)</f>
        <v>2</v>
      </c>
      <c r="AR3">
        <f ca="1">ROUND(RANDBETWEEN(90,100)/100*actuals_stn_exp[[#This Row],[Planned done]],0)</f>
        <v>2</v>
      </c>
    </row>
    <row r="4" spans="1:44" x14ac:dyDescent="0.35">
      <c r="A4" s="7"/>
      <c r="B4" s="4">
        <f t="shared" ca="1" si="0"/>
        <v>42446</v>
      </c>
      <c r="C4">
        <f t="shared" ca="1" si="4"/>
        <v>13</v>
      </c>
      <c r="D4">
        <f t="shared" ca="1" si="5"/>
        <v>2</v>
      </c>
      <c r="E4">
        <f t="shared" ca="1" si="6"/>
        <v>2</v>
      </c>
      <c r="F4">
        <f ca="1">actuals_prd_imp[[#This Row],[Taken into Immediate Future Plan]]-actuals_prd_imp[[#This Row],[Removed Planned]]-actuals_prd_imp[[#This Row],[Remaining Planned]]</f>
        <v>10</v>
      </c>
      <c r="G4">
        <f ca="1">ROUND(RANDBETWEEN(50,100)/100*actuals_prd_imp[[#This Row],[Added Additional]],0)</f>
        <v>2</v>
      </c>
      <c r="H4">
        <f t="shared" ca="1" si="7"/>
        <v>1</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done]],0)</f>
        <v>9</v>
      </c>
      <c r="K4">
        <f ca="1">ROUND(RANDBETWEEN(90,100)/100*actuals_prd_imp[[#This Row],[Planned done]],0)</f>
        <v>9</v>
      </c>
      <c r="L4" s="8"/>
      <c r="M4" s="4">
        <f t="shared" ca="1" si="1"/>
        <v>42446</v>
      </c>
      <c r="N4">
        <f t="shared" ca="1" si="8"/>
        <v>13</v>
      </c>
      <c r="O4">
        <f t="shared" ca="1" si="9"/>
        <v>1</v>
      </c>
      <c r="P4">
        <f t="shared" ca="1" si="10"/>
        <v>0</v>
      </c>
      <c r="Q4">
        <f ca="1">actuals_prd_exp[[#This Row],[Taken into Immediate Future Plan]]-actuals_prd_exp[[#This Row],[Removed Planned]]-actuals_prd_exp[[#This Row],[Remaining Planned]]</f>
        <v>11</v>
      </c>
      <c r="R4">
        <f ca="1">ROUND(RANDBETWEEN(50,100)/100*actuals_prd_exp[[#This Row],[Added Additional]],0)</f>
        <v>1</v>
      </c>
      <c r="S4">
        <f t="shared" ca="1" si="11"/>
        <v>2</v>
      </c>
      <c r="T4">
        <f ca="1">IF(actuals_prd_exp[[#This Row],[End Date]],actuals_prd_exp[[#This Row],[Taken into Immediate Future Plan]]-actuals_prd_exp[[#This Row],[Removed Planned]]-actuals_prd_exp[[#This Row],[Planned done]]-actuals_prd_exp[[#This Row],[Remaining Planned]],"TBD")</f>
        <v>0</v>
      </c>
      <c r="U4">
        <f ca="1">ROUND(RANDBETWEEN(70,100)/100*actuals_prd_exp[[#This Row],[Planned done]],0)</f>
        <v>8</v>
      </c>
      <c r="V4">
        <f ca="1">ROUND(RANDBETWEEN(90,100)/100*actuals_prd_exp[[#This Row],[Planned done]],0)</f>
        <v>10</v>
      </c>
      <c r="W4" s="10"/>
      <c r="X4" s="4">
        <f t="shared" ca="1" si="2"/>
        <v>42439</v>
      </c>
      <c r="Y4">
        <f t="shared" ca="1" si="12"/>
        <v>3</v>
      </c>
      <c r="Z4">
        <f t="shared" ca="1" si="13"/>
        <v>1</v>
      </c>
      <c r="AA4">
        <v>0</v>
      </c>
      <c r="AB4">
        <f ca="1">actuals_stn_imp[[#This Row],[Taken into Immediate Future Plan]]-actuals_stn_imp[[#This Row],[Removed Planned]]-actuals_stn_imp[[#This Row],[Remaining Planned]]</f>
        <v>2</v>
      </c>
      <c r="AC4">
        <f ca="1">ROUND(RANDBETWEEN(50,100)/100*actuals_stn_imp[[#This Row],[Added Additional]],0)</f>
        <v>1</v>
      </c>
      <c r="AD4">
        <f t="shared" ca="1" si="14"/>
        <v>1</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done]],0)</f>
        <v>2</v>
      </c>
      <c r="AG4">
        <f ca="1">ROUND(RANDBETWEEN(90,100)/100*actuals_stn_imp[[#This Row],[Planned done]],0)</f>
        <v>2</v>
      </c>
      <c r="AH4" s="11"/>
      <c r="AI4" s="4">
        <f t="shared" ca="1" si="3"/>
        <v>42439</v>
      </c>
      <c r="AJ4">
        <f t="shared" ca="1" si="15"/>
        <v>2</v>
      </c>
      <c r="AK4">
        <f t="shared" ca="1" si="16"/>
        <v>1</v>
      </c>
      <c r="AL4">
        <v>0</v>
      </c>
      <c r="AM4">
        <f ca="1">actuals_stn_exp[[#This Row],[Taken into Immediate Future Plan]]-actuals_stn_exp[[#This Row],[Removed Planned]]-actuals_stn_exp[[#This Row],[Remaining Planned]]</f>
        <v>2</v>
      </c>
      <c r="AN4">
        <f ca="1">ROUND(RANDBETWEEN(50,100)/100*actuals_stn_exp[[#This Row],[Added Additional]],0)</f>
        <v>1</v>
      </c>
      <c r="AO4">
        <f t="shared" ca="1" si="17"/>
        <v>0</v>
      </c>
      <c r="AP4">
        <f ca="1">IF(actuals_stn_exp[[#This Row],[End Date]],actuals_stn_exp[[#This Row],[Taken into Immediate Future Plan]]-actuals_stn_exp[[#This Row],[Removed Planned]]-actuals_stn_exp[[#This Row],[Planned done]]-actuals_stn_exp[[#This Row],[Remaining Planned]],"TBD")</f>
        <v>0</v>
      </c>
      <c r="AQ4">
        <f ca="1">ROUND(RANDBETWEEN(70,100)/100*actuals_stn_exp[[#This Row],[Planned done]],0)</f>
        <v>1</v>
      </c>
      <c r="AR4">
        <f ca="1">ROUND(RANDBETWEEN(90,100)/100*actuals_stn_exp[[#This Row],[Planned done]],0)</f>
        <v>2</v>
      </c>
    </row>
    <row r="5" spans="1:44" x14ac:dyDescent="0.35">
      <c r="A5" s="7"/>
      <c r="B5" s="4">
        <f t="shared" ca="1" si="0"/>
        <v>42453</v>
      </c>
      <c r="C5">
        <f t="shared" ca="1" si="4"/>
        <v>11</v>
      </c>
      <c r="D5">
        <f t="shared" ca="1" si="5"/>
        <v>3</v>
      </c>
      <c r="E5">
        <f t="shared" ca="1" si="6"/>
        <v>1</v>
      </c>
      <c r="F5">
        <f ca="1">actuals_prd_imp[[#This Row],[Taken into Immediate Future Plan]]-actuals_prd_imp[[#This Row],[Removed Planned]]-actuals_prd_imp[[#This Row],[Remaining Planned]]</f>
        <v>9</v>
      </c>
      <c r="G5">
        <f ca="1">ROUND(RANDBETWEEN(50,100)/100*actuals_prd_imp[[#This Row],[Added Additional]],0)</f>
        <v>3</v>
      </c>
      <c r="H5">
        <f t="shared" ca="1" si="7"/>
        <v>1</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done]],0)</f>
        <v>6</v>
      </c>
      <c r="K5">
        <f ca="1">ROUND(RANDBETWEEN(90,100)/100*actuals_prd_imp[[#This Row],[Planned done]],0)</f>
        <v>8</v>
      </c>
      <c r="L5" s="8"/>
      <c r="M5" s="4">
        <f t="shared" ca="1" si="1"/>
        <v>42453</v>
      </c>
      <c r="N5">
        <f t="shared" ca="1" si="8"/>
        <v>14</v>
      </c>
      <c r="O5">
        <f t="shared" ca="1" si="9"/>
        <v>2</v>
      </c>
      <c r="P5">
        <f t="shared" ca="1" si="10"/>
        <v>0</v>
      </c>
      <c r="Q5">
        <f ca="1">actuals_prd_exp[[#This Row],[Taken into Immediate Future Plan]]-actuals_prd_exp[[#This Row],[Removed Planned]]-actuals_prd_exp[[#This Row],[Remaining Planned]]</f>
        <v>12</v>
      </c>
      <c r="R5">
        <f ca="1">ROUND(RANDBETWEEN(50,100)/100*actuals_prd_exp[[#This Row],[Added Additional]],0)</f>
        <v>1</v>
      </c>
      <c r="S5">
        <f t="shared" ca="1" si="11"/>
        <v>2</v>
      </c>
      <c r="T5">
        <f ca="1">IF(actuals_prd_exp[[#This Row],[End Date]],actuals_prd_exp[[#This Row],[Taken into Immediate Future Plan]]-actuals_prd_exp[[#This Row],[Removed Planned]]-actuals_prd_exp[[#This Row],[Planned done]]-actuals_prd_exp[[#This Row],[Remaining Planned]],"TBD")</f>
        <v>0</v>
      </c>
      <c r="U5">
        <f ca="1">ROUND(RANDBETWEEN(70,100)/100*actuals_prd_exp[[#This Row],[Planned done]],0)</f>
        <v>10</v>
      </c>
      <c r="V5">
        <f ca="1">ROUND(RANDBETWEEN(90,100)/100*actuals_prd_exp[[#This Row],[Planned done]],0)</f>
        <v>12</v>
      </c>
      <c r="W5" s="10"/>
      <c r="X5" s="4">
        <f t="shared" ca="1" si="2"/>
        <v>42443</v>
      </c>
      <c r="Y5">
        <f t="shared" ca="1" si="12"/>
        <v>3</v>
      </c>
      <c r="Z5">
        <f t="shared" ca="1" si="13"/>
        <v>1</v>
      </c>
      <c r="AA5">
        <v>0</v>
      </c>
      <c r="AB5">
        <f ca="1">actuals_stn_imp[[#This Row],[Taken into Immediate Future Plan]]-actuals_stn_imp[[#This Row],[Removed Planned]]-actuals_stn_imp[[#This Row],[Remaining Planned]]</f>
        <v>2</v>
      </c>
      <c r="AC5">
        <f ca="1">ROUND(RANDBETWEEN(50,100)/100*actuals_stn_imp[[#This Row],[Added Additional]],0)</f>
        <v>1</v>
      </c>
      <c r="AD5">
        <f t="shared" ca="1" si="14"/>
        <v>1</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done]],0)</f>
        <v>2</v>
      </c>
      <c r="AG5">
        <f ca="1">ROUND(RANDBETWEEN(90,100)/100*actuals_stn_imp[[#This Row],[Planned done]],0)</f>
        <v>2</v>
      </c>
      <c r="AH5" s="11"/>
      <c r="AI5" s="4">
        <f t="shared" ca="1" si="3"/>
        <v>42443</v>
      </c>
      <c r="AJ5">
        <f t="shared" ca="1" si="15"/>
        <v>3</v>
      </c>
      <c r="AK5">
        <f t="shared" ca="1" si="16"/>
        <v>1</v>
      </c>
      <c r="AL5">
        <v>0</v>
      </c>
      <c r="AM5">
        <f ca="1">actuals_stn_exp[[#This Row],[Taken into Immediate Future Plan]]-actuals_stn_exp[[#This Row],[Removed Planned]]-actuals_stn_exp[[#This Row],[Remaining Planned]]</f>
        <v>3</v>
      </c>
      <c r="AN5">
        <f ca="1">ROUND(RANDBETWEEN(50,100)/100*actuals_stn_exp[[#This Row],[Added Additional]],0)</f>
        <v>1</v>
      </c>
      <c r="AO5">
        <f t="shared" ca="1" si="17"/>
        <v>0</v>
      </c>
      <c r="AP5">
        <f ca="1">IF(actuals_stn_exp[[#This Row],[End Date]],actuals_stn_exp[[#This Row],[Taken into Immediate Future Plan]]-actuals_stn_exp[[#This Row],[Removed Planned]]-actuals_stn_exp[[#This Row],[Planned done]]-actuals_stn_exp[[#This Row],[Remaining Planned]],"TBD")</f>
        <v>0</v>
      </c>
      <c r="AQ5">
        <f ca="1">ROUND(RANDBETWEEN(70,100)/100*actuals_stn_exp[[#This Row],[Planned done]],0)</f>
        <v>2</v>
      </c>
      <c r="AR5">
        <f ca="1">ROUND(RANDBETWEEN(90,100)/100*actuals_stn_exp[[#This Row],[Planned done]],0)</f>
        <v>3</v>
      </c>
    </row>
    <row r="6" spans="1:44" x14ac:dyDescent="0.35">
      <c r="A6" s="7"/>
      <c r="B6" s="4">
        <f t="shared" ca="1" si="0"/>
        <v>42460</v>
      </c>
      <c r="C6">
        <f t="shared" ca="1" si="4"/>
        <v>11</v>
      </c>
      <c r="D6">
        <f t="shared" ca="1" si="5"/>
        <v>4</v>
      </c>
      <c r="E6">
        <f t="shared" ca="1" si="6"/>
        <v>2</v>
      </c>
      <c r="F6">
        <f ca="1">actuals_prd_imp[[#This Row],[Taken into Immediate Future Plan]]-actuals_prd_imp[[#This Row],[Removed Planned]]-actuals_prd_imp[[#This Row],[Remaining Planned]]</f>
        <v>8</v>
      </c>
      <c r="G6">
        <f ca="1">ROUND(RANDBETWEEN(50,100)/100*actuals_prd_imp[[#This Row],[Added Additional]],0)</f>
        <v>2</v>
      </c>
      <c r="H6">
        <f t="shared" ca="1" si="7"/>
        <v>1</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done]],0)</f>
        <v>8</v>
      </c>
      <c r="K6">
        <f ca="1">ROUND(RANDBETWEEN(90,100)/100*actuals_prd_imp[[#This Row],[Planned done]],0)</f>
        <v>8</v>
      </c>
      <c r="L6" s="8"/>
      <c r="M6" s="4">
        <f t="shared" ca="1" si="1"/>
        <v>42460</v>
      </c>
      <c r="N6">
        <f t="shared" ca="1" si="8"/>
        <v>14</v>
      </c>
      <c r="O6">
        <f t="shared" ca="1" si="9"/>
        <v>2</v>
      </c>
      <c r="P6">
        <f t="shared" ca="1" si="10"/>
        <v>1</v>
      </c>
      <c r="Q6">
        <f ca="1">actuals_prd_exp[[#This Row],[Taken into Immediate Future Plan]]-actuals_prd_exp[[#This Row],[Removed Planned]]-actuals_prd_exp[[#This Row],[Remaining Planned]]</f>
        <v>10</v>
      </c>
      <c r="R6">
        <f ca="1">ROUND(RANDBETWEEN(50,100)/100*actuals_prd_exp[[#This Row],[Added Additional]],0)</f>
        <v>2</v>
      </c>
      <c r="S6">
        <f t="shared" ca="1" si="11"/>
        <v>3</v>
      </c>
      <c r="T6">
        <f ca="1">IF(actuals_prd_exp[[#This Row],[End Date]],actuals_prd_exp[[#This Row],[Taken into Immediate Future Plan]]-actuals_prd_exp[[#This Row],[Removed Planned]]-actuals_prd_exp[[#This Row],[Planned done]]-actuals_prd_exp[[#This Row],[Remaining Planned]],"TBD")</f>
        <v>0</v>
      </c>
      <c r="U6">
        <f ca="1">ROUND(RANDBETWEEN(70,100)/100*actuals_prd_exp[[#This Row],[Planned done]],0)</f>
        <v>10</v>
      </c>
      <c r="V6">
        <f ca="1">ROUND(RANDBETWEEN(90,100)/100*actuals_prd_exp[[#This Row],[Planned done]],0)</f>
        <v>9</v>
      </c>
      <c r="W6" s="10"/>
      <c r="X6" s="4">
        <f t="shared" ca="1" si="2"/>
        <v>42445</v>
      </c>
      <c r="Y6">
        <f t="shared" ca="1" si="12"/>
        <v>3</v>
      </c>
      <c r="Z6">
        <f t="shared" ca="1" si="13"/>
        <v>1</v>
      </c>
      <c r="AA6">
        <v>0</v>
      </c>
      <c r="AB6">
        <f ca="1">actuals_stn_imp[[#This Row],[Taken into Immediate Future Plan]]-actuals_stn_imp[[#This Row],[Removed Planned]]-actuals_stn_imp[[#This Row],[Remaining Planned]]</f>
        <v>3</v>
      </c>
      <c r="AC6">
        <f ca="1">ROUND(RANDBETWEEN(50,100)/100*actuals_stn_imp[[#This Row],[Added Additional]],0)</f>
        <v>1</v>
      </c>
      <c r="AD6">
        <f t="shared" ca="1" si="14"/>
        <v>0</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done]],0)</f>
        <v>3</v>
      </c>
      <c r="AG6">
        <f ca="1">ROUND(RANDBETWEEN(90,100)/100*actuals_stn_imp[[#This Row],[Planned done]],0)</f>
        <v>3</v>
      </c>
      <c r="AH6" s="11"/>
      <c r="AI6" s="4">
        <f t="shared" ca="1" si="3"/>
        <v>42445</v>
      </c>
      <c r="AJ6">
        <f t="shared" ca="1" si="15"/>
        <v>3</v>
      </c>
      <c r="AK6">
        <f t="shared" ca="1" si="16"/>
        <v>1</v>
      </c>
      <c r="AL6">
        <v>0</v>
      </c>
      <c r="AM6">
        <f ca="1">actuals_stn_exp[[#This Row],[Taken into Immediate Future Plan]]-actuals_stn_exp[[#This Row],[Removed Planned]]-actuals_stn_exp[[#This Row],[Remaining Planned]]</f>
        <v>3</v>
      </c>
      <c r="AN6">
        <f ca="1">ROUND(RANDBETWEEN(50,100)/100*actuals_stn_exp[[#This Row],[Added Additional]],0)</f>
        <v>1</v>
      </c>
      <c r="AO6">
        <f t="shared" ca="1" si="17"/>
        <v>0</v>
      </c>
      <c r="AP6">
        <f ca="1">IF(actuals_stn_exp[[#This Row],[End Date]],actuals_stn_exp[[#This Row],[Taken into Immediate Future Plan]]-actuals_stn_exp[[#This Row],[Removed Planned]]-actuals_stn_exp[[#This Row],[Planned done]]-actuals_stn_exp[[#This Row],[Remaining Planned]],"TBD")</f>
        <v>0</v>
      </c>
      <c r="AQ6">
        <f ca="1">ROUND(RANDBETWEEN(70,100)/100*actuals_stn_exp[[#This Row],[Planned done]],0)</f>
        <v>3</v>
      </c>
      <c r="AR6">
        <f ca="1">ROUND(RANDBETWEEN(90,100)/100*actuals_stn_exp[[#This Row],[Planned done]],0)</f>
        <v>3</v>
      </c>
    </row>
    <row r="7" spans="1:44" x14ac:dyDescent="0.35">
      <c r="A7" s="7"/>
      <c r="B7" s="4">
        <f t="shared" ca="1" si="0"/>
        <v>42467</v>
      </c>
      <c r="C7">
        <f t="shared" ca="1" si="4"/>
        <v>15</v>
      </c>
      <c r="D7">
        <f t="shared" ca="1" si="5"/>
        <v>2</v>
      </c>
      <c r="E7">
        <f t="shared" ca="1" si="6"/>
        <v>2</v>
      </c>
      <c r="F7">
        <f ca="1">actuals_prd_imp[[#This Row],[Taken into Immediate Future Plan]]-actuals_prd_imp[[#This Row],[Removed Planned]]-actuals_prd_imp[[#This Row],[Remaining Planned]]</f>
        <v>11</v>
      </c>
      <c r="G7">
        <f ca="1">ROUND(RANDBETWEEN(50,100)/100*actuals_prd_imp[[#This Row],[Added Additional]],0)</f>
        <v>2</v>
      </c>
      <c r="H7">
        <f t="shared" ca="1" si="7"/>
        <v>2</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done]],0)</f>
        <v>8</v>
      </c>
      <c r="K7">
        <f ca="1">ROUND(RANDBETWEEN(90,100)/100*actuals_prd_imp[[#This Row],[Planned done]],0)</f>
        <v>10</v>
      </c>
      <c r="L7" s="8"/>
      <c r="M7" s="4">
        <f t="shared" ca="1" si="1"/>
        <v>42467</v>
      </c>
      <c r="N7">
        <f t="shared" ca="1" si="8"/>
        <v>14</v>
      </c>
      <c r="O7">
        <f t="shared" ca="1" si="9"/>
        <v>1</v>
      </c>
      <c r="P7">
        <f t="shared" ca="1" si="10"/>
        <v>0</v>
      </c>
      <c r="Q7">
        <f ca="1">actuals_prd_exp[[#This Row],[Taken into Immediate Future Plan]]-actuals_prd_exp[[#This Row],[Removed Planned]]-actuals_prd_exp[[#This Row],[Remaining Planned]]</f>
        <v>14</v>
      </c>
      <c r="R7">
        <f ca="1">ROUND(RANDBETWEEN(50,100)/100*actuals_prd_exp[[#This Row],[Added Additional]],0)</f>
        <v>1</v>
      </c>
      <c r="S7">
        <f t="shared" ca="1" si="11"/>
        <v>0</v>
      </c>
      <c r="T7">
        <f ca="1">IF(actuals_prd_exp[[#This Row],[End Date]],actuals_prd_exp[[#This Row],[Taken into Immediate Future Plan]]-actuals_prd_exp[[#This Row],[Removed Planned]]-actuals_prd_exp[[#This Row],[Planned done]]-actuals_prd_exp[[#This Row],[Remaining Planned]],"TBD")</f>
        <v>0</v>
      </c>
      <c r="U7">
        <f ca="1">ROUND(RANDBETWEEN(70,100)/100*actuals_prd_exp[[#This Row],[Planned done]],0)</f>
        <v>10</v>
      </c>
      <c r="V7">
        <f ca="1">ROUND(RANDBETWEEN(90,100)/100*actuals_prd_exp[[#This Row],[Planned done]],0)</f>
        <v>14</v>
      </c>
      <c r="W7" s="10"/>
      <c r="X7" s="4">
        <f t="shared" ca="1" si="2"/>
        <v>42447</v>
      </c>
      <c r="Y7">
        <f t="shared" ca="1" si="12"/>
        <v>3</v>
      </c>
      <c r="Z7">
        <f t="shared" ca="1" si="13"/>
        <v>1</v>
      </c>
      <c r="AA7">
        <v>0</v>
      </c>
      <c r="AB7">
        <f ca="1">actuals_stn_imp[[#This Row],[Taken into Immediate Future Plan]]-actuals_stn_imp[[#This Row],[Removed Planned]]-actuals_stn_imp[[#This Row],[Remaining Planned]]</f>
        <v>3</v>
      </c>
      <c r="AC7">
        <f ca="1">ROUND(RANDBETWEEN(50,100)/100*actuals_stn_imp[[#This Row],[Added Additional]],0)</f>
        <v>1</v>
      </c>
      <c r="AD7">
        <f t="shared" ca="1" si="14"/>
        <v>0</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done]],0)</f>
        <v>2</v>
      </c>
      <c r="AG7">
        <f ca="1">ROUND(RANDBETWEEN(90,100)/100*actuals_stn_imp[[#This Row],[Planned done]],0)</f>
        <v>3</v>
      </c>
      <c r="AH7" s="11"/>
      <c r="AI7" s="4">
        <f t="shared" ca="1" si="3"/>
        <v>42447</v>
      </c>
      <c r="AJ7">
        <f t="shared" ca="1" si="15"/>
        <v>3</v>
      </c>
      <c r="AK7">
        <f t="shared" ca="1" si="16"/>
        <v>1</v>
      </c>
      <c r="AL7">
        <v>0</v>
      </c>
      <c r="AM7">
        <f ca="1">actuals_stn_exp[[#This Row],[Taken into Immediate Future Plan]]-actuals_stn_exp[[#This Row],[Removed Planned]]-actuals_stn_exp[[#This Row],[Remaining Planned]]</f>
        <v>3</v>
      </c>
      <c r="AN7">
        <f ca="1">ROUND(RANDBETWEEN(50,100)/100*actuals_stn_exp[[#This Row],[Added Additional]],0)</f>
        <v>1</v>
      </c>
      <c r="AO7">
        <f t="shared" ca="1" si="17"/>
        <v>0</v>
      </c>
      <c r="AP7">
        <f ca="1">IF(actuals_stn_exp[[#This Row],[End Date]],actuals_stn_exp[[#This Row],[Taken into Immediate Future Plan]]-actuals_stn_exp[[#This Row],[Removed Planned]]-actuals_stn_exp[[#This Row],[Planned done]]-actuals_stn_exp[[#This Row],[Remaining Planned]],"TBD")</f>
        <v>0</v>
      </c>
      <c r="AQ7">
        <f ca="1">ROUND(RANDBETWEEN(70,100)/100*actuals_stn_exp[[#This Row],[Planned done]],0)</f>
        <v>2</v>
      </c>
      <c r="AR7">
        <f ca="1">ROUND(RANDBETWEEN(90,100)/100*actuals_stn_exp[[#This Row],[Planned done]],0)</f>
        <v>3</v>
      </c>
    </row>
    <row r="8" spans="1:44" x14ac:dyDescent="0.35">
      <c r="A8" s="7"/>
      <c r="B8" s="4">
        <f t="shared" ca="1" si="0"/>
        <v>42474</v>
      </c>
      <c r="C8">
        <f t="shared" ca="1" si="4"/>
        <v>14</v>
      </c>
      <c r="D8">
        <f t="shared" ca="1" si="5"/>
        <v>3</v>
      </c>
      <c r="E8">
        <f t="shared" ca="1" si="6"/>
        <v>2</v>
      </c>
      <c r="F8">
        <f ca="1">actuals_prd_imp[[#This Row],[Taken into Immediate Future Plan]]-actuals_prd_imp[[#This Row],[Removed Planned]]-actuals_prd_imp[[#This Row],[Remaining Planned]]</f>
        <v>11</v>
      </c>
      <c r="G8">
        <f ca="1">ROUND(RANDBETWEEN(50,100)/100*actuals_prd_imp[[#This Row],[Added Additional]],0)</f>
        <v>2</v>
      </c>
      <c r="H8">
        <f t="shared" ca="1" si="7"/>
        <v>1</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done]],0)</f>
        <v>8</v>
      </c>
      <c r="K8">
        <f ca="1">ROUND(RANDBETWEEN(90,100)/100*actuals_prd_imp[[#This Row],[Planned done]],0)</f>
        <v>10</v>
      </c>
      <c r="L8" s="8"/>
      <c r="M8" s="4">
        <f t="shared" ca="1" si="1"/>
        <v>42474</v>
      </c>
      <c r="N8">
        <f t="shared" ca="1" si="8"/>
        <v>14</v>
      </c>
      <c r="O8">
        <f t="shared" ca="1" si="9"/>
        <v>1</v>
      </c>
      <c r="P8">
        <f t="shared" ca="1" si="10"/>
        <v>1</v>
      </c>
      <c r="Q8">
        <f ca="1">actuals_prd_exp[[#This Row],[Taken into Immediate Future Plan]]-actuals_prd_exp[[#This Row],[Removed Planned]]-actuals_prd_exp[[#This Row],[Remaining Planned]]</f>
        <v>12</v>
      </c>
      <c r="R8">
        <f ca="1">ROUND(RANDBETWEEN(50,100)/100*actuals_prd_exp[[#This Row],[Added Additional]],0)</f>
        <v>1</v>
      </c>
      <c r="S8">
        <f t="shared" ca="1" si="11"/>
        <v>1</v>
      </c>
      <c r="T8">
        <f ca="1">IF(actuals_prd_exp[[#This Row],[End Date]],actuals_prd_exp[[#This Row],[Taken into Immediate Future Plan]]-actuals_prd_exp[[#This Row],[Removed Planned]]-actuals_prd_exp[[#This Row],[Planned done]]-actuals_prd_exp[[#This Row],[Remaining Planned]],"TBD")</f>
        <v>0</v>
      </c>
      <c r="U8">
        <f ca="1">ROUND(RANDBETWEEN(70,100)/100*actuals_prd_exp[[#This Row],[Planned done]],0)</f>
        <v>9</v>
      </c>
      <c r="V8">
        <f ca="1">ROUND(RANDBETWEEN(90,100)/100*actuals_prd_exp[[#This Row],[Planned done]],0)</f>
        <v>11</v>
      </c>
      <c r="W8" s="10"/>
      <c r="X8" s="4">
        <f t="shared" ca="1" si="2"/>
        <v>42451</v>
      </c>
      <c r="Y8">
        <f t="shared" ca="1" si="12"/>
        <v>3</v>
      </c>
      <c r="Z8">
        <f t="shared" ca="1" si="13"/>
        <v>0</v>
      </c>
      <c r="AA8">
        <v>0</v>
      </c>
      <c r="AB8">
        <f ca="1">actuals_stn_imp[[#This Row],[Taken into Immediate Future Plan]]-actuals_stn_imp[[#This Row],[Removed Planned]]-actuals_stn_imp[[#This Row],[Remaining Planned]]</f>
        <v>2</v>
      </c>
      <c r="AC8">
        <f ca="1">ROUND(RANDBETWEEN(50,100)/100*actuals_stn_imp[[#This Row],[Added Additional]],0)</f>
        <v>0</v>
      </c>
      <c r="AD8">
        <f t="shared" ca="1" si="14"/>
        <v>1</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done]],0)</f>
        <v>2</v>
      </c>
      <c r="AG8">
        <f ca="1">ROUND(RANDBETWEEN(90,100)/100*actuals_stn_imp[[#This Row],[Planned done]],0)</f>
        <v>2</v>
      </c>
      <c r="AH8" s="11"/>
      <c r="AI8" s="4">
        <f t="shared" ca="1" si="3"/>
        <v>42451</v>
      </c>
      <c r="AJ8">
        <f t="shared" ca="1" si="15"/>
        <v>3</v>
      </c>
      <c r="AK8">
        <f t="shared" ca="1" si="16"/>
        <v>1</v>
      </c>
      <c r="AL8">
        <v>0</v>
      </c>
      <c r="AM8">
        <f ca="1">actuals_stn_exp[[#This Row],[Taken into Immediate Future Plan]]-actuals_stn_exp[[#This Row],[Removed Planned]]-actuals_stn_exp[[#This Row],[Remaining Planned]]</f>
        <v>2</v>
      </c>
      <c r="AN8">
        <f ca="1">ROUND(RANDBETWEEN(50,100)/100*actuals_stn_exp[[#This Row],[Added Additional]],0)</f>
        <v>1</v>
      </c>
      <c r="AO8">
        <f t="shared" ca="1" si="17"/>
        <v>1</v>
      </c>
      <c r="AP8">
        <f ca="1">IF(actuals_stn_exp[[#This Row],[End Date]],actuals_stn_exp[[#This Row],[Taken into Immediate Future Plan]]-actuals_stn_exp[[#This Row],[Removed Planned]]-actuals_stn_exp[[#This Row],[Planned done]]-actuals_stn_exp[[#This Row],[Remaining Planned]],"TBD")</f>
        <v>0</v>
      </c>
      <c r="AQ8">
        <f ca="1">ROUND(RANDBETWEEN(70,100)/100*actuals_stn_exp[[#This Row],[Planned done]],0)</f>
        <v>1</v>
      </c>
      <c r="AR8">
        <f ca="1">ROUND(RANDBETWEEN(90,100)/100*actuals_stn_exp[[#This Row],[Planned done]],0)</f>
        <v>2</v>
      </c>
    </row>
    <row r="9" spans="1:44" x14ac:dyDescent="0.35">
      <c r="A9" s="7"/>
      <c r="B9" s="4">
        <f t="shared" ca="1" si="0"/>
        <v>42481</v>
      </c>
      <c r="C9">
        <f t="shared" ca="1" si="4"/>
        <v>14</v>
      </c>
      <c r="D9">
        <f t="shared" ca="1" si="5"/>
        <v>3</v>
      </c>
      <c r="E9">
        <f t="shared" ca="1" si="6"/>
        <v>0</v>
      </c>
      <c r="F9">
        <f ca="1">actuals_prd_imp[[#This Row],[Taken into Immediate Future Plan]]-actuals_prd_imp[[#This Row],[Removed Planned]]-actuals_prd_imp[[#This Row],[Remaining Planned]]</f>
        <v>13</v>
      </c>
      <c r="G9">
        <f ca="1">ROUND(RANDBETWEEN(50,100)/100*actuals_prd_imp[[#This Row],[Added Additional]],0)</f>
        <v>3</v>
      </c>
      <c r="H9">
        <f t="shared" ca="1" si="7"/>
        <v>1</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done]],0)</f>
        <v>11</v>
      </c>
      <c r="K9">
        <f ca="1">ROUND(RANDBETWEEN(90,100)/100*actuals_prd_imp[[#This Row],[Planned done]],0)</f>
        <v>13</v>
      </c>
      <c r="L9" s="8"/>
      <c r="M9" s="4">
        <f t="shared" ca="1" si="1"/>
        <v>42481</v>
      </c>
      <c r="N9">
        <f t="shared" ca="1" si="8"/>
        <v>11</v>
      </c>
      <c r="O9">
        <f t="shared" ca="1" si="9"/>
        <v>1</v>
      </c>
      <c r="P9">
        <f t="shared" ca="1" si="10"/>
        <v>0</v>
      </c>
      <c r="Q9">
        <f ca="1">actuals_prd_exp[[#This Row],[Taken into Immediate Future Plan]]-actuals_prd_exp[[#This Row],[Removed Planned]]-actuals_prd_exp[[#This Row],[Remaining Planned]]</f>
        <v>10</v>
      </c>
      <c r="R9">
        <f ca="1">ROUND(RANDBETWEEN(50,100)/100*actuals_prd_exp[[#This Row],[Added Additional]],0)</f>
        <v>1</v>
      </c>
      <c r="S9">
        <f t="shared" ca="1" si="11"/>
        <v>1</v>
      </c>
      <c r="T9">
        <f ca="1">IF(actuals_prd_exp[[#This Row],[End Date]],actuals_prd_exp[[#This Row],[Taken into Immediate Future Plan]]-actuals_prd_exp[[#This Row],[Removed Planned]]-actuals_prd_exp[[#This Row],[Planned done]]-actuals_prd_exp[[#This Row],[Remaining Planned]],"TBD")</f>
        <v>0</v>
      </c>
      <c r="U9">
        <f ca="1">ROUND(RANDBETWEEN(70,100)/100*actuals_prd_exp[[#This Row],[Planned done]],0)</f>
        <v>8</v>
      </c>
      <c r="V9">
        <f ca="1">ROUND(RANDBETWEEN(90,100)/100*actuals_prd_exp[[#This Row],[Planned done]],0)</f>
        <v>10</v>
      </c>
      <c r="W9" s="10"/>
      <c r="X9" s="4">
        <f t="shared" ca="1" si="2"/>
        <v>42453</v>
      </c>
      <c r="Y9">
        <f t="shared" ca="1" si="12"/>
        <v>3</v>
      </c>
      <c r="Z9">
        <f t="shared" ca="1" si="13"/>
        <v>1</v>
      </c>
      <c r="AA9">
        <v>0</v>
      </c>
      <c r="AB9">
        <f ca="1">actuals_stn_imp[[#This Row],[Taken into Immediate Future Plan]]-actuals_stn_imp[[#This Row],[Removed Planned]]-actuals_stn_imp[[#This Row],[Remaining Planned]]</f>
        <v>2</v>
      </c>
      <c r="AC9">
        <f ca="1">ROUND(RANDBETWEEN(50,100)/100*actuals_stn_imp[[#This Row],[Added Additional]],0)</f>
        <v>1</v>
      </c>
      <c r="AD9">
        <f t="shared" ca="1" si="14"/>
        <v>1</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done]],0)</f>
        <v>2</v>
      </c>
      <c r="AG9">
        <f ca="1">ROUND(RANDBETWEEN(90,100)/100*actuals_stn_imp[[#This Row],[Planned done]],0)</f>
        <v>2</v>
      </c>
      <c r="AH9" s="11"/>
      <c r="AI9" s="4">
        <f t="shared" ca="1" si="3"/>
        <v>42453</v>
      </c>
      <c r="AJ9">
        <f t="shared" ca="1" si="15"/>
        <v>3</v>
      </c>
      <c r="AK9">
        <f t="shared" ca="1" si="16"/>
        <v>0</v>
      </c>
      <c r="AL9">
        <v>0</v>
      </c>
      <c r="AM9">
        <f ca="1">actuals_stn_exp[[#This Row],[Taken into Immediate Future Plan]]-actuals_stn_exp[[#This Row],[Removed Planned]]-actuals_stn_exp[[#This Row],[Remaining Planned]]</f>
        <v>3</v>
      </c>
      <c r="AN9">
        <f ca="1">ROUND(RANDBETWEEN(50,100)/100*actuals_stn_exp[[#This Row],[Added Additional]],0)</f>
        <v>0</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ROUND(RANDBETWEEN(70,100)/100*actuals_stn_exp[[#This Row],[Planned done]],0)</f>
        <v>2</v>
      </c>
      <c r="AR9">
        <f ca="1">ROUND(RANDBETWEEN(90,100)/100*actuals_stn_exp[[#This Row],[Planned done]],0)</f>
        <v>3</v>
      </c>
    </row>
    <row r="10" spans="1:44" x14ac:dyDescent="0.35">
      <c r="A10" s="7"/>
      <c r="B10" s="4">
        <f t="shared" ca="1" si="0"/>
        <v>42488</v>
      </c>
      <c r="C10">
        <f t="shared" ca="1" si="4"/>
        <v>11</v>
      </c>
      <c r="D10">
        <f t="shared" ca="1" si="5"/>
        <v>1</v>
      </c>
      <c r="E10">
        <f t="shared" ca="1" si="6"/>
        <v>1</v>
      </c>
      <c r="F10">
        <f ca="1">actuals_prd_imp[[#This Row],[Taken into Immediate Future Plan]]-actuals_prd_imp[[#This Row],[Removed Planned]]-actuals_prd_imp[[#This Row],[Remaining Planned]]</f>
        <v>8</v>
      </c>
      <c r="G10">
        <f ca="1">ROUND(RANDBETWEEN(50,100)/100*actuals_prd_imp[[#This Row],[Added Additional]],0)</f>
        <v>1</v>
      </c>
      <c r="H10">
        <f t="shared" ca="1" si="7"/>
        <v>2</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done]],0)</f>
        <v>7</v>
      </c>
      <c r="K10">
        <f ca="1">ROUND(RANDBETWEEN(90,100)/100*actuals_prd_imp[[#This Row],[Planned done]],0)</f>
        <v>7</v>
      </c>
      <c r="L10" s="8"/>
      <c r="M10" s="4">
        <f t="shared" ca="1" si="1"/>
        <v>42488</v>
      </c>
      <c r="N10">
        <f t="shared" ca="1" si="8"/>
        <v>11</v>
      </c>
      <c r="O10">
        <f t="shared" ca="1" si="9"/>
        <v>2</v>
      </c>
      <c r="P10">
        <f t="shared" ca="1" si="10"/>
        <v>1</v>
      </c>
      <c r="Q10">
        <f ca="1">actuals_prd_exp[[#This Row],[Taken into Immediate Future Plan]]-actuals_prd_exp[[#This Row],[Removed Planned]]-actuals_prd_exp[[#This Row],[Remaining Planned]]</f>
        <v>8</v>
      </c>
      <c r="R10">
        <f ca="1">ROUND(RANDBETWEEN(50,100)/100*actuals_prd_exp[[#This Row],[Added Additional]],0)</f>
        <v>1</v>
      </c>
      <c r="S10">
        <f t="shared" ca="1" si="11"/>
        <v>2</v>
      </c>
      <c r="T10">
        <f ca="1">IF(actuals_prd_exp[[#This Row],[End Date]],actuals_prd_exp[[#This Row],[Taken into Immediate Future Plan]]-actuals_prd_exp[[#This Row],[Removed Planned]]-actuals_prd_exp[[#This Row],[Planned done]]-actuals_prd_exp[[#This Row],[Remaining Planned]],"TBD")</f>
        <v>0</v>
      </c>
      <c r="U10">
        <f ca="1">ROUND(RANDBETWEEN(70,100)/100*actuals_prd_exp[[#This Row],[Planned done]],0)</f>
        <v>8</v>
      </c>
      <c r="V10">
        <f ca="1">ROUND(RANDBETWEEN(90,100)/100*actuals_prd_exp[[#This Row],[Planned done]],0)</f>
        <v>7</v>
      </c>
      <c r="W10" s="10"/>
      <c r="X10" s="4">
        <f t="shared" ca="1" si="2"/>
        <v>42457</v>
      </c>
      <c r="Y10">
        <f t="shared" ca="1" si="12"/>
        <v>2</v>
      </c>
      <c r="Z10">
        <f t="shared" ca="1" si="13"/>
        <v>1</v>
      </c>
      <c r="AA10">
        <v>0</v>
      </c>
      <c r="AB10">
        <f ca="1">actuals_stn_imp[[#This Row],[Taken into Immediate Future Plan]]-actuals_stn_imp[[#This Row],[Removed Planned]]-actuals_stn_imp[[#This Row],[Remaining Planned]]</f>
        <v>1</v>
      </c>
      <c r="AC10">
        <f ca="1">ROUND(RANDBETWEEN(50,100)/100*actuals_stn_imp[[#This Row],[Added Additional]],0)</f>
        <v>1</v>
      </c>
      <c r="AD10">
        <f t="shared" ca="1" si="14"/>
        <v>1</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done]],0)</f>
        <v>1</v>
      </c>
      <c r="AG10">
        <f ca="1">ROUND(RANDBETWEEN(90,100)/100*actuals_stn_imp[[#This Row],[Planned done]],0)</f>
        <v>1</v>
      </c>
      <c r="AH10" s="11"/>
      <c r="AI10" s="4">
        <f t="shared" ca="1" si="3"/>
        <v>42457</v>
      </c>
      <c r="AJ10">
        <f t="shared" ca="1" si="15"/>
        <v>2</v>
      </c>
      <c r="AK10">
        <f t="shared" ca="1" si="16"/>
        <v>0</v>
      </c>
      <c r="AL10">
        <v>0</v>
      </c>
      <c r="AM10">
        <f ca="1">actuals_stn_exp[[#This Row],[Taken into Immediate Future Plan]]-actuals_stn_exp[[#This Row],[Removed Planned]]-actuals_stn_exp[[#This Row],[Remaining Planned]]</f>
        <v>1</v>
      </c>
      <c r="AN10">
        <f ca="1">ROUND(RANDBETWEEN(50,100)/100*actuals_stn_exp[[#This Row],[Added Additional]],0)</f>
        <v>0</v>
      </c>
      <c r="AO10">
        <f t="shared" ca="1" si="17"/>
        <v>1</v>
      </c>
      <c r="AP10">
        <f ca="1">IF(actuals_stn_exp[[#This Row],[End Date]],actuals_stn_exp[[#This Row],[Taken into Immediate Future Plan]]-actuals_stn_exp[[#This Row],[Removed Planned]]-actuals_stn_exp[[#This Row],[Planned done]]-actuals_stn_exp[[#This Row],[Remaining Planned]],"TBD")</f>
        <v>0</v>
      </c>
      <c r="AQ10">
        <f ca="1">ROUND(RANDBETWEEN(70,100)/100*actuals_stn_exp[[#This Row],[Planned done]],0)</f>
        <v>1</v>
      </c>
      <c r="AR10">
        <f ca="1">ROUND(RANDBETWEEN(90,100)/100*actuals_stn_exp[[#This Row],[Planned done]],0)</f>
        <v>1</v>
      </c>
    </row>
    <row r="11" spans="1:44" x14ac:dyDescent="0.35">
      <c r="A11" s="7"/>
      <c r="B11" s="4">
        <f t="shared" ca="1" si="0"/>
        <v>42495</v>
      </c>
      <c r="C11">
        <f t="shared" ca="1" si="4"/>
        <v>13</v>
      </c>
      <c r="D11">
        <f t="shared" ca="1" si="5"/>
        <v>3</v>
      </c>
      <c r="E11">
        <f t="shared" ca="1" si="6"/>
        <v>0</v>
      </c>
      <c r="F11">
        <f ca="1">actuals_prd_imp[[#This Row],[Taken into Immediate Future Plan]]-actuals_prd_imp[[#This Row],[Removed Planned]]-actuals_prd_imp[[#This Row],[Remaining Planned]]</f>
        <v>11</v>
      </c>
      <c r="G11">
        <f ca="1">ROUND(RANDBETWEEN(50,100)/100*actuals_prd_imp[[#This Row],[Added Additional]],0)</f>
        <v>2</v>
      </c>
      <c r="H11">
        <f t="shared" ca="1" si="7"/>
        <v>2</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done]],0)</f>
        <v>10</v>
      </c>
      <c r="K11">
        <f ca="1">ROUND(RANDBETWEEN(90,100)/100*actuals_prd_imp[[#This Row],[Planned done]],0)</f>
        <v>10</v>
      </c>
      <c r="L11" s="8"/>
      <c r="M11" s="4">
        <f t="shared" ca="1" si="1"/>
        <v>42495</v>
      </c>
      <c r="N11">
        <f t="shared" ca="1" si="8"/>
        <v>15</v>
      </c>
      <c r="O11">
        <f t="shared" ca="1" si="9"/>
        <v>0</v>
      </c>
      <c r="P11">
        <f t="shared" ca="1" si="10"/>
        <v>2</v>
      </c>
      <c r="Q11">
        <f ca="1">actuals_prd_exp[[#This Row],[Taken into Immediate Future Plan]]-actuals_prd_exp[[#This Row],[Removed Planned]]-actuals_prd_exp[[#This Row],[Remaining Planned]]</f>
        <v>13</v>
      </c>
      <c r="R11">
        <f ca="1">ROUND(RANDBETWEEN(50,100)/100*actuals_prd_exp[[#This Row],[Added Additional]],0)</f>
        <v>0</v>
      </c>
      <c r="S11">
        <f t="shared" ca="1" si="11"/>
        <v>0</v>
      </c>
      <c r="T11">
        <f ca="1">IF(actuals_prd_exp[[#This Row],[End Date]],actuals_prd_exp[[#This Row],[Taken into Immediate Future Plan]]-actuals_prd_exp[[#This Row],[Removed Planned]]-actuals_prd_exp[[#This Row],[Planned done]]-actuals_prd_exp[[#This Row],[Remaining Planned]],"TBD")</f>
        <v>0</v>
      </c>
      <c r="U11">
        <f ca="1">ROUND(RANDBETWEEN(70,100)/100*actuals_prd_exp[[#This Row],[Planned done]],0)</f>
        <v>10</v>
      </c>
      <c r="V11">
        <f ca="1">ROUND(RANDBETWEEN(90,100)/100*actuals_prd_exp[[#This Row],[Planned done]],0)</f>
        <v>12</v>
      </c>
      <c r="W11" s="10"/>
      <c r="X11" s="4">
        <f t="shared" ca="1" si="2"/>
        <v>42459</v>
      </c>
      <c r="Y11">
        <f t="shared" ca="1" si="12"/>
        <v>3</v>
      </c>
      <c r="Z11">
        <f t="shared" ca="1" si="13"/>
        <v>1</v>
      </c>
      <c r="AA11">
        <v>0</v>
      </c>
      <c r="AB11">
        <f ca="1">actuals_stn_imp[[#This Row],[Taken into Immediate Future Plan]]-actuals_stn_imp[[#This Row],[Removed Planned]]-actuals_stn_imp[[#This Row],[Remaining Planned]]</f>
        <v>2</v>
      </c>
      <c r="AC11">
        <f ca="1">ROUND(RANDBETWEEN(50,100)/100*actuals_stn_imp[[#This Row],[Added Additional]],0)</f>
        <v>1</v>
      </c>
      <c r="AD11">
        <f t="shared" ca="1" si="14"/>
        <v>1</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done]],0)</f>
        <v>1</v>
      </c>
      <c r="AG11">
        <f ca="1">ROUND(RANDBETWEEN(90,100)/100*actuals_stn_imp[[#This Row],[Planned done]],0)</f>
        <v>2</v>
      </c>
      <c r="AH11" s="11"/>
      <c r="AI11" s="4">
        <f t="shared" ca="1" si="3"/>
        <v>42459</v>
      </c>
      <c r="AJ11">
        <f t="shared" ca="1" si="15"/>
        <v>3</v>
      </c>
      <c r="AK11">
        <f t="shared" ca="1" si="16"/>
        <v>1</v>
      </c>
      <c r="AL11">
        <v>0</v>
      </c>
      <c r="AM11">
        <f ca="1">actuals_stn_exp[[#This Row],[Taken into Immediate Future Plan]]-actuals_stn_exp[[#This Row],[Removed Planned]]-actuals_stn_exp[[#This Row],[Remaining Planned]]</f>
        <v>2</v>
      </c>
      <c r="AN11">
        <f ca="1">ROUND(RANDBETWEEN(50,100)/100*actuals_stn_exp[[#This Row],[Added Additional]],0)</f>
        <v>1</v>
      </c>
      <c r="AO11">
        <f t="shared" ca="1" si="17"/>
        <v>1</v>
      </c>
      <c r="AP11">
        <f ca="1">IF(actuals_stn_exp[[#This Row],[End Date]],actuals_stn_exp[[#This Row],[Taken into Immediate Future Plan]]-actuals_stn_exp[[#This Row],[Removed Planned]]-actuals_stn_exp[[#This Row],[Planned done]]-actuals_stn_exp[[#This Row],[Remaining Planned]],"TBD")</f>
        <v>0</v>
      </c>
      <c r="AQ11">
        <f ca="1">ROUND(RANDBETWEEN(70,100)/100*actuals_stn_exp[[#This Row],[Planned done]],0)</f>
        <v>2</v>
      </c>
      <c r="AR11">
        <f ca="1">ROUND(RANDBETWEEN(90,100)/100*actuals_stn_exp[[#This Row],[Planned done]],0)</f>
        <v>2</v>
      </c>
    </row>
    <row r="12" spans="1:44" x14ac:dyDescent="0.35">
      <c r="A12" s="7"/>
      <c r="B12" s="4">
        <f t="shared" ca="1" si="0"/>
        <v>42502</v>
      </c>
      <c r="C12">
        <f t="shared" ca="1" si="4"/>
        <v>14</v>
      </c>
      <c r="D12">
        <f t="shared" ca="1" si="5"/>
        <v>2</v>
      </c>
      <c r="E12">
        <f t="shared" ca="1" si="6"/>
        <v>2</v>
      </c>
      <c r="F12">
        <f ca="1">actuals_prd_imp[[#This Row],[Taken into Immediate Future Plan]]-actuals_prd_imp[[#This Row],[Removed Planned]]-actuals_prd_imp[[#This Row],[Remaining Planned]]</f>
        <v>11</v>
      </c>
      <c r="G12">
        <f ca="1">ROUND(RANDBETWEEN(50,100)/100*actuals_prd_imp[[#This Row],[Added Additional]],0)</f>
        <v>1</v>
      </c>
      <c r="H12">
        <f t="shared" ca="1" si="7"/>
        <v>1</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done]],0)</f>
        <v>10</v>
      </c>
      <c r="K12">
        <f ca="1">ROUND(RANDBETWEEN(90,100)/100*actuals_prd_imp[[#This Row],[Planned done]],0)</f>
        <v>10</v>
      </c>
      <c r="L12" s="8"/>
      <c r="M12" s="4">
        <f t="shared" ca="1" si="1"/>
        <v>42502</v>
      </c>
      <c r="N12">
        <f t="shared" ca="1" si="8"/>
        <v>12</v>
      </c>
      <c r="O12">
        <f t="shared" ca="1" si="9"/>
        <v>0</v>
      </c>
      <c r="P12">
        <f t="shared" ca="1" si="10"/>
        <v>1</v>
      </c>
      <c r="Q12">
        <f ca="1">actuals_prd_exp[[#This Row],[Taken into Immediate Future Plan]]-actuals_prd_exp[[#This Row],[Removed Planned]]-actuals_prd_exp[[#This Row],[Remaining Planned]]</f>
        <v>11</v>
      </c>
      <c r="R12">
        <f ca="1">ROUND(RANDBETWEEN(50,100)/100*actuals_prd_exp[[#This Row],[Added Additional]],0)</f>
        <v>0</v>
      </c>
      <c r="S12">
        <f t="shared" ca="1" si="11"/>
        <v>0</v>
      </c>
      <c r="T12">
        <f ca="1">IF(actuals_prd_exp[[#This Row],[End Date]],actuals_prd_exp[[#This Row],[Taken into Immediate Future Plan]]-actuals_prd_exp[[#This Row],[Removed Planned]]-actuals_prd_exp[[#This Row],[Planned done]]-actuals_prd_exp[[#This Row],[Remaining Planned]],"TBD")</f>
        <v>0</v>
      </c>
      <c r="U12">
        <f ca="1">ROUND(RANDBETWEEN(70,100)/100*actuals_prd_exp[[#This Row],[Planned done]],0)</f>
        <v>9</v>
      </c>
      <c r="V12">
        <f ca="1">ROUND(RANDBETWEEN(90,100)/100*actuals_prd_exp[[#This Row],[Planned done]],0)</f>
        <v>11</v>
      </c>
      <c r="W12" s="10"/>
      <c r="X12" s="4">
        <f t="shared" ca="1" si="2"/>
        <v>42461</v>
      </c>
      <c r="Y12">
        <f t="shared" ca="1" si="12"/>
        <v>3</v>
      </c>
      <c r="Z12">
        <f t="shared" ca="1" si="13"/>
        <v>1</v>
      </c>
      <c r="AA12">
        <v>0</v>
      </c>
      <c r="AB12">
        <f ca="1">actuals_stn_imp[[#This Row],[Taken into Immediate Future Plan]]-actuals_stn_imp[[#This Row],[Removed Planned]]-actuals_stn_imp[[#This Row],[Remaining Planned]]</f>
        <v>3</v>
      </c>
      <c r="AC12">
        <f ca="1">ROUND(RANDBETWEEN(50,100)/100*actuals_stn_imp[[#This Row],[Added Additional]],0)</f>
        <v>1</v>
      </c>
      <c r="AD12">
        <f t="shared" ca="1" si="14"/>
        <v>0</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done]],0)</f>
        <v>3</v>
      </c>
      <c r="AG12">
        <f ca="1">ROUND(RANDBETWEEN(90,100)/100*actuals_stn_imp[[#This Row],[Planned done]],0)</f>
        <v>3</v>
      </c>
      <c r="AH12" s="11"/>
      <c r="AI12" s="4">
        <f t="shared" ca="1" si="3"/>
        <v>42461</v>
      </c>
      <c r="AJ12">
        <f t="shared" ca="1" si="15"/>
        <v>2</v>
      </c>
      <c r="AK12">
        <f t="shared" ca="1" si="16"/>
        <v>1</v>
      </c>
      <c r="AL12">
        <v>0</v>
      </c>
      <c r="AM12">
        <f ca="1">actuals_stn_exp[[#This Row],[Taken into Immediate Future Plan]]-actuals_stn_exp[[#This Row],[Removed Planned]]-actuals_stn_exp[[#This Row],[Remaining Planned]]</f>
        <v>2</v>
      </c>
      <c r="AN12">
        <f ca="1">ROUND(RANDBETWEEN(50,100)/100*actuals_stn_exp[[#This Row],[Added Additional]],0)</f>
        <v>1</v>
      </c>
      <c r="AO12">
        <f t="shared" ca="1" si="17"/>
        <v>0</v>
      </c>
      <c r="AP12">
        <f ca="1">IF(actuals_stn_exp[[#This Row],[End Date]],actuals_stn_exp[[#This Row],[Taken into Immediate Future Plan]]-actuals_stn_exp[[#This Row],[Removed Planned]]-actuals_stn_exp[[#This Row],[Planned done]]-actuals_stn_exp[[#This Row],[Remaining Planned]],"TBD")</f>
        <v>0</v>
      </c>
      <c r="AQ12">
        <f ca="1">ROUND(RANDBETWEEN(70,100)/100*actuals_stn_exp[[#This Row],[Planned done]],0)</f>
        <v>2</v>
      </c>
      <c r="AR12">
        <f ca="1">ROUND(RANDBETWEEN(90,100)/100*actuals_stn_exp[[#This Row],[Planned done]],0)</f>
        <v>2</v>
      </c>
    </row>
    <row r="13" spans="1:44" x14ac:dyDescent="0.35">
      <c r="A13" s="7"/>
      <c r="B13" s="4">
        <f t="shared" ca="1" si="0"/>
        <v>42509</v>
      </c>
      <c r="C13">
        <f t="shared" ca="1" si="4"/>
        <v>11</v>
      </c>
      <c r="D13">
        <f t="shared" ca="1" si="5"/>
        <v>1</v>
      </c>
      <c r="E13">
        <f t="shared" ca="1" si="6"/>
        <v>2</v>
      </c>
      <c r="F13">
        <f ca="1">actuals_prd_imp[[#This Row],[Taken into Immediate Future Plan]]-actuals_prd_imp[[#This Row],[Removed Planned]]-actuals_prd_imp[[#This Row],[Remaining Planned]]</f>
        <v>8</v>
      </c>
      <c r="G13">
        <f ca="1">ROUND(RANDBETWEEN(50,100)/100*actuals_prd_imp[[#This Row],[Added Additional]],0)</f>
        <v>1</v>
      </c>
      <c r="H13">
        <f t="shared" ca="1" si="7"/>
        <v>1</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done]],0)</f>
        <v>8</v>
      </c>
      <c r="K13">
        <f ca="1">ROUND(RANDBETWEEN(90,100)/100*actuals_prd_imp[[#This Row],[Planned done]],0)</f>
        <v>8</v>
      </c>
      <c r="L13" s="8"/>
      <c r="M13" s="4">
        <f t="shared" ca="1" si="1"/>
        <v>42509</v>
      </c>
      <c r="N13">
        <f t="shared" ca="1" si="8"/>
        <v>13</v>
      </c>
      <c r="O13">
        <f t="shared" ca="1" si="9"/>
        <v>1</v>
      </c>
      <c r="P13">
        <f t="shared" ca="1" si="10"/>
        <v>1</v>
      </c>
      <c r="Q13">
        <f ca="1">actuals_prd_exp[[#This Row],[Taken into Immediate Future Plan]]-actuals_prd_exp[[#This Row],[Removed Planned]]-actuals_prd_exp[[#This Row],[Remaining Planned]]</f>
        <v>11</v>
      </c>
      <c r="R13">
        <f ca="1">ROUND(RANDBETWEEN(50,100)/100*actuals_prd_exp[[#This Row],[Added Additional]],0)</f>
        <v>1</v>
      </c>
      <c r="S13">
        <f t="shared" ca="1" si="11"/>
        <v>1</v>
      </c>
      <c r="T13">
        <f ca="1">IF(actuals_prd_exp[[#This Row],[End Date]],actuals_prd_exp[[#This Row],[Taken into Immediate Future Plan]]-actuals_prd_exp[[#This Row],[Removed Planned]]-actuals_prd_exp[[#This Row],[Planned done]]-actuals_prd_exp[[#This Row],[Remaining Planned]],"TBD")</f>
        <v>0</v>
      </c>
      <c r="U13">
        <f ca="1">ROUND(RANDBETWEEN(70,100)/100*actuals_prd_exp[[#This Row],[Planned done]],0)</f>
        <v>11</v>
      </c>
      <c r="V13">
        <f ca="1">ROUND(RANDBETWEEN(90,100)/100*actuals_prd_exp[[#This Row],[Planned done]],0)</f>
        <v>10</v>
      </c>
      <c r="W13" s="10"/>
      <c r="X13" s="4">
        <f t="shared" ca="1" si="2"/>
        <v>42465</v>
      </c>
      <c r="Y13">
        <f t="shared" ca="1" si="12"/>
        <v>2</v>
      </c>
      <c r="Z13">
        <f t="shared" ca="1" si="13"/>
        <v>1</v>
      </c>
      <c r="AA13">
        <v>0</v>
      </c>
      <c r="AB13">
        <f ca="1">actuals_stn_imp[[#This Row],[Taken into Immediate Future Plan]]-actuals_stn_imp[[#This Row],[Removed Planned]]-actuals_stn_imp[[#This Row],[Remaining Planned]]</f>
        <v>1</v>
      </c>
      <c r="AC13">
        <f ca="1">ROUND(RANDBETWEEN(50,100)/100*actuals_stn_imp[[#This Row],[Added Additional]],0)</f>
        <v>1</v>
      </c>
      <c r="AD13">
        <f t="shared" ca="1" si="14"/>
        <v>1</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done]],0)</f>
        <v>1</v>
      </c>
      <c r="AG13">
        <f ca="1">ROUND(RANDBETWEEN(90,100)/100*actuals_stn_imp[[#This Row],[Planned done]],0)</f>
        <v>1</v>
      </c>
      <c r="AH13" s="11"/>
      <c r="AI13" s="4">
        <f t="shared" ca="1" si="3"/>
        <v>42465</v>
      </c>
      <c r="AJ13">
        <f t="shared" ca="1" si="15"/>
        <v>3</v>
      </c>
      <c r="AK13">
        <f t="shared" ca="1" si="16"/>
        <v>1</v>
      </c>
      <c r="AL13">
        <v>0</v>
      </c>
      <c r="AM13">
        <f ca="1">actuals_stn_exp[[#This Row],[Taken into Immediate Future Plan]]-actuals_stn_exp[[#This Row],[Removed Planned]]-actuals_stn_exp[[#This Row],[Remaining Planned]]</f>
        <v>3</v>
      </c>
      <c r="AN13">
        <f ca="1">ROUND(RANDBETWEEN(50,100)/100*actuals_stn_exp[[#This Row],[Added Additional]],0)</f>
        <v>1</v>
      </c>
      <c r="AO13">
        <f t="shared" ca="1" si="17"/>
        <v>0</v>
      </c>
      <c r="AP13">
        <f ca="1">IF(actuals_stn_exp[[#This Row],[End Date]],actuals_stn_exp[[#This Row],[Taken into Immediate Future Plan]]-actuals_stn_exp[[#This Row],[Removed Planned]]-actuals_stn_exp[[#This Row],[Planned done]]-actuals_stn_exp[[#This Row],[Remaining Planned]],"TBD")</f>
        <v>0</v>
      </c>
      <c r="AQ13">
        <f ca="1">ROUND(RANDBETWEEN(70,100)/100*actuals_stn_exp[[#This Row],[Planned done]],0)</f>
        <v>3</v>
      </c>
      <c r="AR13">
        <f ca="1">ROUND(RANDBETWEEN(90,100)/100*actuals_stn_exp[[#This Row],[Planned done]],0)</f>
        <v>3</v>
      </c>
    </row>
    <row r="14" spans="1:44" x14ac:dyDescent="0.35">
      <c r="A14" s="7"/>
      <c r="B14" s="4">
        <f ca="1">WORKDAY(B15,-5)</f>
        <v>42516</v>
      </c>
      <c r="C14">
        <f t="shared" ca="1" si="4"/>
        <v>12</v>
      </c>
      <c r="D14">
        <f t="shared" ca="1" si="5"/>
        <v>2</v>
      </c>
      <c r="E14">
        <f t="shared" ca="1" si="6"/>
        <v>1</v>
      </c>
      <c r="F14">
        <f ca="1">actuals_prd_imp[[#This Row],[Taken into Immediate Future Plan]]-actuals_prd_imp[[#This Row],[Removed Planned]]-actuals_prd_imp[[#This Row],[Remaining Planned]]</f>
        <v>10</v>
      </c>
      <c r="G14">
        <f ca="1">ROUND(RANDBETWEEN(50,100)/100*actuals_prd_imp[[#This Row],[Added Additional]],0)</f>
        <v>2</v>
      </c>
      <c r="H14">
        <f t="shared" ca="1" si="7"/>
        <v>1</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done]],0)</f>
        <v>8</v>
      </c>
      <c r="K14">
        <f ca="1">ROUND(RANDBETWEEN(90,100)/100*actuals_prd_imp[[#This Row],[Planned done]],0)</f>
        <v>9</v>
      </c>
      <c r="L14" s="8"/>
      <c r="M14" s="4">
        <f ca="1">WORKDAY(M15,-5)</f>
        <v>42516</v>
      </c>
      <c r="N14">
        <f t="shared" ca="1" si="8"/>
        <v>12</v>
      </c>
      <c r="O14">
        <f t="shared" ca="1" si="9"/>
        <v>0</v>
      </c>
      <c r="P14">
        <f t="shared" ca="1" si="10"/>
        <v>1</v>
      </c>
      <c r="Q14">
        <f ca="1">actuals_prd_exp[[#This Row],[Taken into Immediate Future Plan]]-actuals_prd_exp[[#This Row],[Removed Planned]]-actuals_prd_exp[[#This Row],[Remaining Planned]]</f>
        <v>11</v>
      </c>
      <c r="R14">
        <f ca="1">ROUND(RANDBETWEEN(50,100)/100*actuals_prd_exp[[#This Row],[Added Additional]],0)</f>
        <v>0</v>
      </c>
      <c r="S14">
        <f t="shared" ca="1" si="11"/>
        <v>0</v>
      </c>
      <c r="T14">
        <f ca="1">IF(actuals_prd_exp[[#This Row],[End Date]],actuals_prd_exp[[#This Row],[Taken into Immediate Future Plan]]-actuals_prd_exp[[#This Row],[Removed Planned]]-actuals_prd_exp[[#This Row],[Planned done]]-actuals_prd_exp[[#This Row],[Remaining Planned]],"TBD")</f>
        <v>0</v>
      </c>
      <c r="U14">
        <f ca="1">ROUND(RANDBETWEEN(70,100)/100*actuals_prd_exp[[#This Row],[Planned done]],0)</f>
        <v>8</v>
      </c>
      <c r="V14">
        <f ca="1">ROUND(RANDBETWEEN(90,100)/100*actuals_prd_exp[[#This Row],[Planned done]],0)</f>
        <v>11</v>
      </c>
      <c r="W14" s="10"/>
      <c r="X14" s="4">
        <f t="shared" ca="1" si="2"/>
        <v>42467</v>
      </c>
      <c r="Y14">
        <f t="shared" ca="1" si="12"/>
        <v>3</v>
      </c>
      <c r="Z14">
        <f t="shared" ca="1" si="13"/>
        <v>1</v>
      </c>
      <c r="AA14">
        <v>0</v>
      </c>
      <c r="AB14">
        <f ca="1">actuals_stn_imp[[#This Row],[Taken into Immediate Future Plan]]-actuals_stn_imp[[#This Row],[Removed Planned]]-actuals_stn_imp[[#This Row],[Remaining Planned]]</f>
        <v>3</v>
      </c>
      <c r="AC14">
        <f ca="1">ROUND(RANDBETWEEN(50,100)/100*actuals_stn_imp[[#This Row],[Added Additional]],0)</f>
        <v>1</v>
      </c>
      <c r="AD14">
        <f t="shared" ca="1" si="14"/>
        <v>0</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done]],0)</f>
        <v>3</v>
      </c>
      <c r="AG14">
        <f ca="1">ROUND(RANDBETWEEN(90,100)/100*actuals_stn_imp[[#This Row],[Planned done]],0)</f>
        <v>3</v>
      </c>
      <c r="AH14" s="11"/>
      <c r="AI14" s="4">
        <f t="shared" ca="1" si="3"/>
        <v>42467</v>
      </c>
      <c r="AJ14">
        <f t="shared" ca="1" si="15"/>
        <v>3</v>
      </c>
      <c r="AK14">
        <f t="shared" ca="1" si="16"/>
        <v>0</v>
      </c>
      <c r="AL14">
        <v>0</v>
      </c>
      <c r="AM14">
        <f ca="1">actuals_stn_exp[[#This Row],[Taken into Immediate Future Plan]]-actuals_stn_exp[[#This Row],[Removed Planned]]-actuals_stn_exp[[#This Row],[Remaining Planned]]</f>
        <v>2</v>
      </c>
      <c r="AN14">
        <f ca="1">ROUND(RANDBETWEEN(50,100)/100*actuals_stn_exp[[#This Row],[Added Additional]],0)</f>
        <v>0</v>
      </c>
      <c r="AO14">
        <f t="shared" ca="1" si="17"/>
        <v>1</v>
      </c>
      <c r="AP14">
        <f ca="1">IF(actuals_stn_exp[[#This Row],[End Date]],actuals_stn_exp[[#This Row],[Taken into Immediate Future Plan]]-actuals_stn_exp[[#This Row],[Removed Planned]]-actuals_stn_exp[[#This Row],[Planned done]]-actuals_stn_exp[[#This Row],[Remaining Planned]],"TBD")</f>
        <v>0</v>
      </c>
      <c r="AQ14">
        <f ca="1">ROUND(RANDBETWEEN(70,100)/100*actuals_stn_exp[[#This Row],[Planned done]],0)</f>
        <v>2</v>
      </c>
      <c r="AR14">
        <f ca="1">ROUND(RANDBETWEEN(90,100)/100*actuals_stn_exp[[#This Row],[Planned done]],0)</f>
        <v>2</v>
      </c>
    </row>
    <row r="15" spans="1:44" x14ac:dyDescent="0.35">
      <c r="A15" s="7"/>
      <c r="B15" s="4">
        <f ca="1">WORKDAY(TODAY(),-2)</f>
        <v>42523</v>
      </c>
      <c r="C15">
        <f t="shared" ca="1" si="4"/>
        <v>11</v>
      </c>
      <c r="D15">
        <f t="shared" ca="1" si="5"/>
        <v>3</v>
      </c>
      <c r="E15">
        <f t="shared" ca="1" si="6"/>
        <v>2</v>
      </c>
      <c r="F15">
        <f ca="1">actuals_prd_imp[[#This Row],[Taken into Immediate Future Plan]]-actuals_prd_imp[[#This Row],[Removed Planned]]-actuals_prd_imp[[#This Row],[Remaining Planned]]</f>
        <v>9</v>
      </c>
      <c r="G15">
        <f ca="1">ROUND(RANDBETWEEN(50,100)/100*actuals_prd_imp[[#This Row],[Added Additional]],0)</f>
        <v>3</v>
      </c>
      <c r="H15">
        <f t="shared" ca="1" si="7"/>
        <v>0</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done]],0)</f>
        <v>7</v>
      </c>
      <c r="K15">
        <f ca="1">ROUND(RANDBETWEEN(90,100)/100*actuals_prd_imp[[#This Row],[Planned done]],0)</f>
        <v>8</v>
      </c>
      <c r="L15" s="8"/>
      <c r="M15" s="4">
        <f ca="1">WORKDAY(TODAY(),-2)</f>
        <v>42523</v>
      </c>
      <c r="N15">
        <f t="shared" ca="1" si="8"/>
        <v>12</v>
      </c>
      <c r="O15">
        <f t="shared" ca="1" si="9"/>
        <v>2</v>
      </c>
      <c r="P15">
        <f t="shared" ca="1" si="10"/>
        <v>1</v>
      </c>
      <c r="Q15">
        <f ca="1">actuals_prd_exp[[#This Row],[Taken into Immediate Future Plan]]-actuals_prd_exp[[#This Row],[Removed Planned]]-actuals_prd_exp[[#This Row],[Remaining Planned]]</f>
        <v>10</v>
      </c>
      <c r="R15">
        <f ca="1">ROUND(RANDBETWEEN(50,100)/100*actuals_prd_exp[[#This Row],[Added Additional]],0)</f>
        <v>2</v>
      </c>
      <c r="S15">
        <f t="shared" ca="1" si="11"/>
        <v>1</v>
      </c>
      <c r="T15">
        <f ca="1">IF(actuals_prd_exp[[#This Row],[End Date]],actuals_prd_exp[[#This Row],[Taken into Immediate Future Plan]]-actuals_prd_exp[[#This Row],[Removed Planned]]-actuals_prd_exp[[#This Row],[Planned done]]-actuals_prd_exp[[#This Row],[Remaining Planned]],"TBD")</f>
        <v>0</v>
      </c>
      <c r="U15">
        <f ca="1">ROUND(RANDBETWEEN(70,100)/100*actuals_prd_exp[[#This Row],[Planned done]],0)</f>
        <v>9</v>
      </c>
      <c r="V15">
        <f ca="1">ROUND(RANDBETWEEN(90,100)/100*actuals_prd_exp[[#This Row],[Planned done]],0)</f>
        <v>10</v>
      </c>
      <c r="W15" s="10"/>
      <c r="X15" s="4">
        <f t="shared" ca="1" si="2"/>
        <v>42471</v>
      </c>
      <c r="Y15">
        <f t="shared" ca="1" si="12"/>
        <v>2</v>
      </c>
      <c r="Z15">
        <f t="shared" ca="1" si="13"/>
        <v>0</v>
      </c>
      <c r="AA15">
        <v>0</v>
      </c>
      <c r="AB15">
        <f ca="1">actuals_stn_imp[[#This Row],[Taken into Immediate Future Plan]]-actuals_stn_imp[[#This Row],[Removed Planned]]-actuals_stn_imp[[#This Row],[Remaining Planned]]</f>
        <v>2</v>
      </c>
      <c r="AC15">
        <f ca="1">ROUND(RANDBETWEEN(50,100)/100*actuals_stn_imp[[#This Row],[Added Additional]],0)</f>
        <v>0</v>
      </c>
      <c r="AD15">
        <f t="shared" ca="1" si="14"/>
        <v>0</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done]],0)</f>
        <v>2</v>
      </c>
      <c r="AG15">
        <f ca="1">ROUND(RANDBETWEEN(90,100)/100*actuals_stn_imp[[#This Row],[Planned done]],0)</f>
        <v>2</v>
      </c>
      <c r="AH15" s="11"/>
      <c r="AI15" s="4">
        <f t="shared" ca="1" si="3"/>
        <v>42471</v>
      </c>
      <c r="AJ15">
        <f t="shared" ca="1" si="15"/>
        <v>2</v>
      </c>
      <c r="AK15">
        <f t="shared" ca="1" si="16"/>
        <v>0</v>
      </c>
      <c r="AL15">
        <v>0</v>
      </c>
      <c r="AM15">
        <f ca="1">actuals_stn_exp[[#This Row],[Taken into Immediate Future Plan]]-actuals_stn_exp[[#This Row],[Removed Planned]]-actuals_stn_exp[[#This Row],[Remaining Planned]]</f>
        <v>1</v>
      </c>
      <c r="AN15">
        <f ca="1">ROUND(RANDBETWEEN(50,100)/100*actuals_stn_exp[[#This Row],[Added Additional]],0)</f>
        <v>0</v>
      </c>
      <c r="AO15">
        <f t="shared" ca="1" si="17"/>
        <v>1</v>
      </c>
      <c r="AP15">
        <f ca="1">IF(actuals_stn_exp[[#This Row],[End Date]],actuals_stn_exp[[#This Row],[Taken into Immediate Future Plan]]-actuals_stn_exp[[#This Row],[Removed Planned]]-actuals_stn_exp[[#This Row],[Planned done]]-actuals_stn_exp[[#This Row],[Remaining Planned]],"TBD")</f>
        <v>0</v>
      </c>
      <c r="AQ15">
        <f ca="1">ROUND(RANDBETWEEN(70,100)/100*actuals_stn_exp[[#This Row],[Planned done]],0)</f>
        <v>1</v>
      </c>
      <c r="AR15">
        <f ca="1">ROUND(RANDBETWEEN(90,100)/100*actuals_stn_exp[[#This Row],[Planned done]],0)</f>
        <v>1</v>
      </c>
    </row>
    <row r="16" spans="1:44" x14ac:dyDescent="0.35">
      <c r="A16" s="7"/>
      <c r="B16" s="4">
        <f ca="1">WORKDAY(TODAY(),3)</f>
        <v>42530</v>
      </c>
      <c r="C16">
        <f t="shared" ca="1" si="4"/>
        <v>11</v>
      </c>
      <c r="L16" s="8"/>
      <c r="M16" s="4">
        <f ca="1">WORKDAY(TODAY(),3)</f>
        <v>42530</v>
      </c>
      <c r="N16">
        <f t="shared" ca="1" si="8"/>
        <v>14</v>
      </c>
      <c r="W16" s="10"/>
      <c r="X16" s="4">
        <f t="shared" ca="1" si="2"/>
        <v>42473</v>
      </c>
      <c r="Y16">
        <f t="shared" ca="1" si="12"/>
        <v>2</v>
      </c>
      <c r="Z16">
        <f t="shared" ca="1" si="13"/>
        <v>1</v>
      </c>
      <c r="AA16">
        <v>0</v>
      </c>
      <c r="AB16">
        <f ca="1">actuals_stn_imp[[#This Row],[Taken into Immediate Future Plan]]-actuals_stn_imp[[#This Row],[Removed Planned]]-actuals_stn_imp[[#This Row],[Remaining Planned]]</f>
        <v>1</v>
      </c>
      <c r="AC16">
        <f ca="1">ROUND(RANDBETWEEN(50,100)/100*actuals_stn_imp[[#This Row],[Added Additional]],0)</f>
        <v>1</v>
      </c>
      <c r="AD16">
        <f t="shared" ca="1" si="14"/>
        <v>1</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done]],0)</f>
        <v>1</v>
      </c>
      <c r="AG16">
        <f ca="1">ROUND(RANDBETWEEN(90,100)/100*actuals_stn_imp[[#This Row],[Planned done]],0)</f>
        <v>1</v>
      </c>
      <c r="AH16" s="11"/>
      <c r="AI16" s="4">
        <f t="shared" ca="1" si="3"/>
        <v>42473</v>
      </c>
      <c r="AJ16">
        <f t="shared" ca="1" si="15"/>
        <v>2</v>
      </c>
      <c r="AK16">
        <f t="shared" ca="1" si="16"/>
        <v>0</v>
      </c>
      <c r="AL16">
        <v>0</v>
      </c>
      <c r="AM16">
        <f ca="1">actuals_stn_exp[[#This Row],[Taken into Immediate Future Plan]]-actuals_stn_exp[[#This Row],[Removed Planned]]-actuals_stn_exp[[#This Row],[Remaining Planned]]</f>
        <v>1</v>
      </c>
      <c r="AN16">
        <f ca="1">ROUND(RANDBETWEEN(50,100)/100*actuals_stn_exp[[#This Row],[Added Additional]],0)</f>
        <v>0</v>
      </c>
      <c r="AO16">
        <f t="shared" ca="1" si="17"/>
        <v>1</v>
      </c>
      <c r="AP16">
        <f ca="1">IF(actuals_stn_exp[[#This Row],[End Date]],actuals_stn_exp[[#This Row],[Taken into Immediate Future Plan]]-actuals_stn_exp[[#This Row],[Removed Planned]]-actuals_stn_exp[[#This Row],[Planned done]]-actuals_stn_exp[[#This Row],[Remaining Planned]],"TBD")</f>
        <v>0</v>
      </c>
      <c r="AQ16">
        <f ca="1">ROUND(RANDBETWEEN(70,100)/100*actuals_stn_exp[[#This Row],[Planned done]],0)</f>
        <v>1</v>
      </c>
      <c r="AR16">
        <f ca="1">ROUND(RANDBETWEEN(90,100)/100*actuals_stn_exp[[#This Row],[Planned done]],0)</f>
        <v>1</v>
      </c>
    </row>
    <row r="17" spans="1:44" x14ac:dyDescent="0.35">
      <c r="A17" s="7"/>
      <c r="L17" s="8"/>
      <c r="W17" s="10"/>
      <c r="X17" s="4">
        <f t="shared" ca="1" si="2"/>
        <v>42475</v>
      </c>
      <c r="Y17">
        <f t="shared" ca="1" si="12"/>
        <v>2</v>
      </c>
      <c r="Z17">
        <f t="shared" ca="1" si="13"/>
        <v>1</v>
      </c>
      <c r="AA17">
        <v>0</v>
      </c>
      <c r="AB17">
        <f ca="1">actuals_stn_imp[[#This Row],[Taken into Immediate Future Plan]]-actuals_stn_imp[[#This Row],[Removed Planned]]-actuals_stn_imp[[#This Row],[Remaining Planned]]</f>
        <v>2</v>
      </c>
      <c r="AC17">
        <f ca="1">ROUND(RANDBETWEEN(50,100)/100*actuals_stn_imp[[#This Row],[Added Additional]],0)</f>
        <v>1</v>
      </c>
      <c r="AD17">
        <f t="shared" ca="1" si="14"/>
        <v>0</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done]],0)</f>
        <v>2</v>
      </c>
      <c r="AG17">
        <f ca="1">ROUND(RANDBETWEEN(90,100)/100*actuals_stn_imp[[#This Row],[Planned done]],0)</f>
        <v>2</v>
      </c>
      <c r="AH17" s="11"/>
      <c r="AI17" s="4">
        <f t="shared" ca="1" si="3"/>
        <v>42475</v>
      </c>
      <c r="AJ17">
        <f t="shared" ca="1" si="15"/>
        <v>3</v>
      </c>
      <c r="AK17">
        <f t="shared" ca="1" si="16"/>
        <v>1</v>
      </c>
      <c r="AL17">
        <v>0</v>
      </c>
      <c r="AM17">
        <f ca="1">actuals_stn_exp[[#This Row],[Taken into Immediate Future Plan]]-actuals_stn_exp[[#This Row],[Removed Planned]]-actuals_stn_exp[[#This Row],[Remaining Planned]]</f>
        <v>2</v>
      </c>
      <c r="AN17">
        <f ca="1">ROUND(RANDBETWEEN(50,100)/100*actuals_stn_exp[[#This Row],[Added Additional]],0)</f>
        <v>1</v>
      </c>
      <c r="AO17">
        <f t="shared" ca="1" si="17"/>
        <v>1</v>
      </c>
      <c r="AP17">
        <f ca="1">IF(actuals_stn_exp[[#This Row],[End Date]],actuals_stn_exp[[#This Row],[Taken into Immediate Future Plan]]-actuals_stn_exp[[#This Row],[Removed Planned]]-actuals_stn_exp[[#This Row],[Planned done]]-actuals_stn_exp[[#This Row],[Remaining Planned]],"TBD")</f>
        <v>0</v>
      </c>
      <c r="AQ17">
        <f ca="1">ROUND(RANDBETWEEN(70,100)/100*actuals_stn_exp[[#This Row],[Planned done]],0)</f>
        <v>2</v>
      </c>
      <c r="AR17">
        <f ca="1">ROUND(RANDBETWEEN(90,100)/100*actuals_stn_exp[[#This Row],[Planned done]],0)</f>
        <v>2</v>
      </c>
    </row>
    <row r="18" spans="1:44" x14ac:dyDescent="0.35">
      <c r="X18" s="4">
        <f t="shared" ca="1" si="2"/>
        <v>42479</v>
      </c>
      <c r="Y18">
        <f t="shared" ca="1" si="12"/>
        <v>2</v>
      </c>
      <c r="Z18">
        <f t="shared" ca="1" si="13"/>
        <v>1</v>
      </c>
      <c r="AA18">
        <v>0</v>
      </c>
      <c r="AB18">
        <f ca="1">actuals_stn_imp[[#This Row],[Taken into Immediate Future Plan]]-actuals_stn_imp[[#This Row],[Removed Planned]]-actuals_stn_imp[[#This Row],[Remaining Planned]]</f>
        <v>2</v>
      </c>
      <c r="AC18">
        <f ca="1">ROUND(RANDBETWEEN(50,100)/100*actuals_stn_imp[[#This Row],[Added Additional]],0)</f>
        <v>1</v>
      </c>
      <c r="AD18">
        <f t="shared" ca="1" si="14"/>
        <v>0</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done]],0)</f>
        <v>2</v>
      </c>
      <c r="AG18">
        <f ca="1">ROUND(RANDBETWEEN(90,100)/100*actuals_stn_imp[[#This Row],[Planned done]],0)</f>
        <v>2</v>
      </c>
      <c r="AI18" s="4">
        <f t="shared" ca="1" si="3"/>
        <v>42479</v>
      </c>
      <c r="AJ18">
        <f t="shared" ca="1" si="15"/>
        <v>2</v>
      </c>
      <c r="AK18">
        <f t="shared" ca="1" si="16"/>
        <v>1</v>
      </c>
      <c r="AL18">
        <v>0</v>
      </c>
      <c r="AM18">
        <f ca="1">actuals_stn_exp[[#This Row],[Taken into Immediate Future Plan]]-actuals_stn_exp[[#This Row],[Removed Planned]]-actuals_stn_exp[[#This Row],[Remaining Planned]]</f>
        <v>2</v>
      </c>
      <c r="AN18">
        <f ca="1">ROUND(RANDBETWEEN(50,100)/100*actuals_stn_exp[[#This Row],[Added Additional]],0)</f>
        <v>1</v>
      </c>
      <c r="AO18">
        <f t="shared" ca="1" si="17"/>
        <v>0</v>
      </c>
      <c r="AP18">
        <f ca="1">IF(actuals_stn_exp[[#This Row],[End Date]],actuals_stn_exp[[#This Row],[Taken into Immediate Future Plan]]-actuals_stn_exp[[#This Row],[Removed Planned]]-actuals_stn_exp[[#This Row],[Planned done]]-actuals_stn_exp[[#This Row],[Remaining Planned]],"TBD")</f>
        <v>0</v>
      </c>
      <c r="AQ18">
        <f ca="1">ROUND(RANDBETWEEN(70,100)/100*actuals_stn_exp[[#This Row],[Planned done]],0)</f>
        <v>2</v>
      </c>
      <c r="AR18">
        <f ca="1">ROUND(RANDBETWEEN(90,100)/100*actuals_stn_exp[[#This Row],[Planned done]],0)</f>
        <v>2</v>
      </c>
    </row>
    <row r="19" spans="1:44" x14ac:dyDescent="0.35">
      <c r="X19" s="4">
        <f t="shared" ca="1" si="2"/>
        <v>42481</v>
      </c>
      <c r="Y19">
        <f t="shared" ca="1" si="12"/>
        <v>3</v>
      </c>
      <c r="Z19">
        <f t="shared" ca="1" si="13"/>
        <v>1</v>
      </c>
      <c r="AA19">
        <v>0</v>
      </c>
      <c r="AB19">
        <f ca="1">actuals_stn_imp[[#This Row],[Taken into Immediate Future Plan]]-actuals_stn_imp[[#This Row],[Removed Planned]]-actuals_stn_imp[[#This Row],[Remaining Planned]]</f>
        <v>3</v>
      </c>
      <c r="AC19">
        <f ca="1">ROUND(RANDBETWEEN(50,100)/100*actuals_stn_imp[[#This Row],[Added Additional]],0)</f>
        <v>1</v>
      </c>
      <c r="AD19">
        <f t="shared" ca="1" si="14"/>
        <v>0</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done]],0)</f>
        <v>2</v>
      </c>
      <c r="AG19">
        <f ca="1">ROUND(RANDBETWEEN(90,100)/100*actuals_stn_imp[[#This Row],[Planned done]],0)</f>
        <v>3</v>
      </c>
      <c r="AI19" s="4">
        <f t="shared" ca="1" si="3"/>
        <v>42481</v>
      </c>
      <c r="AJ19">
        <f t="shared" ca="1" si="15"/>
        <v>2</v>
      </c>
      <c r="AK19">
        <f t="shared" ca="1" si="16"/>
        <v>1</v>
      </c>
      <c r="AL19">
        <v>0</v>
      </c>
      <c r="AM19">
        <f ca="1">actuals_stn_exp[[#This Row],[Taken into Immediate Future Plan]]-actuals_stn_exp[[#This Row],[Removed Planned]]-actuals_stn_exp[[#This Row],[Remaining Planned]]</f>
        <v>2</v>
      </c>
      <c r="AN19">
        <f ca="1">ROUND(RANDBETWEEN(50,100)/100*actuals_stn_exp[[#This Row],[Added Additional]],0)</f>
        <v>1</v>
      </c>
      <c r="AO19">
        <f t="shared" ca="1" si="17"/>
        <v>0</v>
      </c>
      <c r="AP19">
        <f ca="1">IF(actuals_stn_exp[[#This Row],[End Date]],actuals_stn_exp[[#This Row],[Taken into Immediate Future Plan]]-actuals_stn_exp[[#This Row],[Removed Planned]]-actuals_stn_exp[[#This Row],[Planned done]]-actuals_stn_exp[[#This Row],[Remaining Planned]],"TBD")</f>
        <v>0</v>
      </c>
      <c r="AQ19">
        <f ca="1">ROUND(RANDBETWEEN(70,100)/100*actuals_stn_exp[[#This Row],[Planned done]],0)</f>
        <v>2</v>
      </c>
      <c r="AR19">
        <f ca="1">ROUND(RANDBETWEEN(90,100)/100*actuals_stn_exp[[#This Row],[Planned done]],0)</f>
        <v>2</v>
      </c>
    </row>
    <row r="20" spans="1:44" x14ac:dyDescent="0.35">
      <c r="X20" s="4">
        <f t="shared" ca="1" si="2"/>
        <v>42485</v>
      </c>
      <c r="Y20">
        <f t="shared" ca="1" si="12"/>
        <v>2</v>
      </c>
      <c r="Z20">
        <f t="shared" ca="1" si="13"/>
        <v>1</v>
      </c>
      <c r="AA20">
        <v>0</v>
      </c>
      <c r="AB20">
        <f ca="1">actuals_stn_imp[[#This Row],[Taken into Immediate Future Plan]]-actuals_stn_imp[[#This Row],[Removed Planned]]-actuals_stn_imp[[#This Row],[Remaining Planned]]</f>
        <v>2</v>
      </c>
      <c r="AC20">
        <f ca="1">ROUND(RANDBETWEEN(50,100)/100*actuals_stn_imp[[#This Row],[Added Additional]],0)</f>
        <v>1</v>
      </c>
      <c r="AD20">
        <f t="shared" ca="1" si="14"/>
        <v>0</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done]],0)</f>
        <v>2</v>
      </c>
      <c r="AG20">
        <f ca="1">ROUND(RANDBETWEEN(90,100)/100*actuals_stn_imp[[#This Row],[Planned done]],0)</f>
        <v>2</v>
      </c>
      <c r="AI20" s="4">
        <f t="shared" ca="1" si="3"/>
        <v>42485</v>
      </c>
      <c r="AJ20">
        <f t="shared" ca="1" si="15"/>
        <v>3</v>
      </c>
      <c r="AK20">
        <f t="shared" ca="1" si="16"/>
        <v>0</v>
      </c>
      <c r="AL20">
        <v>0</v>
      </c>
      <c r="AM20">
        <f ca="1">actuals_stn_exp[[#This Row],[Taken into Immediate Future Plan]]-actuals_stn_exp[[#This Row],[Removed Planned]]-actuals_stn_exp[[#This Row],[Remaining Planned]]</f>
        <v>3</v>
      </c>
      <c r="AN20">
        <f ca="1">ROUND(RANDBETWEEN(50,100)/100*actuals_stn_exp[[#This Row],[Added Additional]],0)</f>
        <v>0</v>
      </c>
      <c r="AO20">
        <f t="shared" ca="1" si="17"/>
        <v>0</v>
      </c>
      <c r="AP20">
        <f ca="1">IF(actuals_stn_exp[[#This Row],[End Date]],actuals_stn_exp[[#This Row],[Taken into Immediate Future Plan]]-actuals_stn_exp[[#This Row],[Removed Planned]]-actuals_stn_exp[[#This Row],[Planned done]]-actuals_stn_exp[[#This Row],[Remaining Planned]],"TBD")</f>
        <v>0</v>
      </c>
      <c r="AQ20">
        <f ca="1">ROUND(RANDBETWEEN(70,100)/100*actuals_stn_exp[[#This Row],[Planned done]],0)</f>
        <v>2</v>
      </c>
      <c r="AR20">
        <f ca="1">ROUND(RANDBETWEEN(90,100)/100*actuals_stn_exp[[#This Row],[Planned done]],0)</f>
        <v>3</v>
      </c>
    </row>
    <row r="21" spans="1:44" x14ac:dyDescent="0.35">
      <c r="X21" s="4">
        <f t="shared" ca="1" si="2"/>
        <v>42487</v>
      </c>
      <c r="Y21">
        <f t="shared" ca="1" si="12"/>
        <v>3</v>
      </c>
      <c r="Z21">
        <f t="shared" ca="1" si="13"/>
        <v>1</v>
      </c>
      <c r="AA21">
        <v>0</v>
      </c>
      <c r="AB21">
        <f ca="1">actuals_stn_imp[[#This Row],[Taken into Immediate Future Plan]]-actuals_stn_imp[[#This Row],[Removed Planned]]-actuals_stn_imp[[#This Row],[Remaining Planned]]</f>
        <v>2</v>
      </c>
      <c r="AC21">
        <f ca="1">ROUND(RANDBETWEEN(50,100)/100*actuals_stn_imp[[#This Row],[Added Additional]],0)</f>
        <v>1</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done]],0)</f>
        <v>2</v>
      </c>
      <c r="AG21">
        <f ca="1">ROUND(RANDBETWEEN(90,100)/100*actuals_stn_imp[[#This Row],[Planned done]],0)</f>
        <v>2</v>
      </c>
      <c r="AI21" s="4">
        <f t="shared" ca="1" si="3"/>
        <v>42487</v>
      </c>
      <c r="AJ21">
        <f t="shared" ca="1" si="15"/>
        <v>3</v>
      </c>
      <c r="AK21">
        <f t="shared" ca="1" si="16"/>
        <v>1</v>
      </c>
      <c r="AL21">
        <v>0</v>
      </c>
      <c r="AM21">
        <f ca="1">actuals_stn_exp[[#This Row],[Taken into Immediate Future Plan]]-actuals_stn_exp[[#This Row],[Removed Planned]]-actuals_stn_exp[[#This Row],[Remaining Planned]]</f>
        <v>2</v>
      </c>
      <c r="AN21">
        <f ca="1">ROUND(RANDBETWEEN(50,100)/100*actuals_stn_exp[[#This Row],[Added Additional]],0)</f>
        <v>1</v>
      </c>
      <c r="AO21">
        <f t="shared" ca="1" si="17"/>
        <v>1</v>
      </c>
      <c r="AP21">
        <f ca="1">IF(actuals_stn_exp[[#This Row],[End Date]],actuals_stn_exp[[#This Row],[Taken into Immediate Future Plan]]-actuals_stn_exp[[#This Row],[Removed Planned]]-actuals_stn_exp[[#This Row],[Planned done]]-actuals_stn_exp[[#This Row],[Remaining Planned]],"TBD")</f>
        <v>0</v>
      </c>
      <c r="AQ21">
        <f ca="1">ROUND(RANDBETWEEN(70,100)/100*actuals_stn_exp[[#This Row],[Planned done]],0)</f>
        <v>2</v>
      </c>
      <c r="AR21">
        <f ca="1">ROUND(RANDBETWEEN(90,100)/100*actuals_stn_exp[[#This Row],[Planned done]],0)</f>
        <v>2</v>
      </c>
    </row>
    <row r="22" spans="1:44" x14ac:dyDescent="0.35">
      <c r="X22" s="4">
        <f t="shared" ca="1" si="2"/>
        <v>42489</v>
      </c>
      <c r="Y22">
        <f t="shared" ca="1" si="12"/>
        <v>2</v>
      </c>
      <c r="Z22">
        <f t="shared" ca="1" si="13"/>
        <v>0</v>
      </c>
      <c r="AA22">
        <v>0</v>
      </c>
      <c r="AB22">
        <f ca="1">actuals_stn_imp[[#This Row],[Taken into Immediate Future Plan]]-actuals_stn_imp[[#This Row],[Removed Planned]]-actuals_stn_imp[[#This Row],[Remaining Planned]]</f>
        <v>1</v>
      </c>
      <c r="AC22">
        <f ca="1">ROUND(RANDBETWEEN(50,100)/100*actuals_stn_imp[[#This Row],[Added Additional]],0)</f>
        <v>0</v>
      </c>
      <c r="AD22">
        <f t="shared" ca="1" si="14"/>
        <v>1</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done]],0)</f>
        <v>1</v>
      </c>
      <c r="AG22">
        <f ca="1">ROUND(RANDBETWEEN(90,100)/100*actuals_stn_imp[[#This Row],[Planned done]],0)</f>
        <v>1</v>
      </c>
      <c r="AI22" s="4">
        <f t="shared" ca="1" si="3"/>
        <v>42489</v>
      </c>
      <c r="AJ22">
        <f t="shared" ca="1" si="15"/>
        <v>2</v>
      </c>
      <c r="AK22">
        <f t="shared" ca="1" si="16"/>
        <v>0</v>
      </c>
      <c r="AL22">
        <v>0</v>
      </c>
      <c r="AM22">
        <f ca="1">actuals_stn_exp[[#This Row],[Taken into Immediate Future Plan]]-actuals_stn_exp[[#This Row],[Removed Planned]]-actuals_stn_exp[[#This Row],[Remaining Planned]]</f>
        <v>1</v>
      </c>
      <c r="AN22">
        <f ca="1">ROUND(RANDBETWEEN(50,100)/100*actuals_stn_exp[[#This Row],[Added Additional]],0)</f>
        <v>0</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ROUND(RANDBETWEEN(70,100)/100*actuals_stn_exp[[#This Row],[Planned done]],0)</f>
        <v>1</v>
      </c>
      <c r="AR22">
        <f ca="1">ROUND(RANDBETWEEN(90,100)/100*actuals_stn_exp[[#This Row],[Planned done]],0)</f>
        <v>1</v>
      </c>
    </row>
    <row r="23" spans="1:44" x14ac:dyDescent="0.35">
      <c r="X23" s="4">
        <f t="shared" ca="1" si="2"/>
        <v>42493</v>
      </c>
      <c r="Y23">
        <f t="shared" ca="1" si="12"/>
        <v>2</v>
      </c>
      <c r="Z23">
        <f t="shared" ca="1" si="13"/>
        <v>1</v>
      </c>
      <c r="AA23">
        <v>0</v>
      </c>
      <c r="AB23">
        <f ca="1">actuals_stn_imp[[#This Row],[Taken into Immediate Future Plan]]-actuals_stn_imp[[#This Row],[Removed Planned]]-actuals_stn_imp[[#This Row],[Remaining Planned]]</f>
        <v>2</v>
      </c>
      <c r="AC23">
        <f ca="1">ROUND(RANDBETWEEN(50,100)/100*actuals_stn_imp[[#This Row],[Added Additional]],0)</f>
        <v>1</v>
      </c>
      <c r="AD23">
        <f t="shared" ca="1" si="14"/>
        <v>0</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done]],0)</f>
        <v>2</v>
      </c>
      <c r="AG23">
        <f ca="1">ROUND(RANDBETWEEN(90,100)/100*actuals_stn_imp[[#This Row],[Planned done]],0)</f>
        <v>2</v>
      </c>
      <c r="AI23" s="4">
        <f t="shared" ca="1" si="3"/>
        <v>42493</v>
      </c>
      <c r="AJ23">
        <f t="shared" ca="1" si="15"/>
        <v>3</v>
      </c>
      <c r="AK23">
        <f t="shared" ca="1" si="16"/>
        <v>0</v>
      </c>
      <c r="AL23">
        <v>0</v>
      </c>
      <c r="AM23">
        <f ca="1">actuals_stn_exp[[#This Row],[Taken into Immediate Future Plan]]-actuals_stn_exp[[#This Row],[Removed Planned]]-actuals_stn_exp[[#This Row],[Remaining Planned]]</f>
        <v>3</v>
      </c>
      <c r="AN23">
        <f ca="1">ROUND(RANDBETWEEN(50,100)/100*actuals_stn_exp[[#This Row],[Added Additional]],0)</f>
        <v>0</v>
      </c>
      <c r="AO23">
        <f t="shared" ca="1" si="17"/>
        <v>0</v>
      </c>
      <c r="AP23">
        <f ca="1">IF(actuals_stn_exp[[#This Row],[End Date]],actuals_stn_exp[[#This Row],[Taken into Immediate Future Plan]]-actuals_stn_exp[[#This Row],[Removed Planned]]-actuals_stn_exp[[#This Row],[Planned done]]-actuals_stn_exp[[#This Row],[Remaining Planned]],"TBD")</f>
        <v>0</v>
      </c>
      <c r="AQ23">
        <f ca="1">ROUND(RANDBETWEEN(70,100)/100*actuals_stn_exp[[#This Row],[Planned done]],0)</f>
        <v>2</v>
      </c>
      <c r="AR23">
        <f ca="1">ROUND(RANDBETWEEN(90,100)/100*actuals_stn_exp[[#This Row],[Planned done]],0)</f>
        <v>3</v>
      </c>
    </row>
    <row r="24" spans="1:44" x14ac:dyDescent="0.35">
      <c r="X24" s="4">
        <f t="shared" ca="1" si="2"/>
        <v>42495</v>
      </c>
      <c r="Y24">
        <f t="shared" ca="1" si="12"/>
        <v>3</v>
      </c>
      <c r="Z24">
        <f t="shared" ca="1" si="13"/>
        <v>1</v>
      </c>
      <c r="AA24">
        <v>0</v>
      </c>
      <c r="AB24">
        <f ca="1">actuals_stn_imp[[#This Row],[Taken into Immediate Future Plan]]-actuals_stn_imp[[#This Row],[Removed Planned]]-actuals_stn_imp[[#This Row],[Remaining Planned]]</f>
        <v>3</v>
      </c>
      <c r="AC24">
        <f ca="1">ROUND(RANDBETWEEN(50,100)/100*actuals_stn_imp[[#This Row],[Added Additional]],0)</f>
        <v>1</v>
      </c>
      <c r="AD24">
        <f t="shared" ca="1" si="14"/>
        <v>0</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done]],0)</f>
        <v>2</v>
      </c>
      <c r="AG24">
        <f ca="1">ROUND(RANDBETWEEN(90,100)/100*actuals_stn_imp[[#This Row],[Planned done]],0)</f>
        <v>3</v>
      </c>
      <c r="AI24" s="4">
        <f t="shared" ca="1" si="3"/>
        <v>42495</v>
      </c>
      <c r="AJ24">
        <f t="shared" ca="1" si="15"/>
        <v>2</v>
      </c>
      <c r="AK24">
        <f t="shared" ca="1" si="16"/>
        <v>1</v>
      </c>
      <c r="AL24">
        <v>0</v>
      </c>
      <c r="AM24">
        <f ca="1">actuals_stn_exp[[#This Row],[Taken into Immediate Future Plan]]-actuals_stn_exp[[#This Row],[Removed Planned]]-actuals_stn_exp[[#This Row],[Remaining Planned]]</f>
        <v>1</v>
      </c>
      <c r="AN24">
        <f ca="1">ROUND(RANDBETWEEN(50,100)/100*actuals_stn_exp[[#This Row],[Added Additional]],0)</f>
        <v>1</v>
      </c>
      <c r="AO24">
        <f t="shared" ca="1" si="17"/>
        <v>1</v>
      </c>
      <c r="AP24">
        <f ca="1">IF(actuals_stn_exp[[#This Row],[End Date]],actuals_stn_exp[[#This Row],[Taken into Immediate Future Plan]]-actuals_stn_exp[[#This Row],[Removed Planned]]-actuals_stn_exp[[#This Row],[Planned done]]-actuals_stn_exp[[#This Row],[Remaining Planned]],"TBD")</f>
        <v>0</v>
      </c>
      <c r="AQ24">
        <f ca="1">ROUND(RANDBETWEEN(70,100)/100*actuals_stn_exp[[#This Row],[Planned done]],0)</f>
        <v>1</v>
      </c>
      <c r="AR24">
        <f ca="1">ROUND(RANDBETWEEN(90,100)/100*actuals_stn_exp[[#This Row],[Planned done]],0)</f>
        <v>1</v>
      </c>
    </row>
    <row r="25" spans="1:44" x14ac:dyDescent="0.35">
      <c r="X25" s="4">
        <f t="shared" ca="1" si="2"/>
        <v>42499</v>
      </c>
      <c r="Y25">
        <f t="shared" ca="1" si="12"/>
        <v>3</v>
      </c>
      <c r="Z25">
        <f t="shared" ca="1" si="13"/>
        <v>0</v>
      </c>
      <c r="AA25">
        <v>0</v>
      </c>
      <c r="AB25">
        <f ca="1">actuals_stn_imp[[#This Row],[Taken into Immediate Future Plan]]-actuals_stn_imp[[#This Row],[Removed Planned]]-actuals_stn_imp[[#This Row],[Remaining Planned]]</f>
        <v>3</v>
      </c>
      <c r="AC25">
        <f ca="1">ROUND(RANDBETWEEN(50,100)/100*actuals_stn_imp[[#This Row],[Added Additional]],0)</f>
        <v>0</v>
      </c>
      <c r="AD25">
        <f t="shared" ca="1" si="14"/>
        <v>0</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done]],0)</f>
        <v>3</v>
      </c>
      <c r="AG25">
        <f ca="1">ROUND(RANDBETWEEN(90,100)/100*actuals_stn_imp[[#This Row],[Planned done]],0)</f>
        <v>3</v>
      </c>
      <c r="AI25" s="4">
        <f t="shared" ca="1" si="3"/>
        <v>42499</v>
      </c>
      <c r="AJ25">
        <f t="shared" ca="1" si="15"/>
        <v>3</v>
      </c>
      <c r="AK25">
        <f t="shared" ca="1" si="16"/>
        <v>0</v>
      </c>
      <c r="AL25">
        <v>0</v>
      </c>
      <c r="AM25">
        <f ca="1">actuals_stn_exp[[#This Row],[Taken into Immediate Future Plan]]-actuals_stn_exp[[#This Row],[Removed Planned]]-actuals_stn_exp[[#This Row],[Remaining Planned]]</f>
        <v>3</v>
      </c>
      <c r="AN25">
        <f ca="1">ROUND(RANDBETWEEN(50,100)/100*actuals_stn_exp[[#This Row],[Added Additional]],0)</f>
        <v>0</v>
      </c>
      <c r="AO25">
        <f t="shared" ca="1" si="17"/>
        <v>0</v>
      </c>
      <c r="AP25">
        <f ca="1">IF(actuals_stn_exp[[#This Row],[End Date]],actuals_stn_exp[[#This Row],[Taken into Immediate Future Plan]]-actuals_stn_exp[[#This Row],[Removed Planned]]-actuals_stn_exp[[#This Row],[Planned done]]-actuals_stn_exp[[#This Row],[Remaining Planned]],"TBD")</f>
        <v>0</v>
      </c>
      <c r="AQ25">
        <f ca="1">ROUND(RANDBETWEEN(70,100)/100*actuals_stn_exp[[#This Row],[Planned done]],0)</f>
        <v>3</v>
      </c>
      <c r="AR25">
        <f ca="1">ROUND(RANDBETWEEN(90,100)/100*actuals_stn_exp[[#This Row],[Planned done]],0)</f>
        <v>3</v>
      </c>
    </row>
    <row r="26" spans="1:44" x14ac:dyDescent="0.35">
      <c r="X26" s="4">
        <f t="shared" ca="1" si="2"/>
        <v>42501</v>
      </c>
      <c r="Y26">
        <f t="shared" ca="1" si="12"/>
        <v>3</v>
      </c>
      <c r="Z26">
        <f t="shared" ca="1" si="13"/>
        <v>0</v>
      </c>
      <c r="AA26">
        <v>0</v>
      </c>
      <c r="AB26">
        <f ca="1">actuals_stn_imp[[#This Row],[Taken into Immediate Future Plan]]-actuals_stn_imp[[#This Row],[Removed Planned]]-actuals_stn_imp[[#This Row],[Remaining Planned]]</f>
        <v>3</v>
      </c>
      <c r="AC26">
        <f ca="1">ROUND(RANDBETWEEN(50,100)/100*actuals_stn_imp[[#This Row],[Added Additional]],0)</f>
        <v>0</v>
      </c>
      <c r="AD26">
        <f t="shared" ca="1" si="14"/>
        <v>0</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done]],0)</f>
        <v>3</v>
      </c>
      <c r="AG26">
        <f ca="1">ROUND(RANDBETWEEN(90,100)/100*actuals_stn_imp[[#This Row],[Planned done]],0)</f>
        <v>3</v>
      </c>
      <c r="AI26" s="4">
        <f t="shared" ca="1" si="3"/>
        <v>42501</v>
      </c>
      <c r="AJ26">
        <f t="shared" ca="1" si="15"/>
        <v>2</v>
      </c>
      <c r="AK26">
        <f t="shared" ca="1" si="16"/>
        <v>0</v>
      </c>
      <c r="AL26">
        <v>0</v>
      </c>
      <c r="AM26">
        <f ca="1">actuals_stn_exp[[#This Row],[Taken into Immediate Future Plan]]-actuals_stn_exp[[#This Row],[Removed Planned]]-actuals_stn_exp[[#This Row],[Remaining Planned]]</f>
        <v>2</v>
      </c>
      <c r="AN26">
        <f ca="1">ROUND(RANDBETWEEN(50,100)/100*actuals_stn_exp[[#This Row],[Added Additional]],0)</f>
        <v>0</v>
      </c>
      <c r="AO26">
        <f t="shared" ca="1" si="17"/>
        <v>0</v>
      </c>
      <c r="AP26">
        <f ca="1">IF(actuals_stn_exp[[#This Row],[End Date]],actuals_stn_exp[[#This Row],[Taken into Immediate Future Plan]]-actuals_stn_exp[[#This Row],[Removed Planned]]-actuals_stn_exp[[#This Row],[Planned done]]-actuals_stn_exp[[#This Row],[Remaining Planned]],"TBD")</f>
        <v>0</v>
      </c>
      <c r="AQ26">
        <f ca="1">ROUND(RANDBETWEEN(70,100)/100*actuals_stn_exp[[#This Row],[Planned done]],0)</f>
        <v>2</v>
      </c>
      <c r="AR26">
        <f ca="1">ROUND(RANDBETWEEN(90,100)/100*actuals_stn_exp[[#This Row],[Planned done]],0)</f>
        <v>2</v>
      </c>
    </row>
    <row r="27" spans="1:44" x14ac:dyDescent="0.35">
      <c r="X27" s="4">
        <f t="shared" ca="1" si="2"/>
        <v>42503</v>
      </c>
      <c r="Y27">
        <f t="shared" ca="1" si="12"/>
        <v>3</v>
      </c>
      <c r="Z27">
        <f t="shared" ca="1" si="13"/>
        <v>1</v>
      </c>
      <c r="AA27">
        <v>0</v>
      </c>
      <c r="AB27">
        <f ca="1">actuals_stn_imp[[#This Row],[Taken into Immediate Future Plan]]-actuals_stn_imp[[#This Row],[Removed Planned]]-actuals_stn_imp[[#This Row],[Remaining Planned]]</f>
        <v>3</v>
      </c>
      <c r="AC27">
        <f ca="1">ROUND(RANDBETWEEN(50,100)/100*actuals_stn_imp[[#This Row],[Added Additional]],0)</f>
        <v>1</v>
      </c>
      <c r="AD27">
        <f t="shared" ca="1" si="14"/>
        <v>0</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done]],0)</f>
        <v>3</v>
      </c>
      <c r="AG27">
        <f ca="1">ROUND(RANDBETWEEN(90,100)/100*actuals_stn_imp[[#This Row],[Planned done]],0)</f>
        <v>3</v>
      </c>
      <c r="AI27" s="4">
        <f t="shared" ca="1" si="3"/>
        <v>42503</v>
      </c>
      <c r="AJ27">
        <f t="shared" ca="1" si="15"/>
        <v>3</v>
      </c>
      <c r="AK27">
        <f t="shared" ca="1" si="16"/>
        <v>1</v>
      </c>
      <c r="AL27">
        <v>0</v>
      </c>
      <c r="AM27">
        <f ca="1">actuals_stn_exp[[#This Row],[Taken into Immediate Future Plan]]-actuals_stn_exp[[#This Row],[Removed Planned]]-actuals_stn_exp[[#This Row],[Remaining Planned]]</f>
        <v>3</v>
      </c>
      <c r="AN27">
        <f ca="1">ROUND(RANDBETWEEN(50,100)/100*actuals_stn_exp[[#This Row],[Added Additional]],0)</f>
        <v>1</v>
      </c>
      <c r="AO27">
        <f t="shared" ca="1" si="17"/>
        <v>0</v>
      </c>
      <c r="AP27">
        <f ca="1">IF(actuals_stn_exp[[#This Row],[End Date]],actuals_stn_exp[[#This Row],[Taken into Immediate Future Plan]]-actuals_stn_exp[[#This Row],[Removed Planned]]-actuals_stn_exp[[#This Row],[Planned done]]-actuals_stn_exp[[#This Row],[Remaining Planned]],"TBD")</f>
        <v>0</v>
      </c>
      <c r="AQ27">
        <f ca="1">ROUND(RANDBETWEEN(70,100)/100*actuals_stn_exp[[#This Row],[Planned done]],0)</f>
        <v>3</v>
      </c>
      <c r="AR27">
        <f ca="1">ROUND(RANDBETWEEN(90,100)/100*actuals_stn_exp[[#This Row],[Planned done]],0)</f>
        <v>3</v>
      </c>
    </row>
    <row r="28" spans="1:44" x14ac:dyDescent="0.35">
      <c r="X28" s="4">
        <f t="shared" ca="1" si="2"/>
        <v>42507</v>
      </c>
      <c r="Y28">
        <f t="shared" ca="1" si="12"/>
        <v>2</v>
      </c>
      <c r="Z28">
        <f t="shared" ca="1" si="13"/>
        <v>1</v>
      </c>
      <c r="AA28">
        <v>0</v>
      </c>
      <c r="AB28">
        <f ca="1">actuals_stn_imp[[#This Row],[Taken into Immediate Future Plan]]-actuals_stn_imp[[#This Row],[Removed Planned]]-actuals_stn_imp[[#This Row],[Remaining Planned]]</f>
        <v>1</v>
      </c>
      <c r="AC28">
        <f ca="1">ROUND(RANDBETWEEN(50,100)/100*actuals_stn_imp[[#This Row],[Added Additional]],0)</f>
        <v>1</v>
      </c>
      <c r="AD28">
        <f t="shared" ca="1" si="14"/>
        <v>1</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done]],0)</f>
        <v>1</v>
      </c>
      <c r="AG28">
        <f ca="1">ROUND(RANDBETWEEN(90,100)/100*actuals_stn_imp[[#This Row],[Planned done]],0)</f>
        <v>1</v>
      </c>
      <c r="AI28" s="4">
        <f t="shared" ca="1" si="3"/>
        <v>42507</v>
      </c>
      <c r="AJ28">
        <f t="shared" ca="1" si="15"/>
        <v>2</v>
      </c>
      <c r="AK28">
        <f t="shared" ca="1" si="16"/>
        <v>0</v>
      </c>
      <c r="AL28">
        <v>0</v>
      </c>
      <c r="AM28">
        <f ca="1">actuals_stn_exp[[#This Row],[Taken into Immediate Future Plan]]-actuals_stn_exp[[#This Row],[Removed Planned]]-actuals_stn_exp[[#This Row],[Remaining Planned]]</f>
        <v>2</v>
      </c>
      <c r="AN28">
        <f ca="1">ROUND(RANDBETWEEN(50,100)/100*actuals_stn_exp[[#This Row],[Added Additional]],0)</f>
        <v>0</v>
      </c>
      <c r="AO28">
        <f t="shared" ca="1" si="17"/>
        <v>0</v>
      </c>
      <c r="AP28">
        <f ca="1">IF(actuals_stn_exp[[#This Row],[End Date]],actuals_stn_exp[[#This Row],[Taken into Immediate Future Plan]]-actuals_stn_exp[[#This Row],[Removed Planned]]-actuals_stn_exp[[#This Row],[Planned done]]-actuals_stn_exp[[#This Row],[Remaining Planned]],"TBD")</f>
        <v>0</v>
      </c>
      <c r="AQ28">
        <f ca="1">ROUND(RANDBETWEEN(70,100)/100*actuals_stn_exp[[#This Row],[Planned done]],0)</f>
        <v>2</v>
      </c>
      <c r="AR28">
        <f ca="1">ROUND(RANDBETWEEN(90,100)/100*actuals_stn_exp[[#This Row],[Planned done]],0)</f>
        <v>2</v>
      </c>
    </row>
    <row r="29" spans="1:44" x14ac:dyDescent="0.35">
      <c r="X29" s="4">
        <f t="shared" ca="1" si="2"/>
        <v>42509</v>
      </c>
      <c r="Y29">
        <f t="shared" ca="1" si="12"/>
        <v>2</v>
      </c>
      <c r="Z29">
        <f t="shared" ca="1" si="13"/>
        <v>0</v>
      </c>
      <c r="AA29">
        <v>0</v>
      </c>
      <c r="AB29">
        <f ca="1">actuals_stn_imp[[#This Row],[Taken into Immediate Future Plan]]-actuals_stn_imp[[#This Row],[Removed Planned]]-actuals_stn_imp[[#This Row],[Remaining Planned]]</f>
        <v>1</v>
      </c>
      <c r="AC29">
        <f ca="1">ROUND(RANDBETWEEN(50,100)/100*actuals_stn_imp[[#This Row],[Added Additional]],0)</f>
        <v>0</v>
      </c>
      <c r="AD29">
        <f t="shared" ca="1" si="14"/>
        <v>1</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done]],0)</f>
        <v>1</v>
      </c>
      <c r="AG29">
        <f ca="1">ROUND(RANDBETWEEN(90,100)/100*actuals_stn_imp[[#This Row],[Planned done]],0)</f>
        <v>1</v>
      </c>
      <c r="AI29" s="4">
        <f t="shared" ca="1" si="3"/>
        <v>42509</v>
      </c>
      <c r="AJ29">
        <f t="shared" ca="1" si="15"/>
        <v>2</v>
      </c>
      <c r="AK29">
        <f t="shared" ca="1" si="16"/>
        <v>1</v>
      </c>
      <c r="AL29">
        <v>0</v>
      </c>
      <c r="AM29">
        <f ca="1">actuals_stn_exp[[#This Row],[Taken into Immediate Future Plan]]-actuals_stn_exp[[#This Row],[Removed Planned]]-actuals_stn_exp[[#This Row],[Remaining Planned]]</f>
        <v>2</v>
      </c>
      <c r="AN29">
        <f ca="1">ROUND(RANDBETWEEN(50,100)/100*actuals_stn_exp[[#This Row],[Added Additional]],0)</f>
        <v>1</v>
      </c>
      <c r="AO29">
        <f t="shared" ca="1" si="17"/>
        <v>0</v>
      </c>
      <c r="AP29">
        <f ca="1">IF(actuals_stn_exp[[#This Row],[End Date]],actuals_stn_exp[[#This Row],[Taken into Immediate Future Plan]]-actuals_stn_exp[[#This Row],[Removed Planned]]-actuals_stn_exp[[#This Row],[Planned done]]-actuals_stn_exp[[#This Row],[Remaining Planned]],"TBD")</f>
        <v>0</v>
      </c>
      <c r="AQ29">
        <f ca="1">ROUND(RANDBETWEEN(70,100)/100*actuals_stn_exp[[#This Row],[Planned done]],0)</f>
        <v>2</v>
      </c>
      <c r="AR29">
        <f ca="1">ROUND(RANDBETWEEN(90,100)/100*actuals_stn_exp[[#This Row],[Planned done]],0)</f>
        <v>2</v>
      </c>
    </row>
    <row r="30" spans="1:44" x14ac:dyDescent="0.35">
      <c r="X30" s="4">
        <f t="shared" ca="1" si="2"/>
        <v>42513</v>
      </c>
      <c r="Y30">
        <f t="shared" ca="1" si="12"/>
        <v>3</v>
      </c>
      <c r="Z30">
        <f t="shared" ca="1" si="13"/>
        <v>0</v>
      </c>
      <c r="AA30">
        <v>0</v>
      </c>
      <c r="AB30">
        <f ca="1">actuals_stn_imp[[#This Row],[Taken into Immediate Future Plan]]-actuals_stn_imp[[#This Row],[Removed Planned]]-actuals_stn_imp[[#This Row],[Remaining Planned]]</f>
        <v>3</v>
      </c>
      <c r="AC30">
        <f ca="1">ROUND(RANDBETWEEN(50,100)/100*actuals_stn_imp[[#This Row],[Added Additional]],0)</f>
        <v>0</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done]],0)</f>
        <v>2</v>
      </c>
      <c r="AG30">
        <f ca="1">ROUND(RANDBETWEEN(90,100)/100*actuals_stn_imp[[#This Row],[Planned done]],0)</f>
        <v>3</v>
      </c>
      <c r="AI30" s="4">
        <f t="shared" ca="1" si="3"/>
        <v>42513</v>
      </c>
      <c r="AJ30">
        <f t="shared" ca="1" si="15"/>
        <v>2</v>
      </c>
      <c r="AK30">
        <f t="shared" ca="1" si="16"/>
        <v>0</v>
      </c>
      <c r="AL30">
        <v>0</v>
      </c>
      <c r="AM30">
        <f ca="1">actuals_stn_exp[[#This Row],[Taken into Immediate Future Plan]]-actuals_stn_exp[[#This Row],[Removed Planned]]-actuals_stn_exp[[#This Row],[Remaining Planned]]</f>
        <v>1</v>
      </c>
      <c r="AN30">
        <f ca="1">ROUND(RANDBETWEEN(50,100)/100*actuals_stn_exp[[#This Row],[Added Additional]],0)</f>
        <v>0</v>
      </c>
      <c r="AO30">
        <f t="shared" ca="1" si="17"/>
        <v>1</v>
      </c>
      <c r="AP30">
        <f ca="1">IF(actuals_stn_exp[[#This Row],[End Date]],actuals_stn_exp[[#This Row],[Taken into Immediate Future Plan]]-actuals_stn_exp[[#This Row],[Removed Planned]]-actuals_stn_exp[[#This Row],[Planned done]]-actuals_stn_exp[[#This Row],[Remaining Planned]],"TBD")</f>
        <v>0</v>
      </c>
      <c r="AQ30">
        <f ca="1">ROUND(RANDBETWEEN(70,100)/100*actuals_stn_exp[[#This Row],[Planned done]],0)</f>
        <v>1</v>
      </c>
      <c r="AR30">
        <f ca="1">ROUND(RANDBETWEEN(90,100)/100*actuals_stn_exp[[#This Row],[Planned done]],0)</f>
        <v>1</v>
      </c>
    </row>
    <row r="31" spans="1:44" x14ac:dyDescent="0.35">
      <c r="X31" s="4">
        <f t="shared" ca="1" si="2"/>
        <v>42515</v>
      </c>
      <c r="Y31">
        <f t="shared" ca="1" si="12"/>
        <v>3</v>
      </c>
      <c r="Z31">
        <f t="shared" ca="1" si="13"/>
        <v>0</v>
      </c>
      <c r="AA31">
        <v>0</v>
      </c>
      <c r="AB31">
        <f ca="1">actuals_stn_imp[[#This Row],[Taken into Immediate Future Plan]]-actuals_stn_imp[[#This Row],[Removed Planned]]-actuals_stn_imp[[#This Row],[Remaining Planned]]</f>
        <v>2</v>
      </c>
      <c r="AC31">
        <f ca="1">ROUND(RANDBETWEEN(50,100)/100*actuals_stn_imp[[#This Row],[Added Additional]],0)</f>
        <v>0</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done]],0)</f>
        <v>2</v>
      </c>
      <c r="AG31">
        <f ca="1">ROUND(RANDBETWEEN(90,100)/100*actuals_stn_imp[[#This Row],[Planned done]],0)</f>
        <v>2</v>
      </c>
      <c r="AI31" s="4">
        <f t="shared" ca="1" si="3"/>
        <v>42515</v>
      </c>
      <c r="AJ31">
        <f t="shared" ca="1" si="15"/>
        <v>3</v>
      </c>
      <c r="AK31">
        <f t="shared" ca="1" si="16"/>
        <v>0</v>
      </c>
      <c r="AL31">
        <v>0</v>
      </c>
      <c r="AM31">
        <f ca="1">actuals_stn_exp[[#This Row],[Taken into Immediate Future Plan]]-actuals_stn_exp[[#This Row],[Removed Planned]]-actuals_stn_exp[[#This Row],[Remaining Planned]]</f>
        <v>2</v>
      </c>
      <c r="AN31">
        <f ca="1">ROUND(RANDBETWEEN(50,100)/100*actuals_stn_exp[[#This Row],[Added Additional]],0)</f>
        <v>0</v>
      </c>
      <c r="AO31">
        <f t="shared" ca="1" si="17"/>
        <v>1</v>
      </c>
      <c r="AP31">
        <f ca="1">IF(actuals_stn_exp[[#This Row],[End Date]],actuals_stn_exp[[#This Row],[Taken into Immediate Future Plan]]-actuals_stn_exp[[#This Row],[Removed Planned]]-actuals_stn_exp[[#This Row],[Planned done]]-actuals_stn_exp[[#This Row],[Remaining Planned]],"TBD")</f>
        <v>0</v>
      </c>
      <c r="AQ31">
        <f ca="1">ROUND(RANDBETWEEN(70,100)/100*actuals_stn_exp[[#This Row],[Planned done]],0)</f>
        <v>1</v>
      </c>
      <c r="AR31">
        <f ca="1">ROUND(RANDBETWEEN(90,100)/100*actuals_stn_exp[[#This Row],[Planned done]],0)</f>
        <v>2</v>
      </c>
    </row>
    <row r="32" spans="1:44" x14ac:dyDescent="0.35">
      <c r="X32" s="4">
        <f t="shared" ca="1" si="2"/>
        <v>42517</v>
      </c>
      <c r="Y32">
        <f t="shared" ca="1" si="12"/>
        <v>2</v>
      </c>
      <c r="Z32">
        <f t="shared" ca="1" si="13"/>
        <v>1</v>
      </c>
      <c r="AA32">
        <v>0</v>
      </c>
      <c r="AB32">
        <f ca="1">actuals_stn_imp[[#This Row],[Taken into Immediate Future Plan]]-actuals_stn_imp[[#This Row],[Removed Planned]]-actuals_stn_imp[[#This Row],[Remaining Planned]]</f>
        <v>2</v>
      </c>
      <c r="AC32">
        <f ca="1">ROUND(RANDBETWEEN(50,100)/100*actuals_stn_imp[[#This Row],[Added Additional]],0)</f>
        <v>1</v>
      </c>
      <c r="AD32">
        <f t="shared" ca="1" si="14"/>
        <v>0</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done]],0)</f>
        <v>2</v>
      </c>
      <c r="AG32">
        <f ca="1">ROUND(RANDBETWEEN(90,100)/100*actuals_stn_imp[[#This Row],[Planned done]],0)</f>
        <v>2</v>
      </c>
      <c r="AI32" s="4">
        <f t="shared" ca="1" si="3"/>
        <v>42517</v>
      </c>
      <c r="AJ32">
        <f t="shared" ca="1" si="15"/>
        <v>3</v>
      </c>
      <c r="AK32">
        <f t="shared" ca="1" si="16"/>
        <v>0</v>
      </c>
      <c r="AL32">
        <v>0</v>
      </c>
      <c r="AM32">
        <f ca="1">actuals_stn_exp[[#This Row],[Taken into Immediate Future Plan]]-actuals_stn_exp[[#This Row],[Removed Planned]]-actuals_stn_exp[[#This Row],[Remaining Planned]]</f>
        <v>3</v>
      </c>
      <c r="AN32">
        <f ca="1">ROUND(RANDBETWEEN(50,100)/100*actuals_stn_exp[[#This Row],[Added Additional]],0)</f>
        <v>0</v>
      </c>
      <c r="AO32">
        <f t="shared" ca="1" si="17"/>
        <v>0</v>
      </c>
      <c r="AP32">
        <f ca="1">IF(actuals_stn_exp[[#This Row],[End Date]],actuals_stn_exp[[#This Row],[Taken into Immediate Future Plan]]-actuals_stn_exp[[#This Row],[Removed Planned]]-actuals_stn_exp[[#This Row],[Planned done]]-actuals_stn_exp[[#This Row],[Remaining Planned]],"TBD")</f>
        <v>0</v>
      </c>
      <c r="AQ32">
        <f ca="1">ROUND(RANDBETWEEN(70,100)/100*actuals_stn_exp[[#This Row],[Planned done]],0)</f>
        <v>2</v>
      </c>
      <c r="AR32">
        <f ca="1">ROUND(RANDBETWEEN(90,100)/100*actuals_stn_exp[[#This Row],[Planned done]],0)</f>
        <v>3</v>
      </c>
    </row>
    <row r="33" spans="24:44" x14ac:dyDescent="0.35">
      <c r="X33" s="4">
        <f t="shared" ca="1" si="2"/>
        <v>42521</v>
      </c>
      <c r="Y33">
        <f t="shared" ca="1" si="12"/>
        <v>2</v>
      </c>
      <c r="Z33">
        <f t="shared" ca="1" si="13"/>
        <v>0</v>
      </c>
      <c r="AA33">
        <v>0</v>
      </c>
      <c r="AB33">
        <f ca="1">actuals_stn_imp[[#This Row],[Taken into Immediate Future Plan]]-actuals_stn_imp[[#This Row],[Removed Planned]]-actuals_stn_imp[[#This Row],[Remaining Planned]]</f>
        <v>2</v>
      </c>
      <c r="AC33">
        <f ca="1">ROUND(RANDBETWEEN(50,100)/100*actuals_stn_imp[[#This Row],[Added Additional]],0)</f>
        <v>0</v>
      </c>
      <c r="AD33">
        <f t="shared" ca="1" si="14"/>
        <v>0</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done]],0)</f>
        <v>2</v>
      </c>
      <c r="AG33">
        <f ca="1">ROUND(RANDBETWEEN(90,100)/100*actuals_stn_imp[[#This Row],[Planned done]],0)</f>
        <v>2</v>
      </c>
      <c r="AI33" s="4">
        <f t="shared" ca="1" si="3"/>
        <v>42521</v>
      </c>
      <c r="AJ33">
        <f t="shared" ca="1" si="15"/>
        <v>2</v>
      </c>
      <c r="AK33">
        <f t="shared" ca="1" si="16"/>
        <v>1</v>
      </c>
      <c r="AL33">
        <v>0</v>
      </c>
      <c r="AM33">
        <f ca="1">actuals_stn_exp[[#This Row],[Taken into Immediate Future Plan]]-actuals_stn_exp[[#This Row],[Removed Planned]]-actuals_stn_exp[[#This Row],[Remaining Planned]]</f>
        <v>1</v>
      </c>
      <c r="AN33">
        <f ca="1">ROUND(RANDBETWEEN(50,100)/100*actuals_stn_exp[[#This Row],[Added Additional]],0)</f>
        <v>1</v>
      </c>
      <c r="AO33">
        <f t="shared" ca="1" si="17"/>
        <v>1</v>
      </c>
      <c r="AP33">
        <f ca="1">IF(actuals_stn_exp[[#This Row],[End Date]],actuals_stn_exp[[#This Row],[Taken into Immediate Future Plan]]-actuals_stn_exp[[#This Row],[Removed Planned]]-actuals_stn_exp[[#This Row],[Planned done]]-actuals_stn_exp[[#This Row],[Remaining Planned]],"TBD")</f>
        <v>0</v>
      </c>
      <c r="AQ33">
        <f ca="1">ROUND(RANDBETWEEN(70,100)/100*actuals_stn_exp[[#This Row],[Planned done]],0)</f>
        <v>1</v>
      </c>
      <c r="AR33">
        <f ca="1">ROUND(RANDBETWEEN(90,100)/100*actuals_stn_exp[[#This Row],[Planned done]],0)</f>
        <v>1</v>
      </c>
    </row>
    <row r="34" spans="24:44" x14ac:dyDescent="0.35">
      <c r="X34" s="4">
        <f ca="1">WORKDAY(X35,-2)</f>
        <v>42523</v>
      </c>
      <c r="Y34">
        <f t="shared" ca="1" si="12"/>
        <v>3</v>
      </c>
      <c r="Z34">
        <f t="shared" ca="1" si="13"/>
        <v>0</v>
      </c>
      <c r="AA34">
        <v>0</v>
      </c>
      <c r="AB34">
        <f ca="1">actuals_stn_imp[[#This Row],[Taken into Immediate Future Plan]]-actuals_stn_imp[[#This Row],[Removed Planned]]-actuals_stn_imp[[#This Row],[Remaining Planned]]</f>
        <v>2</v>
      </c>
      <c r="AC34">
        <f ca="1">ROUND(RANDBETWEEN(50,100)/100*actuals_stn_imp[[#This Row],[Added Additional]],0)</f>
        <v>0</v>
      </c>
      <c r="AD34">
        <f t="shared" ca="1" si="14"/>
        <v>1</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done]],0)</f>
        <v>2</v>
      </c>
      <c r="AG34">
        <f ca="1">ROUND(RANDBETWEEN(90,100)/100*actuals_stn_imp[[#This Row],[Planned done]],0)</f>
        <v>2</v>
      </c>
      <c r="AI34" s="4">
        <f ca="1">WORKDAY(AI35,-2)</f>
        <v>42523</v>
      </c>
      <c r="AJ34">
        <f t="shared" ca="1" si="15"/>
        <v>3</v>
      </c>
      <c r="AK34">
        <f t="shared" ca="1" si="16"/>
        <v>0</v>
      </c>
      <c r="AL34">
        <v>0</v>
      </c>
      <c r="AM34">
        <f ca="1">actuals_stn_exp[[#This Row],[Taken into Immediate Future Plan]]-actuals_stn_exp[[#This Row],[Removed Planned]]-actuals_stn_exp[[#This Row],[Remaining Planned]]</f>
        <v>2</v>
      </c>
      <c r="AN34">
        <f ca="1">ROUND(RANDBETWEEN(50,100)/100*actuals_stn_exp[[#This Row],[Added Additional]],0)</f>
        <v>0</v>
      </c>
      <c r="AO34">
        <f t="shared" ca="1" si="17"/>
        <v>1</v>
      </c>
      <c r="AP34">
        <f ca="1">IF(actuals_stn_exp[[#This Row],[End Date]],actuals_stn_exp[[#This Row],[Taken into Immediate Future Plan]]-actuals_stn_exp[[#This Row],[Removed Planned]]-actuals_stn_exp[[#This Row],[Planned done]]-actuals_stn_exp[[#This Row],[Remaining Planned]],"TBD")</f>
        <v>0</v>
      </c>
      <c r="AQ34">
        <f ca="1">ROUND(RANDBETWEEN(70,100)/100*actuals_stn_exp[[#This Row],[Planned done]],0)</f>
        <v>2</v>
      </c>
      <c r="AR34">
        <f ca="1">ROUND(RANDBETWEEN(90,100)/100*actuals_stn_exp[[#This Row],[Planned done]],0)</f>
        <v>2</v>
      </c>
    </row>
    <row r="35" spans="24:44" x14ac:dyDescent="0.35">
      <c r="X35" s="4">
        <f ca="1">TODAY()</f>
        <v>42527</v>
      </c>
      <c r="Y35">
        <f t="shared" ca="1" si="12"/>
        <v>2</v>
      </c>
      <c r="Z35">
        <f t="shared" ca="1" si="13"/>
        <v>0</v>
      </c>
      <c r="AA35">
        <v>0</v>
      </c>
      <c r="AB35">
        <f ca="1">actuals_stn_imp[[#This Row],[Taken into Immediate Future Plan]]-actuals_stn_imp[[#This Row],[Removed Planned]]-actuals_stn_imp[[#This Row],[Remaining Planned]]</f>
        <v>1</v>
      </c>
      <c r="AC35">
        <f ca="1">ROUND(RANDBETWEEN(50,100)/100*actuals_stn_imp[[#This Row],[Added Additional]],0)</f>
        <v>0</v>
      </c>
      <c r="AD35">
        <f t="shared" ca="1" si="14"/>
        <v>1</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done]],0)</f>
        <v>1</v>
      </c>
      <c r="AG35">
        <f ca="1">ROUND(RANDBETWEEN(90,100)/100*actuals_stn_imp[[#This Row],[Planned done]],0)</f>
        <v>1</v>
      </c>
      <c r="AI35" s="4">
        <f ca="1">TODAY()</f>
        <v>42527</v>
      </c>
      <c r="AJ35">
        <f t="shared" ca="1" si="15"/>
        <v>2</v>
      </c>
      <c r="AK35">
        <f t="shared" ca="1" si="16"/>
        <v>0</v>
      </c>
      <c r="AL35">
        <v>0</v>
      </c>
      <c r="AM35">
        <f ca="1">actuals_stn_exp[[#This Row],[Taken into Immediate Future Plan]]-actuals_stn_exp[[#This Row],[Removed Planned]]-actuals_stn_exp[[#This Row],[Remaining Planned]]</f>
        <v>2</v>
      </c>
      <c r="AN35">
        <f ca="1">ROUND(RANDBETWEEN(50,100)/100*actuals_stn_exp[[#This Row],[Added Additional]],0)</f>
        <v>0</v>
      </c>
      <c r="AO35">
        <f t="shared" ca="1" si="17"/>
        <v>0</v>
      </c>
      <c r="AP35">
        <f ca="1">IF(actuals_stn_exp[[#This Row],[End Date]],actuals_stn_exp[[#This Row],[Taken into Immediate Future Plan]]-actuals_stn_exp[[#This Row],[Removed Planned]]-actuals_stn_exp[[#This Row],[Planned done]]-actuals_stn_exp[[#This Row],[Remaining Planned]],"TBD")</f>
        <v>0</v>
      </c>
      <c r="AQ35">
        <f ca="1">ROUND(RANDBETWEEN(70,100)/100*actuals_stn_exp[[#This Row],[Planned done]],0)</f>
        <v>1</v>
      </c>
      <c r="AR35">
        <f ca="1">ROUND(RANDBETWEEN(90,100)/100*actuals_stn_exp[[#This Row],[Planned done]],0)</f>
        <v>2</v>
      </c>
    </row>
    <row r="36" spans="24:44" x14ac:dyDescent="0.35">
      <c r="X36" s="4">
        <f ca="1">WORKDAY(TODAY(),2)</f>
        <v>42529</v>
      </c>
      <c r="Y36">
        <f t="shared" ca="1" si="12"/>
        <v>3</v>
      </c>
      <c r="AI36" s="4">
        <f ca="1">WORKDAY(TODAY(),2)</f>
        <v>42529</v>
      </c>
      <c r="AJ36">
        <f t="shared" ca="1" si="15"/>
        <v>2</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
  <sheetViews>
    <sheetView topLeftCell="X15" workbookViewId="0">
      <selection activeCell="AJ38" sqref="AJ38"/>
    </sheetView>
  </sheetViews>
  <sheetFormatPr defaultRowHeight="14.5" x14ac:dyDescent="0.35"/>
  <cols>
    <col min="1" max="1" width="13.54296875" customWidth="1"/>
    <col min="2" max="4" width="9.453125" bestFit="1" customWidth="1"/>
  </cols>
  <sheetData>
    <row r="1" spans="1:40" x14ac:dyDescent="0.35">
      <c r="A1" t="s">
        <v>55</v>
      </c>
      <c r="F1">
        <v>20</v>
      </c>
    </row>
    <row r="3" spans="1:40" x14ac:dyDescent="0.35">
      <c r="A3" t="s">
        <v>40</v>
      </c>
      <c r="B3" t="s">
        <v>39</v>
      </c>
      <c r="C3" t="s">
        <v>49</v>
      </c>
      <c r="D3" t="s">
        <v>45</v>
      </c>
      <c r="E3" t="s">
        <v>46</v>
      </c>
      <c r="F3" t="s">
        <v>49</v>
      </c>
      <c r="G3" t="s">
        <v>54</v>
      </c>
      <c r="H3" t="s">
        <v>49</v>
      </c>
      <c r="I3" t="s">
        <v>47</v>
      </c>
      <c r="J3" t="s">
        <v>48</v>
      </c>
      <c r="K3" t="s">
        <v>50</v>
      </c>
      <c r="L3" t="s">
        <v>56</v>
      </c>
      <c r="M3" t="s">
        <v>65</v>
      </c>
      <c r="N3" t="s">
        <v>58</v>
      </c>
      <c r="O3" t="s">
        <v>64</v>
      </c>
    </row>
    <row r="4" spans="1:40" x14ac:dyDescent="0.35">
      <c r="A4" t="s">
        <v>41</v>
      </c>
      <c r="B4" s="4">
        <f ca="1">VLOOKUP(WORKDAY(dashboard_now,-$F$1),actuals_prd_imp[End Date],1,TRUE)</f>
        <v>42495</v>
      </c>
      <c r="C4" s="48">
        <f ca="1">MATCH(B4,actuals_prd_imp[End Date])</f>
        <v>10</v>
      </c>
      <c r="D4" s="4">
        <f ca="1">WORKDAY(VLOOKUP(WORKDAY(B4,-1),actuals_prd_imp[End Date],1,TRUE),1)</f>
        <v>42489</v>
      </c>
      <c r="E4" s="4">
        <f ca="1">VLOOKUP(dashboard_now,actuals_prd_imp[End Date],1,TRUE)</f>
        <v>42523</v>
      </c>
      <c r="F4" s="48">
        <f ca="1">MATCH(E4,actuals_prd_imp[End Date])</f>
        <v>14</v>
      </c>
      <c r="G4" s="4">
        <f ca="1">INDEX(actuals_prd_imp[End Date],H4)</f>
        <v>42530</v>
      </c>
      <c r="H4" s="48">
        <f ca="1">F4+1</f>
        <v>15</v>
      </c>
      <c r="I4">
        <f ca="1">NETWORKDAYS(D4,E4)</f>
        <v>25</v>
      </c>
      <c r="J4">
        <f ca="1">SUM(OFFSET(actuals_prd_imp[Planned done],C4-1,0,F4-C4+1))</f>
        <v>49</v>
      </c>
      <c r="K4">
        <f ca="1">J4/I4</f>
        <v>1.96</v>
      </c>
      <c r="L4" s="48">
        <f ca="1">NETWORKDAYS(E4,G4)-1</f>
        <v>5</v>
      </c>
      <c r="M4" s="48">
        <f ca="1">NETWORKDAYS(E4,dashboard_now)-1</f>
        <v>2</v>
      </c>
      <c r="N4">
        <f ca="1">L4-M4</f>
        <v>3</v>
      </c>
      <c r="O4">
        <f ca="1">INDEX(actuals_prd_imp[Taken into Immediate Future Plan],H4)</f>
        <v>11</v>
      </c>
    </row>
    <row r="5" spans="1:40" x14ac:dyDescent="0.35">
      <c r="A5" t="s">
        <v>42</v>
      </c>
      <c r="B5" s="4">
        <f ca="1">VLOOKUP(WORKDAY(dashboard_now,-$F$1),actuals_prd_exp[End Date],1,TRUE)</f>
        <v>42495</v>
      </c>
      <c r="C5" s="48">
        <f ca="1">MATCH(B5,actuals_prd_exp[End Date])</f>
        <v>10</v>
      </c>
      <c r="D5" s="4">
        <f ca="1">WORKDAY(VLOOKUP(WORKDAY(B5,-1),actuals_prd_exp[End Date],1,TRUE),1)</f>
        <v>42489</v>
      </c>
      <c r="E5" s="4">
        <f ca="1">VLOOKUP(dashboard_now,actuals_prd_exp[End Date],1,TRUE)</f>
        <v>42523</v>
      </c>
      <c r="F5" s="48">
        <f ca="1">MATCH(E5,actuals_prd_exp[End Date])</f>
        <v>14</v>
      </c>
      <c r="G5" s="4">
        <f ca="1">INDEX(actuals_prd_exp[End Date],H5)</f>
        <v>42530</v>
      </c>
      <c r="H5" s="48">
        <f t="shared" ref="H5:H7" ca="1" si="0">F5+1</f>
        <v>15</v>
      </c>
      <c r="I5">
        <f t="shared" ref="I5:I7" ca="1" si="1">NETWORKDAYS(D5,E5)</f>
        <v>25</v>
      </c>
      <c r="J5">
        <f ca="1">SUM(OFFSET(actuals_prd_exp[Planned done],C5-1,0,F5-C5+1))</f>
        <v>56</v>
      </c>
      <c r="K5">
        <f t="shared" ref="K5:K7" ca="1" si="2">J5/I5</f>
        <v>2.2400000000000002</v>
      </c>
      <c r="L5" s="48">
        <f t="shared" ref="L5:L7" ca="1" si="3">NETWORKDAYS(E5,G5)-1</f>
        <v>5</v>
      </c>
      <c r="M5" s="48">
        <f ca="1">NETWORKDAYS(E5,dashboard_now)-1</f>
        <v>2</v>
      </c>
      <c r="N5">
        <f t="shared" ref="N5:N7" ca="1" si="4">L5-M5</f>
        <v>3</v>
      </c>
      <c r="O5">
        <f ca="1">INDEX(actuals_prd_exp[Taken into Immediate Future Plan],H5)</f>
        <v>14</v>
      </c>
    </row>
    <row r="6" spans="1:40" x14ac:dyDescent="0.35">
      <c r="A6" t="s">
        <v>43</v>
      </c>
      <c r="B6" s="4">
        <f ca="1">VLOOKUP(WORKDAY(dashboard_now,-$F$1),actuals_stn_imp[End Date],1,TRUE)</f>
        <v>42499</v>
      </c>
      <c r="C6" s="48">
        <f ca="1">MATCH(B6,actuals_stn_imp[End Date])</f>
        <v>24</v>
      </c>
      <c r="D6" s="4">
        <f ca="1">WORKDAY(VLOOKUP(WORKDAY(B6,-1),actuals_stn_imp[End Date],1,TRUE),1)</f>
        <v>42496</v>
      </c>
      <c r="E6" s="4">
        <f ca="1">VLOOKUP(dashboard_now,actuals_stn_imp[End Date],1,TRUE)</f>
        <v>42527</v>
      </c>
      <c r="F6" s="48">
        <f ca="1">MATCH(E6,actuals_stn_imp[End Date])</f>
        <v>34</v>
      </c>
      <c r="G6" s="4">
        <f ca="1">INDEX(actuals_stn_imp[End Date],H6)</f>
        <v>42529</v>
      </c>
      <c r="H6" s="48">
        <f t="shared" ca="1" si="0"/>
        <v>35</v>
      </c>
      <c r="I6">
        <f t="shared" ca="1" si="1"/>
        <v>22</v>
      </c>
      <c r="J6">
        <f ca="1">SUM(OFFSET(actuals_stn_imp[Planned done],C6-1,0,F6-C6+1))</f>
        <v>23</v>
      </c>
      <c r="K6">
        <f t="shared" ca="1" si="2"/>
        <v>1.0454545454545454</v>
      </c>
      <c r="L6" s="48">
        <f t="shared" ca="1" si="3"/>
        <v>2</v>
      </c>
      <c r="M6" s="48">
        <f ca="1">NETWORKDAYS(E6,dashboard_now)-1</f>
        <v>0</v>
      </c>
      <c r="N6">
        <f t="shared" ca="1" si="4"/>
        <v>2</v>
      </c>
      <c r="O6">
        <f ca="1">INDEX(actuals_stn_imp[Taken into Immediate Future Plan],H6)</f>
        <v>3</v>
      </c>
    </row>
    <row r="7" spans="1:40" x14ac:dyDescent="0.35">
      <c r="A7" t="s">
        <v>44</v>
      </c>
      <c r="B7" s="4">
        <f ca="1">VLOOKUP(WORKDAY(dashboard_now,-$F$1),actuals_stn_exp[End Date],1,TRUE)</f>
        <v>42499</v>
      </c>
      <c r="C7" s="48">
        <f ca="1">MATCH(B7,actuals_stn_exp[End Date])</f>
        <v>24</v>
      </c>
      <c r="D7" s="4">
        <f ca="1">WORKDAY(VLOOKUP(WORKDAY(B7,-1),actuals_stn_exp[End Date],1,TRUE),1)</f>
        <v>42496</v>
      </c>
      <c r="E7" s="4">
        <f ca="1">VLOOKUP(dashboard_now,actuals_stn_exp[End Date],1,TRUE)</f>
        <v>42527</v>
      </c>
      <c r="F7" s="48">
        <f ca="1">MATCH(E7,actuals_stn_exp[End Date])</f>
        <v>34</v>
      </c>
      <c r="G7" s="4">
        <f ca="1">INDEX(actuals_stn_exp[End Date],H7)</f>
        <v>42529</v>
      </c>
      <c r="H7" s="48">
        <f t="shared" ca="1" si="0"/>
        <v>35</v>
      </c>
      <c r="I7">
        <f t="shared" ca="1" si="1"/>
        <v>22</v>
      </c>
      <c r="J7">
        <f ca="1">SUM(OFFSET(actuals_stn_exp[Planned done],C7-1,0,F7-C7+1))</f>
        <v>23</v>
      </c>
      <c r="K7">
        <f t="shared" ca="1" si="2"/>
        <v>1.0454545454545454</v>
      </c>
      <c r="L7" s="48">
        <f t="shared" ca="1" si="3"/>
        <v>2</v>
      </c>
      <c r="M7" s="48">
        <f ca="1">NETWORKDAYS(E7,dashboard_now)-1</f>
        <v>0</v>
      </c>
      <c r="N7">
        <f t="shared" ca="1" si="4"/>
        <v>2</v>
      </c>
      <c r="O7">
        <f ca="1">INDEX(actuals_stn_exp[Taken into Immediate Future Plan],H7)</f>
        <v>2</v>
      </c>
    </row>
    <row r="9" spans="1:40" x14ac:dyDescent="0.35">
      <c r="B9" t="s">
        <v>52</v>
      </c>
      <c r="C9" t="s">
        <v>57</v>
      </c>
      <c r="D9" t="s">
        <v>63</v>
      </c>
      <c r="E9" t="s">
        <v>66</v>
      </c>
      <c r="F9" t="s">
        <v>67</v>
      </c>
      <c r="G9" t="s">
        <v>69</v>
      </c>
      <c r="H9" t="s">
        <v>68</v>
      </c>
    </row>
    <row r="10" spans="1:40" x14ac:dyDescent="0.35">
      <c r="A10" t="s">
        <v>7</v>
      </c>
      <c r="B10">
        <f ca="1">K4+K5</f>
        <v>4.2</v>
      </c>
      <c r="C10">
        <f ca="1">total_daily_capacity*(1-current_budget)*L4</f>
        <v>18.872727272727271</v>
      </c>
      <c r="D10">
        <f ca="1">O4+O5</f>
        <v>25</v>
      </c>
      <c r="E10" s="49">
        <f ca="1">M4/L4</f>
        <v>0.4</v>
      </c>
      <c r="F10" s="49">
        <f ca="1">N4/L4</f>
        <v>0.6</v>
      </c>
      <c r="G10">
        <f ca="1">E10*D10</f>
        <v>10</v>
      </c>
      <c r="H10">
        <f ca="1">F10*C10</f>
        <v>11.323636363636362</v>
      </c>
    </row>
    <row r="11" spans="1:40" x14ac:dyDescent="0.35">
      <c r="A11" t="s">
        <v>51</v>
      </c>
      <c r="B11">
        <f ca="1">K6+K7</f>
        <v>2.0909090909090908</v>
      </c>
      <c r="C11">
        <f ca="1">total_daily_capacity*current_budget*L6</f>
        <v>5.0327272727272732</v>
      </c>
      <c r="D11">
        <f ca="1">O6+O7</f>
        <v>5</v>
      </c>
      <c r="E11" s="49">
        <f ca="1">M6/L6</f>
        <v>0</v>
      </c>
      <c r="F11" s="49">
        <f ca="1">N6/L6</f>
        <v>1</v>
      </c>
      <c r="G11">
        <f ca="1">E11*D11</f>
        <v>0</v>
      </c>
      <c r="H11">
        <f ca="1">F11*C11</f>
        <v>5.0327272727272732</v>
      </c>
    </row>
    <row r="12" spans="1:40" x14ac:dyDescent="0.35">
      <c r="A12" t="s">
        <v>53</v>
      </c>
      <c r="B12">
        <f ca="1">SUM(B10:B11)</f>
        <v>6.290909090909091</v>
      </c>
      <c r="D12">
        <f ca="1">SUM(D10:D11)</f>
        <v>30</v>
      </c>
    </row>
    <row r="14" spans="1:40" x14ac:dyDescent="0.35">
      <c r="A14" t="s">
        <v>62</v>
      </c>
      <c r="B14" s="49">
        <f ca="1">VLOOKUP(dashboard_now,budget_history[],2,TRUE)</f>
        <v>0.4</v>
      </c>
    </row>
    <row r="16" spans="1:40" x14ac:dyDescent="0.35">
      <c r="B16" s="12" t="s">
        <v>87</v>
      </c>
      <c r="C16" s="12"/>
      <c r="D16" s="12"/>
      <c r="E16" s="12"/>
      <c r="F16" s="12"/>
      <c r="G16" s="12" t="s">
        <v>91</v>
      </c>
      <c r="H16" s="12"/>
      <c r="I16" s="12"/>
      <c r="J16" s="12"/>
      <c r="K16" s="12" t="s">
        <v>9</v>
      </c>
      <c r="L16" s="12"/>
      <c r="M16" s="12"/>
      <c r="N16" s="12"/>
      <c r="O16" s="12" t="s">
        <v>8</v>
      </c>
      <c r="P16" s="12"/>
      <c r="Q16" s="12"/>
      <c r="R16" s="12"/>
      <c r="S16" s="12" t="s">
        <v>92</v>
      </c>
      <c r="T16" s="12"/>
      <c r="U16" s="12"/>
      <c r="V16" s="12"/>
      <c r="W16" s="12" t="s">
        <v>93</v>
      </c>
      <c r="X16" s="12"/>
      <c r="Y16" s="12"/>
      <c r="Z16" s="12"/>
      <c r="AA16" s="12" t="s">
        <v>90</v>
      </c>
      <c r="AB16" s="12"/>
      <c r="AC16" s="12"/>
      <c r="AD16" s="12"/>
      <c r="AE16" s="12"/>
      <c r="AF16" s="12"/>
      <c r="AG16" s="12"/>
      <c r="AH16" s="12" t="s">
        <v>105</v>
      </c>
      <c r="AI16" s="12"/>
      <c r="AJ16" s="12"/>
      <c r="AK16" s="12"/>
      <c r="AL16" s="12"/>
      <c r="AM16" s="12"/>
      <c r="AN16" s="12"/>
    </row>
    <row r="17" spans="1:40" x14ac:dyDescent="0.35">
      <c r="A17" t="s">
        <v>6</v>
      </c>
      <c r="B17" t="s">
        <v>88</v>
      </c>
      <c r="C17" t="s">
        <v>79</v>
      </c>
      <c r="D17" t="s">
        <v>80</v>
      </c>
      <c r="E17" t="s">
        <v>81</v>
      </c>
      <c r="F17" t="s">
        <v>82</v>
      </c>
      <c r="G17" t="s">
        <v>83</v>
      </c>
      <c r="H17" t="s">
        <v>84</v>
      </c>
      <c r="I17" t="s">
        <v>85</v>
      </c>
      <c r="J17" t="s">
        <v>86</v>
      </c>
      <c r="K17" t="s">
        <v>83</v>
      </c>
      <c r="L17" t="s">
        <v>84</v>
      </c>
      <c r="M17" t="s">
        <v>85</v>
      </c>
      <c r="N17" t="s">
        <v>86</v>
      </c>
      <c r="O17" t="s">
        <v>83</v>
      </c>
      <c r="P17" t="s">
        <v>84</v>
      </c>
      <c r="Q17" t="s">
        <v>85</v>
      </c>
      <c r="R17" t="s">
        <v>86</v>
      </c>
      <c r="S17" t="s">
        <v>83</v>
      </c>
      <c r="T17" t="s">
        <v>84</v>
      </c>
      <c r="U17" t="s">
        <v>85</v>
      </c>
      <c r="V17" t="s">
        <v>86</v>
      </c>
      <c r="W17" t="s">
        <v>83</v>
      </c>
      <c r="X17" t="s">
        <v>84</v>
      </c>
      <c r="Y17" t="s">
        <v>85</v>
      </c>
      <c r="Z17" t="s">
        <v>86</v>
      </c>
      <c r="AA17" t="s">
        <v>98</v>
      </c>
      <c r="AB17" t="s">
        <v>99</v>
      </c>
      <c r="AC17" t="s">
        <v>61</v>
      </c>
      <c r="AD17" t="s">
        <v>102</v>
      </c>
      <c r="AE17" t="s">
        <v>100</v>
      </c>
      <c r="AF17" t="s">
        <v>101</v>
      </c>
      <c r="AG17" t="s">
        <v>89</v>
      </c>
      <c r="AH17" t="s">
        <v>98</v>
      </c>
      <c r="AI17" t="s">
        <v>99</v>
      </c>
      <c r="AJ17" t="s">
        <v>102</v>
      </c>
      <c r="AK17" t="s">
        <v>11</v>
      </c>
      <c r="AL17" t="s">
        <v>12</v>
      </c>
      <c r="AM17" t="s">
        <v>13</v>
      </c>
      <c r="AN17" t="s">
        <v>14</v>
      </c>
    </row>
    <row r="18" spans="1:40" x14ac:dyDescent="0.35">
      <c r="A18" s="53">
        <f ca="1">WORKDAY(dashboard_now,-F1)</f>
        <v>42499</v>
      </c>
      <c r="B18" s="48">
        <f ca="1">MATCH($A18,budget_history[Date])</f>
        <v>2</v>
      </c>
      <c r="C18" s="48">
        <f ca="1">MATCH($A18,actuals_prd_imp[End Date])</f>
        <v>10</v>
      </c>
      <c r="D18" s="48">
        <f ca="1">MATCH($A18,actuals_prd_exp[End Date])</f>
        <v>10</v>
      </c>
      <c r="E18" s="48">
        <f ca="1">MATCH($A18,actuals_stn_imp[End Date])</f>
        <v>24</v>
      </c>
      <c r="F18" s="48">
        <f ca="1">MATCH($A18,actuals_stn_exp[End Date])</f>
        <v>24</v>
      </c>
      <c r="G18">
        <f ca="1">NETWORKDAYS(INDEX(actuals_prd_imp[End Date],$C18-1), INDEX(actuals_prd_imp[End Date],$C18))-1</f>
        <v>5</v>
      </c>
      <c r="H18">
        <f ca="1">NETWORKDAYS(INDEX(actuals_prd_exp[End Date],$C18-1), INDEX(actuals_prd_exp[End Date],$C18))-1</f>
        <v>5</v>
      </c>
      <c r="I18">
        <f ca="1">NETWORKDAYS(INDEX(actuals_stn_imp[End Date],$C18-1), INDEX(actuals_stn_imp[End Date],$C18))-1</f>
        <v>2</v>
      </c>
      <c r="J18">
        <f ca="1">NETWORKDAYS(INDEX(actuals_stn_exp[End Date],$C18-1), INDEX(actuals_stn_exp[End Date],$C18))-1</f>
        <v>2</v>
      </c>
      <c r="K18">
        <f ca="1">INDEX(actuals_prd_imp[Planned done],$C18)</f>
        <v>11</v>
      </c>
      <c r="L18">
        <f ca="1">INDEX(actuals_prd_exp[Planned done],$D18)</f>
        <v>13</v>
      </c>
      <c r="M18">
        <f ca="1">INDEX(actuals_stn_imp[Planned done],$E18)</f>
        <v>3</v>
      </c>
      <c r="N18">
        <f ca="1">INDEX(actuals_stn_exp[Planned done],$F18)</f>
        <v>3</v>
      </c>
      <c r="O18">
        <f ca="1">INDEX(actuals_prd_imp[Additional done],$C18)</f>
        <v>2</v>
      </c>
      <c r="P18">
        <f ca="1">INDEX(actuals_prd_exp[Additional done],$D18)</f>
        <v>0</v>
      </c>
      <c r="Q18">
        <f ca="1">INDEX(actuals_stn_imp[Additional done],$E18)</f>
        <v>0</v>
      </c>
      <c r="R18">
        <f ca="1">INDEX(actuals_stn_exp[Additional done],$F18)</f>
        <v>0</v>
      </c>
      <c r="S18">
        <f ca="1">K18/G18</f>
        <v>2.2000000000000002</v>
      </c>
      <c r="T18">
        <f t="shared" ref="T18:V18" ca="1" si="5">L18/H18</f>
        <v>2.6</v>
      </c>
      <c r="U18">
        <f t="shared" ca="1" si="5"/>
        <v>1.5</v>
      </c>
      <c r="V18">
        <f t="shared" ca="1" si="5"/>
        <v>1.5</v>
      </c>
      <c r="W18">
        <f ca="1">O18/G18</f>
        <v>0.4</v>
      </c>
      <c r="X18">
        <f t="shared" ref="X18:Z18" ca="1" si="6">P18/H18</f>
        <v>0</v>
      </c>
      <c r="Y18">
        <f t="shared" ca="1" si="6"/>
        <v>0</v>
      </c>
      <c r="Z18">
        <f t="shared" ca="1" si="6"/>
        <v>0</v>
      </c>
      <c r="AA18" s="49">
        <f ca="1">AC18*0.75</f>
        <v>0.22499999999999998</v>
      </c>
      <c r="AB18" s="49">
        <f ca="1">AC18*0.9</f>
        <v>0.27</v>
      </c>
      <c r="AC18" s="49">
        <f ca="1">INDEX(budget_history[Budget],$B18)</f>
        <v>0.3</v>
      </c>
      <c r="AD18" s="49">
        <f ca="1">1-(0.9*(1-AC18))</f>
        <v>0.37</v>
      </c>
      <c r="AE18" s="49">
        <f ca="1">1-(0.75*(1-AC18))</f>
        <v>0.47500000000000009</v>
      </c>
      <c r="AF18" s="49">
        <v>1</v>
      </c>
      <c r="AG18" s="49">
        <f ca="1">SUM(Y18:Z18,U18:V18)/SUM(S18:Z18)</f>
        <v>0.3658536585365853</v>
      </c>
      <c r="AH18" s="49">
        <v>0.6</v>
      </c>
      <c r="AI18" s="49">
        <v>0.8</v>
      </c>
      <c r="AJ18" s="49">
        <v>1</v>
      </c>
      <c r="AK18" s="49">
        <f ca="1">S18/SUM(S18,W18)</f>
        <v>0.84615384615384615</v>
      </c>
      <c r="AL18" s="49">
        <f t="shared" ref="AL18:AN18" ca="1" si="7">T18/SUM(T18,X18)</f>
        <v>1</v>
      </c>
      <c r="AM18" s="49">
        <f t="shared" ca="1" si="7"/>
        <v>1</v>
      </c>
      <c r="AN18" s="49">
        <f t="shared" ca="1" si="7"/>
        <v>1</v>
      </c>
    </row>
    <row r="19" spans="1:40" x14ac:dyDescent="0.35">
      <c r="A19" s="53">
        <f ca="1">WORKDAY(A18,1)</f>
        <v>42500</v>
      </c>
      <c r="B19" s="48">
        <f ca="1">MATCH($A19,budget_history[Date])</f>
        <v>2</v>
      </c>
      <c r="C19" s="48">
        <f ca="1">MATCH($A19,actuals_prd_imp[End Date])</f>
        <v>10</v>
      </c>
      <c r="D19" s="48">
        <f ca="1">MATCH($A19,actuals_prd_exp[End Date])</f>
        <v>10</v>
      </c>
      <c r="E19" s="48">
        <f ca="1">MATCH($A19,actuals_stn_imp[End Date])</f>
        <v>24</v>
      </c>
      <c r="F19" s="48">
        <f ca="1">MATCH($A19,actuals_stn_exp[End Date])</f>
        <v>24</v>
      </c>
      <c r="G19">
        <f ca="1">NETWORKDAYS(INDEX(actuals_prd_imp[End Date],$C19-1), INDEX(actuals_prd_imp[End Date],$C19))-1</f>
        <v>5</v>
      </c>
      <c r="H19">
        <f ca="1">NETWORKDAYS(INDEX(actuals_prd_exp[End Date],$C19-1), INDEX(actuals_prd_exp[End Date],$C19))-1</f>
        <v>5</v>
      </c>
      <c r="I19">
        <f ca="1">NETWORKDAYS(INDEX(actuals_stn_imp[End Date],$C19-1), INDEX(actuals_stn_imp[End Date],$C19))-1</f>
        <v>2</v>
      </c>
      <c r="J19">
        <f ca="1">NETWORKDAYS(INDEX(actuals_stn_exp[End Date],$C19-1), INDEX(actuals_stn_exp[End Date],$C19))-1</f>
        <v>2</v>
      </c>
      <c r="K19">
        <f ca="1">INDEX(actuals_prd_imp[Planned done],$C19)</f>
        <v>11</v>
      </c>
      <c r="L19">
        <f ca="1">INDEX(actuals_prd_exp[Planned done],$D19)</f>
        <v>13</v>
      </c>
      <c r="M19">
        <f ca="1">INDEX(actuals_stn_imp[Planned done],$E19)</f>
        <v>3</v>
      </c>
      <c r="N19">
        <f ca="1">INDEX(actuals_stn_exp[Planned done],$F19)</f>
        <v>3</v>
      </c>
      <c r="O19">
        <f ca="1">INDEX(actuals_prd_imp[Additional done],$C19)</f>
        <v>2</v>
      </c>
      <c r="P19">
        <f ca="1">INDEX(actuals_prd_exp[Additional done],$D19)</f>
        <v>0</v>
      </c>
      <c r="Q19">
        <f ca="1">INDEX(actuals_stn_imp[Additional done],$E19)</f>
        <v>0</v>
      </c>
      <c r="R19">
        <f ca="1">INDEX(actuals_stn_exp[Additional done],$F19)</f>
        <v>0</v>
      </c>
      <c r="S19">
        <f t="shared" ref="S19:S38" ca="1" si="8">K19/G19</f>
        <v>2.2000000000000002</v>
      </c>
      <c r="T19">
        <f t="shared" ref="T19:T38" ca="1" si="9">L19/H19</f>
        <v>2.6</v>
      </c>
      <c r="U19">
        <f t="shared" ref="U19:U38" ca="1" si="10">M19/I19</f>
        <v>1.5</v>
      </c>
      <c r="V19">
        <f t="shared" ref="V19:V38" ca="1" si="11">N19/J19</f>
        <v>1.5</v>
      </c>
      <c r="W19">
        <f t="shared" ref="W19:W38" ca="1" si="12">O19/G19</f>
        <v>0.4</v>
      </c>
      <c r="X19">
        <f t="shared" ref="X19:X38" ca="1" si="13">P19/H19</f>
        <v>0</v>
      </c>
      <c r="Y19">
        <f t="shared" ref="Y19:Y38" ca="1" si="14">Q19/I19</f>
        <v>0</v>
      </c>
      <c r="Z19">
        <f t="shared" ref="Z19:Z38" ca="1" si="15">R19/J19</f>
        <v>0</v>
      </c>
      <c r="AA19" s="49">
        <f t="shared" ref="AA19:AA38" ca="1" si="16">AC19*0.75</f>
        <v>0.22499999999999998</v>
      </c>
      <c r="AB19" s="49">
        <f t="shared" ref="AB19:AB38" ca="1" si="17">AC19*0.9</f>
        <v>0.27</v>
      </c>
      <c r="AC19" s="49">
        <f ca="1">INDEX(budget_history[Budget],$B19)</f>
        <v>0.3</v>
      </c>
      <c r="AD19" s="49">
        <f t="shared" ref="AD19:AD38" ca="1" si="18">1-(0.9*(1-AC19))</f>
        <v>0.37</v>
      </c>
      <c r="AE19" s="49">
        <f t="shared" ref="AE19:AE38" ca="1" si="19">1-(0.75*(1-AC19))</f>
        <v>0.47500000000000009</v>
      </c>
      <c r="AF19" s="49">
        <v>1</v>
      </c>
      <c r="AG19" s="49">
        <f t="shared" ref="AG19:AG38" ca="1" si="20">SUM(Y19:Z19,U19:V19)/SUM(S19:Z19)</f>
        <v>0.3658536585365853</v>
      </c>
      <c r="AH19" s="49">
        <v>0.6</v>
      </c>
      <c r="AI19" s="49">
        <v>0.8</v>
      </c>
      <c r="AJ19" s="49">
        <v>1</v>
      </c>
      <c r="AK19" s="49">
        <f t="shared" ref="AK19:AK38" ca="1" si="21">S19/SUM(S19,W19)</f>
        <v>0.84615384615384615</v>
      </c>
      <c r="AL19" s="49">
        <f t="shared" ref="AL19:AL38" ca="1" si="22">T19/SUM(T19,X19)</f>
        <v>1</v>
      </c>
      <c r="AM19" s="49">
        <f t="shared" ref="AM19:AM38" ca="1" si="23">U19/SUM(U19,Y19)</f>
        <v>1</v>
      </c>
      <c r="AN19" s="49">
        <f t="shared" ref="AN19:AN38" ca="1" si="24">V19/SUM(V19,Z19)</f>
        <v>1</v>
      </c>
    </row>
    <row r="20" spans="1:40" x14ac:dyDescent="0.35">
      <c r="A20" s="53">
        <f t="shared" ref="A20:A38" ca="1" si="25">WORKDAY(A19,1)</f>
        <v>42501</v>
      </c>
      <c r="B20" s="48">
        <f ca="1">MATCH($A20,budget_history[Date])</f>
        <v>2</v>
      </c>
      <c r="C20" s="48">
        <f ca="1">MATCH($A20,actuals_prd_imp[End Date])</f>
        <v>10</v>
      </c>
      <c r="D20" s="48">
        <f ca="1">MATCH($A20,actuals_prd_exp[End Date])</f>
        <v>10</v>
      </c>
      <c r="E20" s="48">
        <f ca="1">MATCH($A20,actuals_stn_imp[End Date])</f>
        <v>25</v>
      </c>
      <c r="F20" s="48">
        <f ca="1">MATCH($A20,actuals_stn_exp[End Date])</f>
        <v>25</v>
      </c>
      <c r="G20">
        <f ca="1">NETWORKDAYS(INDEX(actuals_prd_imp[End Date],$C20-1), INDEX(actuals_prd_imp[End Date],$C20))-1</f>
        <v>5</v>
      </c>
      <c r="H20">
        <f ca="1">NETWORKDAYS(INDEX(actuals_prd_exp[End Date],$C20-1), INDEX(actuals_prd_exp[End Date],$C20))-1</f>
        <v>5</v>
      </c>
      <c r="I20">
        <f ca="1">NETWORKDAYS(INDEX(actuals_stn_imp[End Date],$C20-1), INDEX(actuals_stn_imp[End Date],$C20))-1</f>
        <v>2</v>
      </c>
      <c r="J20">
        <f ca="1">NETWORKDAYS(INDEX(actuals_stn_exp[End Date],$C20-1), INDEX(actuals_stn_exp[End Date],$C20))-1</f>
        <v>2</v>
      </c>
      <c r="K20">
        <f ca="1">INDEX(actuals_prd_imp[Planned done],$C20)</f>
        <v>11</v>
      </c>
      <c r="L20">
        <f ca="1">INDEX(actuals_prd_exp[Planned done],$D20)</f>
        <v>13</v>
      </c>
      <c r="M20">
        <f ca="1">INDEX(actuals_stn_imp[Planned done],$E20)</f>
        <v>3</v>
      </c>
      <c r="N20">
        <f ca="1">INDEX(actuals_stn_exp[Planned done],$F20)</f>
        <v>2</v>
      </c>
      <c r="O20">
        <f ca="1">INDEX(actuals_prd_imp[Additional done],$C20)</f>
        <v>2</v>
      </c>
      <c r="P20">
        <f ca="1">INDEX(actuals_prd_exp[Additional done],$D20)</f>
        <v>0</v>
      </c>
      <c r="Q20">
        <f ca="1">INDEX(actuals_stn_imp[Additional done],$E20)</f>
        <v>0</v>
      </c>
      <c r="R20">
        <f ca="1">INDEX(actuals_stn_exp[Additional done],$F20)</f>
        <v>0</v>
      </c>
      <c r="S20">
        <f t="shared" ca="1" si="8"/>
        <v>2.2000000000000002</v>
      </c>
      <c r="T20">
        <f t="shared" ca="1" si="9"/>
        <v>2.6</v>
      </c>
      <c r="U20">
        <f t="shared" ca="1" si="10"/>
        <v>1.5</v>
      </c>
      <c r="V20">
        <f t="shared" ca="1" si="11"/>
        <v>1</v>
      </c>
      <c r="W20">
        <f t="shared" ca="1" si="12"/>
        <v>0.4</v>
      </c>
      <c r="X20">
        <f t="shared" ca="1" si="13"/>
        <v>0</v>
      </c>
      <c r="Y20">
        <f t="shared" ca="1" si="14"/>
        <v>0</v>
      </c>
      <c r="Z20">
        <f t="shared" ca="1" si="15"/>
        <v>0</v>
      </c>
      <c r="AA20" s="49">
        <f t="shared" ca="1" si="16"/>
        <v>0.22499999999999998</v>
      </c>
      <c r="AB20" s="49">
        <f t="shared" ca="1" si="17"/>
        <v>0.27</v>
      </c>
      <c r="AC20" s="49">
        <f ca="1">INDEX(budget_history[Budget],$B20)</f>
        <v>0.3</v>
      </c>
      <c r="AD20" s="49">
        <f t="shared" ca="1" si="18"/>
        <v>0.37</v>
      </c>
      <c r="AE20" s="49">
        <f t="shared" ca="1" si="19"/>
        <v>0.47500000000000009</v>
      </c>
      <c r="AF20" s="49">
        <v>1</v>
      </c>
      <c r="AG20" s="49">
        <f t="shared" ca="1" si="20"/>
        <v>0.32467532467532462</v>
      </c>
      <c r="AH20" s="49">
        <v>0.6</v>
      </c>
      <c r="AI20" s="49">
        <v>0.8</v>
      </c>
      <c r="AJ20" s="49">
        <v>1</v>
      </c>
      <c r="AK20" s="49">
        <f t="shared" ca="1" si="21"/>
        <v>0.84615384615384615</v>
      </c>
      <c r="AL20" s="49">
        <f t="shared" ca="1" si="22"/>
        <v>1</v>
      </c>
      <c r="AM20" s="49">
        <f t="shared" ca="1" si="23"/>
        <v>1</v>
      </c>
      <c r="AN20" s="49">
        <f t="shared" ca="1" si="24"/>
        <v>1</v>
      </c>
    </row>
    <row r="21" spans="1:40" x14ac:dyDescent="0.35">
      <c r="A21" s="53">
        <f t="shared" ca="1" si="25"/>
        <v>42502</v>
      </c>
      <c r="B21" s="48">
        <f ca="1">MATCH($A21,budget_history[Date])</f>
        <v>2</v>
      </c>
      <c r="C21" s="48">
        <f ca="1">MATCH($A21,actuals_prd_imp[End Date])</f>
        <v>11</v>
      </c>
      <c r="D21" s="48">
        <f ca="1">MATCH($A21,actuals_prd_exp[End Date])</f>
        <v>11</v>
      </c>
      <c r="E21" s="48">
        <f ca="1">MATCH($A21,actuals_stn_imp[End Date])</f>
        <v>25</v>
      </c>
      <c r="F21" s="48">
        <f ca="1">MATCH($A21,actuals_stn_exp[End Date])</f>
        <v>25</v>
      </c>
      <c r="G21">
        <f ca="1">NETWORKDAYS(INDEX(actuals_prd_imp[End Date],$C21-1), INDEX(actuals_prd_imp[End Date],$C21))-1</f>
        <v>5</v>
      </c>
      <c r="H21">
        <f ca="1">NETWORKDAYS(INDEX(actuals_prd_exp[End Date],$C21-1), INDEX(actuals_prd_exp[End Date],$C21))-1</f>
        <v>5</v>
      </c>
      <c r="I21">
        <f ca="1">NETWORKDAYS(INDEX(actuals_stn_imp[End Date],$C21-1), INDEX(actuals_stn_imp[End Date],$C21))-1</f>
        <v>2</v>
      </c>
      <c r="J21">
        <f ca="1">NETWORKDAYS(INDEX(actuals_stn_exp[End Date],$C21-1), INDEX(actuals_stn_exp[End Date],$C21))-1</f>
        <v>2</v>
      </c>
      <c r="K21">
        <f ca="1">INDEX(actuals_prd_imp[Planned done],$C21)</f>
        <v>11</v>
      </c>
      <c r="L21">
        <f ca="1">INDEX(actuals_prd_exp[Planned done],$D21)</f>
        <v>11</v>
      </c>
      <c r="M21">
        <f ca="1">INDEX(actuals_stn_imp[Planned done],$E21)</f>
        <v>3</v>
      </c>
      <c r="N21">
        <f ca="1">INDEX(actuals_stn_exp[Planned done],$F21)</f>
        <v>2</v>
      </c>
      <c r="O21">
        <f ca="1">INDEX(actuals_prd_imp[Additional done],$C21)</f>
        <v>1</v>
      </c>
      <c r="P21">
        <f ca="1">INDEX(actuals_prd_exp[Additional done],$D21)</f>
        <v>0</v>
      </c>
      <c r="Q21">
        <f ca="1">INDEX(actuals_stn_imp[Additional done],$E21)</f>
        <v>0</v>
      </c>
      <c r="R21">
        <f ca="1">INDEX(actuals_stn_exp[Additional done],$F21)</f>
        <v>0</v>
      </c>
      <c r="S21">
        <f t="shared" ca="1" si="8"/>
        <v>2.2000000000000002</v>
      </c>
      <c r="T21">
        <f t="shared" ca="1" si="9"/>
        <v>2.2000000000000002</v>
      </c>
      <c r="U21">
        <f t="shared" ca="1" si="10"/>
        <v>1.5</v>
      </c>
      <c r="V21">
        <f t="shared" ca="1" si="11"/>
        <v>1</v>
      </c>
      <c r="W21">
        <f t="shared" ca="1" si="12"/>
        <v>0.2</v>
      </c>
      <c r="X21">
        <f t="shared" ca="1" si="13"/>
        <v>0</v>
      </c>
      <c r="Y21">
        <f t="shared" ca="1" si="14"/>
        <v>0</v>
      </c>
      <c r="Z21">
        <f t="shared" ca="1" si="15"/>
        <v>0</v>
      </c>
      <c r="AA21" s="49">
        <f t="shared" ca="1" si="16"/>
        <v>0.22499999999999998</v>
      </c>
      <c r="AB21" s="49">
        <f t="shared" ca="1" si="17"/>
        <v>0.27</v>
      </c>
      <c r="AC21" s="49">
        <f ca="1">INDEX(budget_history[Budget],$B21)</f>
        <v>0.3</v>
      </c>
      <c r="AD21" s="49">
        <f t="shared" ca="1" si="18"/>
        <v>0.37</v>
      </c>
      <c r="AE21" s="49">
        <f t="shared" ca="1" si="19"/>
        <v>0.47500000000000009</v>
      </c>
      <c r="AF21" s="49">
        <v>1</v>
      </c>
      <c r="AG21" s="49">
        <f t="shared" ca="1" si="20"/>
        <v>0.352112676056338</v>
      </c>
      <c r="AH21" s="49">
        <v>0.6</v>
      </c>
      <c r="AI21" s="49">
        <v>0.8</v>
      </c>
      <c r="AJ21" s="49">
        <v>1</v>
      </c>
      <c r="AK21" s="49">
        <f t="shared" ca="1" si="21"/>
        <v>0.91666666666666663</v>
      </c>
      <c r="AL21" s="49">
        <f t="shared" ca="1" si="22"/>
        <v>1</v>
      </c>
      <c r="AM21" s="49">
        <f t="shared" ca="1" si="23"/>
        <v>1</v>
      </c>
      <c r="AN21" s="49">
        <f t="shared" ca="1" si="24"/>
        <v>1</v>
      </c>
    </row>
    <row r="22" spans="1:40" x14ac:dyDescent="0.35">
      <c r="A22" s="53">
        <f t="shared" ca="1" si="25"/>
        <v>42503</v>
      </c>
      <c r="B22" s="48">
        <f ca="1">MATCH($A22,budget_history[Date])</f>
        <v>2</v>
      </c>
      <c r="C22" s="48">
        <f ca="1">MATCH($A22,actuals_prd_imp[End Date])</f>
        <v>11</v>
      </c>
      <c r="D22" s="48">
        <f ca="1">MATCH($A22,actuals_prd_exp[End Date])</f>
        <v>11</v>
      </c>
      <c r="E22" s="48">
        <f ca="1">MATCH($A22,actuals_stn_imp[End Date])</f>
        <v>26</v>
      </c>
      <c r="F22" s="48">
        <f ca="1">MATCH($A22,actuals_stn_exp[End Date])</f>
        <v>26</v>
      </c>
      <c r="G22">
        <f ca="1">NETWORKDAYS(INDEX(actuals_prd_imp[End Date],$C22-1), INDEX(actuals_prd_imp[End Date],$C22))-1</f>
        <v>5</v>
      </c>
      <c r="H22">
        <f ca="1">NETWORKDAYS(INDEX(actuals_prd_exp[End Date],$C22-1), INDEX(actuals_prd_exp[End Date],$C22))-1</f>
        <v>5</v>
      </c>
      <c r="I22">
        <f ca="1">NETWORKDAYS(INDEX(actuals_stn_imp[End Date],$C22-1), INDEX(actuals_stn_imp[End Date],$C22))-1</f>
        <v>2</v>
      </c>
      <c r="J22">
        <f ca="1">NETWORKDAYS(INDEX(actuals_stn_exp[End Date],$C22-1), INDEX(actuals_stn_exp[End Date],$C22))-1</f>
        <v>2</v>
      </c>
      <c r="K22">
        <f ca="1">INDEX(actuals_prd_imp[Planned done],$C22)</f>
        <v>11</v>
      </c>
      <c r="L22">
        <f ca="1">INDEX(actuals_prd_exp[Planned done],$D22)</f>
        <v>11</v>
      </c>
      <c r="M22">
        <f ca="1">INDEX(actuals_stn_imp[Planned done],$E22)</f>
        <v>3</v>
      </c>
      <c r="N22">
        <f ca="1">INDEX(actuals_stn_exp[Planned done],$F22)</f>
        <v>3</v>
      </c>
      <c r="O22">
        <f ca="1">INDEX(actuals_prd_imp[Additional done],$C22)</f>
        <v>1</v>
      </c>
      <c r="P22">
        <f ca="1">INDEX(actuals_prd_exp[Additional done],$D22)</f>
        <v>0</v>
      </c>
      <c r="Q22">
        <f ca="1">INDEX(actuals_stn_imp[Additional done],$E22)</f>
        <v>1</v>
      </c>
      <c r="R22">
        <f ca="1">INDEX(actuals_stn_exp[Additional done],$F22)</f>
        <v>1</v>
      </c>
      <c r="S22">
        <f t="shared" ca="1" si="8"/>
        <v>2.2000000000000002</v>
      </c>
      <c r="T22">
        <f t="shared" ca="1" si="9"/>
        <v>2.2000000000000002</v>
      </c>
      <c r="U22">
        <f t="shared" ca="1" si="10"/>
        <v>1.5</v>
      </c>
      <c r="V22">
        <f t="shared" ca="1" si="11"/>
        <v>1.5</v>
      </c>
      <c r="W22">
        <f t="shared" ca="1" si="12"/>
        <v>0.2</v>
      </c>
      <c r="X22">
        <f t="shared" ca="1" si="13"/>
        <v>0</v>
      </c>
      <c r="Y22">
        <f t="shared" ca="1" si="14"/>
        <v>0.5</v>
      </c>
      <c r="Z22">
        <f t="shared" ca="1" si="15"/>
        <v>0.5</v>
      </c>
      <c r="AA22" s="49">
        <f t="shared" ca="1" si="16"/>
        <v>0.22499999999999998</v>
      </c>
      <c r="AB22" s="49">
        <f t="shared" ca="1" si="17"/>
        <v>0.27</v>
      </c>
      <c r="AC22" s="49">
        <f ca="1">INDEX(budget_history[Budget],$B22)</f>
        <v>0.3</v>
      </c>
      <c r="AD22" s="49">
        <f t="shared" ca="1" si="18"/>
        <v>0.37</v>
      </c>
      <c r="AE22" s="49">
        <f t="shared" ca="1" si="19"/>
        <v>0.47500000000000009</v>
      </c>
      <c r="AF22" s="49">
        <v>1</v>
      </c>
      <c r="AG22" s="49">
        <f t="shared" ca="1" si="20"/>
        <v>0.46511627906976738</v>
      </c>
      <c r="AH22" s="49">
        <v>0.6</v>
      </c>
      <c r="AI22" s="49">
        <v>0.8</v>
      </c>
      <c r="AJ22" s="49">
        <v>1</v>
      </c>
      <c r="AK22" s="49">
        <f t="shared" ca="1" si="21"/>
        <v>0.91666666666666663</v>
      </c>
      <c r="AL22" s="49">
        <f t="shared" ca="1" si="22"/>
        <v>1</v>
      </c>
      <c r="AM22" s="49">
        <f t="shared" ca="1" si="23"/>
        <v>0.75</v>
      </c>
      <c r="AN22" s="49">
        <f t="shared" ca="1" si="24"/>
        <v>0.75</v>
      </c>
    </row>
    <row r="23" spans="1:40" x14ac:dyDescent="0.35">
      <c r="A23" s="53">
        <f t="shared" ca="1" si="25"/>
        <v>42506</v>
      </c>
      <c r="B23" s="48">
        <f ca="1">MATCH($A23,budget_history[Date])</f>
        <v>2</v>
      </c>
      <c r="C23" s="48">
        <f ca="1">MATCH($A23,actuals_prd_imp[End Date])</f>
        <v>11</v>
      </c>
      <c r="D23" s="48">
        <f ca="1">MATCH($A23,actuals_prd_exp[End Date])</f>
        <v>11</v>
      </c>
      <c r="E23" s="48">
        <f ca="1">MATCH($A23,actuals_stn_imp[End Date])</f>
        <v>26</v>
      </c>
      <c r="F23" s="48">
        <f ca="1">MATCH($A23,actuals_stn_exp[End Date])</f>
        <v>26</v>
      </c>
      <c r="G23">
        <f ca="1">NETWORKDAYS(INDEX(actuals_prd_imp[End Date],$C23-1), INDEX(actuals_prd_imp[End Date],$C23))-1</f>
        <v>5</v>
      </c>
      <c r="H23">
        <f ca="1">NETWORKDAYS(INDEX(actuals_prd_exp[End Date],$C23-1), INDEX(actuals_prd_exp[End Date],$C23))-1</f>
        <v>5</v>
      </c>
      <c r="I23">
        <f ca="1">NETWORKDAYS(INDEX(actuals_stn_imp[End Date],$C23-1), INDEX(actuals_stn_imp[End Date],$C23))-1</f>
        <v>2</v>
      </c>
      <c r="J23">
        <f ca="1">NETWORKDAYS(INDEX(actuals_stn_exp[End Date],$C23-1), INDEX(actuals_stn_exp[End Date],$C23))-1</f>
        <v>2</v>
      </c>
      <c r="K23">
        <f ca="1">INDEX(actuals_prd_imp[Planned done],$C23)</f>
        <v>11</v>
      </c>
      <c r="L23">
        <f ca="1">INDEX(actuals_prd_exp[Planned done],$D23)</f>
        <v>11</v>
      </c>
      <c r="M23">
        <f ca="1">INDEX(actuals_stn_imp[Planned done],$E23)</f>
        <v>3</v>
      </c>
      <c r="N23">
        <f ca="1">INDEX(actuals_stn_exp[Planned done],$F23)</f>
        <v>3</v>
      </c>
      <c r="O23">
        <f ca="1">INDEX(actuals_prd_imp[Additional done],$C23)</f>
        <v>1</v>
      </c>
      <c r="P23">
        <f ca="1">INDEX(actuals_prd_exp[Additional done],$D23)</f>
        <v>0</v>
      </c>
      <c r="Q23">
        <f ca="1">INDEX(actuals_stn_imp[Additional done],$E23)</f>
        <v>1</v>
      </c>
      <c r="R23">
        <f ca="1">INDEX(actuals_stn_exp[Additional done],$F23)</f>
        <v>1</v>
      </c>
      <c r="S23">
        <f t="shared" ca="1" si="8"/>
        <v>2.2000000000000002</v>
      </c>
      <c r="T23">
        <f t="shared" ca="1" si="9"/>
        <v>2.2000000000000002</v>
      </c>
      <c r="U23">
        <f t="shared" ca="1" si="10"/>
        <v>1.5</v>
      </c>
      <c r="V23">
        <f t="shared" ca="1" si="11"/>
        <v>1.5</v>
      </c>
      <c r="W23">
        <f t="shared" ca="1" si="12"/>
        <v>0.2</v>
      </c>
      <c r="X23">
        <f t="shared" ca="1" si="13"/>
        <v>0</v>
      </c>
      <c r="Y23">
        <f t="shared" ca="1" si="14"/>
        <v>0.5</v>
      </c>
      <c r="Z23">
        <f t="shared" ca="1" si="15"/>
        <v>0.5</v>
      </c>
      <c r="AA23" s="49">
        <f t="shared" ca="1" si="16"/>
        <v>0.22499999999999998</v>
      </c>
      <c r="AB23" s="49">
        <f t="shared" ca="1" si="17"/>
        <v>0.27</v>
      </c>
      <c r="AC23" s="49">
        <f ca="1">INDEX(budget_history[Budget],$B23)</f>
        <v>0.3</v>
      </c>
      <c r="AD23" s="49">
        <f t="shared" ca="1" si="18"/>
        <v>0.37</v>
      </c>
      <c r="AE23" s="49">
        <f t="shared" ca="1" si="19"/>
        <v>0.47500000000000009</v>
      </c>
      <c r="AF23" s="49">
        <v>1</v>
      </c>
      <c r="AG23" s="49">
        <f t="shared" ca="1" si="20"/>
        <v>0.46511627906976738</v>
      </c>
      <c r="AH23" s="49">
        <v>0.6</v>
      </c>
      <c r="AI23" s="49">
        <v>0.8</v>
      </c>
      <c r="AJ23" s="49">
        <v>1</v>
      </c>
      <c r="AK23" s="49">
        <f t="shared" ca="1" si="21"/>
        <v>0.91666666666666663</v>
      </c>
      <c r="AL23" s="49">
        <f t="shared" ca="1" si="22"/>
        <v>1</v>
      </c>
      <c r="AM23" s="49">
        <f t="shared" ca="1" si="23"/>
        <v>0.75</v>
      </c>
      <c r="AN23" s="49">
        <f t="shared" ca="1" si="24"/>
        <v>0.75</v>
      </c>
    </row>
    <row r="24" spans="1:40" x14ac:dyDescent="0.35">
      <c r="A24" s="53">
        <f t="shared" ca="1" si="25"/>
        <v>42507</v>
      </c>
      <c r="B24" s="48">
        <f ca="1">MATCH($A24,budget_history[Date])</f>
        <v>2</v>
      </c>
      <c r="C24" s="48">
        <f ca="1">MATCH($A24,actuals_prd_imp[End Date])</f>
        <v>11</v>
      </c>
      <c r="D24" s="48">
        <f ca="1">MATCH($A24,actuals_prd_exp[End Date])</f>
        <v>11</v>
      </c>
      <c r="E24" s="48">
        <f ca="1">MATCH($A24,actuals_stn_imp[End Date])</f>
        <v>27</v>
      </c>
      <c r="F24" s="48">
        <f ca="1">MATCH($A24,actuals_stn_exp[End Date])</f>
        <v>27</v>
      </c>
      <c r="G24">
        <f ca="1">NETWORKDAYS(INDEX(actuals_prd_imp[End Date],$C24-1), INDEX(actuals_prd_imp[End Date],$C24))-1</f>
        <v>5</v>
      </c>
      <c r="H24">
        <f ca="1">NETWORKDAYS(INDEX(actuals_prd_exp[End Date],$C24-1), INDEX(actuals_prd_exp[End Date],$C24))-1</f>
        <v>5</v>
      </c>
      <c r="I24">
        <f ca="1">NETWORKDAYS(INDEX(actuals_stn_imp[End Date],$C24-1), INDEX(actuals_stn_imp[End Date],$C24))-1</f>
        <v>2</v>
      </c>
      <c r="J24">
        <f ca="1">NETWORKDAYS(INDEX(actuals_stn_exp[End Date],$C24-1), INDEX(actuals_stn_exp[End Date],$C24))-1</f>
        <v>2</v>
      </c>
      <c r="K24">
        <f ca="1">INDEX(actuals_prd_imp[Planned done],$C24)</f>
        <v>11</v>
      </c>
      <c r="L24">
        <f ca="1">INDEX(actuals_prd_exp[Planned done],$D24)</f>
        <v>11</v>
      </c>
      <c r="M24">
        <f ca="1">INDEX(actuals_stn_imp[Planned done],$E24)</f>
        <v>1</v>
      </c>
      <c r="N24">
        <f ca="1">INDEX(actuals_stn_exp[Planned done],$F24)</f>
        <v>2</v>
      </c>
      <c r="O24">
        <f ca="1">INDEX(actuals_prd_imp[Additional done],$C24)</f>
        <v>1</v>
      </c>
      <c r="P24">
        <f ca="1">INDEX(actuals_prd_exp[Additional done],$D24)</f>
        <v>0</v>
      </c>
      <c r="Q24">
        <f ca="1">INDEX(actuals_stn_imp[Additional done],$E24)</f>
        <v>1</v>
      </c>
      <c r="R24">
        <f ca="1">INDEX(actuals_stn_exp[Additional done],$F24)</f>
        <v>0</v>
      </c>
      <c r="S24">
        <f t="shared" ca="1" si="8"/>
        <v>2.2000000000000002</v>
      </c>
      <c r="T24">
        <f t="shared" ca="1" si="9"/>
        <v>2.2000000000000002</v>
      </c>
      <c r="U24">
        <f t="shared" ca="1" si="10"/>
        <v>0.5</v>
      </c>
      <c r="V24">
        <f t="shared" ca="1" si="11"/>
        <v>1</v>
      </c>
      <c r="W24">
        <f t="shared" ca="1" si="12"/>
        <v>0.2</v>
      </c>
      <c r="X24">
        <f t="shared" ca="1" si="13"/>
        <v>0</v>
      </c>
      <c r="Y24">
        <f t="shared" ca="1" si="14"/>
        <v>0.5</v>
      </c>
      <c r="Z24">
        <f t="shared" ca="1" si="15"/>
        <v>0</v>
      </c>
      <c r="AA24" s="49">
        <f t="shared" ca="1" si="16"/>
        <v>0.22499999999999998</v>
      </c>
      <c r="AB24" s="49">
        <f t="shared" ca="1" si="17"/>
        <v>0.27</v>
      </c>
      <c r="AC24" s="49">
        <f ca="1">INDEX(budget_history[Budget],$B24)</f>
        <v>0.3</v>
      </c>
      <c r="AD24" s="49">
        <f t="shared" ca="1" si="18"/>
        <v>0.37</v>
      </c>
      <c r="AE24" s="49">
        <f t="shared" ca="1" si="19"/>
        <v>0.47500000000000009</v>
      </c>
      <c r="AF24" s="49">
        <v>1</v>
      </c>
      <c r="AG24" s="49">
        <f t="shared" ca="1" si="20"/>
        <v>0.30303030303030298</v>
      </c>
      <c r="AH24" s="49">
        <v>0.6</v>
      </c>
      <c r="AI24" s="49">
        <v>0.8</v>
      </c>
      <c r="AJ24" s="49">
        <v>1</v>
      </c>
      <c r="AK24" s="49">
        <f t="shared" ca="1" si="21"/>
        <v>0.91666666666666663</v>
      </c>
      <c r="AL24" s="49">
        <f t="shared" ca="1" si="22"/>
        <v>1</v>
      </c>
      <c r="AM24" s="49">
        <f t="shared" ca="1" si="23"/>
        <v>0.5</v>
      </c>
      <c r="AN24" s="49">
        <f t="shared" ca="1" si="24"/>
        <v>1</v>
      </c>
    </row>
    <row r="25" spans="1:40" x14ac:dyDescent="0.35">
      <c r="A25" s="53">
        <f t="shared" ca="1" si="25"/>
        <v>42508</v>
      </c>
      <c r="B25" s="48">
        <f ca="1">MATCH($A25,budget_history[Date])</f>
        <v>2</v>
      </c>
      <c r="C25" s="48">
        <f ca="1">MATCH($A25,actuals_prd_imp[End Date])</f>
        <v>11</v>
      </c>
      <c r="D25" s="48">
        <f ca="1">MATCH($A25,actuals_prd_exp[End Date])</f>
        <v>11</v>
      </c>
      <c r="E25" s="48">
        <f ca="1">MATCH($A25,actuals_stn_imp[End Date])</f>
        <v>27</v>
      </c>
      <c r="F25" s="48">
        <f ca="1">MATCH($A25,actuals_stn_exp[End Date])</f>
        <v>27</v>
      </c>
      <c r="G25">
        <f ca="1">NETWORKDAYS(INDEX(actuals_prd_imp[End Date],$C25-1), INDEX(actuals_prd_imp[End Date],$C25))-1</f>
        <v>5</v>
      </c>
      <c r="H25">
        <f ca="1">NETWORKDAYS(INDEX(actuals_prd_exp[End Date],$C25-1), INDEX(actuals_prd_exp[End Date],$C25))-1</f>
        <v>5</v>
      </c>
      <c r="I25">
        <f ca="1">NETWORKDAYS(INDEX(actuals_stn_imp[End Date],$C25-1), INDEX(actuals_stn_imp[End Date],$C25))-1</f>
        <v>2</v>
      </c>
      <c r="J25">
        <f ca="1">NETWORKDAYS(INDEX(actuals_stn_exp[End Date],$C25-1), INDEX(actuals_stn_exp[End Date],$C25))-1</f>
        <v>2</v>
      </c>
      <c r="K25">
        <f ca="1">INDEX(actuals_prd_imp[Planned done],$C25)</f>
        <v>11</v>
      </c>
      <c r="L25">
        <f ca="1">INDEX(actuals_prd_exp[Planned done],$D25)</f>
        <v>11</v>
      </c>
      <c r="M25">
        <f ca="1">INDEX(actuals_stn_imp[Planned done],$E25)</f>
        <v>1</v>
      </c>
      <c r="N25">
        <f ca="1">INDEX(actuals_stn_exp[Planned done],$F25)</f>
        <v>2</v>
      </c>
      <c r="O25">
        <f ca="1">INDEX(actuals_prd_imp[Additional done],$C25)</f>
        <v>1</v>
      </c>
      <c r="P25">
        <f ca="1">INDEX(actuals_prd_exp[Additional done],$D25)</f>
        <v>0</v>
      </c>
      <c r="Q25">
        <f ca="1">INDEX(actuals_stn_imp[Additional done],$E25)</f>
        <v>1</v>
      </c>
      <c r="R25">
        <f ca="1">INDEX(actuals_stn_exp[Additional done],$F25)</f>
        <v>0</v>
      </c>
      <c r="S25">
        <f t="shared" ca="1" si="8"/>
        <v>2.2000000000000002</v>
      </c>
      <c r="T25">
        <f t="shared" ca="1" si="9"/>
        <v>2.2000000000000002</v>
      </c>
      <c r="U25">
        <f t="shared" ca="1" si="10"/>
        <v>0.5</v>
      </c>
      <c r="V25">
        <f t="shared" ca="1" si="11"/>
        <v>1</v>
      </c>
      <c r="W25">
        <f t="shared" ca="1" si="12"/>
        <v>0.2</v>
      </c>
      <c r="X25">
        <f t="shared" ca="1" si="13"/>
        <v>0</v>
      </c>
      <c r="Y25">
        <f t="shared" ca="1" si="14"/>
        <v>0.5</v>
      </c>
      <c r="Z25">
        <f t="shared" ca="1" si="15"/>
        <v>0</v>
      </c>
      <c r="AA25" s="49">
        <f t="shared" ca="1" si="16"/>
        <v>0.22499999999999998</v>
      </c>
      <c r="AB25" s="49">
        <f t="shared" ca="1" si="17"/>
        <v>0.27</v>
      </c>
      <c r="AC25" s="49">
        <f ca="1">INDEX(budget_history[Budget],$B25)</f>
        <v>0.3</v>
      </c>
      <c r="AD25" s="49">
        <f t="shared" ca="1" si="18"/>
        <v>0.37</v>
      </c>
      <c r="AE25" s="49">
        <f t="shared" ca="1" si="19"/>
        <v>0.47500000000000009</v>
      </c>
      <c r="AF25" s="49">
        <v>1</v>
      </c>
      <c r="AG25" s="49">
        <f t="shared" ca="1" si="20"/>
        <v>0.30303030303030298</v>
      </c>
      <c r="AH25" s="49">
        <v>0.6</v>
      </c>
      <c r="AI25" s="49">
        <v>0.8</v>
      </c>
      <c r="AJ25" s="49">
        <v>1</v>
      </c>
      <c r="AK25" s="49">
        <f t="shared" ca="1" si="21"/>
        <v>0.91666666666666663</v>
      </c>
      <c r="AL25" s="49">
        <f t="shared" ca="1" si="22"/>
        <v>1</v>
      </c>
      <c r="AM25" s="49">
        <f t="shared" ca="1" si="23"/>
        <v>0.5</v>
      </c>
      <c r="AN25" s="49">
        <f t="shared" ca="1" si="24"/>
        <v>1</v>
      </c>
    </row>
    <row r="26" spans="1:40" x14ac:dyDescent="0.35">
      <c r="A26" s="53">
        <f t="shared" ca="1" si="25"/>
        <v>42509</v>
      </c>
      <c r="B26" s="48">
        <f ca="1">MATCH($A26,budget_history[Date])</f>
        <v>2</v>
      </c>
      <c r="C26" s="48">
        <f ca="1">MATCH($A26,actuals_prd_imp[End Date])</f>
        <v>12</v>
      </c>
      <c r="D26" s="48">
        <f ca="1">MATCH($A26,actuals_prd_exp[End Date])</f>
        <v>12</v>
      </c>
      <c r="E26" s="48">
        <f ca="1">MATCH($A26,actuals_stn_imp[End Date])</f>
        <v>28</v>
      </c>
      <c r="F26" s="48">
        <f ca="1">MATCH($A26,actuals_stn_exp[End Date])</f>
        <v>28</v>
      </c>
      <c r="G26">
        <f ca="1">NETWORKDAYS(INDEX(actuals_prd_imp[End Date],$C26-1), INDEX(actuals_prd_imp[End Date],$C26))-1</f>
        <v>5</v>
      </c>
      <c r="H26">
        <f ca="1">NETWORKDAYS(INDEX(actuals_prd_exp[End Date],$C26-1), INDEX(actuals_prd_exp[End Date],$C26))-1</f>
        <v>5</v>
      </c>
      <c r="I26">
        <f ca="1">NETWORKDAYS(INDEX(actuals_stn_imp[End Date],$C26-1), INDEX(actuals_stn_imp[End Date],$C26))-1</f>
        <v>2</v>
      </c>
      <c r="J26">
        <f ca="1">NETWORKDAYS(INDEX(actuals_stn_exp[End Date],$C26-1), INDEX(actuals_stn_exp[End Date],$C26))-1</f>
        <v>2</v>
      </c>
      <c r="K26">
        <f ca="1">INDEX(actuals_prd_imp[Planned done],$C26)</f>
        <v>8</v>
      </c>
      <c r="L26">
        <f ca="1">INDEX(actuals_prd_exp[Planned done],$D26)</f>
        <v>11</v>
      </c>
      <c r="M26">
        <f ca="1">INDEX(actuals_stn_imp[Planned done],$E26)</f>
        <v>1</v>
      </c>
      <c r="N26">
        <f ca="1">INDEX(actuals_stn_exp[Planned done],$F26)</f>
        <v>2</v>
      </c>
      <c r="O26">
        <f ca="1">INDEX(actuals_prd_imp[Additional done],$C26)</f>
        <v>1</v>
      </c>
      <c r="P26">
        <f ca="1">INDEX(actuals_prd_exp[Additional done],$D26)</f>
        <v>1</v>
      </c>
      <c r="Q26">
        <f ca="1">INDEX(actuals_stn_imp[Additional done],$E26)</f>
        <v>0</v>
      </c>
      <c r="R26">
        <f ca="1">INDEX(actuals_stn_exp[Additional done],$F26)</f>
        <v>1</v>
      </c>
      <c r="S26">
        <f t="shared" ca="1" si="8"/>
        <v>1.6</v>
      </c>
      <c r="T26">
        <f t="shared" ca="1" si="9"/>
        <v>2.2000000000000002</v>
      </c>
      <c r="U26">
        <f t="shared" ca="1" si="10"/>
        <v>0.5</v>
      </c>
      <c r="V26">
        <f t="shared" ca="1" si="11"/>
        <v>1</v>
      </c>
      <c r="W26">
        <f t="shared" ca="1" si="12"/>
        <v>0.2</v>
      </c>
      <c r="X26">
        <f t="shared" ca="1" si="13"/>
        <v>0.2</v>
      </c>
      <c r="Y26">
        <f t="shared" ca="1" si="14"/>
        <v>0</v>
      </c>
      <c r="Z26">
        <f t="shared" ca="1" si="15"/>
        <v>0.5</v>
      </c>
      <c r="AA26" s="49">
        <f t="shared" ca="1" si="16"/>
        <v>0.22499999999999998</v>
      </c>
      <c r="AB26" s="49">
        <f t="shared" ca="1" si="17"/>
        <v>0.27</v>
      </c>
      <c r="AC26" s="49">
        <f ca="1">INDEX(budget_history[Budget],$B26)</f>
        <v>0.3</v>
      </c>
      <c r="AD26" s="49">
        <f t="shared" ca="1" si="18"/>
        <v>0.37</v>
      </c>
      <c r="AE26" s="49">
        <f t="shared" ca="1" si="19"/>
        <v>0.47500000000000009</v>
      </c>
      <c r="AF26" s="49">
        <v>1</v>
      </c>
      <c r="AG26" s="49">
        <f t="shared" ca="1" si="20"/>
        <v>0.32258064516129026</v>
      </c>
      <c r="AH26" s="49">
        <v>0.6</v>
      </c>
      <c r="AI26" s="49">
        <v>0.8</v>
      </c>
      <c r="AJ26" s="49">
        <v>1</v>
      </c>
      <c r="AK26" s="49">
        <f t="shared" ca="1" si="21"/>
        <v>0.88888888888888895</v>
      </c>
      <c r="AL26" s="49">
        <f t="shared" ca="1" si="22"/>
        <v>0.91666666666666663</v>
      </c>
      <c r="AM26" s="49">
        <f t="shared" ca="1" si="23"/>
        <v>1</v>
      </c>
      <c r="AN26" s="49">
        <f t="shared" ca="1" si="24"/>
        <v>0.66666666666666663</v>
      </c>
    </row>
    <row r="27" spans="1:40" x14ac:dyDescent="0.35">
      <c r="A27" s="53">
        <f t="shared" ca="1" si="25"/>
        <v>42510</v>
      </c>
      <c r="B27" s="48">
        <f ca="1">MATCH($A27,budget_history[Date])</f>
        <v>2</v>
      </c>
      <c r="C27" s="48">
        <f ca="1">MATCH($A27,actuals_prd_imp[End Date])</f>
        <v>12</v>
      </c>
      <c r="D27" s="48">
        <f ca="1">MATCH($A27,actuals_prd_exp[End Date])</f>
        <v>12</v>
      </c>
      <c r="E27" s="48">
        <f ca="1">MATCH($A27,actuals_stn_imp[End Date])</f>
        <v>28</v>
      </c>
      <c r="F27" s="48">
        <f ca="1">MATCH($A27,actuals_stn_exp[End Date])</f>
        <v>28</v>
      </c>
      <c r="G27">
        <f ca="1">NETWORKDAYS(INDEX(actuals_prd_imp[End Date],$C27-1), INDEX(actuals_prd_imp[End Date],$C27))-1</f>
        <v>5</v>
      </c>
      <c r="H27">
        <f ca="1">NETWORKDAYS(INDEX(actuals_prd_exp[End Date],$C27-1), INDEX(actuals_prd_exp[End Date],$C27))-1</f>
        <v>5</v>
      </c>
      <c r="I27">
        <f ca="1">NETWORKDAYS(INDEX(actuals_stn_imp[End Date],$C27-1), INDEX(actuals_stn_imp[End Date],$C27))-1</f>
        <v>2</v>
      </c>
      <c r="J27">
        <f ca="1">NETWORKDAYS(INDEX(actuals_stn_exp[End Date],$C27-1), INDEX(actuals_stn_exp[End Date],$C27))-1</f>
        <v>2</v>
      </c>
      <c r="K27">
        <f ca="1">INDEX(actuals_prd_imp[Planned done],$C27)</f>
        <v>8</v>
      </c>
      <c r="L27">
        <f ca="1">INDEX(actuals_prd_exp[Planned done],$D27)</f>
        <v>11</v>
      </c>
      <c r="M27">
        <f ca="1">INDEX(actuals_stn_imp[Planned done],$E27)</f>
        <v>1</v>
      </c>
      <c r="N27">
        <f ca="1">INDEX(actuals_stn_exp[Planned done],$F27)</f>
        <v>2</v>
      </c>
      <c r="O27">
        <f ca="1">INDEX(actuals_prd_imp[Additional done],$C27)</f>
        <v>1</v>
      </c>
      <c r="P27">
        <f ca="1">INDEX(actuals_prd_exp[Additional done],$D27)</f>
        <v>1</v>
      </c>
      <c r="Q27">
        <f ca="1">INDEX(actuals_stn_imp[Additional done],$E27)</f>
        <v>0</v>
      </c>
      <c r="R27">
        <f ca="1">INDEX(actuals_stn_exp[Additional done],$F27)</f>
        <v>1</v>
      </c>
      <c r="S27">
        <f t="shared" ca="1" si="8"/>
        <v>1.6</v>
      </c>
      <c r="T27">
        <f t="shared" ca="1" si="9"/>
        <v>2.2000000000000002</v>
      </c>
      <c r="U27">
        <f t="shared" ca="1" si="10"/>
        <v>0.5</v>
      </c>
      <c r="V27">
        <f t="shared" ca="1" si="11"/>
        <v>1</v>
      </c>
      <c r="W27">
        <f t="shared" ca="1" si="12"/>
        <v>0.2</v>
      </c>
      <c r="X27">
        <f t="shared" ca="1" si="13"/>
        <v>0.2</v>
      </c>
      <c r="Y27">
        <f t="shared" ca="1" si="14"/>
        <v>0</v>
      </c>
      <c r="Z27">
        <f t="shared" ca="1" si="15"/>
        <v>0.5</v>
      </c>
      <c r="AA27" s="49">
        <f t="shared" ca="1" si="16"/>
        <v>0.22499999999999998</v>
      </c>
      <c r="AB27" s="49">
        <f t="shared" ca="1" si="17"/>
        <v>0.27</v>
      </c>
      <c r="AC27" s="49">
        <f ca="1">INDEX(budget_history[Budget],$B27)</f>
        <v>0.3</v>
      </c>
      <c r="AD27" s="49">
        <f t="shared" ca="1" si="18"/>
        <v>0.37</v>
      </c>
      <c r="AE27" s="49">
        <f t="shared" ca="1" si="19"/>
        <v>0.47500000000000009</v>
      </c>
      <c r="AF27" s="49">
        <v>1</v>
      </c>
      <c r="AG27" s="49">
        <f t="shared" ca="1" si="20"/>
        <v>0.32258064516129026</v>
      </c>
      <c r="AH27" s="49">
        <v>0.6</v>
      </c>
      <c r="AI27" s="49">
        <v>0.8</v>
      </c>
      <c r="AJ27" s="49">
        <v>1</v>
      </c>
      <c r="AK27" s="49">
        <f t="shared" ca="1" si="21"/>
        <v>0.88888888888888895</v>
      </c>
      <c r="AL27" s="49">
        <f t="shared" ca="1" si="22"/>
        <v>0.91666666666666663</v>
      </c>
      <c r="AM27" s="49">
        <f t="shared" ca="1" si="23"/>
        <v>1</v>
      </c>
      <c r="AN27" s="49">
        <f t="shared" ca="1" si="24"/>
        <v>0.66666666666666663</v>
      </c>
    </row>
    <row r="28" spans="1:40" x14ac:dyDescent="0.35">
      <c r="A28" s="53">
        <f t="shared" ca="1" si="25"/>
        <v>42513</v>
      </c>
      <c r="B28" s="48">
        <f ca="1">MATCH($A28,budget_history[Date])</f>
        <v>2</v>
      </c>
      <c r="C28" s="48">
        <f ca="1">MATCH($A28,actuals_prd_imp[End Date])</f>
        <v>12</v>
      </c>
      <c r="D28" s="48">
        <f ca="1">MATCH($A28,actuals_prd_exp[End Date])</f>
        <v>12</v>
      </c>
      <c r="E28" s="48">
        <f ca="1">MATCH($A28,actuals_stn_imp[End Date])</f>
        <v>29</v>
      </c>
      <c r="F28" s="48">
        <f ca="1">MATCH($A28,actuals_stn_exp[End Date])</f>
        <v>29</v>
      </c>
      <c r="G28">
        <f ca="1">NETWORKDAYS(INDEX(actuals_prd_imp[End Date],$C28-1), INDEX(actuals_prd_imp[End Date],$C28))-1</f>
        <v>5</v>
      </c>
      <c r="H28">
        <f ca="1">NETWORKDAYS(INDEX(actuals_prd_exp[End Date],$C28-1), INDEX(actuals_prd_exp[End Date],$C28))-1</f>
        <v>5</v>
      </c>
      <c r="I28">
        <f ca="1">NETWORKDAYS(INDEX(actuals_stn_imp[End Date],$C28-1), INDEX(actuals_stn_imp[End Date],$C28))-1</f>
        <v>2</v>
      </c>
      <c r="J28">
        <f ca="1">NETWORKDAYS(INDEX(actuals_stn_exp[End Date],$C28-1), INDEX(actuals_stn_exp[End Date],$C28))-1</f>
        <v>2</v>
      </c>
      <c r="K28">
        <f ca="1">INDEX(actuals_prd_imp[Planned done],$C28)</f>
        <v>8</v>
      </c>
      <c r="L28">
        <f ca="1">INDEX(actuals_prd_exp[Planned done],$D28)</f>
        <v>11</v>
      </c>
      <c r="M28">
        <f ca="1">INDEX(actuals_stn_imp[Planned done],$E28)</f>
        <v>3</v>
      </c>
      <c r="N28">
        <f ca="1">INDEX(actuals_stn_exp[Planned done],$F28)</f>
        <v>1</v>
      </c>
      <c r="O28">
        <f ca="1">INDEX(actuals_prd_imp[Additional done],$C28)</f>
        <v>1</v>
      </c>
      <c r="P28">
        <f ca="1">INDEX(actuals_prd_exp[Additional done],$D28)</f>
        <v>1</v>
      </c>
      <c r="Q28">
        <f ca="1">INDEX(actuals_stn_imp[Additional done],$E28)</f>
        <v>0</v>
      </c>
      <c r="R28">
        <f ca="1">INDEX(actuals_stn_exp[Additional done],$F28)</f>
        <v>0</v>
      </c>
      <c r="S28">
        <f t="shared" ca="1" si="8"/>
        <v>1.6</v>
      </c>
      <c r="T28">
        <f t="shared" ca="1" si="9"/>
        <v>2.2000000000000002</v>
      </c>
      <c r="U28">
        <f t="shared" ca="1" si="10"/>
        <v>1.5</v>
      </c>
      <c r="V28">
        <f t="shared" ca="1" si="11"/>
        <v>0.5</v>
      </c>
      <c r="W28">
        <f t="shared" ca="1" si="12"/>
        <v>0.2</v>
      </c>
      <c r="X28">
        <f t="shared" ca="1" si="13"/>
        <v>0.2</v>
      </c>
      <c r="Y28">
        <f t="shared" ca="1" si="14"/>
        <v>0</v>
      </c>
      <c r="Z28">
        <f t="shared" ca="1" si="15"/>
        <v>0</v>
      </c>
      <c r="AA28" s="49">
        <f t="shared" ca="1" si="16"/>
        <v>0.22499999999999998</v>
      </c>
      <c r="AB28" s="49">
        <f t="shared" ca="1" si="17"/>
        <v>0.27</v>
      </c>
      <c r="AC28" s="49">
        <f ca="1">INDEX(budget_history[Budget],$B28)</f>
        <v>0.3</v>
      </c>
      <c r="AD28" s="49">
        <f t="shared" ca="1" si="18"/>
        <v>0.37</v>
      </c>
      <c r="AE28" s="49">
        <f t="shared" ca="1" si="19"/>
        <v>0.47500000000000009</v>
      </c>
      <c r="AF28" s="49">
        <v>1</v>
      </c>
      <c r="AG28" s="49">
        <f t="shared" ca="1" si="20"/>
        <v>0.32258064516129026</v>
      </c>
      <c r="AH28" s="49">
        <v>0.6</v>
      </c>
      <c r="AI28" s="49">
        <v>0.8</v>
      </c>
      <c r="AJ28" s="49">
        <v>1</v>
      </c>
      <c r="AK28" s="49">
        <f t="shared" ca="1" si="21"/>
        <v>0.88888888888888895</v>
      </c>
      <c r="AL28" s="49">
        <f t="shared" ca="1" si="22"/>
        <v>0.91666666666666663</v>
      </c>
      <c r="AM28" s="49">
        <f t="shared" ca="1" si="23"/>
        <v>1</v>
      </c>
      <c r="AN28" s="49">
        <f t="shared" ca="1" si="24"/>
        <v>1</v>
      </c>
    </row>
    <row r="29" spans="1:40" x14ac:dyDescent="0.35">
      <c r="A29" s="53">
        <f t="shared" ca="1" si="25"/>
        <v>42514</v>
      </c>
      <c r="B29" s="48">
        <f ca="1">MATCH($A29,budget_history[Date])</f>
        <v>2</v>
      </c>
      <c r="C29" s="48">
        <f ca="1">MATCH($A29,actuals_prd_imp[End Date])</f>
        <v>12</v>
      </c>
      <c r="D29" s="48">
        <f ca="1">MATCH($A29,actuals_prd_exp[End Date])</f>
        <v>12</v>
      </c>
      <c r="E29" s="48">
        <f ca="1">MATCH($A29,actuals_stn_imp[End Date])</f>
        <v>29</v>
      </c>
      <c r="F29" s="48">
        <f ca="1">MATCH($A29,actuals_stn_exp[End Date])</f>
        <v>29</v>
      </c>
      <c r="G29">
        <f ca="1">NETWORKDAYS(INDEX(actuals_prd_imp[End Date],$C29-1), INDEX(actuals_prd_imp[End Date],$C29))-1</f>
        <v>5</v>
      </c>
      <c r="H29">
        <f ca="1">NETWORKDAYS(INDEX(actuals_prd_exp[End Date],$C29-1), INDEX(actuals_prd_exp[End Date],$C29))-1</f>
        <v>5</v>
      </c>
      <c r="I29">
        <f ca="1">NETWORKDAYS(INDEX(actuals_stn_imp[End Date],$C29-1), INDEX(actuals_stn_imp[End Date],$C29))-1</f>
        <v>2</v>
      </c>
      <c r="J29">
        <f ca="1">NETWORKDAYS(INDEX(actuals_stn_exp[End Date],$C29-1), INDEX(actuals_stn_exp[End Date],$C29))-1</f>
        <v>2</v>
      </c>
      <c r="K29">
        <f ca="1">INDEX(actuals_prd_imp[Planned done],$C29)</f>
        <v>8</v>
      </c>
      <c r="L29">
        <f ca="1">INDEX(actuals_prd_exp[Planned done],$D29)</f>
        <v>11</v>
      </c>
      <c r="M29">
        <f ca="1">INDEX(actuals_stn_imp[Planned done],$E29)</f>
        <v>3</v>
      </c>
      <c r="N29">
        <f ca="1">INDEX(actuals_stn_exp[Planned done],$F29)</f>
        <v>1</v>
      </c>
      <c r="O29">
        <f ca="1">INDEX(actuals_prd_imp[Additional done],$C29)</f>
        <v>1</v>
      </c>
      <c r="P29">
        <f ca="1">INDEX(actuals_prd_exp[Additional done],$D29)</f>
        <v>1</v>
      </c>
      <c r="Q29">
        <f ca="1">INDEX(actuals_stn_imp[Additional done],$E29)</f>
        <v>0</v>
      </c>
      <c r="R29">
        <f ca="1">INDEX(actuals_stn_exp[Additional done],$F29)</f>
        <v>0</v>
      </c>
      <c r="S29">
        <f t="shared" ca="1" si="8"/>
        <v>1.6</v>
      </c>
      <c r="T29">
        <f t="shared" ca="1" si="9"/>
        <v>2.2000000000000002</v>
      </c>
      <c r="U29">
        <f t="shared" ca="1" si="10"/>
        <v>1.5</v>
      </c>
      <c r="V29">
        <f t="shared" ca="1" si="11"/>
        <v>0.5</v>
      </c>
      <c r="W29">
        <f t="shared" ca="1" si="12"/>
        <v>0.2</v>
      </c>
      <c r="X29">
        <f t="shared" ca="1" si="13"/>
        <v>0.2</v>
      </c>
      <c r="Y29">
        <f t="shared" ca="1" si="14"/>
        <v>0</v>
      </c>
      <c r="Z29">
        <f t="shared" ca="1" si="15"/>
        <v>0</v>
      </c>
      <c r="AA29" s="49">
        <f t="shared" ca="1" si="16"/>
        <v>0.22499999999999998</v>
      </c>
      <c r="AB29" s="49">
        <f t="shared" ca="1" si="17"/>
        <v>0.27</v>
      </c>
      <c r="AC29" s="49">
        <f ca="1">INDEX(budget_history[Budget],$B29)</f>
        <v>0.3</v>
      </c>
      <c r="AD29" s="49">
        <f t="shared" ca="1" si="18"/>
        <v>0.37</v>
      </c>
      <c r="AE29" s="49">
        <f t="shared" ca="1" si="19"/>
        <v>0.47500000000000009</v>
      </c>
      <c r="AF29" s="49">
        <v>1</v>
      </c>
      <c r="AG29" s="49">
        <f t="shared" ca="1" si="20"/>
        <v>0.32258064516129026</v>
      </c>
      <c r="AH29" s="49">
        <v>0.6</v>
      </c>
      <c r="AI29" s="49">
        <v>0.8</v>
      </c>
      <c r="AJ29" s="49">
        <v>1</v>
      </c>
      <c r="AK29" s="49">
        <f t="shared" ca="1" si="21"/>
        <v>0.88888888888888895</v>
      </c>
      <c r="AL29" s="49">
        <f t="shared" ca="1" si="22"/>
        <v>0.91666666666666663</v>
      </c>
      <c r="AM29" s="49">
        <f t="shared" ca="1" si="23"/>
        <v>1</v>
      </c>
      <c r="AN29" s="49">
        <f t="shared" ca="1" si="24"/>
        <v>1</v>
      </c>
    </row>
    <row r="30" spans="1:40" x14ac:dyDescent="0.35">
      <c r="A30" s="53">
        <f t="shared" ca="1" si="25"/>
        <v>42515</v>
      </c>
      <c r="B30" s="48">
        <f ca="1">MATCH($A30,budget_history[Date])</f>
        <v>3</v>
      </c>
      <c r="C30" s="48">
        <f ca="1">MATCH($A30,actuals_prd_imp[End Date])</f>
        <v>12</v>
      </c>
      <c r="D30" s="48">
        <f ca="1">MATCH($A30,actuals_prd_exp[End Date])</f>
        <v>12</v>
      </c>
      <c r="E30" s="48">
        <f ca="1">MATCH($A30,actuals_stn_imp[End Date])</f>
        <v>30</v>
      </c>
      <c r="F30" s="48">
        <f ca="1">MATCH($A30,actuals_stn_exp[End Date])</f>
        <v>30</v>
      </c>
      <c r="G30">
        <f ca="1">NETWORKDAYS(INDEX(actuals_prd_imp[End Date],$C30-1), INDEX(actuals_prd_imp[End Date],$C30))-1</f>
        <v>5</v>
      </c>
      <c r="H30">
        <f ca="1">NETWORKDAYS(INDEX(actuals_prd_exp[End Date],$C30-1), INDEX(actuals_prd_exp[End Date],$C30))-1</f>
        <v>5</v>
      </c>
      <c r="I30">
        <f ca="1">NETWORKDAYS(INDEX(actuals_stn_imp[End Date],$C30-1), INDEX(actuals_stn_imp[End Date],$C30))-1</f>
        <v>2</v>
      </c>
      <c r="J30">
        <f ca="1">NETWORKDAYS(INDEX(actuals_stn_exp[End Date],$C30-1), INDEX(actuals_stn_exp[End Date],$C30))-1</f>
        <v>2</v>
      </c>
      <c r="K30">
        <f ca="1">INDEX(actuals_prd_imp[Planned done],$C30)</f>
        <v>8</v>
      </c>
      <c r="L30">
        <f ca="1">INDEX(actuals_prd_exp[Planned done],$D30)</f>
        <v>11</v>
      </c>
      <c r="M30">
        <f ca="1">INDEX(actuals_stn_imp[Planned done],$E30)</f>
        <v>2</v>
      </c>
      <c r="N30">
        <f ca="1">INDEX(actuals_stn_exp[Planned done],$F30)</f>
        <v>2</v>
      </c>
      <c r="O30">
        <f ca="1">INDEX(actuals_prd_imp[Additional done],$C30)</f>
        <v>1</v>
      </c>
      <c r="P30">
        <f ca="1">INDEX(actuals_prd_exp[Additional done],$D30)</f>
        <v>1</v>
      </c>
      <c r="Q30">
        <f ca="1">INDEX(actuals_stn_imp[Additional done],$E30)</f>
        <v>0</v>
      </c>
      <c r="R30">
        <f ca="1">INDEX(actuals_stn_exp[Additional done],$F30)</f>
        <v>0</v>
      </c>
      <c r="S30">
        <f t="shared" ca="1" si="8"/>
        <v>1.6</v>
      </c>
      <c r="T30">
        <f t="shared" ca="1" si="9"/>
        <v>2.2000000000000002</v>
      </c>
      <c r="U30">
        <f t="shared" ca="1" si="10"/>
        <v>1</v>
      </c>
      <c r="V30">
        <f t="shared" ca="1" si="11"/>
        <v>1</v>
      </c>
      <c r="W30">
        <f t="shared" ca="1" si="12"/>
        <v>0.2</v>
      </c>
      <c r="X30">
        <f t="shared" ca="1" si="13"/>
        <v>0.2</v>
      </c>
      <c r="Y30">
        <f t="shared" ca="1" si="14"/>
        <v>0</v>
      </c>
      <c r="Z30">
        <f t="shared" ca="1" si="15"/>
        <v>0</v>
      </c>
      <c r="AA30" s="49">
        <f t="shared" ca="1" si="16"/>
        <v>0.30000000000000004</v>
      </c>
      <c r="AB30" s="49">
        <f t="shared" ca="1" si="17"/>
        <v>0.36000000000000004</v>
      </c>
      <c r="AC30" s="49">
        <f ca="1">INDEX(budget_history[Budget],$B30)</f>
        <v>0.4</v>
      </c>
      <c r="AD30" s="49">
        <f t="shared" ca="1" si="18"/>
        <v>0.45999999999999996</v>
      </c>
      <c r="AE30" s="49">
        <f t="shared" ca="1" si="19"/>
        <v>0.55000000000000004</v>
      </c>
      <c r="AF30" s="49">
        <v>1</v>
      </c>
      <c r="AG30" s="49">
        <f t="shared" ca="1" si="20"/>
        <v>0.32258064516129026</v>
      </c>
      <c r="AH30" s="49">
        <v>0.6</v>
      </c>
      <c r="AI30" s="49">
        <v>0.8</v>
      </c>
      <c r="AJ30" s="49">
        <v>1</v>
      </c>
      <c r="AK30" s="49">
        <f t="shared" ca="1" si="21"/>
        <v>0.88888888888888895</v>
      </c>
      <c r="AL30" s="49">
        <f t="shared" ca="1" si="22"/>
        <v>0.91666666666666663</v>
      </c>
      <c r="AM30" s="49">
        <f t="shared" ca="1" si="23"/>
        <v>1</v>
      </c>
      <c r="AN30" s="49">
        <f t="shared" ca="1" si="24"/>
        <v>1</v>
      </c>
    </row>
    <row r="31" spans="1:40" x14ac:dyDescent="0.35">
      <c r="A31" s="53">
        <f t="shared" ca="1" si="25"/>
        <v>42516</v>
      </c>
      <c r="B31" s="48">
        <f ca="1">MATCH($A31,budget_history[Date])</f>
        <v>3</v>
      </c>
      <c r="C31" s="48">
        <f ca="1">MATCH($A31,actuals_prd_imp[End Date])</f>
        <v>13</v>
      </c>
      <c r="D31" s="48">
        <f ca="1">MATCH($A31,actuals_prd_exp[End Date])</f>
        <v>13</v>
      </c>
      <c r="E31" s="48">
        <f ca="1">MATCH($A31,actuals_stn_imp[End Date])</f>
        <v>30</v>
      </c>
      <c r="F31" s="48">
        <f ca="1">MATCH($A31,actuals_stn_exp[End Date])</f>
        <v>30</v>
      </c>
      <c r="G31">
        <f ca="1">NETWORKDAYS(INDEX(actuals_prd_imp[End Date],$C31-1), INDEX(actuals_prd_imp[End Date],$C31))-1</f>
        <v>5</v>
      </c>
      <c r="H31">
        <f ca="1">NETWORKDAYS(INDEX(actuals_prd_exp[End Date],$C31-1), INDEX(actuals_prd_exp[End Date],$C31))-1</f>
        <v>5</v>
      </c>
      <c r="I31">
        <f ca="1">NETWORKDAYS(INDEX(actuals_stn_imp[End Date],$C31-1), INDEX(actuals_stn_imp[End Date],$C31))-1</f>
        <v>2</v>
      </c>
      <c r="J31">
        <f ca="1">NETWORKDAYS(INDEX(actuals_stn_exp[End Date],$C31-1), INDEX(actuals_stn_exp[End Date],$C31))-1</f>
        <v>2</v>
      </c>
      <c r="K31">
        <f ca="1">INDEX(actuals_prd_imp[Planned done],$C31)</f>
        <v>10</v>
      </c>
      <c r="L31">
        <f ca="1">INDEX(actuals_prd_exp[Planned done],$D31)</f>
        <v>11</v>
      </c>
      <c r="M31">
        <f ca="1">INDEX(actuals_stn_imp[Planned done],$E31)</f>
        <v>2</v>
      </c>
      <c r="N31">
        <f ca="1">INDEX(actuals_stn_exp[Planned done],$F31)</f>
        <v>2</v>
      </c>
      <c r="O31">
        <f ca="1">INDEX(actuals_prd_imp[Additional done],$C31)</f>
        <v>2</v>
      </c>
      <c r="P31">
        <f ca="1">INDEX(actuals_prd_exp[Additional done],$D31)</f>
        <v>0</v>
      </c>
      <c r="Q31">
        <f ca="1">INDEX(actuals_stn_imp[Additional done],$E31)</f>
        <v>0</v>
      </c>
      <c r="R31">
        <f ca="1">INDEX(actuals_stn_exp[Additional done],$F31)</f>
        <v>0</v>
      </c>
      <c r="S31">
        <f t="shared" ca="1" si="8"/>
        <v>2</v>
      </c>
      <c r="T31">
        <f t="shared" ca="1" si="9"/>
        <v>2.2000000000000002</v>
      </c>
      <c r="U31">
        <f t="shared" ca="1" si="10"/>
        <v>1</v>
      </c>
      <c r="V31">
        <f t="shared" ca="1" si="11"/>
        <v>1</v>
      </c>
      <c r="W31">
        <f t="shared" ca="1" si="12"/>
        <v>0.4</v>
      </c>
      <c r="X31">
        <f t="shared" ca="1" si="13"/>
        <v>0</v>
      </c>
      <c r="Y31">
        <f t="shared" ca="1" si="14"/>
        <v>0</v>
      </c>
      <c r="Z31">
        <f t="shared" ca="1" si="15"/>
        <v>0</v>
      </c>
      <c r="AA31" s="49">
        <f t="shared" ca="1" si="16"/>
        <v>0.30000000000000004</v>
      </c>
      <c r="AB31" s="49">
        <f t="shared" ca="1" si="17"/>
        <v>0.36000000000000004</v>
      </c>
      <c r="AC31" s="49">
        <f ca="1">INDEX(budget_history[Budget],$B31)</f>
        <v>0.4</v>
      </c>
      <c r="AD31" s="49">
        <f t="shared" ca="1" si="18"/>
        <v>0.45999999999999996</v>
      </c>
      <c r="AE31" s="49">
        <f t="shared" ca="1" si="19"/>
        <v>0.55000000000000004</v>
      </c>
      <c r="AF31" s="49">
        <v>1</v>
      </c>
      <c r="AG31" s="49">
        <f t="shared" ca="1" si="20"/>
        <v>0.30303030303030298</v>
      </c>
      <c r="AH31" s="49">
        <v>0.6</v>
      </c>
      <c r="AI31" s="49">
        <v>0.8</v>
      </c>
      <c r="AJ31" s="49">
        <v>1</v>
      </c>
      <c r="AK31" s="49">
        <f t="shared" ca="1" si="21"/>
        <v>0.83333333333333337</v>
      </c>
      <c r="AL31" s="49">
        <f t="shared" ca="1" si="22"/>
        <v>1</v>
      </c>
      <c r="AM31" s="49">
        <f t="shared" ca="1" si="23"/>
        <v>1</v>
      </c>
      <c r="AN31" s="49">
        <f t="shared" ca="1" si="24"/>
        <v>1</v>
      </c>
    </row>
    <row r="32" spans="1:40" x14ac:dyDescent="0.35">
      <c r="A32" s="53">
        <f t="shared" ca="1" si="25"/>
        <v>42517</v>
      </c>
      <c r="B32" s="48">
        <f ca="1">MATCH($A32,budget_history[Date])</f>
        <v>3</v>
      </c>
      <c r="C32" s="48">
        <f ca="1">MATCH($A32,actuals_prd_imp[End Date])</f>
        <v>13</v>
      </c>
      <c r="D32" s="48">
        <f ca="1">MATCH($A32,actuals_prd_exp[End Date])</f>
        <v>13</v>
      </c>
      <c r="E32" s="48">
        <f ca="1">MATCH($A32,actuals_stn_imp[End Date])</f>
        <v>31</v>
      </c>
      <c r="F32" s="48">
        <f ca="1">MATCH($A32,actuals_stn_exp[End Date])</f>
        <v>31</v>
      </c>
      <c r="G32">
        <f ca="1">NETWORKDAYS(INDEX(actuals_prd_imp[End Date],$C32-1), INDEX(actuals_prd_imp[End Date],$C32))-1</f>
        <v>5</v>
      </c>
      <c r="H32">
        <f ca="1">NETWORKDAYS(INDEX(actuals_prd_exp[End Date],$C32-1), INDEX(actuals_prd_exp[End Date],$C32))-1</f>
        <v>5</v>
      </c>
      <c r="I32">
        <f ca="1">NETWORKDAYS(INDEX(actuals_stn_imp[End Date],$C32-1), INDEX(actuals_stn_imp[End Date],$C32))-1</f>
        <v>2</v>
      </c>
      <c r="J32">
        <f ca="1">NETWORKDAYS(INDEX(actuals_stn_exp[End Date],$C32-1), INDEX(actuals_stn_exp[End Date],$C32))-1</f>
        <v>2</v>
      </c>
      <c r="K32">
        <f ca="1">INDEX(actuals_prd_imp[Planned done],$C32)</f>
        <v>10</v>
      </c>
      <c r="L32">
        <f ca="1">INDEX(actuals_prd_exp[Planned done],$D32)</f>
        <v>11</v>
      </c>
      <c r="M32">
        <f ca="1">INDEX(actuals_stn_imp[Planned done],$E32)</f>
        <v>2</v>
      </c>
      <c r="N32">
        <f ca="1">INDEX(actuals_stn_exp[Planned done],$F32)</f>
        <v>3</v>
      </c>
      <c r="O32">
        <f ca="1">INDEX(actuals_prd_imp[Additional done],$C32)</f>
        <v>2</v>
      </c>
      <c r="P32">
        <f ca="1">INDEX(actuals_prd_exp[Additional done],$D32)</f>
        <v>0</v>
      </c>
      <c r="Q32">
        <f ca="1">INDEX(actuals_stn_imp[Additional done],$E32)</f>
        <v>1</v>
      </c>
      <c r="R32">
        <f ca="1">INDEX(actuals_stn_exp[Additional done],$F32)</f>
        <v>0</v>
      </c>
      <c r="S32">
        <f t="shared" ca="1" si="8"/>
        <v>2</v>
      </c>
      <c r="T32">
        <f t="shared" ca="1" si="9"/>
        <v>2.2000000000000002</v>
      </c>
      <c r="U32">
        <f t="shared" ca="1" si="10"/>
        <v>1</v>
      </c>
      <c r="V32">
        <f t="shared" ca="1" si="11"/>
        <v>1.5</v>
      </c>
      <c r="W32">
        <f t="shared" ca="1" si="12"/>
        <v>0.4</v>
      </c>
      <c r="X32">
        <f t="shared" ca="1" si="13"/>
        <v>0</v>
      </c>
      <c r="Y32">
        <f t="shared" ca="1" si="14"/>
        <v>0.5</v>
      </c>
      <c r="Z32">
        <f t="shared" ca="1" si="15"/>
        <v>0</v>
      </c>
      <c r="AA32" s="49">
        <f t="shared" ca="1" si="16"/>
        <v>0.30000000000000004</v>
      </c>
      <c r="AB32" s="49">
        <f t="shared" ca="1" si="17"/>
        <v>0.36000000000000004</v>
      </c>
      <c r="AC32" s="49">
        <f ca="1">INDEX(budget_history[Budget],$B32)</f>
        <v>0.4</v>
      </c>
      <c r="AD32" s="49">
        <f t="shared" ca="1" si="18"/>
        <v>0.45999999999999996</v>
      </c>
      <c r="AE32" s="49">
        <f t="shared" ca="1" si="19"/>
        <v>0.55000000000000004</v>
      </c>
      <c r="AF32" s="49">
        <v>1</v>
      </c>
      <c r="AG32" s="49">
        <f t="shared" ca="1" si="20"/>
        <v>0.39473684210526311</v>
      </c>
      <c r="AH32" s="49">
        <v>0.6</v>
      </c>
      <c r="AI32" s="49">
        <v>0.8</v>
      </c>
      <c r="AJ32" s="49">
        <v>1</v>
      </c>
      <c r="AK32" s="49">
        <f t="shared" ca="1" si="21"/>
        <v>0.83333333333333337</v>
      </c>
      <c r="AL32" s="49">
        <f t="shared" ca="1" si="22"/>
        <v>1</v>
      </c>
      <c r="AM32" s="49">
        <f t="shared" ca="1" si="23"/>
        <v>0.66666666666666663</v>
      </c>
      <c r="AN32" s="49">
        <f t="shared" ca="1" si="24"/>
        <v>1</v>
      </c>
    </row>
    <row r="33" spans="1:40" x14ac:dyDescent="0.35">
      <c r="A33" s="53">
        <f t="shared" ca="1" si="25"/>
        <v>42520</v>
      </c>
      <c r="B33" s="48">
        <f ca="1">MATCH($A33,budget_history[Date])</f>
        <v>3</v>
      </c>
      <c r="C33" s="48">
        <f ca="1">MATCH($A33,actuals_prd_imp[End Date])</f>
        <v>13</v>
      </c>
      <c r="D33" s="48">
        <f ca="1">MATCH($A33,actuals_prd_exp[End Date])</f>
        <v>13</v>
      </c>
      <c r="E33" s="48">
        <f ca="1">MATCH($A33,actuals_stn_imp[End Date])</f>
        <v>31</v>
      </c>
      <c r="F33" s="48">
        <f ca="1">MATCH($A33,actuals_stn_exp[End Date])</f>
        <v>31</v>
      </c>
      <c r="G33">
        <f ca="1">NETWORKDAYS(INDEX(actuals_prd_imp[End Date],$C33-1), INDEX(actuals_prd_imp[End Date],$C33))-1</f>
        <v>5</v>
      </c>
      <c r="H33">
        <f ca="1">NETWORKDAYS(INDEX(actuals_prd_exp[End Date],$C33-1), INDEX(actuals_prd_exp[End Date],$C33))-1</f>
        <v>5</v>
      </c>
      <c r="I33">
        <f ca="1">NETWORKDAYS(INDEX(actuals_stn_imp[End Date],$C33-1), INDEX(actuals_stn_imp[End Date],$C33))-1</f>
        <v>2</v>
      </c>
      <c r="J33">
        <f ca="1">NETWORKDAYS(INDEX(actuals_stn_exp[End Date],$C33-1), INDEX(actuals_stn_exp[End Date],$C33))-1</f>
        <v>2</v>
      </c>
      <c r="K33">
        <f ca="1">INDEX(actuals_prd_imp[Planned done],$C33)</f>
        <v>10</v>
      </c>
      <c r="L33">
        <f ca="1">INDEX(actuals_prd_exp[Planned done],$D33)</f>
        <v>11</v>
      </c>
      <c r="M33">
        <f ca="1">INDEX(actuals_stn_imp[Planned done],$E33)</f>
        <v>2</v>
      </c>
      <c r="N33">
        <f ca="1">INDEX(actuals_stn_exp[Planned done],$F33)</f>
        <v>3</v>
      </c>
      <c r="O33">
        <f ca="1">INDEX(actuals_prd_imp[Additional done],$C33)</f>
        <v>2</v>
      </c>
      <c r="P33">
        <f ca="1">INDEX(actuals_prd_exp[Additional done],$D33)</f>
        <v>0</v>
      </c>
      <c r="Q33">
        <f ca="1">INDEX(actuals_stn_imp[Additional done],$E33)</f>
        <v>1</v>
      </c>
      <c r="R33">
        <f ca="1">INDEX(actuals_stn_exp[Additional done],$F33)</f>
        <v>0</v>
      </c>
      <c r="S33">
        <f t="shared" ca="1" si="8"/>
        <v>2</v>
      </c>
      <c r="T33">
        <f t="shared" ca="1" si="9"/>
        <v>2.2000000000000002</v>
      </c>
      <c r="U33">
        <f t="shared" ca="1" si="10"/>
        <v>1</v>
      </c>
      <c r="V33">
        <f t="shared" ca="1" si="11"/>
        <v>1.5</v>
      </c>
      <c r="W33">
        <f t="shared" ca="1" si="12"/>
        <v>0.4</v>
      </c>
      <c r="X33">
        <f t="shared" ca="1" si="13"/>
        <v>0</v>
      </c>
      <c r="Y33">
        <f t="shared" ca="1" si="14"/>
        <v>0.5</v>
      </c>
      <c r="Z33">
        <f t="shared" ca="1" si="15"/>
        <v>0</v>
      </c>
      <c r="AA33" s="49">
        <f t="shared" ca="1" si="16"/>
        <v>0.30000000000000004</v>
      </c>
      <c r="AB33" s="49">
        <f t="shared" ca="1" si="17"/>
        <v>0.36000000000000004</v>
      </c>
      <c r="AC33" s="49">
        <f ca="1">INDEX(budget_history[Budget],$B33)</f>
        <v>0.4</v>
      </c>
      <c r="AD33" s="49">
        <f t="shared" ca="1" si="18"/>
        <v>0.45999999999999996</v>
      </c>
      <c r="AE33" s="49">
        <f t="shared" ca="1" si="19"/>
        <v>0.55000000000000004</v>
      </c>
      <c r="AF33" s="49">
        <v>1</v>
      </c>
      <c r="AG33" s="49">
        <f t="shared" ca="1" si="20"/>
        <v>0.39473684210526311</v>
      </c>
      <c r="AH33" s="49">
        <v>0.6</v>
      </c>
      <c r="AI33" s="49">
        <v>0.8</v>
      </c>
      <c r="AJ33" s="49">
        <v>1</v>
      </c>
      <c r="AK33" s="49">
        <f t="shared" ca="1" si="21"/>
        <v>0.83333333333333337</v>
      </c>
      <c r="AL33" s="49">
        <f t="shared" ca="1" si="22"/>
        <v>1</v>
      </c>
      <c r="AM33" s="49">
        <f t="shared" ca="1" si="23"/>
        <v>0.66666666666666663</v>
      </c>
      <c r="AN33" s="49">
        <f t="shared" ca="1" si="24"/>
        <v>1</v>
      </c>
    </row>
    <row r="34" spans="1:40" x14ac:dyDescent="0.35">
      <c r="A34" s="53">
        <f t="shared" ca="1" si="25"/>
        <v>42521</v>
      </c>
      <c r="B34" s="48">
        <f ca="1">MATCH($A34,budget_history[Date])</f>
        <v>3</v>
      </c>
      <c r="C34" s="48">
        <f ca="1">MATCH($A34,actuals_prd_imp[End Date])</f>
        <v>13</v>
      </c>
      <c r="D34" s="48">
        <f ca="1">MATCH($A34,actuals_prd_exp[End Date])</f>
        <v>13</v>
      </c>
      <c r="E34" s="48">
        <f ca="1">MATCH($A34,actuals_stn_imp[End Date])</f>
        <v>32</v>
      </c>
      <c r="F34" s="48">
        <f ca="1">MATCH($A34,actuals_stn_exp[End Date])</f>
        <v>32</v>
      </c>
      <c r="G34">
        <f ca="1">NETWORKDAYS(INDEX(actuals_prd_imp[End Date],$C34-1), INDEX(actuals_prd_imp[End Date],$C34))-1</f>
        <v>5</v>
      </c>
      <c r="H34">
        <f ca="1">NETWORKDAYS(INDEX(actuals_prd_exp[End Date],$C34-1), INDEX(actuals_prd_exp[End Date],$C34))-1</f>
        <v>5</v>
      </c>
      <c r="I34">
        <f ca="1">NETWORKDAYS(INDEX(actuals_stn_imp[End Date],$C34-1), INDEX(actuals_stn_imp[End Date],$C34))-1</f>
        <v>2</v>
      </c>
      <c r="J34">
        <f ca="1">NETWORKDAYS(INDEX(actuals_stn_exp[End Date],$C34-1), INDEX(actuals_stn_exp[End Date],$C34))-1</f>
        <v>2</v>
      </c>
      <c r="K34">
        <f ca="1">INDEX(actuals_prd_imp[Planned done],$C34)</f>
        <v>10</v>
      </c>
      <c r="L34">
        <f ca="1">INDEX(actuals_prd_exp[Planned done],$D34)</f>
        <v>11</v>
      </c>
      <c r="M34">
        <f ca="1">INDEX(actuals_stn_imp[Planned done],$E34)</f>
        <v>2</v>
      </c>
      <c r="N34">
        <f ca="1">INDEX(actuals_stn_exp[Planned done],$F34)</f>
        <v>1</v>
      </c>
      <c r="O34">
        <f ca="1">INDEX(actuals_prd_imp[Additional done],$C34)</f>
        <v>2</v>
      </c>
      <c r="P34">
        <f ca="1">INDEX(actuals_prd_exp[Additional done],$D34)</f>
        <v>0</v>
      </c>
      <c r="Q34">
        <f ca="1">INDEX(actuals_stn_imp[Additional done],$E34)</f>
        <v>0</v>
      </c>
      <c r="R34">
        <f ca="1">INDEX(actuals_stn_exp[Additional done],$F34)</f>
        <v>1</v>
      </c>
      <c r="S34">
        <f t="shared" ca="1" si="8"/>
        <v>2</v>
      </c>
      <c r="T34">
        <f t="shared" ca="1" si="9"/>
        <v>2.2000000000000002</v>
      </c>
      <c r="U34">
        <f t="shared" ca="1" si="10"/>
        <v>1</v>
      </c>
      <c r="V34">
        <f t="shared" ca="1" si="11"/>
        <v>0.5</v>
      </c>
      <c r="W34">
        <f t="shared" ca="1" si="12"/>
        <v>0.4</v>
      </c>
      <c r="X34">
        <f t="shared" ca="1" si="13"/>
        <v>0</v>
      </c>
      <c r="Y34">
        <f t="shared" ca="1" si="14"/>
        <v>0</v>
      </c>
      <c r="Z34">
        <f t="shared" ca="1" si="15"/>
        <v>0.5</v>
      </c>
      <c r="AA34" s="49">
        <f t="shared" ca="1" si="16"/>
        <v>0.30000000000000004</v>
      </c>
      <c r="AB34" s="49">
        <f t="shared" ca="1" si="17"/>
        <v>0.36000000000000004</v>
      </c>
      <c r="AC34" s="49">
        <f ca="1">INDEX(budget_history[Budget],$B34)</f>
        <v>0.4</v>
      </c>
      <c r="AD34" s="49">
        <f t="shared" ca="1" si="18"/>
        <v>0.45999999999999996</v>
      </c>
      <c r="AE34" s="49">
        <f t="shared" ca="1" si="19"/>
        <v>0.55000000000000004</v>
      </c>
      <c r="AF34" s="49">
        <v>1</v>
      </c>
      <c r="AG34" s="49">
        <f t="shared" ca="1" si="20"/>
        <v>0.30303030303030298</v>
      </c>
      <c r="AH34" s="49">
        <v>0.6</v>
      </c>
      <c r="AI34" s="49">
        <v>0.8</v>
      </c>
      <c r="AJ34" s="49">
        <v>1</v>
      </c>
      <c r="AK34" s="49">
        <f t="shared" ca="1" si="21"/>
        <v>0.83333333333333337</v>
      </c>
      <c r="AL34" s="49">
        <f t="shared" ca="1" si="22"/>
        <v>1</v>
      </c>
      <c r="AM34" s="49">
        <f t="shared" ca="1" si="23"/>
        <v>1</v>
      </c>
      <c r="AN34" s="49">
        <f t="shared" ca="1" si="24"/>
        <v>0.5</v>
      </c>
    </row>
    <row r="35" spans="1:40" x14ac:dyDescent="0.35">
      <c r="A35" s="53">
        <f t="shared" ca="1" si="25"/>
        <v>42522</v>
      </c>
      <c r="B35" s="48">
        <f ca="1">MATCH($A35,budget_history[Date])</f>
        <v>3</v>
      </c>
      <c r="C35" s="48">
        <f ca="1">MATCH($A35,actuals_prd_imp[End Date])</f>
        <v>13</v>
      </c>
      <c r="D35" s="48">
        <f ca="1">MATCH($A35,actuals_prd_exp[End Date])</f>
        <v>13</v>
      </c>
      <c r="E35" s="48">
        <f ca="1">MATCH($A35,actuals_stn_imp[End Date])</f>
        <v>32</v>
      </c>
      <c r="F35" s="48">
        <f ca="1">MATCH($A35,actuals_stn_exp[End Date])</f>
        <v>32</v>
      </c>
      <c r="G35">
        <f ca="1">NETWORKDAYS(INDEX(actuals_prd_imp[End Date],$C35-1), INDEX(actuals_prd_imp[End Date],$C35))-1</f>
        <v>5</v>
      </c>
      <c r="H35">
        <f ca="1">NETWORKDAYS(INDEX(actuals_prd_exp[End Date],$C35-1), INDEX(actuals_prd_exp[End Date],$C35))-1</f>
        <v>5</v>
      </c>
      <c r="I35">
        <f ca="1">NETWORKDAYS(INDEX(actuals_stn_imp[End Date],$C35-1), INDEX(actuals_stn_imp[End Date],$C35))-1</f>
        <v>2</v>
      </c>
      <c r="J35">
        <f ca="1">NETWORKDAYS(INDEX(actuals_stn_exp[End Date],$C35-1), INDEX(actuals_stn_exp[End Date],$C35))-1</f>
        <v>2</v>
      </c>
      <c r="K35">
        <f ca="1">INDEX(actuals_prd_imp[Planned done],$C35)</f>
        <v>10</v>
      </c>
      <c r="L35">
        <f ca="1">INDEX(actuals_prd_exp[Planned done],$D35)</f>
        <v>11</v>
      </c>
      <c r="M35">
        <f ca="1">INDEX(actuals_stn_imp[Planned done],$E35)</f>
        <v>2</v>
      </c>
      <c r="N35">
        <f ca="1">INDEX(actuals_stn_exp[Planned done],$F35)</f>
        <v>1</v>
      </c>
      <c r="O35">
        <f ca="1">INDEX(actuals_prd_imp[Additional done],$C35)</f>
        <v>2</v>
      </c>
      <c r="P35">
        <f ca="1">INDEX(actuals_prd_exp[Additional done],$D35)</f>
        <v>0</v>
      </c>
      <c r="Q35">
        <f ca="1">INDEX(actuals_stn_imp[Additional done],$E35)</f>
        <v>0</v>
      </c>
      <c r="R35">
        <f ca="1">INDEX(actuals_stn_exp[Additional done],$F35)</f>
        <v>1</v>
      </c>
      <c r="S35">
        <f t="shared" ca="1" si="8"/>
        <v>2</v>
      </c>
      <c r="T35">
        <f t="shared" ca="1" si="9"/>
        <v>2.2000000000000002</v>
      </c>
      <c r="U35">
        <f t="shared" ca="1" si="10"/>
        <v>1</v>
      </c>
      <c r="V35">
        <f t="shared" ca="1" si="11"/>
        <v>0.5</v>
      </c>
      <c r="W35">
        <f t="shared" ca="1" si="12"/>
        <v>0.4</v>
      </c>
      <c r="X35">
        <f t="shared" ca="1" si="13"/>
        <v>0</v>
      </c>
      <c r="Y35">
        <f t="shared" ca="1" si="14"/>
        <v>0</v>
      </c>
      <c r="Z35">
        <f t="shared" ca="1" si="15"/>
        <v>0.5</v>
      </c>
      <c r="AA35" s="49">
        <f t="shared" ca="1" si="16"/>
        <v>0.30000000000000004</v>
      </c>
      <c r="AB35" s="49">
        <f t="shared" ca="1" si="17"/>
        <v>0.36000000000000004</v>
      </c>
      <c r="AC35" s="49">
        <f ca="1">INDEX(budget_history[Budget],$B35)</f>
        <v>0.4</v>
      </c>
      <c r="AD35" s="49">
        <f t="shared" ca="1" si="18"/>
        <v>0.45999999999999996</v>
      </c>
      <c r="AE35" s="49">
        <f t="shared" ca="1" si="19"/>
        <v>0.55000000000000004</v>
      </c>
      <c r="AF35" s="49">
        <v>1</v>
      </c>
      <c r="AG35" s="49">
        <f t="shared" ca="1" si="20"/>
        <v>0.30303030303030298</v>
      </c>
      <c r="AH35" s="49">
        <v>0.6</v>
      </c>
      <c r="AI35" s="49">
        <v>0.8</v>
      </c>
      <c r="AJ35" s="49">
        <v>1</v>
      </c>
      <c r="AK35" s="49">
        <f t="shared" ca="1" si="21"/>
        <v>0.83333333333333337</v>
      </c>
      <c r="AL35" s="49">
        <f t="shared" ca="1" si="22"/>
        <v>1</v>
      </c>
      <c r="AM35" s="49">
        <f t="shared" ca="1" si="23"/>
        <v>1</v>
      </c>
      <c r="AN35" s="49">
        <f t="shared" ca="1" si="24"/>
        <v>0.5</v>
      </c>
    </row>
    <row r="36" spans="1:40" x14ac:dyDescent="0.35">
      <c r="A36" s="53">
        <f t="shared" ca="1" si="25"/>
        <v>42523</v>
      </c>
      <c r="B36" s="48">
        <f ca="1">MATCH($A36,budget_history[Date])</f>
        <v>3</v>
      </c>
      <c r="C36" s="48">
        <f ca="1">MATCH($A36,actuals_prd_imp[End Date])</f>
        <v>14</v>
      </c>
      <c r="D36" s="48">
        <f ca="1">MATCH($A36,actuals_prd_exp[End Date])</f>
        <v>14</v>
      </c>
      <c r="E36" s="48">
        <f ca="1">MATCH($A36,actuals_stn_imp[End Date])</f>
        <v>33</v>
      </c>
      <c r="F36" s="48">
        <f ca="1">MATCH($A36,actuals_stn_exp[End Date])</f>
        <v>33</v>
      </c>
      <c r="G36">
        <f ca="1">NETWORKDAYS(INDEX(actuals_prd_imp[End Date],$C36-1), INDEX(actuals_prd_imp[End Date],$C36))-1</f>
        <v>5</v>
      </c>
      <c r="H36">
        <f ca="1">NETWORKDAYS(INDEX(actuals_prd_exp[End Date],$C36-1), INDEX(actuals_prd_exp[End Date],$C36))-1</f>
        <v>5</v>
      </c>
      <c r="I36">
        <f ca="1">NETWORKDAYS(INDEX(actuals_stn_imp[End Date],$C36-1), INDEX(actuals_stn_imp[End Date],$C36))-1</f>
        <v>2</v>
      </c>
      <c r="J36">
        <f ca="1">NETWORKDAYS(INDEX(actuals_stn_exp[End Date],$C36-1), INDEX(actuals_stn_exp[End Date],$C36))-1</f>
        <v>2</v>
      </c>
      <c r="K36">
        <f ca="1">INDEX(actuals_prd_imp[Planned done],$C36)</f>
        <v>9</v>
      </c>
      <c r="L36">
        <f ca="1">INDEX(actuals_prd_exp[Planned done],$D36)</f>
        <v>10</v>
      </c>
      <c r="M36">
        <f ca="1">INDEX(actuals_stn_imp[Planned done],$E36)</f>
        <v>2</v>
      </c>
      <c r="N36">
        <f ca="1">INDEX(actuals_stn_exp[Planned done],$F36)</f>
        <v>2</v>
      </c>
      <c r="O36">
        <f ca="1">INDEX(actuals_prd_imp[Additional done],$C36)</f>
        <v>3</v>
      </c>
      <c r="P36">
        <f ca="1">INDEX(actuals_prd_exp[Additional done],$D36)</f>
        <v>2</v>
      </c>
      <c r="Q36">
        <f ca="1">INDEX(actuals_stn_imp[Additional done],$E36)</f>
        <v>0</v>
      </c>
      <c r="R36">
        <f ca="1">INDEX(actuals_stn_exp[Additional done],$F36)</f>
        <v>0</v>
      </c>
      <c r="S36">
        <f t="shared" ca="1" si="8"/>
        <v>1.8</v>
      </c>
      <c r="T36">
        <f t="shared" ca="1" si="9"/>
        <v>2</v>
      </c>
      <c r="U36">
        <f t="shared" ca="1" si="10"/>
        <v>1</v>
      </c>
      <c r="V36">
        <f t="shared" ca="1" si="11"/>
        <v>1</v>
      </c>
      <c r="W36">
        <f t="shared" ca="1" si="12"/>
        <v>0.6</v>
      </c>
      <c r="X36">
        <f t="shared" ca="1" si="13"/>
        <v>0.4</v>
      </c>
      <c r="Y36">
        <f t="shared" ca="1" si="14"/>
        <v>0</v>
      </c>
      <c r="Z36">
        <f t="shared" ca="1" si="15"/>
        <v>0</v>
      </c>
      <c r="AA36" s="49">
        <f t="shared" ca="1" si="16"/>
        <v>0.30000000000000004</v>
      </c>
      <c r="AB36" s="49">
        <f t="shared" ca="1" si="17"/>
        <v>0.36000000000000004</v>
      </c>
      <c r="AC36" s="49">
        <f ca="1">INDEX(budget_history[Budget],$B36)</f>
        <v>0.4</v>
      </c>
      <c r="AD36" s="49">
        <f t="shared" ca="1" si="18"/>
        <v>0.45999999999999996</v>
      </c>
      <c r="AE36" s="49">
        <f t="shared" ca="1" si="19"/>
        <v>0.55000000000000004</v>
      </c>
      <c r="AF36" s="49">
        <v>1</v>
      </c>
      <c r="AG36" s="49">
        <f t="shared" ca="1" si="20"/>
        <v>0.29411764705882354</v>
      </c>
      <c r="AH36" s="49">
        <v>0.6</v>
      </c>
      <c r="AI36" s="49">
        <v>0.8</v>
      </c>
      <c r="AJ36" s="49">
        <v>1</v>
      </c>
      <c r="AK36" s="49">
        <f t="shared" ca="1" si="21"/>
        <v>0.75</v>
      </c>
      <c r="AL36" s="49">
        <f t="shared" ca="1" si="22"/>
        <v>0.83333333333333337</v>
      </c>
      <c r="AM36" s="49">
        <f t="shared" ca="1" si="23"/>
        <v>1</v>
      </c>
      <c r="AN36" s="49">
        <f t="shared" ca="1" si="24"/>
        <v>1</v>
      </c>
    </row>
    <row r="37" spans="1:40" x14ac:dyDescent="0.35">
      <c r="A37" s="53">
        <f t="shared" ca="1" si="25"/>
        <v>42524</v>
      </c>
      <c r="B37" s="48">
        <f ca="1">MATCH($A37,budget_history[Date])</f>
        <v>3</v>
      </c>
      <c r="C37" s="48">
        <f ca="1">MATCH($A37,actuals_prd_imp[End Date])</f>
        <v>14</v>
      </c>
      <c r="D37" s="48">
        <f ca="1">MATCH($A37,actuals_prd_exp[End Date])</f>
        <v>14</v>
      </c>
      <c r="E37" s="48">
        <f ca="1">MATCH($A37,actuals_stn_imp[End Date])</f>
        <v>33</v>
      </c>
      <c r="F37" s="48">
        <f ca="1">MATCH($A37,actuals_stn_exp[End Date])</f>
        <v>33</v>
      </c>
      <c r="G37">
        <f ca="1">NETWORKDAYS(INDEX(actuals_prd_imp[End Date],$C37-1), INDEX(actuals_prd_imp[End Date],$C37))-1</f>
        <v>5</v>
      </c>
      <c r="H37">
        <f ca="1">NETWORKDAYS(INDEX(actuals_prd_exp[End Date],$C37-1), INDEX(actuals_prd_exp[End Date],$C37))-1</f>
        <v>5</v>
      </c>
      <c r="I37">
        <f ca="1">NETWORKDAYS(INDEX(actuals_stn_imp[End Date],$C37-1), INDEX(actuals_stn_imp[End Date],$C37))-1</f>
        <v>2</v>
      </c>
      <c r="J37">
        <f ca="1">NETWORKDAYS(INDEX(actuals_stn_exp[End Date],$C37-1), INDEX(actuals_stn_exp[End Date],$C37))-1</f>
        <v>2</v>
      </c>
      <c r="K37">
        <f ca="1">INDEX(actuals_prd_imp[Planned done],$C37)</f>
        <v>9</v>
      </c>
      <c r="L37">
        <f ca="1">INDEX(actuals_prd_exp[Planned done],$D37)</f>
        <v>10</v>
      </c>
      <c r="M37">
        <f ca="1">INDEX(actuals_stn_imp[Planned done],$E37)</f>
        <v>2</v>
      </c>
      <c r="N37">
        <f ca="1">INDEX(actuals_stn_exp[Planned done],$F37)</f>
        <v>2</v>
      </c>
      <c r="O37">
        <f ca="1">INDEX(actuals_prd_imp[Additional done],$C37)</f>
        <v>3</v>
      </c>
      <c r="P37">
        <f ca="1">INDEX(actuals_prd_exp[Additional done],$D37)</f>
        <v>2</v>
      </c>
      <c r="Q37">
        <f ca="1">INDEX(actuals_stn_imp[Additional done],$E37)</f>
        <v>0</v>
      </c>
      <c r="R37">
        <f ca="1">INDEX(actuals_stn_exp[Additional done],$F37)</f>
        <v>0</v>
      </c>
      <c r="S37">
        <f t="shared" ca="1" si="8"/>
        <v>1.8</v>
      </c>
      <c r="T37">
        <f t="shared" ca="1" si="9"/>
        <v>2</v>
      </c>
      <c r="U37">
        <f t="shared" ca="1" si="10"/>
        <v>1</v>
      </c>
      <c r="V37">
        <f t="shared" ca="1" si="11"/>
        <v>1</v>
      </c>
      <c r="W37">
        <f t="shared" ca="1" si="12"/>
        <v>0.6</v>
      </c>
      <c r="X37">
        <f t="shared" ca="1" si="13"/>
        <v>0.4</v>
      </c>
      <c r="Y37">
        <f t="shared" ca="1" si="14"/>
        <v>0</v>
      </c>
      <c r="Z37">
        <f t="shared" ca="1" si="15"/>
        <v>0</v>
      </c>
      <c r="AA37" s="49">
        <f t="shared" ca="1" si="16"/>
        <v>0.30000000000000004</v>
      </c>
      <c r="AB37" s="49">
        <f t="shared" ca="1" si="17"/>
        <v>0.36000000000000004</v>
      </c>
      <c r="AC37" s="49">
        <f ca="1">INDEX(budget_history[Budget],$B37)</f>
        <v>0.4</v>
      </c>
      <c r="AD37" s="49">
        <f t="shared" ca="1" si="18"/>
        <v>0.45999999999999996</v>
      </c>
      <c r="AE37" s="49">
        <f t="shared" ca="1" si="19"/>
        <v>0.55000000000000004</v>
      </c>
      <c r="AF37" s="49">
        <v>1</v>
      </c>
      <c r="AG37" s="49">
        <f t="shared" ca="1" si="20"/>
        <v>0.29411764705882354</v>
      </c>
      <c r="AH37" s="49">
        <v>0.6</v>
      </c>
      <c r="AI37" s="49">
        <v>0.8</v>
      </c>
      <c r="AJ37" s="49">
        <v>1</v>
      </c>
      <c r="AK37" s="49">
        <f t="shared" ca="1" si="21"/>
        <v>0.75</v>
      </c>
      <c r="AL37" s="49">
        <f t="shared" ca="1" si="22"/>
        <v>0.83333333333333337</v>
      </c>
      <c r="AM37" s="49">
        <f t="shared" ca="1" si="23"/>
        <v>1</v>
      </c>
      <c r="AN37" s="49">
        <f t="shared" ca="1" si="24"/>
        <v>1</v>
      </c>
    </row>
    <row r="38" spans="1:40" x14ac:dyDescent="0.35">
      <c r="A38" s="53">
        <f t="shared" ca="1" si="25"/>
        <v>42527</v>
      </c>
      <c r="B38" s="48">
        <f ca="1">MATCH($A38,budget_history[Date])</f>
        <v>3</v>
      </c>
      <c r="C38" s="48">
        <f ca="1">MATCH($A38,actuals_prd_imp[End Date])</f>
        <v>14</v>
      </c>
      <c r="D38" s="48">
        <f ca="1">MATCH($A38,actuals_prd_exp[End Date])</f>
        <v>14</v>
      </c>
      <c r="E38" s="48">
        <f ca="1">MATCH($A38,actuals_stn_imp[End Date])</f>
        <v>34</v>
      </c>
      <c r="F38" s="48">
        <f ca="1">MATCH($A38,actuals_stn_exp[End Date])</f>
        <v>34</v>
      </c>
      <c r="G38">
        <f ca="1">NETWORKDAYS(INDEX(actuals_prd_imp[End Date],$C38-1), INDEX(actuals_prd_imp[End Date],$C38))-1</f>
        <v>5</v>
      </c>
      <c r="H38">
        <f ca="1">NETWORKDAYS(INDEX(actuals_prd_exp[End Date],$C38-1), INDEX(actuals_prd_exp[End Date],$C38))-1</f>
        <v>5</v>
      </c>
      <c r="I38">
        <f ca="1">NETWORKDAYS(INDEX(actuals_stn_imp[End Date],$C38-1), INDEX(actuals_stn_imp[End Date],$C38))-1</f>
        <v>2</v>
      </c>
      <c r="J38">
        <f ca="1">NETWORKDAYS(INDEX(actuals_stn_exp[End Date],$C38-1), INDEX(actuals_stn_exp[End Date],$C38))-1</f>
        <v>2</v>
      </c>
      <c r="K38">
        <f ca="1">INDEX(actuals_prd_imp[Planned done],$C38)</f>
        <v>9</v>
      </c>
      <c r="L38">
        <f ca="1">INDEX(actuals_prd_exp[Planned done],$D38)</f>
        <v>10</v>
      </c>
      <c r="M38">
        <f ca="1">INDEX(actuals_stn_imp[Planned done],$E38)</f>
        <v>1</v>
      </c>
      <c r="N38">
        <f ca="1">INDEX(actuals_stn_exp[Planned done],$F38)</f>
        <v>2</v>
      </c>
      <c r="O38">
        <f ca="1">INDEX(actuals_prd_imp[Additional done],$C38)</f>
        <v>3</v>
      </c>
      <c r="P38">
        <f ca="1">INDEX(actuals_prd_exp[Additional done],$D38)</f>
        <v>2</v>
      </c>
      <c r="Q38">
        <f ca="1">INDEX(actuals_stn_imp[Additional done],$E38)</f>
        <v>0</v>
      </c>
      <c r="R38">
        <f ca="1">INDEX(actuals_stn_exp[Additional done],$F38)</f>
        <v>0</v>
      </c>
      <c r="S38">
        <f t="shared" ca="1" si="8"/>
        <v>1.8</v>
      </c>
      <c r="T38">
        <f t="shared" ca="1" si="9"/>
        <v>2</v>
      </c>
      <c r="U38">
        <f t="shared" ca="1" si="10"/>
        <v>0.5</v>
      </c>
      <c r="V38">
        <f t="shared" ca="1" si="11"/>
        <v>1</v>
      </c>
      <c r="W38">
        <f t="shared" ca="1" si="12"/>
        <v>0.6</v>
      </c>
      <c r="X38">
        <f t="shared" ca="1" si="13"/>
        <v>0.4</v>
      </c>
      <c r="Y38">
        <f t="shared" ca="1" si="14"/>
        <v>0</v>
      </c>
      <c r="Z38">
        <f t="shared" ca="1" si="15"/>
        <v>0</v>
      </c>
      <c r="AA38" s="49">
        <f t="shared" ca="1" si="16"/>
        <v>0.30000000000000004</v>
      </c>
      <c r="AB38" s="49">
        <f t="shared" ca="1" si="17"/>
        <v>0.36000000000000004</v>
      </c>
      <c r="AC38" s="49">
        <f ca="1">INDEX(budget_history[Budget],$B38)</f>
        <v>0.4</v>
      </c>
      <c r="AD38" s="49">
        <f t="shared" ca="1" si="18"/>
        <v>0.45999999999999996</v>
      </c>
      <c r="AE38" s="49">
        <f t="shared" ca="1" si="19"/>
        <v>0.55000000000000004</v>
      </c>
      <c r="AF38" s="49">
        <v>1</v>
      </c>
      <c r="AG38" s="49">
        <f t="shared" ca="1" si="20"/>
        <v>0.23809523809523811</v>
      </c>
      <c r="AH38" s="49">
        <v>0.6</v>
      </c>
      <c r="AI38" s="49">
        <v>0.8</v>
      </c>
      <c r="AJ38" s="49">
        <v>1</v>
      </c>
      <c r="AK38" s="49">
        <f t="shared" ca="1" si="21"/>
        <v>0.75</v>
      </c>
      <c r="AL38" s="49">
        <f t="shared" ca="1" si="22"/>
        <v>0.83333333333333337</v>
      </c>
      <c r="AM38" s="49">
        <f t="shared" ca="1" si="23"/>
        <v>1</v>
      </c>
      <c r="AN38" s="49">
        <f t="shared" ca="1" si="24"/>
        <v>1</v>
      </c>
    </row>
    <row r="39" spans="1:40" x14ac:dyDescent="0.35">
      <c r="A39" s="4"/>
    </row>
    <row r="40" spans="1:40" x14ac:dyDescent="0.35">
      <c r="A40" s="4"/>
    </row>
    <row r="41" spans="1:40" x14ac:dyDescent="0.35">
      <c r="A41" s="4"/>
    </row>
    <row r="42" spans="1:40" x14ac:dyDescent="0.35">
      <c r="A42" s="4"/>
    </row>
    <row r="43" spans="1:40" x14ac:dyDescent="0.35">
      <c r="A43" s="4"/>
    </row>
    <row r="44" spans="1:40" x14ac:dyDescent="0.35">
      <c r="A44" s="4"/>
    </row>
  </sheetData>
  <mergeCells count="8">
    <mergeCell ref="AA16:AG16"/>
    <mergeCell ref="AH16:AN16"/>
    <mergeCell ref="K16:N16"/>
    <mergeCell ref="O16:R16"/>
    <mergeCell ref="B16:F16"/>
    <mergeCell ref="G16:J16"/>
    <mergeCell ref="S16:V16"/>
    <mergeCell ref="W16:Z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2016-06-06T16:45:35Z</dcterms:modified>
</cp:coreProperties>
</file>