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MATH 365/365 Final Project/365 FP Spreadsheets/"/>
    </mc:Choice>
  </mc:AlternateContent>
  <xr:revisionPtr revIDLastSave="0" documentId="13_ncr:1_{D5A299BD-E979-1F4F-A638-65832AA0C46A}" xr6:coauthVersionLast="32" xr6:coauthVersionMax="32" xr10:uidLastSave="{00000000-0000-0000-0000-000000000000}"/>
  <bookViews>
    <workbookView xWindow="0" yWindow="460" windowWidth="25600" windowHeight="14420" activeTab="5" xr2:uid="{68175257-9561-C149-844C-F0C33715A91A}"/>
  </bookViews>
  <sheets>
    <sheet name="General Data" sheetId="1" r:id="rId1"/>
    <sheet name="Harvest vs. Hunters" sheetId="2" r:id="rId2"/>
    <sheet name="H vs. H Polynomial Model's" sheetId="3" r:id="rId3"/>
    <sheet name="Harvest vs. Rec Days" sheetId="4" r:id="rId4"/>
    <sheet name="H vs. R Polynomial Models" sheetId="5" r:id="rId5"/>
    <sheet name="Simulation" sheetId="7" r:id="rId6"/>
    <sheet name="Final Model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16" i="7"/>
  <c r="F14" i="7"/>
  <c r="D16" i="7"/>
  <c r="D15" i="7"/>
  <c r="D14" i="7"/>
  <c r="C16" i="7"/>
  <c r="C15" i="7"/>
  <c r="C14" i="7"/>
  <c r="B16" i="7"/>
  <c r="B15" i="7"/>
  <c r="B14" i="7"/>
  <c r="G11" i="7"/>
  <c r="B11" i="7" s="1"/>
  <c r="G10" i="7"/>
  <c r="B10" i="7" s="1"/>
  <c r="G9" i="7"/>
  <c r="B9" i="7"/>
  <c r="G8" i="7"/>
  <c r="B8" i="7" s="1"/>
  <c r="G7" i="7"/>
  <c r="B7" i="7"/>
  <c r="G6" i="7"/>
  <c r="B6" i="7" s="1"/>
  <c r="G5" i="7"/>
  <c r="B5" i="7" s="1"/>
  <c r="G4" i="7"/>
  <c r="B4" i="7"/>
  <c r="G3" i="7"/>
  <c r="B3" i="7" s="1"/>
  <c r="A3" i="7"/>
  <c r="A4" i="7" s="1"/>
  <c r="A5" i="7" s="1"/>
  <c r="A6" i="7" s="1"/>
  <c r="A7" i="7" s="1"/>
  <c r="A8" i="7" s="1"/>
  <c r="A9" i="7" s="1"/>
  <c r="A10" i="7" s="1"/>
  <c r="A11" i="7" s="1"/>
  <c r="G2" i="7"/>
  <c r="B2" i="7" s="1"/>
  <c r="C44" i="5" l="1"/>
  <c r="C45" i="5"/>
  <c r="C46" i="5"/>
  <c r="C47" i="5"/>
  <c r="C48" i="5"/>
  <c r="C49" i="5"/>
  <c r="C50" i="5"/>
  <c r="C51" i="5"/>
  <c r="C52" i="5"/>
  <c r="C43" i="5"/>
  <c r="B48" i="5"/>
  <c r="B49" i="5"/>
  <c r="B50" i="5"/>
  <c r="B51" i="5"/>
  <c r="B52" i="5"/>
  <c r="B46" i="5"/>
  <c r="B47" i="5"/>
  <c r="B45" i="5"/>
  <c r="B44" i="5"/>
  <c r="B43" i="5"/>
  <c r="A44" i="5"/>
  <c r="A45" i="5"/>
  <c r="A46" i="5"/>
  <c r="A47" i="5"/>
  <c r="A48" i="5"/>
  <c r="A49" i="5"/>
  <c r="A50" i="5"/>
  <c r="A51" i="5"/>
  <c r="A52" i="5"/>
  <c r="A43" i="5"/>
  <c r="C44" i="3"/>
  <c r="C45" i="3"/>
  <c r="C46" i="3"/>
  <c r="C47" i="3"/>
  <c r="C48" i="3"/>
  <c r="C49" i="3"/>
  <c r="C50" i="3"/>
  <c r="C51" i="3"/>
  <c r="C52" i="3"/>
  <c r="C43" i="3"/>
  <c r="B44" i="3"/>
  <c r="B45" i="3"/>
  <c r="B46" i="3"/>
  <c r="B47" i="3"/>
  <c r="B48" i="3"/>
  <c r="B49" i="3"/>
  <c r="B50" i="3"/>
  <c r="B51" i="3"/>
  <c r="B52" i="3"/>
  <c r="B43" i="3"/>
  <c r="A44" i="3"/>
  <c r="A45" i="3"/>
  <c r="A46" i="3"/>
  <c r="A47" i="3"/>
  <c r="A48" i="3"/>
  <c r="A49" i="3"/>
  <c r="A50" i="3"/>
  <c r="A51" i="3"/>
  <c r="A52" i="3"/>
  <c r="A43" i="3"/>
  <c r="V4" i="5" l="1"/>
  <c r="V5" i="5" s="1"/>
  <c r="V6" i="5" s="1"/>
  <c r="V7" i="5" s="1"/>
  <c r="V8" i="5" s="1"/>
  <c r="V9" i="5" s="1"/>
  <c r="V10" i="5" s="1"/>
  <c r="V11" i="5" s="1"/>
  <c r="V3" i="5"/>
  <c r="A28" i="3"/>
  <c r="B28" i="3" s="1"/>
  <c r="C28" i="3"/>
  <c r="A29" i="3"/>
  <c r="B29" i="3" s="1"/>
  <c r="A30" i="3"/>
  <c r="C30" i="3" s="1"/>
  <c r="B30" i="3"/>
  <c r="A31" i="3"/>
  <c r="B31" i="3"/>
  <c r="C31" i="3"/>
  <c r="A32" i="3"/>
  <c r="B32" i="3" s="1"/>
  <c r="C32" i="3"/>
  <c r="A33" i="3"/>
  <c r="B33" i="3" s="1"/>
  <c r="A34" i="3"/>
  <c r="C34" i="3" s="1"/>
  <c r="B34" i="3"/>
  <c r="A35" i="3"/>
  <c r="B35" i="3"/>
  <c r="C35" i="3"/>
  <c r="A36" i="3"/>
  <c r="B36" i="3" s="1"/>
  <c r="C36" i="3"/>
  <c r="A37" i="3"/>
  <c r="B37" i="3" s="1"/>
  <c r="E4" i="3"/>
  <c r="E5" i="3" s="1"/>
  <c r="E6" i="3" s="1"/>
  <c r="E7" i="3" s="1"/>
  <c r="E8" i="3" s="1"/>
  <c r="E9" i="3" s="1"/>
  <c r="E10" i="3" s="1"/>
  <c r="E11" i="3" s="1"/>
  <c r="E3" i="3"/>
  <c r="C37" i="3" l="1"/>
  <c r="C33" i="3"/>
  <c r="C29" i="3"/>
  <c r="F33" i="6"/>
  <c r="F34" i="6" s="1"/>
  <c r="G33" i="6"/>
  <c r="G34" i="6" s="1"/>
  <c r="H33" i="6"/>
  <c r="I33" i="6" s="1"/>
  <c r="E35" i="6"/>
  <c r="H35" i="6" s="1"/>
  <c r="B33" i="6"/>
  <c r="C33" i="6" s="1"/>
  <c r="A34" i="6"/>
  <c r="G6" i="4"/>
  <c r="G5" i="4"/>
  <c r="G6" i="2"/>
  <c r="G5" i="2"/>
  <c r="F3" i="2"/>
  <c r="F2" i="2"/>
  <c r="F3" i="4"/>
  <c r="F2" i="4"/>
  <c r="G35" i="6" l="1"/>
  <c r="E36" i="6"/>
  <c r="J33" i="6"/>
  <c r="I34" i="6"/>
  <c r="H34" i="6"/>
  <c r="F36" i="6"/>
  <c r="I36" i="6"/>
  <c r="F35" i="6"/>
  <c r="I35" i="6"/>
  <c r="H36" i="6"/>
  <c r="B34" i="6"/>
  <c r="B35" i="6" s="1"/>
  <c r="B36" i="6" s="1"/>
  <c r="B37" i="6" s="1"/>
  <c r="B38" i="6" s="1"/>
  <c r="B39" i="6" s="1"/>
  <c r="B40" i="6" s="1"/>
  <c r="B41" i="6" s="1"/>
  <c r="B42" i="6" s="1"/>
  <c r="B43" i="6" s="1"/>
  <c r="A35" i="6"/>
  <c r="C3" i="6"/>
  <c r="C4" i="6"/>
  <c r="C5" i="6"/>
  <c r="G5" i="6" s="1"/>
  <c r="C6" i="6"/>
  <c r="G6" i="6" s="1"/>
  <c r="C7" i="6"/>
  <c r="C8" i="6"/>
  <c r="C9" i="6"/>
  <c r="G9" i="6" s="1"/>
  <c r="C10" i="6"/>
  <c r="G10" i="6" s="1"/>
  <c r="C11" i="6"/>
  <c r="C2" i="6"/>
  <c r="G36" i="6" l="1"/>
  <c r="E37" i="6"/>
  <c r="F5" i="6"/>
  <c r="K33" i="6"/>
  <c r="J35" i="6"/>
  <c r="J36" i="6"/>
  <c r="J34" i="6"/>
  <c r="C34" i="6"/>
  <c r="F2" i="6"/>
  <c r="G2" i="6"/>
  <c r="F8" i="6"/>
  <c r="G8" i="6"/>
  <c r="F11" i="6"/>
  <c r="G11" i="6"/>
  <c r="F7" i="6"/>
  <c r="G7" i="6"/>
  <c r="F3" i="6"/>
  <c r="G3" i="6"/>
  <c r="F10" i="6"/>
  <c r="C35" i="6"/>
  <c r="A36" i="6"/>
  <c r="F9" i="6"/>
  <c r="F4" i="6"/>
  <c r="G4" i="6"/>
  <c r="F6" i="6"/>
  <c r="A3" i="6"/>
  <c r="A4" i="6" s="1"/>
  <c r="A5" i="6" s="1"/>
  <c r="A6" i="6" s="1"/>
  <c r="A7" i="6" s="1"/>
  <c r="A8" i="6" s="1"/>
  <c r="A9" i="6" s="1"/>
  <c r="A10" i="6" s="1"/>
  <c r="A11" i="6" s="1"/>
  <c r="E38" i="6" l="1"/>
  <c r="G37" i="6"/>
  <c r="K37" i="6"/>
  <c r="H37" i="6"/>
  <c r="L37" i="6"/>
  <c r="I37" i="6"/>
  <c r="F37" i="6"/>
  <c r="J37" i="6"/>
  <c r="L33" i="6"/>
  <c r="K34" i="6"/>
  <c r="K35" i="6"/>
  <c r="K36" i="6"/>
  <c r="C36" i="6"/>
  <c r="A37" i="6"/>
  <c r="L28" i="5"/>
  <c r="M15" i="5"/>
  <c r="M16" i="5"/>
  <c r="M17" i="5"/>
  <c r="M18" i="5"/>
  <c r="M19" i="5"/>
  <c r="M20" i="5"/>
  <c r="M21" i="5"/>
  <c r="M22" i="5"/>
  <c r="M23" i="5"/>
  <c r="M14" i="5"/>
  <c r="E39" i="6" l="1"/>
  <c r="J38" i="6"/>
  <c r="G38" i="6"/>
  <c r="K38" i="6"/>
  <c r="L38" i="6"/>
  <c r="M38" i="6"/>
  <c r="H38" i="6"/>
  <c r="I38" i="6"/>
  <c r="F38" i="6"/>
  <c r="M33" i="6"/>
  <c r="M37" i="6" s="1"/>
  <c r="L34" i="6"/>
  <c r="L36" i="6"/>
  <c r="L35" i="6"/>
  <c r="A38" i="6"/>
  <c r="C37" i="6"/>
  <c r="M29" i="5"/>
  <c r="M30" i="5"/>
  <c r="M31" i="5"/>
  <c r="M32" i="5"/>
  <c r="M33" i="5"/>
  <c r="M34" i="5"/>
  <c r="M35" i="5"/>
  <c r="M36" i="5"/>
  <c r="M37" i="5"/>
  <c r="M28" i="5"/>
  <c r="L29" i="5"/>
  <c r="L30" i="5"/>
  <c r="L31" i="5"/>
  <c r="L32" i="5"/>
  <c r="L33" i="5"/>
  <c r="L34" i="5"/>
  <c r="L35" i="5"/>
  <c r="L36" i="5"/>
  <c r="L37" i="5"/>
  <c r="K29" i="5"/>
  <c r="K30" i="5"/>
  <c r="K31" i="5"/>
  <c r="K32" i="5"/>
  <c r="K33" i="5"/>
  <c r="K34" i="5"/>
  <c r="K35" i="5"/>
  <c r="K36" i="5"/>
  <c r="K37" i="5"/>
  <c r="K28" i="5"/>
  <c r="E40" i="6" l="1"/>
  <c r="I39" i="6"/>
  <c r="M39" i="6"/>
  <c r="F39" i="6"/>
  <c r="J39" i="6"/>
  <c r="N39" i="6"/>
  <c r="G39" i="6"/>
  <c r="H39" i="6"/>
  <c r="K39" i="6"/>
  <c r="L39" i="6"/>
  <c r="N33" i="6"/>
  <c r="M34" i="6"/>
  <c r="M35" i="6"/>
  <c r="M36" i="6"/>
  <c r="C38" i="6"/>
  <c r="A39" i="6"/>
  <c r="L15" i="5"/>
  <c r="L16" i="5"/>
  <c r="L19" i="5"/>
  <c r="L20" i="5"/>
  <c r="L23" i="5"/>
  <c r="L14" i="5"/>
  <c r="K15" i="5"/>
  <c r="K16" i="5"/>
  <c r="K17" i="5"/>
  <c r="L17" i="5" s="1"/>
  <c r="K18" i="5"/>
  <c r="L18" i="5" s="1"/>
  <c r="K19" i="5"/>
  <c r="K20" i="5"/>
  <c r="K21" i="5"/>
  <c r="L21" i="5" s="1"/>
  <c r="K22" i="5"/>
  <c r="L22" i="5" s="1"/>
  <c r="K23" i="5"/>
  <c r="K14" i="5"/>
  <c r="A15" i="5"/>
  <c r="A16" i="5"/>
  <c r="A17" i="5"/>
  <c r="C17" i="5" s="1"/>
  <c r="A18" i="5"/>
  <c r="B18" i="5" s="1"/>
  <c r="A19" i="5"/>
  <c r="A20" i="5"/>
  <c r="C20" i="5" s="1"/>
  <c r="A21" i="5"/>
  <c r="A22" i="5"/>
  <c r="B22" i="5" s="1"/>
  <c r="A23" i="5"/>
  <c r="B23" i="5" s="1"/>
  <c r="A14" i="5"/>
  <c r="B14" i="5" s="1"/>
  <c r="B29" i="5"/>
  <c r="B30" i="5"/>
  <c r="B33" i="5"/>
  <c r="B34" i="5"/>
  <c r="B28" i="5"/>
  <c r="A29" i="5"/>
  <c r="C29" i="5" s="1"/>
  <c r="A30" i="5"/>
  <c r="C30" i="5" s="1"/>
  <c r="A31" i="5"/>
  <c r="B31" i="5" s="1"/>
  <c r="A32" i="5"/>
  <c r="B32" i="5" s="1"/>
  <c r="A33" i="5"/>
  <c r="C33" i="5" s="1"/>
  <c r="A34" i="5"/>
  <c r="C34" i="5" s="1"/>
  <c r="A35" i="5"/>
  <c r="B35" i="5" s="1"/>
  <c r="A36" i="5"/>
  <c r="B36" i="5" s="1"/>
  <c r="A37" i="5"/>
  <c r="C37" i="5" s="1"/>
  <c r="A28" i="5"/>
  <c r="C28" i="5" s="1"/>
  <c r="C15" i="5"/>
  <c r="C16" i="5"/>
  <c r="C18" i="5"/>
  <c r="C19" i="5"/>
  <c r="C21" i="5"/>
  <c r="B15" i="5"/>
  <c r="B16" i="5"/>
  <c r="B17" i="5"/>
  <c r="B19" i="5"/>
  <c r="B21" i="5"/>
  <c r="A3" i="5"/>
  <c r="A4" i="5" s="1"/>
  <c r="A5" i="5" s="1"/>
  <c r="A6" i="5" s="1"/>
  <c r="A7" i="5" s="1"/>
  <c r="A8" i="5" s="1"/>
  <c r="A9" i="5" s="1"/>
  <c r="A10" i="5" s="1"/>
  <c r="A11" i="5" s="1"/>
  <c r="A3" i="4"/>
  <c r="A4" i="4" s="1"/>
  <c r="A5" i="4" s="1"/>
  <c r="A6" i="4" s="1"/>
  <c r="A7" i="4" s="1"/>
  <c r="A8" i="4" s="1"/>
  <c r="A9" i="4" s="1"/>
  <c r="A10" i="4" s="1"/>
  <c r="A11" i="4" s="1"/>
  <c r="N37" i="6" l="1"/>
  <c r="N38" i="6"/>
  <c r="E41" i="6"/>
  <c r="H40" i="6"/>
  <c r="L40" i="6"/>
  <c r="I40" i="6"/>
  <c r="M40" i="6"/>
  <c r="F40" i="6"/>
  <c r="J40" i="6"/>
  <c r="K40" i="6"/>
  <c r="N40" i="6"/>
  <c r="G40" i="6"/>
  <c r="O33" i="6"/>
  <c r="N34" i="6"/>
  <c r="N35" i="6"/>
  <c r="N36" i="6"/>
  <c r="C39" i="6"/>
  <c r="A40" i="6"/>
  <c r="B37" i="5"/>
  <c r="B20" i="5"/>
  <c r="C35" i="5"/>
  <c r="C31" i="5"/>
  <c r="C36" i="5"/>
  <c r="C32" i="5"/>
  <c r="C14" i="5"/>
  <c r="C23" i="5"/>
  <c r="C22" i="5"/>
  <c r="K29" i="3"/>
  <c r="K30" i="3"/>
  <c r="K31" i="3"/>
  <c r="K32" i="3"/>
  <c r="K33" i="3"/>
  <c r="K34" i="3"/>
  <c r="K35" i="3"/>
  <c r="K36" i="3"/>
  <c r="K37" i="3"/>
  <c r="K28" i="3"/>
  <c r="K15" i="3"/>
  <c r="K16" i="3"/>
  <c r="K17" i="3"/>
  <c r="K18" i="3"/>
  <c r="K19" i="3"/>
  <c r="K20" i="3"/>
  <c r="K21" i="3"/>
  <c r="K22" i="3"/>
  <c r="K23" i="3"/>
  <c r="K14" i="3"/>
  <c r="C15" i="3"/>
  <c r="C16" i="3"/>
  <c r="C17" i="3"/>
  <c r="C18" i="3"/>
  <c r="C19" i="3"/>
  <c r="C20" i="3"/>
  <c r="C21" i="3"/>
  <c r="C22" i="3"/>
  <c r="C23" i="3"/>
  <c r="C14" i="3"/>
  <c r="A15" i="3"/>
  <c r="A16" i="3"/>
  <c r="A17" i="3"/>
  <c r="A18" i="3"/>
  <c r="A19" i="3"/>
  <c r="A20" i="3"/>
  <c r="A21" i="3"/>
  <c r="A22" i="3"/>
  <c r="A23" i="3"/>
  <c r="A14" i="3"/>
  <c r="I15" i="3"/>
  <c r="I16" i="3"/>
  <c r="I17" i="3"/>
  <c r="I18" i="3"/>
  <c r="I19" i="3"/>
  <c r="I20" i="3"/>
  <c r="I21" i="3"/>
  <c r="I22" i="3"/>
  <c r="I23" i="3"/>
  <c r="I14" i="3"/>
  <c r="O37" i="6" l="1"/>
  <c r="O38" i="6"/>
  <c r="O39" i="6"/>
  <c r="E42" i="6"/>
  <c r="G41" i="6"/>
  <c r="K41" i="6"/>
  <c r="O41" i="6"/>
  <c r="H41" i="6"/>
  <c r="L41" i="6"/>
  <c r="P41" i="6"/>
  <c r="M41" i="6"/>
  <c r="N41" i="6"/>
  <c r="I41" i="6"/>
  <c r="F41" i="6"/>
  <c r="J41" i="6"/>
  <c r="O40" i="6"/>
  <c r="P33" i="6"/>
  <c r="O34" i="6"/>
  <c r="O35" i="6"/>
  <c r="O36" i="6"/>
  <c r="C40" i="6"/>
  <c r="A41" i="6"/>
  <c r="J15" i="3"/>
  <c r="J16" i="3"/>
  <c r="J17" i="3"/>
  <c r="J18" i="3"/>
  <c r="J19" i="3"/>
  <c r="J20" i="3"/>
  <c r="J21" i="3"/>
  <c r="J22" i="3"/>
  <c r="J23" i="3"/>
  <c r="J14" i="3"/>
  <c r="E43" i="6" l="1"/>
  <c r="J42" i="6"/>
  <c r="N42" i="6"/>
  <c r="G42" i="6"/>
  <c r="K42" i="6"/>
  <c r="O42" i="6"/>
  <c r="P42" i="6"/>
  <c r="I42" i="6"/>
  <c r="F42" i="6"/>
  <c r="L42" i="6"/>
  <c r="M42" i="6"/>
  <c r="H42" i="6"/>
  <c r="P37" i="6"/>
  <c r="P38" i="6"/>
  <c r="P39" i="6"/>
  <c r="P40" i="6"/>
  <c r="P34" i="6"/>
  <c r="P36" i="6"/>
  <c r="P35" i="6"/>
  <c r="A42" i="6"/>
  <c r="C41" i="6"/>
  <c r="B15" i="3"/>
  <c r="B16" i="3"/>
  <c r="B17" i="3"/>
  <c r="B18" i="3"/>
  <c r="B19" i="3"/>
  <c r="B20" i="3"/>
  <c r="B21" i="3"/>
  <c r="B22" i="3"/>
  <c r="B23" i="3"/>
  <c r="B14" i="3"/>
  <c r="E44" i="6" l="1"/>
  <c r="I43" i="6"/>
  <c r="M43" i="6"/>
  <c r="F43" i="6"/>
  <c r="J43" i="6"/>
  <c r="N43" i="6"/>
  <c r="L43" i="6"/>
  <c r="H43" i="6"/>
  <c r="P43" i="6"/>
  <c r="G43" i="6"/>
  <c r="K43" i="6"/>
  <c r="O43" i="6"/>
  <c r="C42" i="6"/>
  <c r="A43" i="6"/>
  <c r="C43" i="6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28" i="3"/>
  <c r="J28" i="3" s="1"/>
  <c r="H44" i="6" l="1"/>
  <c r="L44" i="6"/>
  <c r="P44" i="6"/>
  <c r="M44" i="6"/>
  <c r="F44" i="6"/>
  <c r="K44" i="6"/>
  <c r="O44" i="6"/>
  <c r="I44" i="6"/>
  <c r="G44" i="6"/>
  <c r="J44" i="6"/>
  <c r="N44" i="6"/>
  <c r="A3" i="3"/>
  <c r="A4" i="3" s="1"/>
  <c r="A5" i="3" s="1"/>
  <c r="A6" i="3" s="1"/>
  <c r="A7" i="3" s="1"/>
  <c r="A8" i="3" s="1"/>
  <c r="A9" i="3" s="1"/>
  <c r="A10" i="3" s="1"/>
  <c r="A11" i="3" s="1"/>
  <c r="A3" i="2"/>
  <c r="A4" i="2" s="1"/>
  <c r="A5" i="2" s="1"/>
  <c r="A6" i="2" s="1"/>
  <c r="A7" i="2" s="1"/>
  <c r="A8" i="2" s="1"/>
  <c r="A9" i="2" s="1"/>
  <c r="A10" i="2" s="1"/>
  <c r="A11" i="2" s="1"/>
  <c r="G3" i="1"/>
  <c r="B3" i="1" s="1"/>
  <c r="G4" i="1"/>
  <c r="B4" i="1" s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2" i="1"/>
  <c r="B2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<sst xmlns="http://schemas.openxmlformats.org/spreadsheetml/2006/main" count="120" uniqueCount="60">
  <si>
    <t>Year</t>
  </si>
  <si>
    <t>Bucks</t>
  </si>
  <si>
    <t>Does</t>
  </si>
  <si>
    <t>Fawns</t>
  </si>
  <si>
    <t>Total Hunters</t>
  </si>
  <si>
    <t>Remaining Population</t>
  </si>
  <si>
    <t>Total Harvest</t>
  </si>
  <si>
    <t>Starting Population</t>
  </si>
  <si>
    <t>Actual Harvest</t>
  </si>
  <si>
    <t>4th Degree Model</t>
  </si>
  <si>
    <t>3rd Degree Model</t>
  </si>
  <si>
    <t>2nd Degree Model</t>
  </si>
  <si>
    <t>Linear Model</t>
  </si>
  <si>
    <t>4th Degree PRE</t>
  </si>
  <si>
    <t>3rd Degree PRE</t>
  </si>
  <si>
    <t>2nd Degree PRE</t>
  </si>
  <si>
    <t>Linear PRE</t>
  </si>
  <si>
    <t>Total Rec Days</t>
  </si>
  <si>
    <t>4th Degree Residuals</t>
  </si>
  <si>
    <t>3rd Degree Residuals</t>
  </si>
  <si>
    <t>2nd Degree Residuals</t>
  </si>
  <si>
    <t>Linear Degree Residuals</t>
  </si>
  <si>
    <t>Linear Residuals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</si>
  <si>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</si>
  <si>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</si>
  <si>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</si>
  <si>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</si>
  <si>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</si>
  <si>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</si>
  <si>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</si>
  <si>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</si>
  <si>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</si>
  <si>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</si>
  <si>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</si>
  <si>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</si>
  <si>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</si>
  <si>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</si>
  <si>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</si>
  <si>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</si>
  <si>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</si>
  <si>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</si>
  <si>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Model</t>
  </si>
  <si>
    <t>Proposed Hunters</t>
  </si>
  <si>
    <t>Proposed Days</t>
  </si>
  <si>
    <t>Days=Green</t>
  </si>
  <si>
    <t>Hunters=Orange</t>
  </si>
  <si>
    <t>Harvest=Blue</t>
  </si>
  <si>
    <t>Final Model</t>
  </si>
  <si>
    <t>Final Model PRE</t>
  </si>
  <si>
    <t>Final Model Residuals</t>
  </si>
  <si>
    <t>Proportionality Model</t>
  </si>
  <si>
    <t>PM PRE</t>
  </si>
  <si>
    <t>PM Residuals</t>
  </si>
  <si>
    <t>Number</t>
  </si>
  <si>
    <t>Frequency</t>
  </si>
  <si>
    <t>Cumulative</t>
  </si>
  <si>
    <t>Interval</t>
  </si>
  <si>
    <t>0&lt;Fawns&lt;0.0178</t>
  </si>
  <si>
    <t>0.0178&lt;Does&lt;0.2544</t>
  </si>
  <si>
    <t>0.2544&lt;Bucks&lt;1.0000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</si>
</sst>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0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Hunters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8445059232460807E-2"/>
                  <c:y val="-4.4463400408282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Hunters'!$C$2:$C$11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'Harvest vs. Hunters'!$D$2:$D$11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6647-9CCB-F3C47EE3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55696"/>
        <c:axId val="378757392"/>
      </c:scatterChart>
      <c:valAx>
        <c:axId val="378755696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57392"/>
        <c:crosses val="autoZero"/>
        <c:crossBetween val="midCat"/>
      </c:valAx>
      <c:valAx>
        <c:axId val="378757392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Proportionality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Proportionality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Model''s'!$A$43:$A$52</c:f>
              <c:numCache>
                <c:formatCode>0</c:formatCode>
                <c:ptCount val="10"/>
                <c:pt idx="0">
                  <c:v>40901.609799999998</c:v>
                </c:pt>
                <c:pt idx="1">
                  <c:v>40951.149099999995</c:v>
                </c:pt>
                <c:pt idx="2">
                  <c:v>43418.741799999996</c:v>
                </c:pt>
                <c:pt idx="3">
                  <c:v>43863.702899999997</c:v>
                </c:pt>
                <c:pt idx="4">
                  <c:v>38491.143499999998</c:v>
                </c:pt>
                <c:pt idx="5">
                  <c:v>35050.616799999996</c:v>
                </c:pt>
                <c:pt idx="6">
                  <c:v>35080.518899999995</c:v>
                </c:pt>
                <c:pt idx="7">
                  <c:v>34117.4035</c:v>
                </c:pt>
                <c:pt idx="8">
                  <c:v>32894.541499999999</c:v>
                </c:pt>
                <c:pt idx="9">
                  <c:v>33130.187899999997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0-5445-8BBA-EFE56F4C16B6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0-5445-8BBA-EFE56F4C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1088"/>
        <c:axId val="1457262784"/>
      </c:scatterChart>
      <c:valAx>
        <c:axId val="1457261088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2784"/>
        <c:crosses val="autoZero"/>
        <c:crossBetween val="midCat"/>
      </c:valAx>
      <c:valAx>
        <c:axId val="1457262784"/>
        <c:scaling>
          <c:orientation val="minMax"/>
          <c:max val="50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Proportionality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Proportionality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Model''s'!$A$43:$A$52</c:f>
              <c:numCache>
                <c:formatCode>0</c:formatCode>
                <c:ptCount val="10"/>
                <c:pt idx="0">
                  <c:v>40901.609799999998</c:v>
                </c:pt>
                <c:pt idx="1">
                  <c:v>40951.149099999995</c:v>
                </c:pt>
                <c:pt idx="2">
                  <c:v>43418.741799999996</c:v>
                </c:pt>
                <c:pt idx="3">
                  <c:v>43863.702899999997</c:v>
                </c:pt>
                <c:pt idx="4">
                  <c:v>38491.143499999998</c:v>
                </c:pt>
                <c:pt idx="5">
                  <c:v>35050.616799999996</c:v>
                </c:pt>
                <c:pt idx="6">
                  <c:v>35080.518899999995</c:v>
                </c:pt>
                <c:pt idx="7">
                  <c:v>34117.4035</c:v>
                </c:pt>
                <c:pt idx="8">
                  <c:v>32894.541499999999</c:v>
                </c:pt>
                <c:pt idx="9">
                  <c:v>33130.187899999997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A-3549-9B59-0614E0F5E97E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A-3549-9B59-0614E0F5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1088"/>
        <c:axId val="1457262784"/>
      </c:scatterChart>
      <c:valAx>
        <c:axId val="1457261088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2784"/>
        <c:crosses val="autoZero"/>
        <c:crossBetween val="midCat"/>
      </c:valAx>
      <c:valAx>
        <c:axId val="1457262784"/>
        <c:scaling>
          <c:orientation val="minMax"/>
          <c:max val="50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Deer Harvest vs. Total Rec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825262467191601"/>
                  <c:y val="-3.2167177019539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Rec Days'!$D$2:$D$11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'Harvest vs. Rec Days'!$C$2:$C$11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B644-BD51-0C03E140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1280"/>
        <c:axId val="403033376"/>
      </c:scatterChart>
      <c:valAx>
        <c:axId val="405441280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33376"/>
        <c:crosses val="autoZero"/>
        <c:crossBetween val="midCat"/>
      </c:valAx>
      <c:valAx>
        <c:axId val="403033376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Rec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183902012248468"/>
                  <c:y val="-6.35134149897929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Rec Days'!$D$2:$D$11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'Harvest vs. Rec Days'!$C$2:$C$11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2345-BBF9-E7EA7515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9952"/>
        <c:axId val="408588384"/>
      </c:scatterChart>
      <c:valAx>
        <c:axId val="407649952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8384"/>
        <c:crosses val="autoZero"/>
        <c:crossBetween val="midCat"/>
      </c:valAx>
      <c:valAx>
        <c:axId val="408588384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Rec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16830708661417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Rec Days'!$D$2:$D$11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'Harvest vs. Rec Days'!$C$2:$C$11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C-D842-88E9-EC40D631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9952"/>
        <c:axId val="408588384"/>
      </c:scatterChart>
      <c:valAx>
        <c:axId val="407649952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8384"/>
        <c:crosses val="autoZero"/>
        <c:crossBetween val="midCat"/>
      </c:valAx>
      <c:valAx>
        <c:axId val="408588384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Rec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66907261592303"/>
                  <c:y val="-6.4592082239720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Rec Days'!$D$2:$D$11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'Harvest vs. Rec Days'!$C$2:$C$11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A-2242-A216-B619EE4B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9952"/>
        <c:axId val="408588384"/>
      </c:scatterChart>
      <c:valAx>
        <c:axId val="407649952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8384"/>
        <c:crosses val="autoZero"/>
        <c:crossBetween val="midCat"/>
      </c:valAx>
      <c:valAx>
        <c:axId val="408588384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Deer Harvest vs. Total Rec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Proportionality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919706911636045"/>
                  <c:y val="-1.02289297171186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Rec Days'!$D$2:$D$11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'Harvest vs. Rec Days'!$C$2:$C$11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9-954C-ACAF-0EDAB4A9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42176"/>
        <c:axId val="1497967280"/>
      </c:scatterChart>
      <c:valAx>
        <c:axId val="1496942176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67280"/>
        <c:crosses val="autoZero"/>
        <c:crossBetween val="midCat"/>
      </c:valAx>
      <c:valAx>
        <c:axId val="1497967280"/>
        <c:scaling>
          <c:orientation val="minMax"/>
          <c:max val="48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4th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4th Degree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Models'!$A$14:$A$23</c:f>
              <c:numCache>
                <c:formatCode>0</c:formatCode>
                <c:ptCount val="10"/>
                <c:pt idx="0">
                  <c:v>49680.660676099549</c:v>
                </c:pt>
                <c:pt idx="1">
                  <c:v>74100.908260804325</c:v>
                </c:pt>
                <c:pt idx="2">
                  <c:v>100726.01317775827</c:v>
                </c:pt>
                <c:pt idx="3">
                  <c:v>97513.781592538653</c:v>
                </c:pt>
                <c:pt idx="4">
                  <c:v>74692.432814749729</c:v>
                </c:pt>
                <c:pt idx="5">
                  <c:v>60451.193543914778</c:v>
                </c:pt>
                <c:pt idx="6">
                  <c:v>58915.132098225949</c:v>
                </c:pt>
                <c:pt idx="7">
                  <c:v>52542.560437090768</c:v>
                </c:pt>
                <c:pt idx="8">
                  <c:v>51104.27591930826</c:v>
                </c:pt>
                <c:pt idx="9">
                  <c:v>52337.814205715738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F-9B4E-9F8F-1A71D3CA4735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F-9B4E-9F8F-1A71D3CA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4272"/>
        <c:axId val="449113936"/>
      </c:scatterChart>
      <c:valAx>
        <c:axId val="408494272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3936"/>
        <c:crosses val="autoZero"/>
        <c:crossBetween val="midCat"/>
      </c:valAx>
      <c:valAx>
        <c:axId val="449113936"/>
        <c:scaling>
          <c:orientation val="minMax"/>
          <c:min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3rd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 Degree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Models'!$A$28:$A$37</c:f>
              <c:numCache>
                <c:formatCode>0</c:formatCode>
                <c:ptCount val="10"/>
                <c:pt idx="0">
                  <c:v>41755.319087647367</c:v>
                </c:pt>
                <c:pt idx="1">
                  <c:v>38454.4604702004</c:v>
                </c:pt>
                <c:pt idx="2">
                  <c:v>45486.984077815665</c:v>
                </c:pt>
                <c:pt idx="3">
                  <c:v>44722.456887172535</c:v>
                </c:pt>
                <c:pt idx="4">
                  <c:v>38622.224124904838</c:v>
                </c:pt>
                <c:pt idx="5">
                  <c:v>34677.899917691248</c:v>
                </c:pt>
                <c:pt idx="6">
                  <c:v>34296.221729923622</c:v>
                </c:pt>
                <c:pt idx="7">
                  <c:v>33086.797190680634</c:v>
                </c:pt>
                <c:pt idx="8">
                  <c:v>33003.258329577511</c:v>
                </c:pt>
                <c:pt idx="9">
                  <c:v>33067.289441546658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0-4A4B-864E-CEA38581218E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0-4A4B-864E-CEA38581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84656"/>
        <c:axId val="452277424"/>
      </c:scatterChart>
      <c:valAx>
        <c:axId val="445284656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7424"/>
        <c:crosses val="autoZero"/>
        <c:crossBetween val="midCat"/>
      </c:valAx>
      <c:valAx>
        <c:axId val="452277424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8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2nd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2nd Degree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Models'!$K$14:$K$23</c:f>
              <c:numCache>
                <c:formatCode>0</c:formatCode>
                <c:ptCount val="10"/>
                <c:pt idx="0">
                  <c:v>41075.689291174611</c:v>
                </c:pt>
                <c:pt idx="1">
                  <c:v>37212.297141614952</c:v>
                </c:pt>
                <c:pt idx="2">
                  <c:v>46322.29569506814</c:v>
                </c:pt>
                <c:pt idx="3">
                  <c:v>44997.764907223987</c:v>
                </c:pt>
                <c:pt idx="4">
                  <c:v>37369.010264530109</c:v>
                </c:pt>
                <c:pt idx="5">
                  <c:v>34346.662615022942</c:v>
                </c:pt>
                <c:pt idx="6">
                  <c:v>34145.594061271055</c:v>
                </c:pt>
                <c:pt idx="7">
                  <c:v>33842.631574054656</c:v>
                </c:pt>
                <c:pt idx="8">
                  <c:v>33989.210566045018</c:v>
                </c:pt>
                <c:pt idx="9">
                  <c:v>33855.677887082187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C-6C4B-8D35-D8387F067D69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C-6C4B-8D35-D8387F06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0400"/>
        <c:axId val="450453808"/>
      </c:scatterChart>
      <c:valAx>
        <c:axId val="450350400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53808"/>
        <c:crosses val="autoZero"/>
        <c:crossBetween val="midCat"/>
      </c:valAx>
      <c:valAx>
        <c:axId val="450453808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Hunters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8005468066491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Hunters'!$C$2:$C$11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'Harvest vs. Hunters'!$D$2:$D$11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704F-BB91-03D28F09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12944"/>
        <c:axId val="380687360"/>
      </c:scatterChart>
      <c:valAx>
        <c:axId val="379312944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87360"/>
        <c:crosses val="autoZero"/>
        <c:crossBetween val="midCat"/>
      </c:valAx>
      <c:valAx>
        <c:axId val="380687360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Models'!$K$28:$K$37</c:f>
              <c:numCache>
                <c:formatCode>0</c:formatCode>
                <c:ptCount val="10"/>
                <c:pt idx="0">
                  <c:v>32993.2458587</c:v>
                </c:pt>
                <c:pt idx="1">
                  <c:v>39059.758247099999</c:v>
                </c:pt>
                <c:pt idx="2">
                  <c:v>41319.872954399994</c:v>
                </c:pt>
                <c:pt idx="3">
                  <c:v>41062.864023000002</c:v>
                </c:pt>
                <c:pt idx="4">
                  <c:v>39115.822193100001</c:v>
                </c:pt>
                <c:pt idx="5">
                  <c:v>37577.014412099998</c:v>
                </c:pt>
                <c:pt idx="6">
                  <c:v>37373.364587199998</c:v>
                </c:pt>
                <c:pt idx="7">
                  <c:v>36337.411058699996</c:v>
                </c:pt>
                <c:pt idx="8">
                  <c:v>36022.1743097</c:v>
                </c:pt>
                <c:pt idx="9">
                  <c:v>36295.559814799999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2-EA49-B7A8-32379697DDC6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EA49-B7A8-32379697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54207"/>
        <c:axId val="403855903"/>
      </c:scatterChart>
      <c:valAx>
        <c:axId val="403854207"/>
        <c:scaling>
          <c:orientation val="minMax"/>
          <c:min val="2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5903"/>
        <c:crosses val="autoZero"/>
        <c:crossBetween val="midCat"/>
      </c:valAx>
      <c:valAx>
        <c:axId val="403855903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Proportionality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Proportionality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Models'!$A$43:$A$52</c:f>
              <c:numCache>
                <c:formatCode>0</c:formatCode>
                <c:ptCount val="10"/>
                <c:pt idx="0">
                  <c:v>4249.4373999999998</c:v>
                </c:pt>
                <c:pt idx="1">
                  <c:v>4241.4970000000003</c:v>
                </c:pt>
                <c:pt idx="2">
                  <c:v>4604.8212000000003</c:v>
                </c:pt>
                <c:pt idx="3">
                  <c:v>4583.6468000000004</c:v>
                </c:pt>
                <c:pt idx="4">
                  <c:v>3619.1936000000001</c:v>
                </c:pt>
                <c:pt idx="5">
                  <c:v>3453.2595999999999</c:v>
                </c:pt>
                <c:pt idx="6">
                  <c:v>3539.3824</c:v>
                </c:pt>
                <c:pt idx="7">
                  <c:v>3381.4906000000001</c:v>
                </c:pt>
                <c:pt idx="8">
                  <c:v>3368.1548000000003</c:v>
                </c:pt>
                <c:pt idx="9">
                  <c:v>3353.3937999999998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0-3A49-B8B7-1E66FA72A4E2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R Polynomial Models'!$C$2:$C$11</c:f>
              <c:numCache>
                <c:formatCode>General</c:formatCode>
                <c:ptCount val="10"/>
                <c:pt idx="0">
                  <c:v>270983</c:v>
                </c:pt>
                <c:pt idx="1">
                  <c:v>394339</c:v>
                </c:pt>
                <c:pt idx="2">
                  <c:v>440296</c:v>
                </c:pt>
                <c:pt idx="3">
                  <c:v>435070</c:v>
                </c:pt>
                <c:pt idx="4">
                  <c:v>395479</c:v>
                </c:pt>
                <c:pt idx="5">
                  <c:v>364189</c:v>
                </c:pt>
                <c:pt idx="6">
                  <c:v>360048</c:v>
                </c:pt>
                <c:pt idx="7">
                  <c:v>338983</c:v>
                </c:pt>
                <c:pt idx="8">
                  <c:v>332573</c:v>
                </c:pt>
                <c:pt idx="9">
                  <c:v>338132</c:v>
                </c:pt>
              </c:numCache>
            </c:numRef>
          </c:xVal>
          <c:yVal>
            <c:numRef>
              <c:f>'H vs. R Polynomial Models'!$B$2:$B$11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0-3A49-B8B7-1E66FA72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51152"/>
        <c:axId val="1500052848"/>
      </c:scatterChart>
      <c:valAx>
        <c:axId val="15000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Rec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52848"/>
        <c:crosses val="autoZero"/>
        <c:crossBetween val="midCat"/>
      </c:valAx>
      <c:valAx>
        <c:axId val="150005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 of Deer Death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Simulation!$A$14:$A$16</c:f>
              <c:strCache>
                <c:ptCount val="3"/>
                <c:pt idx="0">
                  <c:v>Fawns</c:v>
                </c:pt>
                <c:pt idx="1">
                  <c:v>Does</c:v>
                </c:pt>
                <c:pt idx="2">
                  <c:v>Bucks</c:v>
                </c:pt>
              </c:strCache>
            </c:strRef>
          </c:cat>
          <c:val>
            <c:numRef>
              <c:f>Simulation!$C$14:$C$16</c:f>
              <c:numCache>
                <c:formatCode>0.0000</c:formatCode>
                <c:ptCount val="3"/>
                <c:pt idx="0">
                  <c:v>1.7799095329759197E-2</c:v>
                </c:pt>
                <c:pt idx="1">
                  <c:v>0.23655588963659407</c:v>
                </c:pt>
                <c:pt idx="2">
                  <c:v>0.74564501503364677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5B4D-9CD2-6ACA7603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5676304"/>
        <c:axId val="1009316144"/>
      </c:barChart>
      <c:catAx>
        <c:axId val="9156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16144"/>
        <c:crosses val="autoZero"/>
        <c:auto val="1"/>
        <c:lblAlgn val="ctr"/>
        <c:lblOffset val="100"/>
        <c:noMultiLvlLbl val="0"/>
      </c:catAx>
      <c:valAx>
        <c:axId val="100931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</a:t>
            </a:r>
            <a:r>
              <a:rPr lang="en-US" b="1" baseline="0"/>
              <a:t> of Deer Death Cumulative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Simulation!$A$14:$A$16</c:f>
              <c:strCache>
                <c:ptCount val="3"/>
                <c:pt idx="0">
                  <c:v>Fawns</c:v>
                </c:pt>
                <c:pt idx="1">
                  <c:v>Does</c:v>
                </c:pt>
                <c:pt idx="2">
                  <c:v>Bucks</c:v>
                </c:pt>
              </c:strCache>
            </c:strRef>
          </c:cat>
          <c:val>
            <c:numRef>
              <c:f>Simulation!$D$14:$D$16</c:f>
              <c:numCache>
                <c:formatCode>0.0000</c:formatCode>
                <c:ptCount val="3"/>
                <c:pt idx="0">
                  <c:v>1.7799095329759197E-2</c:v>
                </c:pt>
                <c:pt idx="1">
                  <c:v>0.25435498496635328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7547-BD17-77CDB341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11629344"/>
        <c:axId val="1011294176"/>
      </c:barChart>
      <c:catAx>
        <c:axId val="10116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94176"/>
        <c:crosses val="autoZero"/>
        <c:auto val="1"/>
        <c:lblAlgn val="ctr"/>
        <c:lblOffset val="100"/>
        <c:noMultiLvlLbl val="0"/>
      </c:catAx>
      <c:valAx>
        <c:axId val="10112941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&amp; Actual Harvest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Prediction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Model'!$A$2:$A$11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'Final Model'!$C$2:$C$11</c:f>
              <c:numCache>
                <c:formatCode>0</c:formatCode>
                <c:ptCount val="10"/>
                <c:pt idx="0">
                  <c:v>41922.014856866437</c:v>
                </c:pt>
                <c:pt idx="1">
                  <c:v>41373.847332673598</c:v>
                </c:pt>
                <c:pt idx="2">
                  <c:v>44108.308826691406</c:v>
                </c:pt>
                <c:pt idx="3">
                  <c:v>44667.952866639287</c:v>
                </c:pt>
                <c:pt idx="4">
                  <c:v>38416.505944290671</c:v>
                </c:pt>
                <c:pt idx="5">
                  <c:v>34442.390044717809</c:v>
                </c:pt>
                <c:pt idx="6">
                  <c:v>34498.666289410998</c:v>
                </c:pt>
                <c:pt idx="7">
                  <c:v>33446.796569843762</c:v>
                </c:pt>
                <c:pt idx="8">
                  <c:v>32011.07508946889</c:v>
                </c:pt>
                <c:pt idx="9">
                  <c:v>32266.442179397178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0-0D4B-ABA4-2FEC7114E824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Model'!$A$2:$A$11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'Final Model'!$B$2:$B$11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0-0D4B-ABA4-2FEC7114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32576"/>
        <c:axId val="1036341376"/>
      </c:scatterChart>
      <c:valAx>
        <c:axId val="10363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41376"/>
        <c:crosses val="autoZero"/>
        <c:crossBetween val="midCat"/>
      </c:valAx>
      <c:valAx>
        <c:axId val="103634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Hunters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48803587051618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Hunters'!$C$2:$C$11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'Harvest vs. Hunters'!$D$2:$D$11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B-704D-A049-25BDE27C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95904"/>
        <c:axId val="383797600"/>
      </c:scatterChart>
      <c:valAx>
        <c:axId val="383795904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7600"/>
        <c:crosses val="autoZero"/>
        <c:crossBetween val="midCat"/>
      </c:valAx>
      <c:valAx>
        <c:axId val="383797600"/>
        <c:scaling>
          <c:orientation val="minMax"/>
          <c:max val="48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Hunters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13035870516184"/>
                  <c:y val="1.6373213764946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Hunters'!$C$2:$C$11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'Harvest vs. Hunters'!$D$2:$D$11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3-4C43-9BA9-4718F0EA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94512"/>
        <c:axId val="265709520"/>
      </c:scatterChart>
      <c:valAx>
        <c:axId val="381594512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9520"/>
        <c:crosses val="autoZero"/>
        <c:crossBetween val="midCat"/>
      </c:valAx>
      <c:valAx>
        <c:axId val="265709520"/>
        <c:scaling>
          <c:orientation val="minMax"/>
          <c:max val="48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Deer Harvest vs. Total Hunters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468985126859145"/>
                  <c:y val="2.582421988918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'Harvest vs. Hunters'!$C$2:$C$11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'Harvest vs. Hunters'!$D$2:$D$11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9-4F46-8B77-0DEDFCB3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12560"/>
        <c:axId val="1459314256"/>
      </c:scatterChart>
      <c:valAx>
        <c:axId val="1459312560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4256"/>
        <c:crosses val="autoZero"/>
        <c:crossBetween val="midCat"/>
      </c:valAx>
      <c:valAx>
        <c:axId val="1459314256"/>
        <c:scaling>
          <c:orientation val="minMax"/>
          <c:max val="48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4th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4th Degree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Model''s'!$A$14:$A$23</c:f>
              <c:numCache>
                <c:formatCode>0</c:formatCode>
                <c:ptCount val="10"/>
                <c:pt idx="0">
                  <c:v>43505.101967379451</c:v>
                </c:pt>
                <c:pt idx="1">
                  <c:v>43640.472371026874</c:v>
                </c:pt>
                <c:pt idx="2">
                  <c:v>47725.783258423209</c:v>
                </c:pt>
                <c:pt idx="3">
                  <c:v>47304.820084899664</c:v>
                </c:pt>
                <c:pt idx="4">
                  <c:v>37563.068672269583</c:v>
                </c:pt>
                <c:pt idx="5">
                  <c:v>35285.14268489182</c:v>
                </c:pt>
                <c:pt idx="6">
                  <c:v>35284.727511323988</c:v>
                </c:pt>
                <c:pt idx="7">
                  <c:v>35162.632855072618</c:v>
                </c:pt>
                <c:pt idx="8">
                  <c:v>33855.438131563365</c:v>
                </c:pt>
                <c:pt idx="9">
                  <c:v>34274.408266708255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8-8B4C-9594-67CE1C2443DE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8-8B4C-9594-67CE1C24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29327"/>
        <c:axId val="2087131055"/>
      </c:scatterChart>
      <c:valAx>
        <c:axId val="2087129327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1055"/>
        <c:crosses val="autoZero"/>
        <c:crossBetween val="midCat"/>
      </c:valAx>
      <c:valAx>
        <c:axId val="2087131055"/>
        <c:scaling>
          <c:orientation val="minMax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2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2nd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2nd Degree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Model''s'!$I$14:$I$23</c:f>
              <c:numCache>
                <c:formatCode>0</c:formatCode>
                <c:ptCount val="10"/>
                <c:pt idx="0">
                  <c:v>40671.085820512395</c:v>
                </c:pt>
                <c:pt idx="1">
                  <c:v>40747.578649636111</c:v>
                </c:pt>
                <c:pt idx="2">
                  <c:v>44997.714219184389</c:v>
                </c:pt>
                <c:pt idx="3">
                  <c:v>45855.90536289211</c:v>
                </c:pt>
                <c:pt idx="4">
                  <c:v>37369.150282722505</c:v>
                </c:pt>
                <c:pt idx="5">
                  <c:v>34082.120172934388</c:v>
                </c:pt>
                <c:pt idx="6">
                  <c:v>34103.46425822012</c:v>
                </c:pt>
                <c:pt idx="7">
                  <c:v>33479.658260922501</c:v>
                </c:pt>
                <c:pt idx="8">
                  <c:v>32876.964203022493</c:v>
                </c:pt>
                <c:pt idx="9">
                  <c:v>32976.62549567211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E-544F-96BC-6EAC7A3017BB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E-544F-96BC-6EAC7A30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91679"/>
        <c:axId val="2088293375"/>
      </c:scatterChart>
      <c:valAx>
        <c:axId val="2088291679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93375"/>
        <c:crosses val="autoZero"/>
        <c:crossBetween val="midCat"/>
      </c:valAx>
      <c:valAx>
        <c:axId val="2088293375"/>
        <c:scaling>
          <c:orientation val="minMax"/>
          <c:max val="50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9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3rd Degree Polynomial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 Degree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1-9944-AD13-BBC970F07CBA}"/>
            </c:ext>
          </c:extLst>
        </c:ser>
        <c:ser>
          <c:idx val="1"/>
          <c:order val="1"/>
          <c:tx>
            <c:v>Actual Harvest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Model''s'!$A$28:$A$37</c:f>
              <c:numCache>
                <c:formatCode>0</c:formatCode>
                <c:ptCount val="10"/>
                <c:pt idx="0">
                  <c:v>41038.625953243813</c:v>
                </c:pt>
                <c:pt idx="1">
                  <c:v>41117.617020042147</c:v>
                </c:pt>
                <c:pt idx="2">
                  <c:v>44920.02504078811</c:v>
                </c:pt>
                <c:pt idx="3">
                  <c:v>45542.133065931266</c:v>
                </c:pt>
                <c:pt idx="4">
                  <c:v>37342.655378348194</c:v>
                </c:pt>
                <c:pt idx="5">
                  <c:v>33681.061915042577</c:v>
                </c:pt>
                <c:pt idx="6">
                  <c:v>33699.14760847576</c:v>
                </c:pt>
                <c:pt idx="7">
                  <c:v>33274.527483169688</c:v>
                </c:pt>
                <c:pt idx="8">
                  <c:v>33259.011358792428</c:v>
                </c:pt>
                <c:pt idx="9">
                  <c:v>33212.181696515298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1-9944-AD13-BBC970F0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30415"/>
        <c:axId val="2132032111"/>
      </c:scatterChart>
      <c:valAx>
        <c:axId val="2132030415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32111"/>
        <c:crosses val="autoZero"/>
        <c:crossBetween val="midCat"/>
      </c:valAx>
      <c:valAx>
        <c:axId val="2132032111"/>
        <c:scaling>
          <c:orientation val="minMax"/>
          <c:max val="50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3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('H vs. H Polynomial Model''s'!$I$28:$I$37,'H vs. H Polynomial Model''s'!$B$2:$B$11)</c:f>
              <c:numCache>
                <c:formatCode>0</c:formatCode>
                <c:ptCount val="20"/>
                <c:pt idx="0">
                  <c:v>41347.830600000001</c:v>
                </c:pt>
                <c:pt idx="1">
                  <c:v>41405.672700000003</c:v>
                </c:pt>
                <c:pt idx="2">
                  <c:v>44286.834600000002</c:v>
                </c:pt>
                <c:pt idx="3">
                  <c:v>44806.371299999999</c:v>
                </c:pt>
                <c:pt idx="4">
                  <c:v>38533.369500000001</c:v>
                </c:pt>
                <c:pt idx="5">
                  <c:v>34516.209600000002</c:v>
                </c:pt>
                <c:pt idx="6">
                  <c:v>34551.123299999999</c:v>
                </c:pt>
                <c:pt idx="7">
                  <c:v>33426.589500000002</c:v>
                </c:pt>
                <c:pt idx="8">
                  <c:v>31998.775499999996</c:v>
                </c:pt>
                <c:pt idx="9">
                  <c:v>32273.916299999997</c:v>
                </c:pt>
                <c:pt idx="10" formatCode="General">
                  <c:v>41743</c:v>
                </c:pt>
                <c:pt idx="11" formatCode="General">
                  <c:v>41665</c:v>
                </c:pt>
                <c:pt idx="12" formatCode="General">
                  <c:v>45234</c:v>
                </c:pt>
                <c:pt idx="13" formatCode="General">
                  <c:v>45026</c:v>
                </c:pt>
                <c:pt idx="14" formatCode="General">
                  <c:v>35552</c:v>
                </c:pt>
                <c:pt idx="15" formatCode="General">
                  <c:v>33922</c:v>
                </c:pt>
                <c:pt idx="16" formatCode="General">
                  <c:v>34768</c:v>
                </c:pt>
                <c:pt idx="17" formatCode="General">
                  <c:v>33217</c:v>
                </c:pt>
                <c:pt idx="18" formatCode="General">
                  <c:v>33086</c:v>
                </c:pt>
                <c:pt idx="19" formatCode="General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B646-8085-DE44EDBCE931}"/>
            </c:ext>
          </c:extLst>
        </c:ser>
        <c:ser>
          <c:idx val="1"/>
          <c:order val="1"/>
          <c:tx>
            <c:v>Actual Harvest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vs. H Polynomial Model''s'!$C$2:$C$11</c:f>
              <c:numCache>
                <c:formatCode>General</c:formatCode>
                <c:ptCount val="10"/>
                <c:pt idx="0">
                  <c:v>91646</c:v>
                </c:pt>
                <c:pt idx="1">
                  <c:v>91757</c:v>
                </c:pt>
                <c:pt idx="2">
                  <c:v>97286</c:v>
                </c:pt>
                <c:pt idx="3">
                  <c:v>98283</c:v>
                </c:pt>
                <c:pt idx="4">
                  <c:v>86245</c:v>
                </c:pt>
                <c:pt idx="5">
                  <c:v>78536</c:v>
                </c:pt>
                <c:pt idx="6">
                  <c:v>78603</c:v>
                </c:pt>
                <c:pt idx="7">
                  <c:v>76445</c:v>
                </c:pt>
                <c:pt idx="8">
                  <c:v>73705</c:v>
                </c:pt>
                <c:pt idx="9">
                  <c:v>74233</c:v>
                </c:pt>
              </c:numCache>
            </c:numRef>
          </c:xVal>
          <c:yVal>
            <c:numRef>
              <c:f>'H vs. H Polynomial Model''s'!$B$2:$B$11</c:f>
              <c:numCache>
                <c:formatCode>General</c:formatCode>
                <c:ptCount val="10"/>
                <c:pt idx="0">
                  <c:v>41743</c:v>
                </c:pt>
                <c:pt idx="1">
                  <c:v>41665</c:v>
                </c:pt>
                <c:pt idx="2">
                  <c:v>45234</c:v>
                </c:pt>
                <c:pt idx="3">
                  <c:v>45026</c:v>
                </c:pt>
                <c:pt idx="4">
                  <c:v>35552</c:v>
                </c:pt>
                <c:pt idx="5">
                  <c:v>33922</c:v>
                </c:pt>
                <c:pt idx="6">
                  <c:v>34768</c:v>
                </c:pt>
                <c:pt idx="7">
                  <c:v>33217</c:v>
                </c:pt>
                <c:pt idx="8">
                  <c:v>33086</c:v>
                </c:pt>
                <c:pt idx="9">
                  <c:v>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9-B646-8085-DE44EDBC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31439"/>
        <c:axId val="2087285839"/>
      </c:scatterChart>
      <c:valAx>
        <c:axId val="2131331439"/>
        <c:scaling>
          <c:orientation val="minMax"/>
          <c:min val="7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Hunters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5839"/>
        <c:crosses val="autoZero"/>
        <c:crossBetween val="midCat"/>
      </c:valAx>
      <c:valAx>
        <c:axId val="2087285839"/>
        <c:scaling>
          <c:orientation val="minMax"/>
          <c:max val="50000"/>
          <c:min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12700</xdr:rowOff>
    </xdr:from>
    <xdr:to>
      <xdr:col>6</xdr:col>
      <xdr:colOff>0</xdr:colOff>
      <xdr:row>13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042E6A-ED1C-6D43-83CA-3C389317C858}"/>
            </a:ext>
          </a:extLst>
        </xdr:cNvPr>
        <xdr:cNvSpPr txBox="1"/>
      </xdr:nvSpPr>
      <xdr:spPr>
        <a:xfrm>
          <a:off x="5448300" y="2451100"/>
          <a:ext cx="825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 Degree</a:t>
          </a:r>
        </a:p>
      </xdr:txBody>
    </xdr:sp>
    <xdr:clientData/>
  </xdr:twoCellAnchor>
  <xdr:twoCellAnchor>
    <xdr:from>
      <xdr:col>5</xdr:col>
      <xdr:colOff>0</xdr:colOff>
      <xdr:row>27</xdr:row>
      <xdr:rowOff>12700</xdr:rowOff>
    </xdr:from>
    <xdr:to>
      <xdr:col>6</xdr:col>
      <xdr:colOff>0</xdr:colOff>
      <xdr:row>28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11E615-824B-4C47-9C67-E7D1D06ABCAB}"/>
            </a:ext>
          </a:extLst>
        </xdr:cNvPr>
        <xdr:cNvSpPr txBox="1"/>
      </xdr:nvSpPr>
      <xdr:spPr>
        <a:xfrm>
          <a:off x="5448300" y="5499100"/>
          <a:ext cx="8255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3rd Degree</a:t>
          </a:r>
        </a:p>
      </xdr:txBody>
    </xdr:sp>
    <xdr:clientData/>
  </xdr:twoCellAnchor>
  <xdr:twoCellAnchor>
    <xdr:from>
      <xdr:col>12</xdr:col>
      <xdr:colOff>596900</xdr:colOff>
      <xdr:row>12</xdr:row>
      <xdr:rowOff>25400</xdr:rowOff>
    </xdr:from>
    <xdr:to>
      <xdr:col>13</xdr:col>
      <xdr:colOff>660400</xdr:colOff>
      <xdr:row>13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E54610-B5AC-0046-826C-87DB467E9B64}"/>
            </a:ext>
          </a:extLst>
        </xdr:cNvPr>
        <xdr:cNvSpPr txBox="1"/>
      </xdr:nvSpPr>
      <xdr:spPr>
        <a:xfrm>
          <a:off x="11823700" y="2463800"/>
          <a:ext cx="8890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 Degree</a:t>
          </a:r>
        </a:p>
      </xdr:txBody>
    </xdr:sp>
    <xdr:clientData/>
  </xdr:twoCellAnchor>
  <xdr:twoCellAnchor>
    <xdr:from>
      <xdr:col>12</xdr:col>
      <xdr:colOff>571500</xdr:colOff>
      <xdr:row>26</xdr:row>
      <xdr:rowOff>190500</xdr:rowOff>
    </xdr:from>
    <xdr:to>
      <xdr:col>13</xdr:col>
      <xdr:colOff>292100</xdr:colOff>
      <xdr:row>28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7CC334C-5685-7248-BB1F-3949A4CB0890}"/>
            </a:ext>
          </a:extLst>
        </xdr:cNvPr>
        <xdr:cNvSpPr txBox="1"/>
      </xdr:nvSpPr>
      <xdr:spPr>
        <a:xfrm>
          <a:off x="11798300" y="5473700"/>
          <a:ext cx="5461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</xdr:col>
      <xdr:colOff>1257300</xdr:colOff>
      <xdr:row>25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B6C746-6830-B14E-A6CB-6E9EA1AD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</xdr:col>
      <xdr:colOff>1257300</xdr:colOff>
      <xdr:row>40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BAF436-8E0E-DC4E-B1BB-9690CA97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444500</xdr:colOff>
      <xdr:row>25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073D9B-D2C3-3E41-89A7-3C2FFAFD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444500</xdr:colOff>
      <xdr:row>40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500369-CD17-8545-B2F3-1916E5129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1257300</xdr:colOff>
      <xdr:row>55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7AE5D3-5A05-EC43-856D-278ACF1A8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12700</xdr:colOff>
      <xdr:row>42</xdr:row>
      <xdr:rowOff>12700</xdr:rowOff>
    </xdr:from>
    <xdr:ext cx="145398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A0631E-23DD-014E-8FF3-6F00B7686541}"/>
            </a:ext>
          </a:extLst>
        </xdr:cNvPr>
        <xdr:cNvSpPr txBox="1"/>
      </xdr:nvSpPr>
      <xdr:spPr>
        <a:xfrm>
          <a:off x="5689600" y="8547100"/>
          <a:ext cx="1453988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Proportionality</a:t>
          </a:r>
          <a:r>
            <a:rPr lang="en-US" sz="1100" baseline="0"/>
            <a:t> Model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7</xdr:col>
      <xdr:colOff>1054100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6703A-B644-A541-A40D-015B67145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444500</xdr:colOff>
      <xdr:row>25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231778-0482-554E-BDEE-109AEABB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7</xdr:col>
      <xdr:colOff>1054100</xdr:colOff>
      <xdr:row>39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B88D45-9ED7-4A43-8B3D-E94413E25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444500</xdr:colOff>
      <xdr:row>39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CA2012-B6D6-B54C-A947-67E22C2BC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7</xdr:col>
      <xdr:colOff>977900</xdr:colOff>
      <xdr:row>55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D63E5E-5D51-664E-AC5D-C5D571AD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7</xdr:col>
      <xdr:colOff>977900</xdr:colOff>
      <xdr:row>54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A657DF-C26A-A04B-8C17-084C8C69B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1219200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B0E87-D9EC-2642-B032-438BCE6E0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12</xdr:row>
      <xdr:rowOff>12700</xdr:rowOff>
    </xdr:from>
    <xdr:to>
      <xdr:col>6</xdr:col>
      <xdr:colOff>38100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BE2F7-E5E4-4149-837E-B4257AF9336A}"/>
            </a:ext>
          </a:extLst>
        </xdr:cNvPr>
        <xdr:cNvSpPr txBox="1"/>
      </xdr:nvSpPr>
      <xdr:spPr>
        <a:xfrm>
          <a:off x="5638800" y="2451100"/>
          <a:ext cx="8509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 Degree</a:t>
          </a: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4</xdr:col>
      <xdr:colOff>1219200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3C166-1E79-BD45-BE41-CAE0AA931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444500</xdr:colOff>
      <xdr:row>25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B36DF-0C24-E84B-ADE5-A2B66D0A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12</xdr:col>
      <xdr:colOff>444500</xdr:colOff>
      <xdr:row>39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BB101B-81AA-C84C-A728-2FA7635D3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26</xdr:row>
      <xdr:rowOff>38100</xdr:rowOff>
    </xdr:from>
    <xdr:to>
      <xdr:col>6</xdr:col>
      <xdr:colOff>25400</xdr:colOff>
      <xdr:row>27</xdr:row>
      <xdr:rowOff>165100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ECCBC78-0253-4E41-BC19-77BFC3387C4F}"/>
            </a:ext>
          </a:extLst>
        </xdr:cNvPr>
        <xdr:cNvSpPr txBox="1"/>
      </xdr:nvSpPr>
      <xdr:spPr>
        <a:xfrm>
          <a:off x="5638800" y="5321300"/>
          <a:ext cx="8382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3rd Degree</a:t>
          </a:r>
        </a:p>
      </xdr:txBody>
    </xdr:sp>
    <xdr:clientData/>
  </xdr:twoCellAnchor>
  <xdr:twoCellAnchor>
    <xdr:from>
      <xdr:col>13</xdr:col>
      <xdr:colOff>12700</xdr:colOff>
      <xdr:row>12</xdr:row>
      <xdr:rowOff>12700</xdr:rowOff>
    </xdr:from>
    <xdr:to>
      <xdr:col>14</xdr:col>
      <xdr:colOff>88900</xdr:colOff>
      <xdr:row>13</xdr:row>
      <xdr:rowOff>165100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ABB5BE-56A6-6840-9F18-736AF24E7D1B}"/>
            </a:ext>
          </a:extLst>
        </xdr:cNvPr>
        <xdr:cNvSpPr txBox="1"/>
      </xdr:nvSpPr>
      <xdr:spPr>
        <a:xfrm>
          <a:off x="12242800" y="2451100"/>
          <a:ext cx="9017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 Degree</a:t>
          </a:r>
        </a:p>
      </xdr:txBody>
    </xdr:sp>
    <xdr:clientData/>
  </xdr:twoCellAnchor>
  <xdr:twoCellAnchor>
    <xdr:from>
      <xdr:col>13</xdr:col>
      <xdr:colOff>0</xdr:colOff>
      <xdr:row>26</xdr:row>
      <xdr:rowOff>12700</xdr:rowOff>
    </xdr:from>
    <xdr:to>
      <xdr:col>14</xdr:col>
      <xdr:colOff>38100</xdr:colOff>
      <xdr:row>27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7691B1-BBA4-CB4C-AB7A-9016FCC85FE2}"/>
            </a:ext>
          </a:extLst>
        </xdr:cNvPr>
        <xdr:cNvSpPr txBox="1"/>
      </xdr:nvSpPr>
      <xdr:spPr>
        <a:xfrm>
          <a:off x="12230100" y="5295900"/>
          <a:ext cx="8636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4</xdr:col>
      <xdr:colOff>1219200</xdr:colOff>
      <xdr:row>53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38CA3A-02C5-C944-A3D6-18B33600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0</xdr:colOff>
      <xdr:row>40</xdr:row>
      <xdr:rowOff>12700</xdr:rowOff>
    </xdr:from>
    <xdr:ext cx="14539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5CAF0F-BD21-DA4A-AC31-96EA87893D6D}"/>
            </a:ext>
          </a:extLst>
        </xdr:cNvPr>
        <xdr:cNvSpPr txBox="1"/>
      </xdr:nvSpPr>
      <xdr:spPr>
        <a:xfrm>
          <a:off x="5626100" y="8140700"/>
          <a:ext cx="1453988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Proportionality</a:t>
          </a:r>
          <a:r>
            <a:rPr lang="en-US" sz="1100" baseline="0"/>
            <a:t> Model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9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D8B9C-51C3-724C-9A05-893131A5A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9</xdr:col>
      <xdr:colOff>444500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68A5F3-325F-354C-9D04-3336F75F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19</xdr:col>
      <xdr:colOff>444500</xdr:colOff>
      <xdr:row>25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A2803-E441-1241-BA03-CCEA054CD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19</xdr:col>
      <xdr:colOff>444500</xdr:colOff>
      <xdr:row>39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098528-A42C-AE4F-8347-B2BB2EBE3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9</xdr:col>
      <xdr:colOff>444500</xdr:colOff>
      <xdr:row>54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9B5F55-E84B-0244-A863-8CB806E19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5</xdr:col>
      <xdr:colOff>88900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65610-E15B-404D-A5F5-5D2C80AC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5</xdr:col>
      <xdr:colOff>88900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5F5D2D-E7AC-2F43-B8F2-B12799E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616CB-711A-9843-924E-6DB96AF74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603250</xdr:colOff>
      <xdr:row>8</xdr:row>
      <xdr:rowOff>12700</xdr:rowOff>
    </xdr:from>
    <xdr:ext cx="23622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CB71B-48F7-AB4A-88A6-9496F575C367}"/>
                </a:ext>
              </a:extLst>
            </xdr:cNvPr>
            <xdr:cNvSpPr txBox="1"/>
          </xdr:nvSpPr>
          <xdr:spPr>
            <a:xfrm>
              <a:off x="10877550" y="1638300"/>
              <a:ext cx="2362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𝟓𝟑𝟓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𝐓</m:t>
                        </m:r>
                      </m:e>
                      <m:sub>
                        <m:r>
                          <a:rPr lang="en-US" sz="11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𝐡</m:t>
                        </m:r>
                      </m:sub>
                    </m:sSub>
                    <m:r>
                      <a:rPr lang="en-US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en-US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n-US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𝟎𝟎𝟓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𝟓𝟖𝟐𝟎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CB71B-48F7-AB4A-88A6-9496F575C367}"/>
                </a:ext>
              </a:extLst>
            </xdr:cNvPr>
            <xdr:cNvSpPr txBox="1"/>
          </xdr:nvSpPr>
          <xdr:spPr>
            <a:xfrm>
              <a:off x="10877550" y="1638300"/>
              <a:ext cx="2362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𝑻_𝑯=𝟎.𝟓𝟑𝟓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∙𝐓_𝐡−𝟎.𝟎𝟎𝟓∙𝑻_𝑹−𝟓𝟖𝟐𝟎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326C-BFBE-B54F-B2D3-4266971EB655}">
  <dimension ref="A1:I11"/>
  <sheetViews>
    <sheetView workbookViewId="0">
      <selection sqref="A1:I11"/>
    </sheetView>
  </sheetViews>
  <sheetFormatPr baseColWidth="10" defaultRowHeight="16"/>
  <cols>
    <col min="2" max="2" width="17.1640625" customWidth="1"/>
    <col min="5" max="5" width="10.6640625" customWidth="1"/>
    <col min="6" max="6" width="19.33203125" customWidth="1"/>
    <col min="7" max="7" width="12.5" customWidth="1"/>
    <col min="8" max="9" width="12.83203125" customWidth="1"/>
  </cols>
  <sheetData>
    <row r="1" spans="1:9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3" t="s">
        <v>17</v>
      </c>
      <c r="I1" s="1" t="s">
        <v>4</v>
      </c>
    </row>
    <row r="2" spans="1:9">
      <c r="A2" s="2">
        <v>2004</v>
      </c>
      <c r="B2" s="2">
        <f t="shared" ref="B2:B11" si="0">F2+G2</f>
        <v>642643</v>
      </c>
      <c r="C2" s="2">
        <v>33095</v>
      </c>
      <c r="D2" s="2">
        <v>7904</v>
      </c>
      <c r="E2" s="2">
        <v>744</v>
      </c>
      <c r="F2" s="2">
        <v>600900</v>
      </c>
      <c r="G2" s="2">
        <f t="shared" ref="G2:G11" si="1">C2+D2+E2</f>
        <v>41743</v>
      </c>
      <c r="H2" s="4">
        <v>270983</v>
      </c>
      <c r="I2" s="2">
        <v>91646</v>
      </c>
    </row>
    <row r="3" spans="1:9">
      <c r="A3" s="2">
        <f>A2+1</f>
        <v>2005</v>
      </c>
      <c r="B3" s="2">
        <f t="shared" si="0"/>
        <v>655115</v>
      </c>
      <c r="C3" s="2">
        <v>32878</v>
      </c>
      <c r="D3" s="2">
        <v>8217</v>
      </c>
      <c r="E3" s="2">
        <v>570</v>
      </c>
      <c r="F3" s="2">
        <v>613450</v>
      </c>
      <c r="G3" s="2">
        <f t="shared" si="1"/>
        <v>41665</v>
      </c>
      <c r="H3" s="4">
        <v>394339</v>
      </c>
      <c r="I3" s="2">
        <v>91757</v>
      </c>
    </row>
    <row r="4" spans="1:9">
      <c r="A4" s="2">
        <f t="shared" ref="A4:A11" si="2">A3+1</f>
        <v>2006</v>
      </c>
      <c r="B4" s="2">
        <f t="shared" si="0"/>
        <v>657994</v>
      </c>
      <c r="C4" s="2">
        <v>33885</v>
      </c>
      <c r="D4" s="2">
        <v>10617</v>
      </c>
      <c r="E4" s="2">
        <v>732</v>
      </c>
      <c r="F4" s="2">
        <v>612760</v>
      </c>
      <c r="G4" s="2">
        <f t="shared" si="1"/>
        <v>45234</v>
      </c>
      <c r="H4" s="4">
        <v>440296</v>
      </c>
      <c r="I4" s="2">
        <v>97286</v>
      </c>
    </row>
    <row r="5" spans="1:9">
      <c r="A5" s="2">
        <f t="shared" si="2"/>
        <v>2007</v>
      </c>
      <c r="B5" s="2">
        <f t="shared" si="0"/>
        <v>583796</v>
      </c>
      <c r="C5" s="2">
        <v>32254</v>
      </c>
      <c r="D5" s="2">
        <v>11845</v>
      </c>
      <c r="E5" s="2">
        <v>927</v>
      </c>
      <c r="F5" s="2">
        <v>538770</v>
      </c>
      <c r="G5" s="2">
        <f t="shared" si="1"/>
        <v>45026</v>
      </c>
      <c r="H5" s="4">
        <v>435070</v>
      </c>
      <c r="I5" s="2">
        <v>98283</v>
      </c>
    </row>
    <row r="6" spans="1:9">
      <c r="A6" s="2">
        <f t="shared" si="2"/>
        <v>2008</v>
      </c>
      <c r="B6" s="2">
        <f t="shared" si="0"/>
        <v>502312</v>
      </c>
      <c r="C6" s="2">
        <v>25069</v>
      </c>
      <c r="D6" s="2">
        <v>9771</v>
      </c>
      <c r="E6" s="2">
        <v>712</v>
      </c>
      <c r="F6" s="2">
        <v>466760</v>
      </c>
      <c r="G6" s="2">
        <f t="shared" si="1"/>
        <v>35552</v>
      </c>
      <c r="H6" s="4">
        <v>395479</v>
      </c>
      <c r="I6" s="2">
        <v>86245</v>
      </c>
    </row>
    <row r="7" spans="1:9">
      <c r="A7" s="2">
        <f t="shared" si="2"/>
        <v>2009</v>
      </c>
      <c r="B7" s="2">
        <f t="shared" si="0"/>
        <v>494442</v>
      </c>
      <c r="C7" s="2">
        <v>24607</v>
      </c>
      <c r="D7" s="2">
        <v>8751</v>
      </c>
      <c r="E7" s="2">
        <v>564</v>
      </c>
      <c r="F7" s="2">
        <v>460520</v>
      </c>
      <c r="G7" s="2">
        <f t="shared" si="1"/>
        <v>33922</v>
      </c>
      <c r="H7" s="4">
        <v>364189</v>
      </c>
      <c r="I7" s="2">
        <v>78536</v>
      </c>
    </row>
    <row r="8" spans="1:9">
      <c r="A8" s="2">
        <f t="shared" si="2"/>
        <v>2010</v>
      </c>
      <c r="B8" s="2">
        <f t="shared" si="0"/>
        <v>465164</v>
      </c>
      <c r="C8" s="2">
        <v>25779</v>
      </c>
      <c r="D8" s="2">
        <v>8302</v>
      </c>
      <c r="E8" s="2">
        <v>687</v>
      </c>
      <c r="F8" s="2">
        <v>430396</v>
      </c>
      <c r="G8" s="2">
        <f t="shared" si="1"/>
        <v>34768</v>
      </c>
      <c r="H8" s="4">
        <v>360048</v>
      </c>
      <c r="I8" s="2">
        <v>78603</v>
      </c>
    </row>
    <row r="9" spans="1:9">
      <c r="A9" s="2">
        <f t="shared" si="2"/>
        <v>2011</v>
      </c>
      <c r="B9" s="2">
        <f t="shared" si="0"/>
        <v>451167</v>
      </c>
      <c r="C9" s="2">
        <v>24556</v>
      </c>
      <c r="D9" s="2">
        <v>7991</v>
      </c>
      <c r="E9" s="2">
        <v>670</v>
      </c>
      <c r="F9" s="2">
        <v>417950</v>
      </c>
      <c r="G9" s="2">
        <f t="shared" si="1"/>
        <v>33217</v>
      </c>
      <c r="H9" s="4">
        <v>338983</v>
      </c>
      <c r="I9" s="2">
        <v>76445</v>
      </c>
    </row>
    <row r="10" spans="1:9">
      <c r="A10" s="2">
        <f t="shared" si="2"/>
        <v>2012</v>
      </c>
      <c r="B10" s="2">
        <f t="shared" si="0"/>
        <v>441096</v>
      </c>
      <c r="C10" s="2">
        <v>24346</v>
      </c>
      <c r="D10" s="2">
        <v>8187</v>
      </c>
      <c r="E10" s="2">
        <v>553</v>
      </c>
      <c r="F10" s="2">
        <v>408010</v>
      </c>
      <c r="G10" s="2">
        <f t="shared" si="1"/>
        <v>33086</v>
      </c>
      <c r="H10" s="4">
        <v>332573</v>
      </c>
      <c r="I10" s="2">
        <v>73705</v>
      </c>
    </row>
    <row r="11" spans="1:9">
      <c r="A11" s="2">
        <f t="shared" si="2"/>
        <v>2013</v>
      </c>
      <c r="B11" s="2">
        <f t="shared" si="0"/>
        <v>423601</v>
      </c>
      <c r="C11" s="2">
        <v>24754</v>
      </c>
      <c r="D11" s="2">
        <v>7633</v>
      </c>
      <c r="E11" s="2">
        <v>554</v>
      </c>
      <c r="F11" s="2">
        <v>390660</v>
      </c>
      <c r="G11" s="2">
        <f t="shared" si="1"/>
        <v>32941</v>
      </c>
      <c r="H11" s="4">
        <v>338132</v>
      </c>
      <c r="I11" s="2">
        <v>74233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7717-018C-8248-8B06-AB6945FA04B6}">
  <dimension ref="A1:G11"/>
  <sheetViews>
    <sheetView topLeftCell="A37" zoomScaleNormal="100" workbookViewId="0">
      <selection activeCell="I46" sqref="I46"/>
    </sheetView>
  </sheetViews>
  <sheetFormatPr baseColWidth="10" defaultRowHeight="16"/>
  <cols>
    <col min="2" max="2" width="16.6640625" customWidth="1"/>
    <col min="3" max="3" width="14.6640625" customWidth="1"/>
    <col min="4" max="4" width="12.1640625" customWidth="1"/>
    <col min="5" max="5" width="20.1640625" customWidth="1"/>
    <col min="6" max="6" width="12.1640625" customWidth="1"/>
  </cols>
  <sheetData>
    <row r="1" spans="1:7">
      <c r="A1" s="1" t="s">
        <v>0</v>
      </c>
      <c r="B1" s="1" t="s">
        <v>7</v>
      </c>
      <c r="C1" s="1" t="s">
        <v>4</v>
      </c>
      <c r="D1" s="1" t="s">
        <v>6</v>
      </c>
      <c r="E1" s="1" t="s">
        <v>5</v>
      </c>
    </row>
    <row r="2" spans="1:7">
      <c r="A2" s="2">
        <v>2004</v>
      </c>
      <c r="B2" s="2">
        <v>642643</v>
      </c>
      <c r="C2" s="2">
        <v>91646</v>
      </c>
      <c r="D2" s="2">
        <v>41743</v>
      </c>
      <c r="E2" s="2">
        <v>600900</v>
      </c>
      <c r="F2">
        <f>MIN(C2:C11)</f>
        <v>73705</v>
      </c>
    </row>
    <row r="3" spans="1:7">
      <c r="A3" s="2">
        <f>A2+1</f>
        <v>2005</v>
      </c>
      <c r="B3" s="2">
        <v>655115</v>
      </c>
      <c r="C3" s="2">
        <v>91757</v>
      </c>
      <c r="D3" s="2">
        <v>41665</v>
      </c>
      <c r="E3" s="2">
        <v>613450</v>
      </c>
      <c r="F3">
        <f>MAX(C2:C11)</f>
        <v>98283</v>
      </c>
    </row>
    <row r="4" spans="1:7">
      <c r="A4" s="2">
        <f t="shared" ref="A4:A11" si="0">A3+1</f>
        <v>2006</v>
      </c>
      <c r="B4" s="2">
        <v>657994</v>
      </c>
      <c r="C4" s="2">
        <v>97286</v>
      </c>
      <c r="D4" s="2">
        <v>45234</v>
      </c>
      <c r="E4" s="2">
        <v>612760</v>
      </c>
    </row>
    <row r="5" spans="1:7">
      <c r="A5" s="2">
        <f t="shared" si="0"/>
        <v>2007</v>
      </c>
      <c r="B5" s="2">
        <v>583796</v>
      </c>
      <c r="C5" s="2">
        <v>98283</v>
      </c>
      <c r="D5" s="2">
        <v>45026</v>
      </c>
      <c r="E5" s="2">
        <v>538770</v>
      </c>
      <c r="G5">
        <f>F3-F2</f>
        <v>24578</v>
      </c>
    </row>
    <row r="6" spans="1:7">
      <c r="A6" s="2">
        <f t="shared" si="0"/>
        <v>2008</v>
      </c>
      <c r="B6" s="2">
        <v>502312</v>
      </c>
      <c r="C6" s="2">
        <v>86245</v>
      </c>
      <c r="D6" s="2">
        <v>35552</v>
      </c>
      <c r="E6" s="2">
        <v>466760</v>
      </c>
      <c r="G6" s="18">
        <f>G5/10</f>
        <v>2457.8000000000002</v>
      </c>
    </row>
    <row r="7" spans="1:7">
      <c r="A7" s="2">
        <f t="shared" si="0"/>
        <v>2009</v>
      </c>
      <c r="B7" s="2">
        <v>494442</v>
      </c>
      <c r="C7" s="2">
        <v>78536</v>
      </c>
      <c r="D7" s="2">
        <v>33922</v>
      </c>
      <c r="E7" s="2">
        <v>460520</v>
      </c>
    </row>
    <row r="8" spans="1:7">
      <c r="A8" s="2">
        <f t="shared" si="0"/>
        <v>2010</v>
      </c>
      <c r="B8" s="2">
        <v>465164</v>
      </c>
      <c r="C8" s="2">
        <v>78603</v>
      </c>
      <c r="D8" s="2">
        <v>34768</v>
      </c>
      <c r="E8" s="2">
        <v>430396</v>
      </c>
    </row>
    <row r="9" spans="1:7">
      <c r="A9" s="2">
        <f t="shared" si="0"/>
        <v>2011</v>
      </c>
      <c r="B9" s="2">
        <v>451167</v>
      </c>
      <c r="C9" s="2">
        <v>76445</v>
      </c>
      <c r="D9" s="2">
        <v>33217</v>
      </c>
      <c r="E9" s="2">
        <v>417950</v>
      </c>
    </row>
    <row r="10" spans="1:7">
      <c r="A10" s="2">
        <f t="shared" si="0"/>
        <v>2012</v>
      </c>
      <c r="B10" s="2">
        <v>441096</v>
      </c>
      <c r="C10" s="2">
        <v>73705</v>
      </c>
      <c r="D10" s="2">
        <v>33086</v>
      </c>
      <c r="E10" s="2">
        <v>408010</v>
      </c>
    </row>
    <row r="11" spans="1:7">
      <c r="A11" s="2">
        <f t="shared" si="0"/>
        <v>2013</v>
      </c>
      <c r="B11" s="2">
        <v>423601</v>
      </c>
      <c r="C11" s="2">
        <v>74233</v>
      </c>
      <c r="D11" s="2">
        <v>32941</v>
      </c>
      <c r="E11" s="2">
        <v>390660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A3BF-5639-E046-A428-B512D51F4D07}">
  <dimension ref="A1:K52"/>
  <sheetViews>
    <sheetView topLeftCell="A27" workbookViewId="0">
      <selection activeCell="A48" sqref="A48:C52"/>
    </sheetView>
  </sheetViews>
  <sheetFormatPr baseColWidth="10" defaultRowHeight="16"/>
  <cols>
    <col min="1" max="1" width="19" customWidth="1"/>
    <col min="2" max="2" width="13.5" customWidth="1"/>
    <col min="3" max="3" width="19" customWidth="1"/>
    <col min="4" max="4" width="11.33203125" customWidth="1"/>
    <col min="5" max="5" width="14.83203125" customWidth="1"/>
    <col min="6" max="6" width="16.83203125" customWidth="1"/>
    <col min="7" max="7" width="15.5" customWidth="1"/>
    <col min="8" max="8" width="16.33203125" customWidth="1"/>
    <col min="9" max="9" width="18.5" customWidth="1"/>
    <col min="10" max="10" width="18.6640625" customWidth="1"/>
    <col min="11" max="11" width="20.5" customWidth="1"/>
  </cols>
  <sheetData>
    <row r="1" spans="1:11">
      <c r="A1" s="1" t="s">
        <v>0</v>
      </c>
      <c r="B1" s="1" t="s">
        <v>8</v>
      </c>
      <c r="C1" s="1" t="s">
        <v>4</v>
      </c>
      <c r="E1" s="1" t="s">
        <v>0</v>
      </c>
      <c r="F1" s="1" t="s">
        <v>8</v>
      </c>
      <c r="G1" s="19" t="s">
        <v>10</v>
      </c>
      <c r="H1" s="1" t="s">
        <v>4</v>
      </c>
      <c r="I1" s="1" t="s">
        <v>14</v>
      </c>
      <c r="J1" s="19" t="s">
        <v>19</v>
      </c>
    </row>
    <row r="2" spans="1:11">
      <c r="A2" s="2">
        <v>2004</v>
      </c>
      <c r="B2" s="2">
        <v>41743</v>
      </c>
      <c r="C2" s="2">
        <v>91646</v>
      </c>
      <c r="E2" s="2">
        <v>2004</v>
      </c>
      <c r="F2" s="2">
        <v>41743</v>
      </c>
      <c r="G2" s="24">
        <v>41038.625953243813</v>
      </c>
      <c r="H2" s="2">
        <v>91646</v>
      </c>
      <c r="I2" s="13">
        <v>1.6874063837198749</v>
      </c>
      <c r="J2" s="5">
        <v>704.37404675618745</v>
      </c>
    </row>
    <row r="3" spans="1:11">
      <c r="A3" s="2">
        <f>A2+1</f>
        <v>2005</v>
      </c>
      <c r="B3" s="2">
        <v>41665</v>
      </c>
      <c r="C3" s="2">
        <v>91757</v>
      </c>
      <c r="E3" s="2">
        <f>E2+1</f>
        <v>2005</v>
      </c>
      <c r="F3" s="2">
        <v>41665</v>
      </c>
      <c r="G3" s="24">
        <v>41117.617020042147</v>
      </c>
      <c r="H3" s="2">
        <v>91757</v>
      </c>
      <c r="I3" s="13">
        <v>1.3137717027669567</v>
      </c>
      <c r="J3" s="5">
        <v>547.38297995785251</v>
      </c>
    </row>
    <row r="4" spans="1:11">
      <c r="A4" s="2">
        <f t="shared" ref="A4:A11" si="0">A3+1</f>
        <v>2006</v>
      </c>
      <c r="B4" s="2">
        <v>45234</v>
      </c>
      <c r="C4" s="2">
        <v>97286</v>
      </c>
      <c r="E4" s="2">
        <f t="shared" ref="E4:E11" si="1">E3+1</f>
        <v>2006</v>
      </c>
      <c r="F4" s="2">
        <v>45234</v>
      </c>
      <c r="G4" s="24">
        <v>44920.02504078811</v>
      </c>
      <c r="H4" s="2">
        <v>97286</v>
      </c>
      <c r="I4" s="13">
        <v>0.69411274530638378</v>
      </c>
      <c r="J4" s="5">
        <v>313.97495921188965</v>
      </c>
    </row>
    <row r="5" spans="1:11">
      <c r="A5" s="2">
        <f t="shared" si="0"/>
        <v>2007</v>
      </c>
      <c r="B5" s="2">
        <v>45026</v>
      </c>
      <c r="C5" s="2">
        <v>98283</v>
      </c>
      <c r="E5" s="2">
        <f t="shared" si="1"/>
        <v>2007</v>
      </c>
      <c r="F5" s="2">
        <v>45026</v>
      </c>
      <c r="G5" s="24">
        <v>45542.133065931266</v>
      </c>
      <c r="H5" s="2">
        <v>98283</v>
      </c>
      <c r="I5" s="13">
        <v>-1.1463000620336388</v>
      </c>
      <c r="J5" s="5">
        <v>-516.13306593126617</v>
      </c>
    </row>
    <row r="6" spans="1:11">
      <c r="A6" s="2">
        <f t="shared" si="0"/>
        <v>2008</v>
      </c>
      <c r="B6" s="2">
        <v>35552</v>
      </c>
      <c r="C6" s="2">
        <v>86245</v>
      </c>
      <c r="E6" s="2">
        <f t="shared" si="1"/>
        <v>2008</v>
      </c>
      <c r="F6" s="2">
        <v>35552</v>
      </c>
      <c r="G6" s="24">
        <v>37342.655378348194</v>
      </c>
      <c r="H6" s="2">
        <v>86245</v>
      </c>
      <c r="I6" s="13">
        <v>-5.0367219237966756</v>
      </c>
      <c r="J6" s="5">
        <v>-1790.6553783481941</v>
      </c>
    </row>
    <row r="7" spans="1:11">
      <c r="A7" s="2">
        <f t="shared" si="0"/>
        <v>2009</v>
      </c>
      <c r="B7" s="2">
        <v>33922</v>
      </c>
      <c r="C7" s="2">
        <v>78536</v>
      </c>
      <c r="E7" s="2">
        <f t="shared" si="1"/>
        <v>2009</v>
      </c>
      <c r="F7" s="2">
        <v>33922</v>
      </c>
      <c r="G7" s="24">
        <v>33681.061915042577</v>
      </c>
      <c r="H7" s="2">
        <v>78536</v>
      </c>
      <c r="I7" s="13">
        <v>0.71027087128536837</v>
      </c>
      <c r="J7" s="5">
        <v>240.93808495742269</v>
      </c>
    </row>
    <row r="8" spans="1:11">
      <c r="A8" s="2">
        <f t="shared" si="0"/>
        <v>2010</v>
      </c>
      <c r="B8" s="2">
        <v>34768</v>
      </c>
      <c r="C8" s="2">
        <v>78603</v>
      </c>
      <c r="E8" s="2">
        <f t="shared" si="1"/>
        <v>2010</v>
      </c>
      <c r="F8" s="2">
        <v>34768</v>
      </c>
      <c r="G8" s="24">
        <v>33699.14760847576</v>
      </c>
      <c r="H8" s="2">
        <v>78603</v>
      </c>
      <c r="I8" s="13">
        <v>3.0742418071912114</v>
      </c>
      <c r="J8" s="5">
        <v>1068.8523915242404</v>
      </c>
    </row>
    <row r="9" spans="1:11">
      <c r="A9" s="2">
        <f t="shared" si="0"/>
        <v>2011</v>
      </c>
      <c r="B9" s="2">
        <v>33217</v>
      </c>
      <c r="C9" s="2">
        <v>76445</v>
      </c>
      <c r="E9" s="2">
        <f t="shared" si="1"/>
        <v>2011</v>
      </c>
      <c r="F9" s="2">
        <v>33217</v>
      </c>
      <c r="G9" s="24">
        <v>33274.527483169688</v>
      </c>
      <c r="H9" s="2">
        <v>76445</v>
      </c>
      <c r="I9" s="13">
        <v>-0.17318687169126626</v>
      </c>
      <c r="J9" s="5">
        <v>-57.527483169687912</v>
      </c>
    </row>
    <row r="10" spans="1:11">
      <c r="A10" s="2">
        <f t="shared" si="0"/>
        <v>2012</v>
      </c>
      <c r="B10" s="2">
        <v>33086</v>
      </c>
      <c r="C10" s="2">
        <v>73705</v>
      </c>
      <c r="E10" s="2">
        <f t="shared" si="1"/>
        <v>2012</v>
      </c>
      <c r="F10" s="2">
        <v>33086</v>
      </c>
      <c r="G10" s="24">
        <v>33259.011358792428</v>
      </c>
      <c r="H10" s="2">
        <v>73705</v>
      </c>
      <c r="I10" s="13">
        <v>-0.52291409899180297</v>
      </c>
      <c r="J10" s="5">
        <v>-173.01135879242793</v>
      </c>
    </row>
    <row r="11" spans="1:11">
      <c r="A11" s="2">
        <f t="shared" si="0"/>
        <v>2013</v>
      </c>
      <c r="B11" s="2">
        <v>32941</v>
      </c>
      <c r="C11" s="2">
        <v>74233</v>
      </c>
      <c r="E11" s="2">
        <f t="shared" si="1"/>
        <v>2013</v>
      </c>
      <c r="F11" s="2">
        <v>32941</v>
      </c>
      <c r="G11" s="24">
        <v>33212.181696515298</v>
      </c>
      <c r="H11" s="2">
        <v>74233</v>
      </c>
      <c r="I11" s="13">
        <v>-0.82323456032086917</v>
      </c>
      <c r="J11" s="5">
        <v>-271.18169651529752</v>
      </c>
    </row>
    <row r="13" spans="1:11">
      <c r="A13" s="1" t="s">
        <v>9</v>
      </c>
      <c r="B13" s="3" t="s">
        <v>13</v>
      </c>
      <c r="C13" s="1" t="s">
        <v>18</v>
      </c>
      <c r="I13" s="3" t="s">
        <v>11</v>
      </c>
      <c r="J13" s="3" t="s">
        <v>15</v>
      </c>
      <c r="K13" s="1" t="s">
        <v>20</v>
      </c>
    </row>
    <row r="14" spans="1:11">
      <c r="A14" s="5">
        <f t="shared" ref="A14:A23" si="2">-0.00000000000035606*C2^4+0.00000012097*C2^3-0.0153347*C2^2+860.158*C2-17987700</f>
        <v>43505.101967379451</v>
      </c>
      <c r="B14" s="13">
        <f t="shared" ref="B14:B23" si="3">(B2-A14)/B2*100</f>
        <v>-4.221311279446736</v>
      </c>
      <c r="C14" s="5">
        <f>B2-A14</f>
        <v>-1762.1019673794508</v>
      </c>
      <c r="I14" s="5">
        <f t="shared" ref="I14:I23" si="4">0.0000141089*C2^2-1.89849*C2+96159.6</f>
        <v>40671.085820512395</v>
      </c>
      <c r="J14" s="13">
        <f t="shared" ref="J14:J23" si="5">(B2-I14)/B2*100</f>
        <v>2.5678896569187768</v>
      </c>
      <c r="K14" s="5">
        <f>B2-I14</f>
        <v>1071.914179487605</v>
      </c>
    </row>
    <row r="15" spans="1:11">
      <c r="A15" s="5">
        <f t="shared" si="2"/>
        <v>43640.472371026874</v>
      </c>
      <c r="B15" s="13">
        <f t="shared" si="3"/>
        <v>-4.7413233433982329</v>
      </c>
      <c r="C15" s="5">
        <f t="shared" ref="C15:C23" si="6">B3-A15</f>
        <v>-1975.4723710268736</v>
      </c>
      <c r="I15" s="5">
        <f t="shared" si="4"/>
        <v>40747.578649636111</v>
      </c>
      <c r="J15" s="13">
        <f t="shared" si="5"/>
        <v>2.2018993168460081</v>
      </c>
      <c r="K15" s="5">
        <f t="shared" ref="K15:K23" si="7">B3-I15</f>
        <v>917.42135036388936</v>
      </c>
    </row>
    <row r="16" spans="1:11">
      <c r="A16" s="5">
        <f t="shared" si="2"/>
        <v>47725.783258423209</v>
      </c>
      <c r="B16" s="13">
        <f t="shared" si="3"/>
        <v>-5.5086511438811714</v>
      </c>
      <c r="C16" s="5">
        <f t="shared" si="6"/>
        <v>-2491.7832584232092</v>
      </c>
      <c r="I16" s="5">
        <f t="shared" si="4"/>
        <v>44997.714219184389</v>
      </c>
      <c r="J16" s="13">
        <f t="shared" si="5"/>
        <v>0.52236322415795933</v>
      </c>
      <c r="K16" s="5">
        <f t="shared" si="7"/>
        <v>236.28578081561136</v>
      </c>
    </row>
    <row r="17" spans="1:11">
      <c r="A17" s="5">
        <f t="shared" si="2"/>
        <v>47304.820084899664</v>
      </c>
      <c r="B17" s="13">
        <f t="shared" si="3"/>
        <v>-5.0611204301951398</v>
      </c>
      <c r="C17" s="5">
        <f t="shared" si="6"/>
        <v>-2278.8200848996639</v>
      </c>
      <c r="I17" s="5">
        <f t="shared" si="4"/>
        <v>45855.90536289211</v>
      </c>
      <c r="J17" s="13">
        <f t="shared" si="5"/>
        <v>-1.8431691975572115</v>
      </c>
      <c r="K17" s="5">
        <f t="shared" si="7"/>
        <v>-829.90536289211013</v>
      </c>
    </row>
    <row r="18" spans="1:11">
      <c r="A18" s="5">
        <f t="shared" si="2"/>
        <v>37563.068672269583</v>
      </c>
      <c r="B18" s="13">
        <f t="shared" si="3"/>
        <v>-5.6566963103892407</v>
      </c>
      <c r="C18" s="5">
        <f t="shared" si="6"/>
        <v>-2011.0686722695827</v>
      </c>
      <c r="I18" s="5">
        <f t="shared" si="4"/>
        <v>37369.150282722505</v>
      </c>
      <c r="J18" s="13">
        <f t="shared" si="5"/>
        <v>-5.1112462947865236</v>
      </c>
      <c r="K18" s="5">
        <f t="shared" si="7"/>
        <v>-1817.1502827225049</v>
      </c>
    </row>
    <row r="19" spans="1:11">
      <c r="A19" s="5">
        <f t="shared" si="2"/>
        <v>35285.14268489182</v>
      </c>
      <c r="B19" s="13">
        <f t="shared" si="3"/>
        <v>-4.0184620154820463</v>
      </c>
      <c r="C19" s="5">
        <f t="shared" si="6"/>
        <v>-1363.14268489182</v>
      </c>
      <c r="I19" s="5">
        <f t="shared" si="4"/>
        <v>34082.120172934388</v>
      </c>
      <c r="J19" s="13">
        <f t="shared" si="5"/>
        <v>-0.47202456498552092</v>
      </c>
      <c r="K19" s="5">
        <f t="shared" si="7"/>
        <v>-160.12017293438839</v>
      </c>
    </row>
    <row r="20" spans="1:11">
      <c r="A20" s="5">
        <f t="shared" si="2"/>
        <v>35284.727511323988</v>
      </c>
      <c r="B20" s="13">
        <f t="shared" si="3"/>
        <v>-1.4862158056948587</v>
      </c>
      <c r="C20" s="5">
        <f t="shared" si="6"/>
        <v>-516.72751132398844</v>
      </c>
      <c r="I20" s="5">
        <f t="shared" si="4"/>
        <v>34103.46425822012</v>
      </c>
      <c r="J20" s="13">
        <f t="shared" si="5"/>
        <v>1.9113430216862646</v>
      </c>
      <c r="K20" s="5">
        <f t="shared" si="7"/>
        <v>664.53574177988048</v>
      </c>
    </row>
    <row r="21" spans="1:11">
      <c r="A21" s="5">
        <f t="shared" si="2"/>
        <v>35162.632855072618</v>
      </c>
      <c r="B21" s="13">
        <f t="shared" si="3"/>
        <v>-5.857340684205731</v>
      </c>
      <c r="C21" s="5">
        <f t="shared" si="6"/>
        <v>-1945.6328550726175</v>
      </c>
      <c r="I21" s="5">
        <f t="shared" si="4"/>
        <v>33479.658260922501</v>
      </c>
      <c r="J21" s="13">
        <f t="shared" si="5"/>
        <v>-0.79073444598398612</v>
      </c>
      <c r="K21" s="5">
        <f t="shared" si="7"/>
        <v>-262.65826092250063</v>
      </c>
    </row>
    <row r="22" spans="1:11">
      <c r="A22" s="5">
        <f t="shared" si="2"/>
        <v>33855.438131563365</v>
      </c>
      <c r="B22" s="13">
        <f t="shared" si="3"/>
        <v>-2.3255701250177276</v>
      </c>
      <c r="C22" s="5">
        <f t="shared" si="6"/>
        <v>-769.43813156336546</v>
      </c>
      <c r="I22" s="5">
        <f t="shared" si="4"/>
        <v>32876.964203022493</v>
      </c>
      <c r="J22" s="13">
        <f t="shared" si="5"/>
        <v>0.63179531214866358</v>
      </c>
      <c r="K22" s="5">
        <f t="shared" si="7"/>
        <v>209.03579697750683</v>
      </c>
    </row>
    <row r="23" spans="1:11">
      <c r="A23" s="5">
        <f t="shared" si="2"/>
        <v>34274.408266708255</v>
      </c>
      <c r="B23" s="13">
        <f t="shared" si="3"/>
        <v>-4.0478682089440357</v>
      </c>
      <c r="C23" s="5">
        <f t="shared" si="6"/>
        <v>-1333.4082667082548</v>
      </c>
      <c r="I23" s="5">
        <f t="shared" si="4"/>
        <v>32976.62549567211</v>
      </c>
      <c r="J23" s="13">
        <f t="shared" si="5"/>
        <v>-0.10814940551929066</v>
      </c>
      <c r="K23" s="5">
        <f t="shared" si="7"/>
        <v>-35.625495672109537</v>
      </c>
    </row>
    <row r="27" spans="1:11">
      <c r="A27" s="3" t="s">
        <v>10</v>
      </c>
      <c r="B27" s="3" t="s">
        <v>14</v>
      </c>
      <c r="C27" s="1" t="s">
        <v>19</v>
      </c>
      <c r="I27" s="3" t="s">
        <v>12</v>
      </c>
      <c r="J27" s="3" t="s">
        <v>16</v>
      </c>
      <c r="K27" s="6" t="s">
        <v>21</v>
      </c>
    </row>
    <row r="28" spans="1:11">
      <c r="A28" s="5">
        <f t="shared" ref="A28:A37" si="8">-0.00000000083287*C2^3+0.000229538*C2^2-20.3751*C2+621536</f>
        <v>41038.625953243813</v>
      </c>
      <c r="B28" s="13">
        <f t="shared" ref="B28:B37" si="9">(B2-A28)/B2*100</f>
        <v>1.6874063837198749</v>
      </c>
      <c r="C28" s="5">
        <f>B2-A28</f>
        <v>704.37404675618745</v>
      </c>
      <c r="I28" s="5">
        <f t="shared" ref="I28:I37" si="10">0.5211*C2-6408.9</f>
        <v>41347.830600000001</v>
      </c>
      <c r="J28" s="13">
        <f t="shared" ref="J28:J37" si="11">(B2-I28)/B2*100</f>
        <v>0.94667225642622443</v>
      </c>
      <c r="K28" s="5">
        <f>B2-I28</f>
        <v>395.16939999999886</v>
      </c>
    </row>
    <row r="29" spans="1:11">
      <c r="A29" s="5">
        <f t="shared" si="8"/>
        <v>41117.617020042147</v>
      </c>
      <c r="B29" s="13">
        <f t="shared" si="9"/>
        <v>1.3137717027669567</v>
      </c>
      <c r="C29" s="5">
        <f t="shared" ref="C29:C37" si="12">B3-A29</f>
        <v>547.38297995785251</v>
      </c>
      <c r="I29" s="5">
        <f t="shared" si="10"/>
        <v>41405.672700000003</v>
      </c>
      <c r="J29" s="13">
        <f t="shared" si="11"/>
        <v>0.62241041641664996</v>
      </c>
      <c r="K29" s="5">
        <f t="shared" ref="K29:K37" si="13">B3-I29</f>
        <v>259.32729999999719</v>
      </c>
    </row>
    <row r="30" spans="1:11">
      <c r="A30" s="5">
        <f t="shared" si="8"/>
        <v>44920.02504078811</v>
      </c>
      <c r="B30" s="13">
        <f t="shared" si="9"/>
        <v>0.69411274530638378</v>
      </c>
      <c r="C30" s="5">
        <f t="shared" si="12"/>
        <v>313.97495921188965</v>
      </c>
      <c r="I30" s="5">
        <f t="shared" si="10"/>
        <v>44286.834600000002</v>
      </c>
      <c r="J30" s="13">
        <f t="shared" si="11"/>
        <v>2.0939235972940664</v>
      </c>
      <c r="K30" s="5">
        <f t="shared" si="13"/>
        <v>947.16539999999804</v>
      </c>
    </row>
    <row r="31" spans="1:11">
      <c r="A31" s="5">
        <f t="shared" si="8"/>
        <v>45542.133065931266</v>
      </c>
      <c r="B31" s="13">
        <f t="shared" si="9"/>
        <v>-1.1463000620336388</v>
      </c>
      <c r="C31" s="5">
        <f t="shared" si="12"/>
        <v>-516.13306593126617</v>
      </c>
      <c r="I31" s="5">
        <f t="shared" si="10"/>
        <v>44806.371299999999</v>
      </c>
      <c r="J31" s="13">
        <f t="shared" si="11"/>
        <v>0.48778194820770471</v>
      </c>
      <c r="K31" s="5">
        <f t="shared" si="13"/>
        <v>219.62870000000112</v>
      </c>
    </row>
    <row r="32" spans="1:11">
      <c r="A32" s="5">
        <f t="shared" si="8"/>
        <v>37342.655378348194</v>
      </c>
      <c r="B32" s="13">
        <f t="shared" si="9"/>
        <v>-5.0367219237966756</v>
      </c>
      <c r="C32" s="5">
        <f t="shared" si="12"/>
        <v>-1790.6553783481941</v>
      </c>
      <c r="I32" s="5">
        <f t="shared" si="10"/>
        <v>38533.369500000001</v>
      </c>
      <c r="J32" s="13">
        <f t="shared" si="11"/>
        <v>-8.3859403127812797</v>
      </c>
      <c r="K32" s="5">
        <f t="shared" si="13"/>
        <v>-2981.3695000000007</v>
      </c>
    </row>
    <row r="33" spans="1:11">
      <c r="A33" s="5">
        <f t="shared" si="8"/>
        <v>33681.061915042577</v>
      </c>
      <c r="B33" s="13">
        <f t="shared" si="9"/>
        <v>0.71027087128536837</v>
      </c>
      <c r="C33" s="5">
        <f t="shared" si="12"/>
        <v>240.93808495742269</v>
      </c>
      <c r="I33" s="5">
        <f t="shared" si="10"/>
        <v>34516.209600000002</v>
      </c>
      <c r="J33" s="13">
        <f t="shared" si="11"/>
        <v>-1.7516938859737101</v>
      </c>
      <c r="K33" s="5">
        <f t="shared" si="13"/>
        <v>-594.20960000000196</v>
      </c>
    </row>
    <row r="34" spans="1:11">
      <c r="A34" s="5">
        <f t="shared" si="8"/>
        <v>33699.14760847576</v>
      </c>
      <c r="B34" s="13">
        <f t="shared" si="9"/>
        <v>3.0742418071912114</v>
      </c>
      <c r="C34" s="5">
        <f t="shared" si="12"/>
        <v>1068.8523915242404</v>
      </c>
      <c r="I34" s="5">
        <f t="shared" si="10"/>
        <v>34551.123299999999</v>
      </c>
      <c r="J34" s="13">
        <f t="shared" si="11"/>
        <v>0.62378250115048528</v>
      </c>
      <c r="K34" s="5">
        <f t="shared" si="13"/>
        <v>216.87670000000071</v>
      </c>
    </row>
    <row r="35" spans="1:11">
      <c r="A35" s="5">
        <f t="shared" si="8"/>
        <v>33274.527483169688</v>
      </c>
      <c r="B35" s="13">
        <f t="shared" si="9"/>
        <v>-0.17318687169126626</v>
      </c>
      <c r="C35" s="5">
        <f t="shared" si="12"/>
        <v>-57.527483169687912</v>
      </c>
      <c r="I35" s="5">
        <f t="shared" si="10"/>
        <v>33426.589500000002</v>
      </c>
      <c r="J35" s="13">
        <f t="shared" si="11"/>
        <v>-0.63097058734985656</v>
      </c>
      <c r="K35" s="5">
        <f t="shared" si="13"/>
        <v>-209.58950000000186</v>
      </c>
    </row>
    <row r="36" spans="1:11">
      <c r="A36" s="5">
        <f t="shared" si="8"/>
        <v>33259.011358792428</v>
      </c>
      <c r="B36" s="13">
        <f t="shared" si="9"/>
        <v>-0.52291409899180297</v>
      </c>
      <c r="C36" s="5">
        <f t="shared" si="12"/>
        <v>-173.01135879242793</v>
      </c>
      <c r="I36" s="5">
        <f t="shared" si="10"/>
        <v>31998.775499999996</v>
      </c>
      <c r="J36" s="13">
        <f t="shared" si="11"/>
        <v>3.2860560357855402</v>
      </c>
      <c r="K36" s="5">
        <f t="shared" si="13"/>
        <v>1087.2245000000039</v>
      </c>
    </row>
    <row r="37" spans="1:11">
      <c r="A37" s="5">
        <f t="shared" si="8"/>
        <v>33212.181696515298</v>
      </c>
      <c r="B37" s="13">
        <f t="shared" si="9"/>
        <v>-0.82323456032086917</v>
      </c>
      <c r="C37" s="5">
        <f t="shared" si="12"/>
        <v>-271.18169651529752</v>
      </c>
      <c r="I37" s="5">
        <f t="shared" si="10"/>
        <v>32273.916299999997</v>
      </c>
      <c r="J37" s="13">
        <f t="shared" si="11"/>
        <v>2.025086366534115</v>
      </c>
      <c r="K37" s="5">
        <f t="shared" si="13"/>
        <v>667.08370000000286</v>
      </c>
    </row>
    <row r="42" spans="1:11">
      <c r="A42" s="1" t="s">
        <v>50</v>
      </c>
      <c r="B42" s="1" t="s">
        <v>51</v>
      </c>
      <c r="C42" s="1" t="s">
        <v>52</v>
      </c>
    </row>
    <row r="43" spans="1:11">
      <c r="A43" s="5">
        <f>0.4463*C2</f>
        <v>40901.609799999998</v>
      </c>
      <c r="B43" s="13">
        <f>(B2-A43)/B2*100</f>
        <v>2.0156438205208098</v>
      </c>
      <c r="C43" s="5">
        <f>B2-A43</f>
        <v>841.39020000000164</v>
      </c>
    </row>
    <row r="44" spans="1:11">
      <c r="A44" s="5">
        <f t="shared" ref="A44:A52" si="14">0.4463*C3</f>
        <v>40951.149099999995</v>
      </c>
      <c r="B44" s="13">
        <f t="shared" ref="B44:B52" si="15">(B3-A44)/B3*100</f>
        <v>1.7133106924277088</v>
      </c>
      <c r="C44" s="5">
        <f t="shared" ref="C44:C52" si="16">B3-A44</f>
        <v>713.85090000000491</v>
      </c>
    </row>
    <row r="45" spans="1:11">
      <c r="A45" s="5">
        <f t="shared" si="14"/>
        <v>43418.741799999996</v>
      </c>
      <c r="B45" s="13">
        <f t="shared" si="15"/>
        <v>4.0130393067161956</v>
      </c>
      <c r="C45" s="5">
        <f t="shared" si="16"/>
        <v>1815.2582000000039</v>
      </c>
    </row>
    <row r="46" spans="1:11">
      <c r="A46" s="5">
        <f t="shared" si="14"/>
        <v>43863.702899999997</v>
      </c>
      <c r="B46" s="13">
        <f t="shared" si="15"/>
        <v>2.5813909741038588</v>
      </c>
      <c r="C46" s="5">
        <f t="shared" si="16"/>
        <v>1162.2971000000034</v>
      </c>
    </row>
    <row r="47" spans="1:11">
      <c r="A47" s="5">
        <f t="shared" si="14"/>
        <v>38491.143499999998</v>
      </c>
      <c r="B47" s="13">
        <f t="shared" si="15"/>
        <v>-8.2671678105310473</v>
      </c>
      <c r="C47" s="5">
        <f t="shared" si="16"/>
        <v>-2939.1434999999983</v>
      </c>
    </row>
    <row r="48" spans="1:11">
      <c r="A48" s="5">
        <f t="shared" si="14"/>
        <v>35050.616799999996</v>
      </c>
      <c r="B48" s="13">
        <f t="shared" si="15"/>
        <v>-3.3270939213489656</v>
      </c>
      <c r="C48" s="5">
        <f t="shared" si="16"/>
        <v>-1128.6167999999961</v>
      </c>
    </row>
    <row r="49" spans="1:3">
      <c r="A49" s="5">
        <f t="shared" si="14"/>
        <v>35080.518899999995</v>
      </c>
      <c r="B49" s="13">
        <f t="shared" si="15"/>
        <v>-0.89886936263229267</v>
      </c>
      <c r="C49" s="5">
        <f t="shared" si="16"/>
        <v>-312.51889999999548</v>
      </c>
    </row>
    <row r="50" spans="1:3">
      <c r="A50" s="5">
        <f t="shared" si="14"/>
        <v>34117.4035</v>
      </c>
      <c r="B50" s="13">
        <f t="shared" si="15"/>
        <v>-2.7106707408856923</v>
      </c>
      <c r="C50" s="5">
        <f t="shared" si="16"/>
        <v>-900.40350000000035</v>
      </c>
    </row>
    <row r="51" spans="1:3">
      <c r="A51" s="5">
        <f t="shared" si="14"/>
        <v>32894.541499999999</v>
      </c>
      <c r="B51" s="13">
        <f t="shared" si="15"/>
        <v>0.57866922565435719</v>
      </c>
      <c r="C51" s="5">
        <f t="shared" si="16"/>
        <v>191.45850000000064</v>
      </c>
    </row>
    <row r="52" spans="1:3">
      <c r="A52" s="5">
        <f t="shared" si="14"/>
        <v>33130.187899999997</v>
      </c>
      <c r="B52" s="13">
        <f t="shared" si="15"/>
        <v>-0.5743234874472456</v>
      </c>
      <c r="C52" s="5">
        <f t="shared" si="16"/>
        <v>-189.18789999999717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6009-827A-CA40-A21E-55A954732969}">
  <dimension ref="A1:I11"/>
  <sheetViews>
    <sheetView topLeftCell="A26" workbookViewId="0">
      <selection activeCell="H43" sqref="H43"/>
    </sheetView>
  </sheetViews>
  <sheetFormatPr baseColWidth="10" defaultRowHeight="16"/>
  <cols>
    <col min="2" max="2" width="16.83203125" customWidth="1"/>
    <col min="3" max="3" width="13.83203125" customWidth="1"/>
    <col min="4" max="4" width="13.33203125" customWidth="1"/>
    <col min="5" max="5" width="19" customWidth="1"/>
  </cols>
  <sheetData>
    <row r="1" spans="1:9">
      <c r="A1" s="1" t="s">
        <v>0</v>
      </c>
      <c r="B1" s="1" t="s">
        <v>7</v>
      </c>
      <c r="C1" s="1" t="s">
        <v>8</v>
      </c>
      <c r="D1" s="3" t="s">
        <v>17</v>
      </c>
      <c r="E1" s="1" t="s">
        <v>5</v>
      </c>
    </row>
    <row r="2" spans="1:9">
      <c r="A2" s="2">
        <v>2004</v>
      </c>
      <c r="B2" s="2">
        <v>642643</v>
      </c>
      <c r="C2" s="2">
        <v>41743</v>
      </c>
      <c r="D2" s="4">
        <v>270983</v>
      </c>
      <c r="E2" s="2">
        <v>600900</v>
      </c>
      <c r="F2">
        <f>MIN(D2:D11)</f>
        <v>270983</v>
      </c>
      <c r="H2" s="7"/>
      <c r="I2" s="8"/>
    </row>
    <row r="3" spans="1:9">
      <c r="A3" s="2">
        <f>A2+1</f>
        <v>2005</v>
      </c>
      <c r="B3" s="2">
        <v>655115</v>
      </c>
      <c r="C3" s="2">
        <v>41665</v>
      </c>
      <c r="D3" s="4">
        <v>394339</v>
      </c>
      <c r="E3" s="2">
        <v>613450</v>
      </c>
      <c r="F3">
        <f>MAX(D2:D11)</f>
        <v>440296</v>
      </c>
      <c r="H3" s="7"/>
      <c r="I3" s="8"/>
    </row>
    <row r="4" spans="1:9">
      <c r="A4" s="2">
        <f t="shared" ref="A4:A11" si="0">A3+1</f>
        <v>2006</v>
      </c>
      <c r="B4" s="2">
        <v>657994</v>
      </c>
      <c r="C4" s="2">
        <v>45234</v>
      </c>
      <c r="D4" s="4">
        <v>440296</v>
      </c>
      <c r="E4" s="2">
        <v>612760</v>
      </c>
      <c r="H4" s="7"/>
      <c r="I4" s="8"/>
    </row>
    <row r="5" spans="1:9">
      <c r="A5" s="2">
        <f t="shared" si="0"/>
        <v>2007</v>
      </c>
      <c r="B5" s="2">
        <v>583796</v>
      </c>
      <c r="C5" s="2">
        <v>45026</v>
      </c>
      <c r="D5" s="4">
        <v>435070</v>
      </c>
      <c r="E5" s="2">
        <v>538770</v>
      </c>
      <c r="G5">
        <f>F3-F2</f>
        <v>169313</v>
      </c>
      <c r="H5" s="7"/>
      <c r="I5" s="8"/>
    </row>
    <row r="6" spans="1:9">
      <c r="A6" s="2">
        <f t="shared" si="0"/>
        <v>2008</v>
      </c>
      <c r="B6" s="2">
        <v>502312</v>
      </c>
      <c r="C6" s="2">
        <v>35552</v>
      </c>
      <c r="D6" s="4">
        <v>395479</v>
      </c>
      <c r="E6" s="2">
        <v>466760</v>
      </c>
      <c r="G6" s="18">
        <f>G5/10</f>
        <v>16931.3</v>
      </c>
      <c r="H6" s="7"/>
      <c r="I6" s="8"/>
    </row>
    <row r="7" spans="1:9">
      <c r="A7" s="2">
        <f t="shared" si="0"/>
        <v>2009</v>
      </c>
      <c r="B7" s="2">
        <v>494442</v>
      </c>
      <c r="C7" s="2">
        <v>33922</v>
      </c>
      <c r="D7" s="4">
        <v>364189</v>
      </c>
      <c r="E7" s="2">
        <v>460520</v>
      </c>
      <c r="H7" s="7"/>
      <c r="I7" s="8"/>
    </row>
    <row r="8" spans="1:9">
      <c r="A8" s="2">
        <f t="shared" si="0"/>
        <v>2010</v>
      </c>
      <c r="B8" s="2">
        <v>465164</v>
      </c>
      <c r="C8" s="2">
        <v>34768</v>
      </c>
      <c r="D8" s="4">
        <v>360048</v>
      </c>
      <c r="E8" s="2">
        <v>430396</v>
      </c>
      <c r="H8" s="7"/>
      <c r="I8" s="8"/>
    </row>
    <row r="9" spans="1:9">
      <c r="A9" s="2">
        <f t="shared" si="0"/>
        <v>2011</v>
      </c>
      <c r="B9" s="2">
        <v>451167</v>
      </c>
      <c r="C9" s="2">
        <v>33217</v>
      </c>
      <c r="D9" s="4">
        <v>338983</v>
      </c>
      <c r="E9" s="2">
        <v>417950</v>
      </c>
      <c r="H9" s="7"/>
      <c r="I9" s="8"/>
    </row>
    <row r="10" spans="1:9">
      <c r="A10" s="2">
        <f t="shared" si="0"/>
        <v>2012</v>
      </c>
      <c r="B10" s="2">
        <v>441096</v>
      </c>
      <c r="C10" s="2">
        <v>33086</v>
      </c>
      <c r="D10" s="4">
        <v>332573</v>
      </c>
      <c r="E10" s="2">
        <v>408010</v>
      </c>
      <c r="H10" s="7"/>
      <c r="I10" s="8"/>
    </row>
    <row r="11" spans="1:9">
      <c r="A11" s="2">
        <f t="shared" si="0"/>
        <v>2013</v>
      </c>
      <c r="B11" s="2">
        <v>423601</v>
      </c>
      <c r="C11" s="2">
        <v>32941</v>
      </c>
      <c r="D11" s="4">
        <v>338132</v>
      </c>
      <c r="E11" s="2">
        <v>390660</v>
      </c>
      <c r="H11" s="7"/>
      <c r="I11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F392-3B86-DA45-BE43-832F9467F15C}">
  <dimension ref="A1:AA52"/>
  <sheetViews>
    <sheetView zoomScaleNormal="100" workbookViewId="0">
      <selection activeCell="K48" sqref="K48"/>
    </sheetView>
  </sheetViews>
  <sheetFormatPr baseColWidth="10" defaultRowHeight="16"/>
  <cols>
    <col min="1" max="1" width="18.83203125" customWidth="1"/>
    <col min="2" max="2" width="14" customWidth="1"/>
    <col min="3" max="3" width="18" customWidth="1"/>
    <col min="6" max="6" width="10.83203125" customWidth="1"/>
    <col min="11" max="11" width="16.33203125" customWidth="1"/>
    <col min="12" max="12" width="14.5" customWidth="1"/>
    <col min="13" max="13" width="18.1640625" customWidth="1"/>
    <col min="23" max="23" width="16.83203125" customWidth="1"/>
    <col min="24" max="24" width="16.5" customWidth="1"/>
    <col min="25" max="25" width="15.1640625" customWidth="1"/>
    <col min="26" max="26" width="14" customWidth="1"/>
    <col min="27" max="27" width="18.33203125" customWidth="1"/>
  </cols>
  <sheetData>
    <row r="1" spans="1:27">
      <c r="A1" s="1" t="s">
        <v>0</v>
      </c>
      <c r="B1" s="1" t="s">
        <v>8</v>
      </c>
      <c r="C1" s="9" t="s">
        <v>17</v>
      </c>
      <c r="V1" s="1" t="s">
        <v>0</v>
      </c>
      <c r="W1" s="1" t="s">
        <v>8</v>
      </c>
      <c r="X1" s="1" t="s">
        <v>10</v>
      </c>
      <c r="Y1" s="9" t="s">
        <v>17</v>
      </c>
      <c r="Z1" s="1" t="s">
        <v>14</v>
      </c>
      <c r="AA1" s="1" t="s">
        <v>19</v>
      </c>
    </row>
    <row r="2" spans="1:27">
      <c r="A2" s="2">
        <v>2004</v>
      </c>
      <c r="B2" s="2">
        <v>41743</v>
      </c>
      <c r="C2" s="10">
        <v>270983</v>
      </c>
      <c r="V2" s="2">
        <v>2004</v>
      </c>
      <c r="W2" s="2">
        <v>41743</v>
      </c>
      <c r="X2" s="5">
        <v>41755.319087647367</v>
      </c>
      <c r="Y2" s="10">
        <v>270983</v>
      </c>
      <c r="Z2" s="13">
        <v>-2.9511744837139808E-2</v>
      </c>
      <c r="AA2" s="5">
        <v>-12.319087647367269</v>
      </c>
    </row>
    <row r="3" spans="1:27">
      <c r="A3" s="2">
        <f>A2+1</f>
        <v>2005</v>
      </c>
      <c r="B3" s="2">
        <v>41665</v>
      </c>
      <c r="C3" s="10">
        <v>394339</v>
      </c>
      <c r="V3" s="2">
        <f>V2+1</f>
        <v>2005</v>
      </c>
      <c r="W3" s="2">
        <v>41665</v>
      </c>
      <c r="X3" s="5">
        <v>38454.4604702004</v>
      </c>
      <c r="Y3" s="10">
        <v>394339</v>
      </c>
      <c r="Z3" s="13">
        <v>7.7056030956428661</v>
      </c>
      <c r="AA3" s="5">
        <v>3210.5395297996001</v>
      </c>
    </row>
    <row r="4" spans="1:27">
      <c r="A4" s="2">
        <f t="shared" ref="A4:A11" si="0">A3+1</f>
        <v>2006</v>
      </c>
      <c r="B4" s="2">
        <v>45234</v>
      </c>
      <c r="C4" s="10">
        <v>440296</v>
      </c>
      <c r="V4" s="2">
        <f t="shared" ref="V4:V11" si="1">V3+1</f>
        <v>2006</v>
      </c>
      <c r="W4" s="2">
        <v>45234</v>
      </c>
      <c r="X4" s="5">
        <v>45486.984077815665</v>
      </c>
      <c r="Y4" s="10">
        <v>440296</v>
      </c>
      <c r="Z4" s="13">
        <v>-0.55927859091759502</v>
      </c>
      <c r="AA4" s="5">
        <v>-252.98407781566493</v>
      </c>
    </row>
    <row r="5" spans="1:27">
      <c r="A5" s="2">
        <f t="shared" si="0"/>
        <v>2007</v>
      </c>
      <c r="B5" s="2">
        <v>45026</v>
      </c>
      <c r="C5" s="10">
        <v>435070</v>
      </c>
      <c r="V5" s="2">
        <f t="shared" si="1"/>
        <v>2007</v>
      </c>
      <c r="W5" s="2">
        <v>45026</v>
      </c>
      <c r="X5" s="5">
        <v>44722.456887172535</v>
      </c>
      <c r="Y5" s="10">
        <v>435070</v>
      </c>
      <c r="Z5" s="13">
        <v>0.67415074141044051</v>
      </c>
      <c r="AA5" s="5">
        <v>303.54311282746494</v>
      </c>
    </row>
    <row r="6" spans="1:27">
      <c r="A6" s="2">
        <f t="shared" si="0"/>
        <v>2008</v>
      </c>
      <c r="B6" s="2">
        <v>35552</v>
      </c>
      <c r="C6" s="10">
        <v>395479</v>
      </c>
      <c r="V6" s="2">
        <f t="shared" si="1"/>
        <v>2008</v>
      </c>
      <c r="W6" s="2">
        <v>35552</v>
      </c>
      <c r="X6" s="5">
        <v>38622.224124904838</v>
      </c>
      <c r="Y6" s="10">
        <v>395479</v>
      </c>
      <c r="Z6" s="13">
        <v>-8.6358689381886773</v>
      </c>
      <c r="AA6" s="5">
        <v>-3070.2241249048384</v>
      </c>
    </row>
    <row r="7" spans="1:27">
      <c r="A7" s="2">
        <f t="shared" si="0"/>
        <v>2009</v>
      </c>
      <c r="B7" s="2">
        <v>33922</v>
      </c>
      <c r="C7" s="10">
        <v>364189</v>
      </c>
      <c r="V7" s="2">
        <f t="shared" si="1"/>
        <v>2009</v>
      </c>
      <c r="W7" s="2">
        <v>33922</v>
      </c>
      <c r="X7" s="5">
        <v>34677.899917691248</v>
      </c>
      <c r="Y7" s="10">
        <v>364189</v>
      </c>
      <c r="Z7" s="13">
        <v>-2.2283471425365473</v>
      </c>
      <c r="AA7" s="5">
        <v>-755.89991769124754</v>
      </c>
    </row>
    <row r="8" spans="1:27">
      <c r="A8" s="2">
        <f t="shared" si="0"/>
        <v>2010</v>
      </c>
      <c r="B8" s="2">
        <v>34768</v>
      </c>
      <c r="C8" s="10">
        <v>360048</v>
      </c>
      <c r="V8" s="2">
        <f t="shared" si="1"/>
        <v>2010</v>
      </c>
      <c r="W8" s="2">
        <v>34768</v>
      </c>
      <c r="X8" s="5">
        <v>34296.221729923622</v>
      </c>
      <c r="Y8" s="10">
        <v>360048</v>
      </c>
      <c r="Z8" s="13">
        <v>1.3569324380935868</v>
      </c>
      <c r="AA8" s="5">
        <v>471.77827007637825</v>
      </c>
    </row>
    <row r="9" spans="1:27">
      <c r="A9" s="2">
        <f t="shared" si="0"/>
        <v>2011</v>
      </c>
      <c r="B9" s="2">
        <v>33217</v>
      </c>
      <c r="C9" s="10">
        <v>338983</v>
      </c>
      <c r="V9" s="2">
        <f t="shared" si="1"/>
        <v>2011</v>
      </c>
      <c r="W9" s="2">
        <v>33217</v>
      </c>
      <c r="X9" s="5">
        <v>33086.797190680634</v>
      </c>
      <c r="Y9" s="10">
        <v>338983</v>
      </c>
      <c r="Z9" s="13">
        <v>0.39197642568373353</v>
      </c>
      <c r="AA9" s="5">
        <v>130.20280931936577</v>
      </c>
    </row>
    <row r="10" spans="1:27">
      <c r="A10" s="2">
        <f t="shared" si="0"/>
        <v>2012</v>
      </c>
      <c r="B10" s="2">
        <v>33086</v>
      </c>
      <c r="C10" s="10">
        <v>332573</v>
      </c>
      <c r="V10" s="2">
        <f t="shared" si="1"/>
        <v>2012</v>
      </c>
      <c r="W10" s="2">
        <v>33086</v>
      </c>
      <c r="X10" s="5">
        <v>33003.258329577511</v>
      </c>
      <c r="Y10" s="10">
        <v>332573</v>
      </c>
      <c r="Z10" s="13">
        <v>0.25008060938913385</v>
      </c>
      <c r="AA10" s="5">
        <v>82.741670422488824</v>
      </c>
    </row>
    <row r="11" spans="1:27">
      <c r="A11" s="2">
        <f t="shared" si="0"/>
        <v>2013</v>
      </c>
      <c r="B11" s="2">
        <v>32941</v>
      </c>
      <c r="C11" s="10">
        <v>338132</v>
      </c>
      <c r="V11" s="2">
        <f t="shared" si="1"/>
        <v>2013</v>
      </c>
      <c r="W11" s="2">
        <v>32941</v>
      </c>
      <c r="X11" s="5">
        <v>33067.289441546658</v>
      </c>
      <c r="Y11" s="10">
        <v>338132</v>
      </c>
      <c r="Z11" s="13">
        <v>-0.38338071566333154</v>
      </c>
      <c r="AA11" s="5">
        <v>-126.28944154665805</v>
      </c>
    </row>
    <row r="13" spans="1:27">
      <c r="A13" s="1" t="s">
        <v>9</v>
      </c>
      <c r="B13" s="1" t="s">
        <v>13</v>
      </c>
      <c r="C13" s="1" t="s">
        <v>18</v>
      </c>
      <c r="K13" s="1" t="s">
        <v>11</v>
      </c>
      <c r="L13" s="1" t="s">
        <v>15</v>
      </c>
      <c r="M13" s="1" t="s">
        <v>20</v>
      </c>
    </row>
    <row r="14" spans="1:27">
      <c r="A14" s="5">
        <f>-0.00000000000000003*C2^4+0.000000000037777*C2^3-0.0000148366*C2^2+1.95325*C2+19912.3</f>
        <v>49680.660676099549</v>
      </c>
      <c r="B14" s="13">
        <f>(B2-A14)/B2*100</f>
        <v>-19.015549136620631</v>
      </c>
      <c r="C14" s="5">
        <f>B2-A14</f>
        <v>-7937.6606760995492</v>
      </c>
      <c r="K14" s="5">
        <f>0.00000135576*C2^2-0.933336*C2+194438</f>
        <v>41075.689291174611</v>
      </c>
      <c r="L14" s="13">
        <f>(B2-K14)/B2*100</f>
        <v>1.5986170347732296</v>
      </c>
      <c r="M14" s="5">
        <f>B2-K14</f>
        <v>667.31070882538916</v>
      </c>
    </row>
    <row r="15" spans="1:27">
      <c r="A15" s="5">
        <f t="shared" ref="A15:A23" si="2">-0.00000000000000003*C3^4+0.000000000037777*C3^3-0.0000148366*C3^2+1.95325*C3+19912.3</f>
        <v>74100.908260804325</v>
      </c>
      <c r="B15" s="13">
        <f t="shared" ref="B15:B23" si="3">(B3-A15)/B3*100</f>
        <v>-77.849293797682279</v>
      </c>
      <c r="C15" s="5">
        <f t="shared" ref="C15:C23" si="4">B3-A15</f>
        <v>-32435.908260804325</v>
      </c>
      <c r="K15" s="5">
        <f t="shared" ref="K15:K23" si="5">0.00000135576*C3^2-0.933336*C3+194438</f>
        <v>37212.297141614952</v>
      </c>
      <c r="L15" s="13">
        <f t="shared" ref="L15:L23" si="6">(B3-K15)/B3*100</f>
        <v>10.686914336697582</v>
      </c>
      <c r="M15" s="5">
        <f t="shared" ref="M15:M23" si="7">B3-K15</f>
        <v>4452.7028583850479</v>
      </c>
    </row>
    <row r="16" spans="1:27">
      <c r="A16" s="5">
        <f t="shared" si="2"/>
        <v>100726.01317775827</v>
      </c>
      <c r="B16" s="13">
        <f t="shared" si="3"/>
        <v>-122.67766100225113</v>
      </c>
      <c r="C16" s="5">
        <f t="shared" si="4"/>
        <v>-55492.013177758272</v>
      </c>
      <c r="K16" s="5">
        <f t="shared" si="5"/>
        <v>46322.29569506814</v>
      </c>
      <c r="L16" s="13">
        <f t="shared" si="6"/>
        <v>-2.4059240727508957</v>
      </c>
      <c r="M16" s="5">
        <f t="shared" si="7"/>
        <v>-1088.29569506814</v>
      </c>
    </row>
    <row r="17" spans="1:13">
      <c r="A17" s="5">
        <f t="shared" si="2"/>
        <v>97513.781592538653</v>
      </c>
      <c r="B17" s="13">
        <f t="shared" si="3"/>
        <v>-116.57216184546407</v>
      </c>
      <c r="C17" s="5">
        <f t="shared" si="4"/>
        <v>-52487.781592538653</v>
      </c>
      <c r="K17" s="5">
        <f t="shared" si="5"/>
        <v>44997.764907223987</v>
      </c>
      <c r="L17" s="13">
        <f t="shared" si="6"/>
        <v>6.2708419082336E-2</v>
      </c>
      <c r="M17" s="5">
        <f t="shared" si="7"/>
        <v>28.235092776012607</v>
      </c>
    </row>
    <row r="18" spans="1:13">
      <c r="A18" s="5">
        <f t="shared" si="2"/>
        <v>74692.432814749729</v>
      </c>
      <c r="B18" s="13">
        <f t="shared" si="3"/>
        <v>-110.09347663914753</v>
      </c>
      <c r="C18" s="5">
        <f t="shared" si="4"/>
        <v>-39140.432814749729</v>
      </c>
      <c r="K18" s="5">
        <f t="shared" si="5"/>
        <v>37369.010264530109</v>
      </c>
      <c r="L18" s="13">
        <f t="shared" si="6"/>
        <v>-5.1108524542363538</v>
      </c>
      <c r="M18" s="5">
        <f t="shared" si="7"/>
        <v>-1817.0102645301085</v>
      </c>
    </row>
    <row r="19" spans="1:13">
      <c r="A19" s="5">
        <f t="shared" si="2"/>
        <v>60451.193543914778</v>
      </c>
      <c r="B19" s="13">
        <f t="shared" si="3"/>
        <v>-78.206454642753314</v>
      </c>
      <c r="C19" s="5">
        <f t="shared" si="4"/>
        <v>-26529.193543914778</v>
      </c>
      <c r="K19" s="5">
        <f t="shared" si="5"/>
        <v>34346.662615022942</v>
      </c>
      <c r="L19" s="13">
        <f t="shared" si="6"/>
        <v>-1.2518796504420207</v>
      </c>
      <c r="M19" s="5">
        <f t="shared" si="7"/>
        <v>-424.66261502294219</v>
      </c>
    </row>
    <row r="20" spans="1:13">
      <c r="A20" s="5">
        <f t="shared" si="2"/>
        <v>58915.132098225949</v>
      </c>
      <c r="B20" s="13">
        <f t="shared" si="3"/>
        <v>-69.452174695771831</v>
      </c>
      <c r="C20" s="5">
        <f t="shared" si="4"/>
        <v>-24147.132098225949</v>
      </c>
      <c r="K20" s="5">
        <f t="shared" si="5"/>
        <v>34145.594061271055</v>
      </c>
      <c r="L20" s="13">
        <f t="shared" si="6"/>
        <v>1.7901689448025349</v>
      </c>
      <c r="M20" s="5">
        <f t="shared" si="7"/>
        <v>622.40593872894533</v>
      </c>
    </row>
    <row r="21" spans="1:13">
      <c r="A21" s="5">
        <f t="shared" si="2"/>
        <v>52542.560437090768</v>
      </c>
      <c r="B21" s="13">
        <f t="shared" si="3"/>
        <v>-58.179728563960524</v>
      </c>
      <c r="C21" s="5">
        <f t="shared" si="4"/>
        <v>-19325.560437090768</v>
      </c>
      <c r="K21" s="5">
        <f t="shared" si="5"/>
        <v>33842.631574054656</v>
      </c>
      <c r="L21" s="13">
        <f t="shared" si="6"/>
        <v>-1.8834680255732188</v>
      </c>
      <c r="M21" s="5">
        <f t="shared" si="7"/>
        <v>-625.63157405465608</v>
      </c>
    </row>
    <row r="22" spans="1:13">
      <c r="A22" s="5">
        <f t="shared" si="2"/>
        <v>51104.27591930826</v>
      </c>
      <c r="B22" s="13">
        <f t="shared" si="3"/>
        <v>-54.458912891580304</v>
      </c>
      <c r="C22" s="5">
        <f t="shared" si="4"/>
        <v>-18018.27591930826</v>
      </c>
      <c r="K22" s="5">
        <f t="shared" si="5"/>
        <v>33989.210566045018</v>
      </c>
      <c r="L22" s="13">
        <f t="shared" si="6"/>
        <v>-2.7298874631113397</v>
      </c>
      <c r="M22" s="5">
        <f t="shared" si="7"/>
        <v>-903.21056604501791</v>
      </c>
    </row>
    <row r="23" spans="1:13">
      <c r="A23" s="5">
        <f t="shared" si="2"/>
        <v>52337.814205715738</v>
      </c>
      <c r="B23" s="13">
        <f t="shared" si="3"/>
        <v>-58.883501428966142</v>
      </c>
      <c r="C23" s="5">
        <f t="shared" si="4"/>
        <v>-19396.814205715738</v>
      </c>
      <c r="K23" s="5">
        <f t="shared" si="5"/>
        <v>33855.677887082187</v>
      </c>
      <c r="L23" s="13">
        <f t="shared" si="6"/>
        <v>-2.7767156039045178</v>
      </c>
      <c r="M23" s="5">
        <f t="shared" si="7"/>
        <v>-914.67788708218723</v>
      </c>
    </row>
    <row r="24" spans="1:13">
      <c r="A24" s="12"/>
      <c r="B24" s="12"/>
    </row>
    <row r="25" spans="1:13">
      <c r="A25" s="11"/>
    </row>
    <row r="26" spans="1:13">
      <c r="A26" s="11"/>
    </row>
    <row r="27" spans="1:13">
      <c r="A27" s="1" t="s">
        <v>10</v>
      </c>
      <c r="B27" s="1" t="s">
        <v>14</v>
      </c>
      <c r="C27" s="1" t="s">
        <v>19</v>
      </c>
      <c r="K27" s="1" t="s">
        <v>12</v>
      </c>
      <c r="L27" s="1" t="s">
        <v>16</v>
      </c>
      <c r="M27" s="1" t="s">
        <v>22</v>
      </c>
    </row>
    <row r="28" spans="1:13">
      <c r="A28" s="5">
        <f>-0.0000000000074783*C2^3+0.00000932998*C2^2-3.72303*C2+514325</f>
        <v>41755.319087647367</v>
      </c>
      <c r="B28" s="13">
        <f>(B2-A28)/B2*100</f>
        <v>-2.9511744837139808E-2</v>
      </c>
      <c r="C28" s="5">
        <f>B2-A28</f>
        <v>-12.319087647367269</v>
      </c>
      <c r="K28" s="5">
        <f>0.0491789*C2+19666.6</f>
        <v>32993.2458587</v>
      </c>
      <c r="L28" s="13">
        <f>(B2-K28)/B2*100</f>
        <v>20.961009369954244</v>
      </c>
      <c r="M28" s="5">
        <f>B2-K28</f>
        <v>8749.7541412999999</v>
      </c>
    </row>
    <row r="29" spans="1:13">
      <c r="A29" s="5">
        <f t="shared" ref="A29:A37" si="8">-0.0000000000074783*C3^3+0.00000932998*C3^2-3.72303*C3+514325</f>
        <v>38454.4604702004</v>
      </c>
      <c r="B29" s="13">
        <f t="shared" ref="B29:B37" si="9">(B3-A29)/B3*100</f>
        <v>7.7056030956428661</v>
      </c>
      <c r="C29" s="5">
        <f t="shared" ref="C29:C37" si="10">B3-A29</f>
        <v>3210.5395297996001</v>
      </c>
      <c r="K29" s="5">
        <f t="shared" ref="K29:K37" si="11">0.0491789*C3+19666.6</f>
        <v>39059.758247099999</v>
      </c>
      <c r="L29" s="13">
        <f t="shared" ref="L29:L37" si="12">(B3-K29)/B3*100</f>
        <v>6.2528303201728104</v>
      </c>
      <c r="M29" s="5">
        <f t="shared" ref="M29:M37" si="13">B3-K29</f>
        <v>2605.2417529000013</v>
      </c>
    </row>
    <row r="30" spans="1:13">
      <c r="A30" s="5">
        <f t="shared" si="8"/>
        <v>45486.984077815665</v>
      </c>
      <c r="B30" s="13">
        <f t="shared" si="9"/>
        <v>-0.55927859091759502</v>
      </c>
      <c r="C30" s="5">
        <f t="shared" si="10"/>
        <v>-252.98407781566493</v>
      </c>
      <c r="K30" s="5">
        <f t="shared" si="11"/>
        <v>41319.872954399994</v>
      </c>
      <c r="L30" s="13">
        <f t="shared" si="12"/>
        <v>8.6530641676615065</v>
      </c>
      <c r="M30" s="5">
        <f t="shared" si="13"/>
        <v>3914.1270456000057</v>
      </c>
    </row>
    <row r="31" spans="1:13">
      <c r="A31" s="5">
        <f t="shared" si="8"/>
        <v>44722.456887172535</v>
      </c>
      <c r="B31" s="13">
        <f t="shared" si="9"/>
        <v>0.67415074141044051</v>
      </c>
      <c r="C31" s="5">
        <f t="shared" si="10"/>
        <v>303.54311282746494</v>
      </c>
      <c r="K31" s="5">
        <f t="shared" si="11"/>
        <v>41062.864023000002</v>
      </c>
      <c r="L31" s="13">
        <f t="shared" si="12"/>
        <v>8.8018833052014358</v>
      </c>
      <c r="M31" s="5">
        <f t="shared" si="13"/>
        <v>3963.1359769999981</v>
      </c>
    </row>
    <row r="32" spans="1:13">
      <c r="A32" s="5">
        <f t="shared" si="8"/>
        <v>38622.224124904838</v>
      </c>
      <c r="B32" s="13">
        <f t="shared" si="9"/>
        <v>-8.6358689381886773</v>
      </c>
      <c r="C32" s="5">
        <f t="shared" si="10"/>
        <v>-3070.2241249048384</v>
      </c>
      <c r="K32" s="5">
        <f t="shared" si="11"/>
        <v>39115.822193100001</v>
      </c>
      <c r="L32" s="13">
        <f t="shared" si="12"/>
        <v>-10.024252343328085</v>
      </c>
      <c r="M32" s="5">
        <f t="shared" si="13"/>
        <v>-3563.8221931000007</v>
      </c>
    </row>
    <row r="33" spans="1:13">
      <c r="A33" s="5">
        <f t="shared" si="8"/>
        <v>34677.899917691248</v>
      </c>
      <c r="B33" s="13">
        <f t="shared" si="9"/>
        <v>-2.2283471425365473</v>
      </c>
      <c r="C33" s="5">
        <f t="shared" si="10"/>
        <v>-755.89991769124754</v>
      </c>
      <c r="K33" s="5">
        <f t="shared" si="11"/>
        <v>37577.014412099998</v>
      </c>
      <c r="L33" s="13">
        <f t="shared" si="12"/>
        <v>-10.774760957785501</v>
      </c>
      <c r="M33" s="5">
        <f t="shared" si="13"/>
        <v>-3655.0144120999976</v>
      </c>
    </row>
    <row r="34" spans="1:13">
      <c r="A34" s="5">
        <f t="shared" si="8"/>
        <v>34296.221729923622</v>
      </c>
      <c r="B34" s="13">
        <f t="shared" si="9"/>
        <v>1.3569324380935868</v>
      </c>
      <c r="C34" s="5">
        <f t="shared" si="10"/>
        <v>471.77827007637825</v>
      </c>
      <c r="K34" s="5">
        <f t="shared" si="11"/>
        <v>37373.364587199998</v>
      </c>
      <c r="L34" s="13">
        <f t="shared" si="12"/>
        <v>-7.4935704878048721</v>
      </c>
      <c r="M34" s="5">
        <f t="shared" si="13"/>
        <v>-2605.3645871999979</v>
      </c>
    </row>
    <row r="35" spans="1:13">
      <c r="A35" s="5">
        <f t="shared" si="8"/>
        <v>33086.797190680634</v>
      </c>
      <c r="B35" s="13">
        <f t="shared" si="9"/>
        <v>0.39197642568373353</v>
      </c>
      <c r="C35" s="5">
        <f t="shared" si="10"/>
        <v>130.20280931936577</v>
      </c>
      <c r="K35" s="5">
        <f t="shared" si="11"/>
        <v>36337.411058699996</v>
      </c>
      <c r="L35" s="13">
        <f t="shared" si="12"/>
        <v>-9.3940182999668718</v>
      </c>
      <c r="M35" s="5">
        <f t="shared" si="13"/>
        <v>-3120.4110586999959</v>
      </c>
    </row>
    <row r="36" spans="1:13">
      <c r="A36" s="5">
        <f t="shared" si="8"/>
        <v>33003.258329577511</v>
      </c>
      <c r="B36" s="13">
        <f t="shared" si="9"/>
        <v>0.25008060938913385</v>
      </c>
      <c r="C36" s="5">
        <f t="shared" si="10"/>
        <v>82.741670422488824</v>
      </c>
      <c r="K36" s="5">
        <f t="shared" si="11"/>
        <v>36022.1743097</v>
      </c>
      <c r="L36" s="13">
        <f t="shared" si="12"/>
        <v>-8.8743707601402413</v>
      </c>
      <c r="M36" s="5">
        <f t="shared" si="13"/>
        <v>-2936.1743096999999</v>
      </c>
    </row>
    <row r="37" spans="1:13">
      <c r="A37" s="5">
        <f t="shared" si="8"/>
        <v>33067.289441546658</v>
      </c>
      <c r="B37" s="13">
        <f t="shared" si="9"/>
        <v>-0.38338071566333154</v>
      </c>
      <c r="C37" s="5">
        <f t="shared" si="10"/>
        <v>-126.28944154665805</v>
      </c>
      <c r="K37" s="5">
        <f t="shared" si="11"/>
        <v>36295.559814799999</v>
      </c>
      <c r="L37" s="13">
        <f t="shared" si="12"/>
        <v>-10.183539706748427</v>
      </c>
      <c r="M37" s="5">
        <f t="shared" si="13"/>
        <v>-3354.559814799999</v>
      </c>
    </row>
    <row r="42" spans="1:13">
      <c r="A42" s="1" t="s">
        <v>50</v>
      </c>
      <c r="B42" s="1" t="s">
        <v>51</v>
      </c>
      <c r="C42" s="1" t="s">
        <v>52</v>
      </c>
    </row>
    <row r="43" spans="1:13">
      <c r="A43" s="5">
        <f>0.1018*B2</f>
        <v>4249.4373999999998</v>
      </c>
      <c r="B43" s="2">
        <f>(B2-A43)/B2*100</f>
        <v>89.82</v>
      </c>
      <c r="C43" s="5">
        <f>B2-A43</f>
        <v>37493.562599999997</v>
      </c>
    </row>
    <row r="44" spans="1:13">
      <c r="A44" s="5">
        <f t="shared" ref="A44:A52" si="14">0.1018*B3</f>
        <v>4241.4970000000003</v>
      </c>
      <c r="B44" s="2">
        <f>(B3-A44)/B3*100</f>
        <v>89.82</v>
      </c>
      <c r="C44" s="5">
        <f t="shared" ref="C44:C52" si="15">B3-A44</f>
        <v>37423.502999999997</v>
      </c>
    </row>
    <row r="45" spans="1:13">
      <c r="A45" s="5">
        <f t="shared" si="14"/>
        <v>4604.8212000000003</v>
      </c>
      <c r="B45" s="2">
        <f>(B4-A45)/B4*100</f>
        <v>89.82</v>
      </c>
      <c r="C45" s="5">
        <f t="shared" si="15"/>
        <v>40629.178800000002</v>
      </c>
    </row>
    <row r="46" spans="1:13">
      <c r="A46" s="5">
        <f t="shared" si="14"/>
        <v>4583.6468000000004</v>
      </c>
      <c r="B46" s="2">
        <f t="shared" ref="B46:B52" si="16">(B5-A46)/B5*100</f>
        <v>89.82</v>
      </c>
      <c r="C46" s="5">
        <f t="shared" si="15"/>
        <v>40442.353199999998</v>
      </c>
    </row>
    <row r="47" spans="1:13">
      <c r="A47" s="5">
        <f t="shared" si="14"/>
        <v>3619.1936000000001</v>
      </c>
      <c r="B47" s="2">
        <f t="shared" si="16"/>
        <v>89.82</v>
      </c>
      <c r="C47" s="5">
        <f t="shared" si="15"/>
        <v>31932.806400000001</v>
      </c>
    </row>
    <row r="48" spans="1:13">
      <c r="A48" s="5">
        <f t="shared" si="14"/>
        <v>3453.2595999999999</v>
      </c>
      <c r="B48" s="2">
        <f t="shared" si="16"/>
        <v>89.82</v>
      </c>
      <c r="C48" s="5">
        <f t="shared" si="15"/>
        <v>30468.740399999999</v>
      </c>
    </row>
    <row r="49" spans="1:3">
      <c r="A49" s="5">
        <f t="shared" si="14"/>
        <v>3539.3824</v>
      </c>
      <c r="B49" s="2">
        <f t="shared" si="16"/>
        <v>89.82</v>
      </c>
      <c r="C49" s="5">
        <f t="shared" si="15"/>
        <v>31228.617600000001</v>
      </c>
    </row>
    <row r="50" spans="1:3">
      <c r="A50" s="5">
        <f t="shared" si="14"/>
        <v>3381.4906000000001</v>
      </c>
      <c r="B50" s="2">
        <f t="shared" si="16"/>
        <v>89.82</v>
      </c>
      <c r="C50" s="5">
        <f t="shared" si="15"/>
        <v>29835.509399999999</v>
      </c>
    </row>
    <row r="51" spans="1:3">
      <c r="A51" s="5">
        <f t="shared" si="14"/>
        <v>3368.1548000000003</v>
      </c>
      <c r="B51" s="2">
        <f t="shared" si="16"/>
        <v>89.82</v>
      </c>
      <c r="C51" s="5">
        <f t="shared" si="15"/>
        <v>29717.8452</v>
      </c>
    </row>
    <row r="52" spans="1:3">
      <c r="A52" s="5">
        <f t="shared" si="14"/>
        <v>3353.3937999999998</v>
      </c>
      <c r="B52" s="2">
        <f t="shared" si="16"/>
        <v>89.820000000000007</v>
      </c>
      <c r="C52" s="5">
        <f t="shared" si="15"/>
        <v>29587.606200000002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E110-F3BB-CC4F-9F5E-AFA21FE364CA}">
  <dimension ref="A1:I16"/>
  <sheetViews>
    <sheetView tabSelected="1" topLeftCell="A8" workbookViewId="0">
      <selection activeCell="O25" sqref="O25"/>
    </sheetView>
  </sheetViews>
  <sheetFormatPr baseColWidth="10" defaultRowHeight="16"/>
  <cols>
    <col min="2" max="2" width="18.5" customWidth="1"/>
    <col min="5" max="5" width="18.6640625" customWidth="1"/>
    <col min="6" max="6" width="19.83203125" customWidth="1"/>
    <col min="7" max="7" width="14.6640625" customWidth="1"/>
    <col min="8" max="8" width="12.83203125" customWidth="1"/>
    <col min="9" max="9" width="14.1640625" customWidth="1"/>
  </cols>
  <sheetData>
    <row r="1" spans="1:9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3" t="s">
        <v>17</v>
      </c>
      <c r="I1" s="1" t="s">
        <v>4</v>
      </c>
    </row>
    <row r="2" spans="1:9">
      <c r="A2" s="2">
        <v>2004</v>
      </c>
      <c r="B2" s="2">
        <f t="shared" ref="B2:B11" si="0">F2+G2</f>
        <v>642643</v>
      </c>
      <c r="C2" s="2">
        <v>33095</v>
      </c>
      <c r="D2" s="2">
        <v>7904</v>
      </c>
      <c r="E2" s="2">
        <v>744</v>
      </c>
      <c r="F2" s="2">
        <v>600900</v>
      </c>
      <c r="G2" s="2">
        <f t="shared" ref="G2:G11" si="1">C2+D2+E2</f>
        <v>41743</v>
      </c>
      <c r="H2" s="4">
        <v>270983</v>
      </c>
      <c r="I2" s="2">
        <v>91646</v>
      </c>
    </row>
    <row r="3" spans="1:9">
      <c r="A3" s="2">
        <f>A2+1</f>
        <v>2005</v>
      </c>
      <c r="B3" s="2">
        <f t="shared" si="0"/>
        <v>655115</v>
      </c>
      <c r="C3" s="2">
        <v>32878</v>
      </c>
      <c r="D3" s="2">
        <v>8217</v>
      </c>
      <c r="E3" s="2">
        <v>570</v>
      </c>
      <c r="F3" s="2">
        <v>613450</v>
      </c>
      <c r="G3" s="2">
        <f t="shared" si="1"/>
        <v>41665</v>
      </c>
      <c r="H3" s="4">
        <v>394339</v>
      </c>
      <c r="I3" s="2">
        <v>91757</v>
      </c>
    </row>
    <row r="4" spans="1:9">
      <c r="A4" s="2">
        <f t="shared" ref="A4:A11" si="2">A3+1</f>
        <v>2006</v>
      </c>
      <c r="B4" s="2">
        <f t="shared" si="0"/>
        <v>657994</v>
      </c>
      <c r="C4" s="2">
        <v>33885</v>
      </c>
      <c r="D4" s="2">
        <v>10617</v>
      </c>
      <c r="E4" s="2">
        <v>732</v>
      </c>
      <c r="F4" s="2">
        <v>612760</v>
      </c>
      <c r="G4" s="2">
        <f t="shared" si="1"/>
        <v>45234</v>
      </c>
      <c r="H4" s="4">
        <v>440296</v>
      </c>
      <c r="I4" s="2">
        <v>97286</v>
      </c>
    </row>
    <row r="5" spans="1:9">
      <c r="A5" s="2">
        <f t="shared" si="2"/>
        <v>2007</v>
      </c>
      <c r="B5" s="2">
        <f t="shared" si="0"/>
        <v>583796</v>
      </c>
      <c r="C5" s="2">
        <v>32254</v>
      </c>
      <c r="D5" s="2">
        <v>11845</v>
      </c>
      <c r="E5" s="2">
        <v>927</v>
      </c>
      <c r="F5" s="2">
        <v>538770</v>
      </c>
      <c r="G5" s="2">
        <f t="shared" si="1"/>
        <v>45026</v>
      </c>
      <c r="H5" s="4">
        <v>435070</v>
      </c>
      <c r="I5" s="2">
        <v>98283</v>
      </c>
    </row>
    <row r="6" spans="1:9">
      <c r="A6" s="2">
        <f t="shared" si="2"/>
        <v>2008</v>
      </c>
      <c r="B6" s="2">
        <f t="shared" si="0"/>
        <v>502312</v>
      </c>
      <c r="C6" s="2">
        <v>25069</v>
      </c>
      <c r="D6" s="2">
        <v>9771</v>
      </c>
      <c r="E6" s="2">
        <v>712</v>
      </c>
      <c r="F6" s="2">
        <v>466760</v>
      </c>
      <c r="G6" s="2">
        <f t="shared" si="1"/>
        <v>35552</v>
      </c>
      <c r="H6" s="4">
        <v>395479</v>
      </c>
      <c r="I6" s="2">
        <v>86245</v>
      </c>
    </row>
    <row r="7" spans="1:9">
      <c r="A7" s="2">
        <f t="shared" si="2"/>
        <v>2009</v>
      </c>
      <c r="B7" s="2">
        <f t="shared" si="0"/>
        <v>494442</v>
      </c>
      <c r="C7" s="2">
        <v>24607</v>
      </c>
      <c r="D7" s="2">
        <v>8751</v>
      </c>
      <c r="E7" s="2">
        <v>564</v>
      </c>
      <c r="F7" s="2">
        <v>460520</v>
      </c>
      <c r="G7" s="2">
        <f t="shared" si="1"/>
        <v>33922</v>
      </c>
      <c r="H7" s="4">
        <v>364189</v>
      </c>
      <c r="I7" s="2">
        <v>78536</v>
      </c>
    </row>
    <row r="8" spans="1:9">
      <c r="A8" s="2">
        <f t="shared" si="2"/>
        <v>2010</v>
      </c>
      <c r="B8" s="2">
        <f t="shared" si="0"/>
        <v>465164</v>
      </c>
      <c r="C8" s="2">
        <v>25779</v>
      </c>
      <c r="D8" s="2">
        <v>8302</v>
      </c>
      <c r="E8" s="2">
        <v>687</v>
      </c>
      <c r="F8" s="2">
        <v>430396</v>
      </c>
      <c r="G8" s="2">
        <f t="shared" si="1"/>
        <v>34768</v>
      </c>
      <c r="H8" s="4">
        <v>360048</v>
      </c>
      <c r="I8" s="2">
        <v>78603</v>
      </c>
    </row>
    <row r="9" spans="1:9">
      <c r="A9" s="2">
        <f t="shared" si="2"/>
        <v>2011</v>
      </c>
      <c r="B9" s="2">
        <f t="shared" si="0"/>
        <v>451167</v>
      </c>
      <c r="C9" s="2">
        <v>24556</v>
      </c>
      <c r="D9" s="2">
        <v>7991</v>
      </c>
      <c r="E9" s="2">
        <v>670</v>
      </c>
      <c r="F9" s="2">
        <v>417950</v>
      </c>
      <c r="G9" s="2">
        <f t="shared" si="1"/>
        <v>33217</v>
      </c>
      <c r="H9" s="4">
        <v>338983</v>
      </c>
      <c r="I9" s="2">
        <v>76445</v>
      </c>
    </row>
    <row r="10" spans="1:9">
      <c r="A10" s="2">
        <f t="shared" si="2"/>
        <v>2012</v>
      </c>
      <c r="B10" s="2">
        <f t="shared" si="0"/>
        <v>441096</v>
      </c>
      <c r="C10" s="2">
        <v>24346</v>
      </c>
      <c r="D10" s="2">
        <v>8187</v>
      </c>
      <c r="E10" s="2">
        <v>553</v>
      </c>
      <c r="F10" s="2">
        <v>408010</v>
      </c>
      <c r="G10" s="2">
        <f t="shared" si="1"/>
        <v>33086</v>
      </c>
      <c r="H10" s="4">
        <v>332573</v>
      </c>
      <c r="I10" s="2">
        <v>73705</v>
      </c>
    </row>
    <row r="11" spans="1:9">
      <c r="A11" s="2">
        <f t="shared" si="2"/>
        <v>2013</v>
      </c>
      <c r="B11" s="2">
        <f t="shared" si="0"/>
        <v>423601</v>
      </c>
      <c r="C11" s="2">
        <v>24754</v>
      </c>
      <c r="D11" s="2">
        <v>7633</v>
      </c>
      <c r="E11" s="2">
        <v>554</v>
      </c>
      <c r="F11" s="2">
        <v>390660</v>
      </c>
      <c r="G11" s="2">
        <f t="shared" si="1"/>
        <v>32941</v>
      </c>
      <c r="H11" s="4">
        <v>338132</v>
      </c>
      <c r="I11" s="2">
        <v>74233</v>
      </c>
    </row>
    <row r="13" spans="1:9">
      <c r="A13" s="26"/>
      <c r="B13" s="2" t="s">
        <v>53</v>
      </c>
      <c r="C13" s="2" t="s">
        <v>54</v>
      </c>
      <c r="D13" s="2" t="s">
        <v>55</v>
      </c>
      <c r="E13" s="2" t="s">
        <v>56</v>
      </c>
    </row>
    <row r="14" spans="1:9">
      <c r="A14" s="26" t="s">
        <v>3</v>
      </c>
      <c r="B14" s="2">
        <f>SUM(E2:E11)</f>
        <v>6713</v>
      </c>
      <c r="C14" s="27">
        <f>B14/SUM(G2:G11)</f>
        <v>1.7799095329759197E-2</v>
      </c>
      <c r="D14" s="27">
        <f>0+C14</f>
        <v>1.7799095329759197E-2</v>
      </c>
      <c r="E14" s="2" t="s">
        <v>57</v>
      </c>
      <c r="F14" s="28">
        <f>C14*100</f>
        <v>1.7799095329759196</v>
      </c>
    </row>
    <row r="15" spans="1:9">
      <c r="A15" s="26" t="s">
        <v>2</v>
      </c>
      <c r="B15" s="2">
        <f>SUM(D2:D11)</f>
        <v>89218</v>
      </c>
      <c r="C15" s="27">
        <f>B15/SUM(G2:G11)</f>
        <v>0.23655588963659407</v>
      </c>
      <c r="D15" s="27">
        <f>D14+C15</f>
        <v>0.25435498496635328</v>
      </c>
      <c r="E15" s="2" t="s">
        <v>58</v>
      </c>
      <c r="F15" s="28">
        <f t="shared" ref="F15:F16" si="3">C15*100</f>
        <v>23.655588963659408</v>
      </c>
    </row>
    <row r="16" spans="1:9">
      <c r="A16" s="26" t="s">
        <v>1</v>
      </c>
      <c r="B16" s="2">
        <f>SUM(C2:C11)</f>
        <v>281223</v>
      </c>
      <c r="C16" s="27">
        <f>B16/SUM(G2:G11)</f>
        <v>0.74564501503364677</v>
      </c>
      <c r="D16" s="27">
        <f>D15+C16</f>
        <v>1</v>
      </c>
      <c r="E16" s="4" t="s">
        <v>59</v>
      </c>
      <c r="F16" s="28">
        <f t="shared" si="3"/>
        <v>74.564501503364681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3D0C-718B-5049-9774-97A72E6F4DA9}">
  <dimension ref="A1:P44"/>
  <sheetViews>
    <sheetView topLeftCell="A11" workbookViewId="0">
      <selection activeCell="G24" sqref="G24"/>
    </sheetView>
  </sheetViews>
  <sheetFormatPr baseColWidth="10" defaultRowHeight="16"/>
  <cols>
    <col min="1" max="1" width="16.83203125" customWidth="1"/>
    <col min="2" max="3" width="15.6640625" customWidth="1"/>
    <col min="4" max="5" width="15.1640625" customWidth="1"/>
    <col min="6" max="6" width="14.83203125" customWidth="1"/>
    <col min="7" max="7" width="19.5" customWidth="1"/>
    <col min="8" max="9" width="11" bestFit="1" customWidth="1"/>
    <col min="10" max="16" width="11.33203125" bestFit="1" customWidth="1"/>
  </cols>
  <sheetData>
    <row r="1" spans="1:7">
      <c r="A1" s="1" t="s">
        <v>0</v>
      </c>
      <c r="B1" s="1" t="s">
        <v>8</v>
      </c>
      <c r="C1" s="3" t="s">
        <v>47</v>
      </c>
      <c r="D1" s="1" t="s">
        <v>4</v>
      </c>
      <c r="E1" s="3" t="s">
        <v>17</v>
      </c>
      <c r="F1" s="3" t="s">
        <v>48</v>
      </c>
      <c r="G1" s="3" t="s">
        <v>49</v>
      </c>
    </row>
    <row r="2" spans="1:7">
      <c r="A2" s="2">
        <v>2004</v>
      </c>
      <c r="B2" s="2">
        <v>41743</v>
      </c>
      <c r="C2" s="5">
        <f t="shared" ref="C2:C11" si="0">$B$28+$B$29*D2+$B$30*E2</f>
        <v>41922.014856866437</v>
      </c>
      <c r="D2" s="2">
        <v>91646</v>
      </c>
      <c r="E2" s="4">
        <v>270983</v>
      </c>
      <c r="F2" s="13">
        <f t="shared" ref="F2:F11" si="1">(B2-C2)/B2*100</f>
        <v>-0.4288500032734523</v>
      </c>
      <c r="G2" s="5">
        <f t="shared" ref="G2:G11" si="2">B2-C2</f>
        <v>-179.01485686643719</v>
      </c>
    </row>
    <row r="3" spans="1:7">
      <c r="A3" s="2">
        <f>A2+1</f>
        <v>2005</v>
      </c>
      <c r="B3" s="2">
        <v>41665</v>
      </c>
      <c r="C3" s="5">
        <f t="shared" si="0"/>
        <v>41373.847332673598</v>
      </c>
      <c r="D3" s="2">
        <v>91757</v>
      </c>
      <c r="E3" s="4">
        <v>394339</v>
      </c>
      <c r="F3" s="13">
        <f t="shared" si="1"/>
        <v>0.69879435335749807</v>
      </c>
      <c r="G3" s="5">
        <f t="shared" si="2"/>
        <v>291.15266732640157</v>
      </c>
    </row>
    <row r="4" spans="1:7">
      <c r="A4" s="2">
        <f t="shared" ref="A4:A11" si="3">A3+1</f>
        <v>2006</v>
      </c>
      <c r="B4" s="2">
        <v>45234</v>
      </c>
      <c r="C4" s="5">
        <f t="shared" si="0"/>
        <v>44108.308826691406</v>
      </c>
      <c r="D4" s="2">
        <v>97286</v>
      </c>
      <c r="E4" s="4">
        <v>440296</v>
      </c>
      <c r="F4" s="13">
        <f t="shared" si="1"/>
        <v>2.4885952454096354</v>
      </c>
      <c r="G4" s="5">
        <f t="shared" si="2"/>
        <v>1125.6911733085944</v>
      </c>
    </row>
    <row r="5" spans="1:7">
      <c r="A5" s="2">
        <f t="shared" si="3"/>
        <v>2007</v>
      </c>
      <c r="B5" s="2">
        <v>45026</v>
      </c>
      <c r="C5" s="5">
        <f t="shared" si="0"/>
        <v>44667.952866639287</v>
      </c>
      <c r="D5" s="2">
        <v>98283</v>
      </c>
      <c r="E5" s="4">
        <v>435070</v>
      </c>
      <c r="F5" s="13">
        <f t="shared" si="1"/>
        <v>0.79520084697888538</v>
      </c>
      <c r="G5" s="5">
        <f t="shared" si="2"/>
        <v>358.04713336071291</v>
      </c>
    </row>
    <row r="6" spans="1:7">
      <c r="A6" s="2">
        <f t="shared" si="3"/>
        <v>2008</v>
      </c>
      <c r="B6" s="2">
        <v>35552</v>
      </c>
      <c r="C6" s="5">
        <f t="shared" si="0"/>
        <v>38416.505944290671</v>
      </c>
      <c r="D6" s="2">
        <v>86245</v>
      </c>
      <c r="E6" s="4">
        <v>395479</v>
      </c>
      <c r="F6" s="13">
        <f t="shared" si="1"/>
        <v>-8.0572286911866318</v>
      </c>
      <c r="G6" s="5">
        <f t="shared" si="2"/>
        <v>-2864.5059442906713</v>
      </c>
    </row>
    <row r="7" spans="1:7">
      <c r="A7" s="2">
        <f t="shared" si="3"/>
        <v>2009</v>
      </c>
      <c r="B7" s="2">
        <v>33922</v>
      </c>
      <c r="C7" s="5">
        <f t="shared" si="0"/>
        <v>34442.390044717809</v>
      </c>
      <c r="D7" s="2">
        <v>78536</v>
      </c>
      <c r="E7" s="4">
        <v>364189</v>
      </c>
      <c r="F7" s="13">
        <f t="shared" si="1"/>
        <v>-1.5340783111780241</v>
      </c>
      <c r="G7" s="5">
        <f t="shared" si="2"/>
        <v>-520.39004471780936</v>
      </c>
    </row>
    <row r="8" spans="1:7">
      <c r="A8" s="2">
        <f t="shared" si="3"/>
        <v>2010</v>
      </c>
      <c r="B8" s="2">
        <v>34768</v>
      </c>
      <c r="C8" s="5">
        <f t="shared" si="0"/>
        <v>34498.666289410998</v>
      </c>
      <c r="D8" s="2">
        <v>78603</v>
      </c>
      <c r="E8" s="4">
        <v>360048</v>
      </c>
      <c r="F8" s="13">
        <f t="shared" si="1"/>
        <v>0.77465977504890215</v>
      </c>
      <c r="G8" s="5">
        <f t="shared" si="2"/>
        <v>269.33371058900229</v>
      </c>
    </row>
    <row r="9" spans="1:7">
      <c r="A9" s="2">
        <f t="shared" si="3"/>
        <v>2011</v>
      </c>
      <c r="B9" s="2">
        <v>33217</v>
      </c>
      <c r="C9" s="5">
        <f t="shared" si="0"/>
        <v>33446.796569843762</v>
      </c>
      <c r="D9" s="2">
        <v>76445</v>
      </c>
      <c r="E9" s="4">
        <v>338983</v>
      </c>
      <c r="F9" s="13">
        <f t="shared" si="1"/>
        <v>-0.69180410586073993</v>
      </c>
      <c r="G9" s="5">
        <f t="shared" si="2"/>
        <v>-229.79656984376197</v>
      </c>
    </row>
    <row r="10" spans="1:7">
      <c r="A10" s="2">
        <f t="shared" si="3"/>
        <v>2012</v>
      </c>
      <c r="B10" s="2">
        <v>33086</v>
      </c>
      <c r="C10" s="5">
        <f t="shared" si="0"/>
        <v>32011.07508946889</v>
      </c>
      <c r="D10" s="2">
        <v>73705</v>
      </c>
      <c r="E10" s="4">
        <v>332573</v>
      </c>
      <c r="F10" s="13">
        <f t="shared" si="1"/>
        <v>3.2488814318174151</v>
      </c>
      <c r="G10" s="5">
        <f t="shared" si="2"/>
        <v>1074.9249105311101</v>
      </c>
    </row>
    <row r="11" spans="1:7">
      <c r="A11" s="2">
        <f t="shared" si="3"/>
        <v>2013</v>
      </c>
      <c r="B11" s="2">
        <v>32941</v>
      </c>
      <c r="C11" s="5">
        <f t="shared" si="0"/>
        <v>32266.442179397178</v>
      </c>
      <c r="D11" s="2">
        <v>74233</v>
      </c>
      <c r="E11" s="4">
        <v>338132</v>
      </c>
      <c r="F11" s="13">
        <f t="shared" si="1"/>
        <v>2.0477757827716894</v>
      </c>
      <c r="G11" s="5">
        <f t="shared" si="2"/>
        <v>674.55782060282218</v>
      </c>
    </row>
    <row r="12" spans="1:7">
      <c r="A12" t="s">
        <v>23</v>
      </c>
    </row>
    <row r="13" spans="1:7" ht="17" thickBot="1"/>
    <row r="14" spans="1:7">
      <c r="A14" s="17" t="s">
        <v>24</v>
      </c>
      <c r="B14" s="17"/>
    </row>
    <row r="15" spans="1:7">
      <c r="A15" s="14" t="s">
        <v>25</v>
      </c>
      <c r="B15" s="14">
        <v>0.97462787872462309</v>
      </c>
    </row>
    <row r="16" spans="1:7">
      <c r="A16" s="14" t="s">
        <v>26</v>
      </c>
      <c r="B16" s="14">
        <v>0.94989950198725859</v>
      </c>
    </row>
    <row r="17" spans="1:7">
      <c r="A17" s="14" t="s">
        <v>27</v>
      </c>
      <c r="B17" s="14">
        <v>0.93558507398361812</v>
      </c>
    </row>
    <row r="18" spans="1:7">
      <c r="A18" s="14" t="s">
        <v>28</v>
      </c>
      <c r="B18" s="14">
        <v>1294.1756114745808</v>
      </c>
    </row>
    <row r="19" spans="1:7" ht="17" thickBot="1">
      <c r="A19" s="15" t="s">
        <v>29</v>
      </c>
      <c r="B19" s="15">
        <v>10</v>
      </c>
    </row>
    <row r="21" spans="1:7" ht="17" thickBot="1">
      <c r="A21" t="s">
        <v>30</v>
      </c>
    </row>
    <row r="22" spans="1:7">
      <c r="A22" s="16"/>
      <c r="B22" s="16" t="s">
        <v>35</v>
      </c>
      <c r="C22" s="16" t="s">
        <v>36</v>
      </c>
      <c r="D22" s="16" t="s">
        <v>37</v>
      </c>
      <c r="E22" s="16" t="s">
        <v>38</v>
      </c>
      <c r="F22" s="16" t="s">
        <v>39</v>
      </c>
    </row>
    <row r="23" spans="1:7">
      <c r="A23" s="14" t="s">
        <v>31</v>
      </c>
      <c r="B23" s="14">
        <v>2</v>
      </c>
      <c r="C23" s="14">
        <v>222290078.80665076</v>
      </c>
      <c r="D23" s="14">
        <v>111145039.40332538</v>
      </c>
      <c r="E23" s="14">
        <v>66.35958501070975</v>
      </c>
      <c r="F23" s="14">
        <v>2.8147974578897296E-5</v>
      </c>
    </row>
    <row r="24" spans="1:7">
      <c r="A24" s="14" t="s">
        <v>32</v>
      </c>
      <c r="B24" s="14">
        <v>7</v>
      </c>
      <c r="C24" s="14">
        <v>11724233.593349235</v>
      </c>
      <c r="D24" s="14">
        <v>1674890.5133356049</v>
      </c>
      <c r="E24" s="14"/>
      <c r="F24" s="14"/>
    </row>
    <row r="25" spans="1:7" ht="17" thickBot="1">
      <c r="A25" s="15" t="s">
        <v>33</v>
      </c>
      <c r="B25" s="15">
        <v>9</v>
      </c>
      <c r="C25" s="15">
        <v>234014312.40000001</v>
      </c>
      <c r="D25" s="15"/>
      <c r="E25" s="15"/>
      <c r="F25" s="15"/>
    </row>
    <row r="26" spans="1:7" ht="17" thickBot="1"/>
    <row r="27" spans="1:7">
      <c r="A27" s="16"/>
      <c r="B27" s="16" t="s">
        <v>40</v>
      </c>
      <c r="C27" s="16" t="s">
        <v>28</v>
      </c>
      <c r="D27" s="25"/>
      <c r="E27" s="25"/>
      <c r="F27" s="25"/>
      <c r="G27" s="25"/>
    </row>
    <row r="28" spans="1:7">
      <c r="A28" s="14" t="s">
        <v>34</v>
      </c>
      <c r="B28" s="14">
        <v>-5820.4832125808389</v>
      </c>
      <c r="C28" s="14">
        <v>4037.1752188850342</v>
      </c>
      <c r="D28" s="14"/>
      <c r="E28" s="14"/>
      <c r="F28" s="14"/>
      <c r="G28" s="14"/>
    </row>
    <row r="29" spans="1:7">
      <c r="A29" s="14" t="s">
        <v>4</v>
      </c>
      <c r="B29" s="14">
        <v>0.53550909692969817</v>
      </c>
      <c r="C29" s="14">
        <v>5.3935803984510672E-2</v>
      </c>
      <c r="D29" s="14"/>
      <c r="E29" s="14"/>
      <c r="F29" s="14"/>
      <c r="G29" s="14"/>
    </row>
    <row r="30" spans="1:7" ht="17" thickBot="1">
      <c r="A30" s="15" t="s">
        <v>17</v>
      </c>
      <c r="B30" s="15">
        <v>-4.9256544793283867E-3</v>
      </c>
      <c r="C30" s="15">
        <v>1.0026725747757783E-2</v>
      </c>
      <c r="D30" s="14"/>
      <c r="E30" s="14"/>
      <c r="F30" s="14"/>
      <c r="G30" s="14"/>
    </row>
    <row r="32" spans="1:7">
      <c r="A32" s="1" t="s">
        <v>42</v>
      </c>
      <c r="B32" s="1" t="s">
        <v>43</v>
      </c>
      <c r="C32" s="1" t="s">
        <v>41</v>
      </c>
      <c r="F32" s="20"/>
    </row>
    <row r="33" spans="1:16">
      <c r="A33" s="2">
        <v>73000</v>
      </c>
      <c r="B33" s="2">
        <f>270000</f>
        <v>270000</v>
      </c>
      <c r="C33" s="5">
        <f>$B$28+$B$29*A33+$B$30*B33</f>
        <v>31941.75415386846</v>
      </c>
      <c r="D33" s="11" t="s">
        <v>44</v>
      </c>
      <c r="E33" s="19"/>
      <c r="F33" s="21">
        <f>270000</f>
        <v>270000</v>
      </c>
      <c r="G33" s="21">
        <f t="shared" ref="G33:P33" si="4">F33+17000</f>
        <v>287000</v>
      </c>
      <c r="H33" s="21">
        <f t="shared" si="4"/>
        <v>304000</v>
      </c>
      <c r="I33" s="21">
        <f t="shared" si="4"/>
        <v>321000</v>
      </c>
      <c r="J33" s="21">
        <f t="shared" si="4"/>
        <v>338000</v>
      </c>
      <c r="K33" s="21">
        <f t="shared" si="4"/>
        <v>355000</v>
      </c>
      <c r="L33" s="21">
        <f t="shared" si="4"/>
        <v>372000</v>
      </c>
      <c r="M33" s="21">
        <f t="shared" si="4"/>
        <v>389000</v>
      </c>
      <c r="N33" s="21">
        <f t="shared" si="4"/>
        <v>406000</v>
      </c>
      <c r="O33" s="21">
        <f t="shared" si="4"/>
        <v>423000</v>
      </c>
      <c r="P33" s="21">
        <f t="shared" si="4"/>
        <v>440000</v>
      </c>
    </row>
    <row r="34" spans="1:16">
      <c r="A34" s="2">
        <f>A33+2500</f>
        <v>75500</v>
      </c>
      <c r="B34" s="2">
        <f>B33+17000</f>
        <v>287000</v>
      </c>
      <c r="C34" s="5">
        <f t="shared" ref="C34:C43" si="5">$B$28+$B$29*A34+$B$30*B34</f>
        <v>33196.790770044128</v>
      </c>
      <c r="D34" s="11" t="s">
        <v>45</v>
      </c>
      <c r="E34" s="22">
        <v>73000</v>
      </c>
      <c r="F34" s="23">
        <f>$B$28+$B$29*$E$34+$B$30*F33</f>
        <v>31941.75415386846</v>
      </c>
      <c r="G34" s="23">
        <f t="shared" ref="G34:P34" si="6">$B$28+$B$29*$E$34+$B$30*G33</f>
        <v>31858.018027719878</v>
      </c>
      <c r="H34" s="23">
        <f t="shared" si="6"/>
        <v>31774.281901571296</v>
      </c>
      <c r="I34" s="23">
        <f t="shared" si="6"/>
        <v>31690.545775422714</v>
      </c>
      <c r="J34" s="23">
        <f t="shared" si="6"/>
        <v>31606.809649274132</v>
      </c>
      <c r="K34" s="23">
        <f t="shared" si="6"/>
        <v>31523.073523125549</v>
      </c>
      <c r="L34" s="23">
        <f t="shared" si="6"/>
        <v>31439.337396976967</v>
      </c>
      <c r="M34" s="23">
        <f t="shared" si="6"/>
        <v>31355.601270828382</v>
      </c>
      <c r="N34" s="23">
        <f t="shared" si="6"/>
        <v>31271.865144679799</v>
      </c>
      <c r="O34" s="23">
        <f t="shared" si="6"/>
        <v>31188.129018531217</v>
      </c>
      <c r="P34" s="23">
        <f t="shared" si="6"/>
        <v>31104.392892382635</v>
      </c>
    </row>
    <row r="35" spans="1:16">
      <c r="A35" s="2">
        <f t="shared" ref="A35:A42" si="7">A34+2500</f>
        <v>78000</v>
      </c>
      <c r="B35" s="2">
        <f>B34+17000</f>
        <v>304000</v>
      </c>
      <c r="C35" s="5">
        <f t="shared" si="5"/>
        <v>34451.827386219789</v>
      </c>
      <c r="D35" s="11" t="s">
        <v>46</v>
      </c>
      <c r="E35" s="22">
        <f>E34+2500</f>
        <v>75500</v>
      </c>
      <c r="F35" s="23">
        <f>$B$28+$B$29*$E$35+$B$30*F33</f>
        <v>33280.526896192707</v>
      </c>
      <c r="G35" s="23">
        <f t="shared" ref="G35:P35" si="8">$B$28+$B$29*$E$35+$B$30*G33</f>
        <v>33196.790770044128</v>
      </c>
      <c r="H35" s="23">
        <f t="shared" si="8"/>
        <v>33113.054643895543</v>
      </c>
      <c r="I35" s="23">
        <f t="shared" si="8"/>
        <v>33029.318517746957</v>
      </c>
      <c r="J35" s="23">
        <f t="shared" si="8"/>
        <v>32945.582391598378</v>
      </c>
      <c r="K35" s="23">
        <f t="shared" si="8"/>
        <v>32861.846265449793</v>
      </c>
      <c r="L35" s="23">
        <f t="shared" si="8"/>
        <v>32778.110139301214</v>
      </c>
      <c r="M35" s="23">
        <f t="shared" si="8"/>
        <v>32694.374013152628</v>
      </c>
      <c r="N35" s="23">
        <f t="shared" si="8"/>
        <v>32610.637887004046</v>
      </c>
      <c r="O35" s="23">
        <f t="shared" si="8"/>
        <v>32526.901760855464</v>
      </c>
      <c r="P35" s="23">
        <f t="shared" si="8"/>
        <v>32443.165634706882</v>
      </c>
    </row>
    <row r="36" spans="1:16">
      <c r="A36" s="2">
        <f t="shared" si="7"/>
        <v>80500</v>
      </c>
      <c r="B36" s="2">
        <f t="shared" ref="B36:B42" si="9">B35+17000</f>
        <v>321000</v>
      </c>
      <c r="C36" s="5">
        <f t="shared" si="5"/>
        <v>35706.86400239545</v>
      </c>
      <c r="E36" s="22">
        <f t="shared" ref="E36:E44" si="10">E35+2500</f>
        <v>78000</v>
      </c>
      <c r="F36" s="23">
        <f t="shared" ref="F36:P36" si="11">$B$28+$B$29*$E$36+$B$30*F33</f>
        <v>34619.299638516954</v>
      </c>
      <c r="G36" s="23">
        <f t="shared" si="11"/>
        <v>34535.563512368375</v>
      </c>
      <c r="H36" s="23">
        <f t="shared" si="11"/>
        <v>34451.827386219789</v>
      </c>
      <c r="I36" s="23">
        <f t="shared" si="11"/>
        <v>34368.091260071204</v>
      </c>
      <c r="J36" s="23">
        <f t="shared" si="11"/>
        <v>34284.355133922625</v>
      </c>
      <c r="K36" s="23">
        <f t="shared" si="11"/>
        <v>34200.619007774039</v>
      </c>
      <c r="L36" s="23">
        <f t="shared" si="11"/>
        <v>34116.882881625461</v>
      </c>
      <c r="M36" s="23">
        <f t="shared" si="11"/>
        <v>34033.146755476875</v>
      </c>
      <c r="N36" s="23">
        <f t="shared" si="11"/>
        <v>33949.410629328297</v>
      </c>
      <c r="O36" s="23">
        <f t="shared" si="11"/>
        <v>33865.674503179711</v>
      </c>
      <c r="P36" s="23">
        <f t="shared" si="11"/>
        <v>33781.938377031125</v>
      </c>
    </row>
    <row r="37" spans="1:16">
      <c r="A37" s="2">
        <f t="shared" si="7"/>
        <v>83000</v>
      </c>
      <c r="B37" s="2">
        <f t="shared" si="9"/>
        <v>338000</v>
      </c>
      <c r="C37" s="5">
        <f t="shared" si="5"/>
        <v>36961.900618571119</v>
      </c>
      <c r="E37" s="22">
        <f t="shared" si="10"/>
        <v>80500</v>
      </c>
      <c r="F37" s="23">
        <f>$B$28+$B$29*$E$37+$B$30*F33</f>
        <v>35958.0723808412</v>
      </c>
      <c r="G37" s="23">
        <f t="shared" ref="G37:P37" si="12">$B$28+$B$29*$E$37+$B$30*G33</f>
        <v>35874.336254692622</v>
      </c>
      <c r="H37" s="23">
        <f t="shared" si="12"/>
        <v>35790.600128544036</v>
      </c>
      <c r="I37" s="23">
        <f t="shared" si="12"/>
        <v>35706.86400239545</v>
      </c>
      <c r="J37" s="23">
        <f t="shared" si="12"/>
        <v>35623.127876246872</v>
      </c>
      <c r="K37" s="23">
        <f t="shared" si="12"/>
        <v>35539.391750098286</v>
      </c>
      <c r="L37" s="23">
        <f t="shared" si="12"/>
        <v>35455.655623949708</v>
      </c>
      <c r="M37" s="23">
        <f t="shared" si="12"/>
        <v>35371.919497801122</v>
      </c>
      <c r="N37" s="23">
        <f t="shared" si="12"/>
        <v>35288.183371652543</v>
      </c>
      <c r="O37" s="23">
        <f t="shared" si="12"/>
        <v>35204.447245503958</v>
      </c>
      <c r="P37" s="23">
        <f t="shared" si="12"/>
        <v>35120.711119355372</v>
      </c>
    </row>
    <row r="38" spans="1:16">
      <c r="A38" s="2">
        <f t="shared" si="7"/>
        <v>85500</v>
      </c>
      <c r="B38" s="2">
        <f t="shared" si="9"/>
        <v>355000</v>
      </c>
      <c r="C38" s="5">
        <f t="shared" si="5"/>
        <v>38216.937234746772</v>
      </c>
      <c r="E38" s="22">
        <f t="shared" si="10"/>
        <v>83000</v>
      </c>
      <c r="F38" s="23">
        <f>$B$28+$B$29*$E$38+$B$30*F33</f>
        <v>37296.845123165447</v>
      </c>
      <c r="G38" s="23">
        <f t="shared" ref="G38:P38" si="13">$B$28+$B$29*$E$38+$B$30*G33</f>
        <v>37213.108997016869</v>
      </c>
      <c r="H38" s="23">
        <f t="shared" si="13"/>
        <v>37129.372870868283</v>
      </c>
      <c r="I38" s="23">
        <f t="shared" si="13"/>
        <v>37045.636744719697</v>
      </c>
      <c r="J38" s="23">
        <f t="shared" si="13"/>
        <v>36961.900618571119</v>
      </c>
      <c r="K38" s="23">
        <f t="shared" si="13"/>
        <v>36878.164492422533</v>
      </c>
      <c r="L38" s="23">
        <f t="shared" si="13"/>
        <v>36794.428366273954</v>
      </c>
      <c r="M38" s="23">
        <f t="shared" si="13"/>
        <v>36710.692240125369</v>
      </c>
      <c r="N38" s="23">
        <f t="shared" si="13"/>
        <v>36626.95611397679</v>
      </c>
      <c r="O38" s="23">
        <f t="shared" si="13"/>
        <v>36543.219987828204</v>
      </c>
      <c r="P38" s="23">
        <f t="shared" si="13"/>
        <v>36459.483861679619</v>
      </c>
    </row>
    <row r="39" spans="1:16">
      <c r="A39" s="2">
        <f t="shared" si="7"/>
        <v>88000</v>
      </c>
      <c r="B39" s="2">
        <f t="shared" si="9"/>
        <v>372000</v>
      </c>
      <c r="C39" s="5">
        <f t="shared" si="5"/>
        <v>39471.973850922441</v>
      </c>
      <c r="E39" s="22">
        <f t="shared" si="10"/>
        <v>85500</v>
      </c>
      <c r="F39" s="23">
        <f>$B$28+$B$29*$E$39+$B$30*F33</f>
        <v>38635.617865489687</v>
      </c>
      <c r="G39" s="23">
        <f t="shared" ref="G39:P39" si="14">$B$28+$B$29*$E$39+$B$30*G33</f>
        <v>38551.881739341108</v>
      </c>
      <c r="H39" s="23">
        <f t="shared" si="14"/>
        <v>38468.145613192522</v>
      </c>
      <c r="I39" s="23">
        <f t="shared" si="14"/>
        <v>38384.409487043937</v>
      </c>
      <c r="J39" s="23">
        <f t="shared" si="14"/>
        <v>38300.673360895358</v>
      </c>
      <c r="K39" s="23">
        <f t="shared" si="14"/>
        <v>38216.937234746772</v>
      </c>
      <c r="L39" s="23">
        <f t="shared" si="14"/>
        <v>38133.201108598194</v>
      </c>
      <c r="M39" s="23">
        <f t="shared" si="14"/>
        <v>38049.464982449608</v>
      </c>
      <c r="N39" s="23">
        <f t="shared" si="14"/>
        <v>37965.72885630103</v>
      </c>
      <c r="O39" s="23">
        <f t="shared" si="14"/>
        <v>37881.992730152444</v>
      </c>
      <c r="P39" s="23">
        <f t="shared" si="14"/>
        <v>37798.256604003866</v>
      </c>
    </row>
    <row r="40" spans="1:16">
      <c r="A40" s="2">
        <f t="shared" si="7"/>
        <v>90500</v>
      </c>
      <c r="B40" s="2">
        <f t="shared" si="9"/>
        <v>389000</v>
      </c>
      <c r="C40" s="5">
        <f t="shared" si="5"/>
        <v>40727.010467098102</v>
      </c>
      <c r="E40" s="22">
        <f t="shared" si="10"/>
        <v>88000</v>
      </c>
      <c r="F40" s="23">
        <f>$B$28+$B$29*$E$40+$B$30*F33</f>
        <v>39974.390607813933</v>
      </c>
      <c r="G40" s="23">
        <f t="shared" ref="G40:P40" si="15">$B$28+$B$29*$E$40+$B$30*G33</f>
        <v>39890.654481665355</v>
      </c>
      <c r="H40" s="23">
        <f t="shared" si="15"/>
        <v>39806.918355516769</v>
      </c>
      <c r="I40" s="23">
        <f t="shared" si="15"/>
        <v>39723.182229368183</v>
      </c>
      <c r="J40" s="23">
        <f t="shared" si="15"/>
        <v>39639.446103219605</v>
      </c>
      <c r="K40" s="23">
        <f t="shared" si="15"/>
        <v>39555.709977071019</v>
      </c>
      <c r="L40" s="23">
        <f t="shared" si="15"/>
        <v>39471.973850922441</v>
      </c>
      <c r="M40" s="23">
        <f t="shared" si="15"/>
        <v>39388.237724773855</v>
      </c>
      <c r="N40" s="23">
        <f t="shared" si="15"/>
        <v>39304.501598625277</v>
      </c>
      <c r="O40" s="23">
        <f t="shared" si="15"/>
        <v>39220.765472476691</v>
      </c>
      <c r="P40" s="23">
        <f t="shared" si="15"/>
        <v>39137.029346328112</v>
      </c>
    </row>
    <row r="41" spans="1:16">
      <c r="A41" s="2">
        <f t="shared" si="7"/>
        <v>93000</v>
      </c>
      <c r="B41" s="2">
        <f t="shared" si="9"/>
        <v>406000</v>
      </c>
      <c r="C41" s="5">
        <f t="shared" si="5"/>
        <v>41982.04708327377</v>
      </c>
      <c r="E41" s="22">
        <f t="shared" si="10"/>
        <v>90500</v>
      </c>
      <c r="F41" s="23">
        <f>$B$28+$B$29*$E$41+$B$30*F33</f>
        <v>41313.16335013818</v>
      </c>
      <c r="G41" s="23">
        <f t="shared" ref="G41:P41" si="16">$B$28+$B$29*$E$41+$B$30*G33</f>
        <v>41229.427223989602</v>
      </c>
      <c r="H41" s="23">
        <f t="shared" si="16"/>
        <v>41145.691097841016</v>
      </c>
      <c r="I41" s="23">
        <f t="shared" si="16"/>
        <v>41061.95497169243</v>
      </c>
      <c r="J41" s="23">
        <f t="shared" si="16"/>
        <v>40978.218845543852</v>
      </c>
      <c r="K41" s="23">
        <f t="shared" si="16"/>
        <v>40894.482719395266</v>
      </c>
      <c r="L41" s="23">
        <f t="shared" si="16"/>
        <v>40810.746593246688</v>
      </c>
      <c r="M41" s="23">
        <f t="shared" si="16"/>
        <v>40727.010467098102</v>
      </c>
      <c r="N41" s="23">
        <f t="shared" si="16"/>
        <v>40643.274340949523</v>
      </c>
      <c r="O41" s="23">
        <f t="shared" si="16"/>
        <v>40559.538214800938</v>
      </c>
      <c r="P41" s="23">
        <f t="shared" si="16"/>
        <v>40475.802088652359</v>
      </c>
    </row>
    <row r="42" spans="1:16">
      <c r="A42" s="2">
        <f t="shared" si="7"/>
        <v>95500</v>
      </c>
      <c r="B42" s="2">
        <f t="shared" si="9"/>
        <v>423000</v>
      </c>
      <c r="C42" s="5">
        <f t="shared" si="5"/>
        <v>43237.083699449431</v>
      </c>
      <c r="E42" s="22">
        <f t="shared" si="10"/>
        <v>93000</v>
      </c>
      <c r="F42" s="23">
        <f>$B$28+$B$29*$E$42+$B$30*F33</f>
        <v>42651.936092462427</v>
      </c>
      <c r="G42" s="23">
        <f t="shared" ref="G42:P42" si="17">$B$28+$B$29*$E$42+$B$30*G33</f>
        <v>42568.199966313849</v>
      </c>
      <c r="H42" s="23">
        <f t="shared" si="17"/>
        <v>42484.463840165263</v>
      </c>
      <c r="I42" s="23">
        <f t="shared" si="17"/>
        <v>42400.727714016677</v>
      </c>
      <c r="J42" s="23">
        <f t="shared" si="17"/>
        <v>42316.991587868099</v>
      </c>
      <c r="K42" s="23">
        <f t="shared" si="17"/>
        <v>42233.255461719513</v>
      </c>
      <c r="L42" s="23">
        <f t="shared" si="17"/>
        <v>42149.519335570934</v>
      </c>
      <c r="M42" s="23">
        <f t="shared" si="17"/>
        <v>42065.783209422349</v>
      </c>
      <c r="N42" s="23">
        <f t="shared" si="17"/>
        <v>41982.04708327377</v>
      </c>
      <c r="O42" s="23">
        <f t="shared" si="17"/>
        <v>41898.310957125184</v>
      </c>
      <c r="P42" s="23">
        <f t="shared" si="17"/>
        <v>41814.574830976606</v>
      </c>
    </row>
    <row r="43" spans="1:16">
      <c r="A43" s="2">
        <f t="shared" ref="A43" si="18">A42+2500</f>
        <v>98000</v>
      </c>
      <c r="B43" s="2">
        <f t="shared" ref="B43" si="19">B42+17000</f>
        <v>440000</v>
      </c>
      <c r="C43" s="5">
        <f t="shared" si="5"/>
        <v>44492.120315625085</v>
      </c>
      <c r="E43" s="22">
        <f t="shared" si="10"/>
        <v>95500</v>
      </c>
      <c r="F43" s="23">
        <f>$B$28+$B$29*$E$43+$B$30*F33</f>
        <v>43990.708834786674</v>
      </c>
      <c r="G43" s="23">
        <f t="shared" ref="G43:P43" si="20">$B$28+$B$29*$E$43+$B$30*G33</f>
        <v>43906.972708638095</v>
      </c>
      <c r="H43" s="23">
        <f t="shared" si="20"/>
        <v>43823.23658248951</v>
      </c>
      <c r="I43" s="23">
        <f t="shared" si="20"/>
        <v>43739.500456340924</v>
      </c>
      <c r="J43" s="23">
        <f t="shared" si="20"/>
        <v>43655.764330192345</v>
      </c>
      <c r="K43" s="23">
        <f t="shared" si="20"/>
        <v>43572.02820404376</v>
      </c>
      <c r="L43" s="23">
        <f t="shared" si="20"/>
        <v>43488.292077895181</v>
      </c>
      <c r="M43" s="23">
        <f t="shared" si="20"/>
        <v>43404.555951746595</v>
      </c>
      <c r="N43" s="23">
        <f t="shared" si="20"/>
        <v>43320.819825598017</v>
      </c>
      <c r="O43" s="23">
        <f t="shared" si="20"/>
        <v>43237.083699449431</v>
      </c>
      <c r="P43" s="23">
        <f t="shared" si="20"/>
        <v>43153.347573300853</v>
      </c>
    </row>
    <row r="44" spans="1:16">
      <c r="E44" s="22">
        <f t="shared" si="10"/>
        <v>98000</v>
      </c>
      <c r="F44" s="23">
        <f>$B$28+$B$29*$E$44+$B$30*F33</f>
        <v>45329.481577110913</v>
      </c>
      <c r="G44" s="23">
        <f t="shared" ref="G44:P44" si="21">$B$28+$B$29*$E$44+$B$30*G33</f>
        <v>45245.745450962335</v>
      </c>
      <c r="H44" s="23">
        <f t="shared" si="21"/>
        <v>45162.009324813749</v>
      </c>
      <c r="I44" s="23">
        <f t="shared" si="21"/>
        <v>45078.273198665163</v>
      </c>
      <c r="J44" s="23">
        <f t="shared" si="21"/>
        <v>44994.537072516585</v>
      </c>
      <c r="K44" s="23">
        <f t="shared" si="21"/>
        <v>44910.800946367999</v>
      </c>
      <c r="L44" s="23">
        <f t="shared" si="21"/>
        <v>44827.064820219421</v>
      </c>
      <c r="M44" s="23">
        <f t="shared" si="21"/>
        <v>44743.328694070835</v>
      </c>
      <c r="N44" s="23">
        <f t="shared" si="21"/>
        <v>44659.592567922256</v>
      </c>
      <c r="O44" s="23">
        <f t="shared" si="21"/>
        <v>44575.856441773671</v>
      </c>
      <c r="P44" s="23">
        <f t="shared" si="21"/>
        <v>44492.120315625085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Data</vt:lpstr>
      <vt:lpstr>Harvest vs. Hunters</vt:lpstr>
      <vt:lpstr>H vs. H Polynomial Model's</vt:lpstr>
      <vt:lpstr>Harvest vs. Rec Days</vt:lpstr>
      <vt:lpstr>H vs. R Polynomial Models</vt:lpstr>
      <vt:lpstr>Simulation</vt:lpstr>
      <vt:lpstr>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cp:lastPrinted>2018-05-03T18:00:05Z</cp:lastPrinted>
  <dcterms:created xsi:type="dcterms:W3CDTF">2018-04-22T03:30:14Z</dcterms:created>
  <dcterms:modified xsi:type="dcterms:W3CDTF">2018-05-10T06:19:44Z</dcterms:modified>
</cp:coreProperties>
</file>