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ebextensions/taskpanes.xml" ContentType="application/vnd.ms-office.webextensiontaskpanes+xml"/>
  <Override PartName="/xl/webextensions/webextension1.xml" ContentType="application/vnd.ms-office.webextensi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microsoft.com/office/2011/relationships/webextensiontaskpanes" Target="xl/webextensions/taskpanes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5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/Users/Tate/Desktop/"/>
    </mc:Choice>
  </mc:AlternateContent>
  <xr:revisionPtr revIDLastSave="32" documentId="8_{08214716-163C-4D49-B4F6-F8F9426DB59B}" xr6:coauthVersionLast="40" xr6:coauthVersionMax="40" xr10:uidLastSave="{B224F9B3-DE60-6843-B13A-073CAF6A328E}"/>
  <bookViews>
    <workbookView xWindow="0" yWindow="460" windowWidth="25600" windowHeight="14420" activeTab="1" xr2:uid="{00000000-000D-0000-FFFF-FFFF00000000}"/>
  </bookViews>
  <sheets>
    <sheet name="Problem 4" sheetId="1" r:id="rId1"/>
    <sheet name="Problem 5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B3" i="2"/>
  <c r="C3" i="2"/>
  <c r="E3" i="2"/>
  <c r="B4" i="2"/>
  <c r="C4" i="2"/>
  <c r="E4" i="2"/>
  <c r="B5" i="2"/>
  <c r="E5" i="2"/>
  <c r="B6" i="2"/>
  <c r="C6" i="2"/>
  <c r="E6" i="2"/>
  <c r="B7" i="2"/>
  <c r="C7" i="2"/>
  <c r="E7" i="2"/>
  <c r="B8" i="2"/>
  <c r="C8" i="2"/>
  <c r="E8" i="2"/>
  <c r="B9" i="2"/>
  <c r="C9" i="2"/>
  <c r="E9" i="2"/>
  <c r="B10" i="2"/>
  <c r="C10" i="2"/>
  <c r="E10" i="2"/>
  <c r="B2" i="2"/>
  <c r="G9" i="2"/>
  <c r="C2" i="2"/>
  <c r="E2" i="2"/>
  <c r="F2" i="2"/>
  <c r="H2" i="2"/>
  <c r="I2" i="2"/>
  <c r="J2" i="2"/>
  <c r="H3" i="2"/>
  <c r="D3" i="2"/>
  <c r="G3" i="2"/>
  <c r="I3" i="2"/>
  <c r="H4" i="2"/>
  <c r="D4" i="2"/>
  <c r="G4" i="2"/>
  <c r="I4" i="2"/>
  <c r="J4" i="2"/>
  <c r="H5" i="2"/>
  <c r="D5" i="2"/>
  <c r="G5" i="2"/>
  <c r="I5" i="2"/>
  <c r="J5" i="2"/>
  <c r="H6" i="2"/>
  <c r="D6" i="2"/>
  <c r="G6" i="2"/>
  <c r="I6" i="2"/>
  <c r="H7" i="2"/>
  <c r="D7" i="2"/>
  <c r="G7" i="2"/>
  <c r="I7" i="2"/>
  <c r="J7" i="2"/>
  <c r="H8" i="2"/>
  <c r="D8" i="2"/>
  <c r="G8" i="2"/>
  <c r="I8" i="2"/>
  <c r="J8" i="2"/>
  <c r="H9" i="2"/>
  <c r="D9" i="2"/>
  <c r="I9" i="2"/>
  <c r="H10" i="2"/>
  <c r="D10" i="2"/>
  <c r="G10" i="2"/>
  <c r="I10" i="2"/>
  <c r="J10" i="2"/>
  <c r="B3" i="1"/>
  <c r="C3" i="1"/>
  <c r="B4" i="1"/>
  <c r="C4" i="1"/>
  <c r="B5" i="1"/>
  <c r="C5" i="1"/>
  <c r="B6" i="1"/>
  <c r="C6" i="1"/>
  <c r="B7" i="1"/>
  <c r="C7" i="1"/>
  <c r="B8" i="1"/>
  <c r="C8" i="1"/>
  <c r="B9" i="1"/>
  <c r="C9" i="1"/>
  <c r="B10" i="1"/>
  <c r="C10" i="1"/>
  <c r="B2" i="1"/>
  <c r="E11" i="1"/>
  <c r="B23" i="1"/>
  <c r="D8" i="1"/>
  <c r="E8" i="1"/>
  <c r="D4" i="1"/>
  <c r="E4" i="1"/>
  <c r="B16" i="1"/>
  <c r="D5" i="1"/>
  <c r="E5" i="1"/>
  <c r="B17" i="1"/>
  <c r="D6" i="1"/>
  <c r="E6" i="1"/>
  <c r="B18" i="1"/>
  <c r="D7" i="1"/>
  <c r="E7" i="1"/>
  <c r="B19" i="1"/>
  <c r="B20" i="1"/>
  <c r="D9" i="1"/>
  <c r="E9" i="1"/>
  <c r="B21" i="1"/>
  <c r="D10" i="1"/>
  <c r="E10" i="1"/>
  <c r="B22" i="1"/>
  <c r="D3" i="1"/>
  <c r="E3" i="1"/>
  <c r="B15" i="1"/>
  <c r="J6" i="2"/>
  <c r="J3" i="2"/>
  <c r="I11" i="2"/>
  <c r="H11" i="2"/>
  <c r="J9" i="2"/>
  <c r="J11" i="2"/>
</calcChain>
</file>

<file path=xl/sharedStrings.xml><?xml version="1.0" encoding="utf-8"?>
<sst xmlns="http://schemas.openxmlformats.org/spreadsheetml/2006/main" count="47" uniqueCount="27">
  <si>
    <t>Celestial Body</t>
  </si>
  <si>
    <t>Mass Of Celestial Body</t>
  </si>
  <si>
    <t>Semi-Major Axis</t>
  </si>
  <si>
    <t>Sun</t>
  </si>
  <si>
    <t>Mercury</t>
  </si>
  <si>
    <t>Venus</t>
  </si>
  <si>
    <t>Earth</t>
  </si>
  <si>
    <t>Mars</t>
  </si>
  <si>
    <t>Jupiter</t>
  </si>
  <si>
    <t>Saturn</t>
  </si>
  <si>
    <t>Uranus</t>
  </si>
  <si>
    <t>Neptune</t>
  </si>
  <si>
    <t>Center of Mass</t>
  </si>
  <si>
    <t>All Planets</t>
  </si>
  <si>
    <t>Big M</t>
  </si>
  <si>
    <t>Planet</t>
  </si>
  <si>
    <t>LOG(C.O.M)</t>
  </si>
  <si>
    <t>Total</t>
  </si>
  <si>
    <t>Mass of Body</t>
  </si>
  <si>
    <t>Radius of Body</t>
  </si>
  <si>
    <t>Distance From Sun</t>
  </si>
  <si>
    <t>I of Body</t>
  </si>
  <si>
    <t>W Rotation</t>
  </si>
  <si>
    <t>W Orbit</t>
  </si>
  <si>
    <t>Spin L</t>
  </si>
  <si>
    <t>Orbital L</t>
  </si>
  <si>
    <t>Spin + Orbital 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</si>
</sst>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/>
      <diagonal/>
    </border>
    <border>
      <left style="thin">
        <color rgb="FF505050"/>
      </left>
      <right/>
      <top style="thin">
        <color rgb="FF505050"/>
      </top>
      <bottom style="thin">
        <color rgb="FF50505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/>
    <xf numFmtId="0" fontId="1" fillId="0" borderId="3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Differences in Center of Mass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'Problem 4'!$B$13</c:f>
              <c:strCache>
                <c:ptCount val="1"/>
                <c:pt idx="0">
                  <c:v>LOG(C.O.M)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'Problem 4'!$A$14:$A$23</c:f>
              <c:strCache>
                <c:ptCount val="10"/>
                <c:pt idx="0">
                  <c:v>Sun</c:v>
                </c:pt>
                <c:pt idx="1">
                  <c:v>Mercury</c:v>
                </c:pt>
                <c:pt idx="2">
                  <c:v>Venus</c:v>
                </c:pt>
                <c:pt idx="3">
                  <c:v>Earth</c:v>
                </c:pt>
                <c:pt idx="4">
                  <c:v>Mars</c:v>
                </c:pt>
                <c:pt idx="5">
                  <c:v>Jupiter</c:v>
                </c:pt>
                <c:pt idx="6">
                  <c:v>Saturn</c:v>
                </c:pt>
                <c:pt idx="7">
                  <c:v>Uranus</c:v>
                </c:pt>
                <c:pt idx="8">
                  <c:v>Neptune</c:v>
                </c:pt>
                <c:pt idx="9">
                  <c:v>All Planets</c:v>
                </c:pt>
              </c:strCache>
            </c:strRef>
          </c:cat>
          <c:val>
            <c:numRef>
              <c:f>'Problem 4'!$B$14:$B$23</c:f>
              <c:numCache>
                <c:formatCode>General</c:formatCode>
                <c:ptCount val="10"/>
                <c:pt idx="0">
                  <c:v>0</c:v>
                </c:pt>
                <c:pt idx="1">
                  <c:v>3.9828794535396286</c:v>
                </c:pt>
                <c:pt idx="2">
                  <c:v>5.4230386718757515</c:v>
                </c:pt>
                <c:pt idx="3">
                  <c:v>5.6525456597593422</c:v>
                </c:pt>
                <c:pt idx="4">
                  <c:v>4.8702646828658978</c:v>
                </c:pt>
                <c:pt idx="5">
                  <c:v>8.8706996641916405</c:v>
                </c:pt>
                <c:pt idx="6">
                  <c:v>8.6123653041764054</c:v>
                </c:pt>
                <c:pt idx="7">
                  <c:v>8.0986690930850127</c:v>
                </c:pt>
                <c:pt idx="8">
                  <c:v>8.3654432936819454</c:v>
                </c:pt>
                <c:pt idx="9">
                  <c:v>9.1787498580481319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A4-B645-9C8B-AB0DC160ED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4775776"/>
        <c:axId val="264777456"/>
      </c:barChart>
      <c:catAx>
        <c:axId val="264775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Celestial Body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777456"/>
        <c:crosses val="autoZero"/>
        <c:auto val="1"/>
        <c:lblAlgn val="ctr"/>
        <c:lblOffset val="100"/>
        <c:noMultiLvlLbl val="0"/>
      </c:catAx>
      <c:valAx>
        <c:axId val="2647774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Difference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775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/>
              <a:t>Spin</a:t>
            </a:r>
            <a:r>
              <a:rPr lang="en-US" sz="1200" b="1" baseline="0"/>
              <a:t> Angular Momentum of Each Celestial Body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'Problem 5'!$A$2:$A$11</c:f>
              <c:strCache>
                <c:ptCount val="10"/>
                <c:pt idx="0">
                  <c:v>Sun</c:v>
                </c:pt>
                <c:pt idx="1">
                  <c:v>Mercury</c:v>
                </c:pt>
                <c:pt idx="2">
                  <c:v>Venus</c:v>
                </c:pt>
                <c:pt idx="3">
                  <c:v>Earth</c:v>
                </c:pt>
                <c:pt idx="4">
                  <c:v>Mars</c:v>
                </c:pt>
                <c:pt idx="5">
                  <c:v>Jupiter</c:v>
                </c:pt>
                <c:pt idx="6">
                  <c:v>Saturn</c:v>
                </c:pt>
                <c:pt idx="7">
                  <c:v>Uranus</c:v>
                </c:pt>
                <c:pt idx="8">
                  <c:v>Neptune</c:v>
                </c:pt>
                <c:pt idx="9">
                  <c:v>Total</c:v>
                </c:pt>
              </c:strCache>
            </c:strRef>
          </c:cat>
          <c:val>
            <c:numRef>
              <c:f>'Problem 5'!$H$2:$H$11</c:f>
              <c:numCache>
                <c:formatCode>General</c:formatCode>
                <c:ptCount val="10"/>
                <c:pt idx="0">
                  <c:v>1.1434627008966524E+42</c:v>
                </c:pt>
                <c:pt idx="1">
                  <c:v>9.7448024050796859E+29</c:v>
                </c:pt>
                <c:pt idx="2">
                  <c:v>2.1341436200655438E+31</c:v>
                </c:pt>
                <c:pt idx="3">
                  <c:v>7.05160590300894E+33</c:v>
                </c:pt>
                <c:pt idx="4">
                  <c:v>2.0754481484704879E+32</c:v>
                </c:pt>
                <c:pt idx="5">
                  <c:v>6.4769471974974088E+38</c:v>
                </c:pt>
                <c:pt idx="6">
                  <c:v>1.2231403955152776E+38</c:v>
                </c:pt>
                <c:pt idx="7">
                  <c:v>2.2931115942848123E+36</c:v>
                </c:pt>
                <c:pt idx="8">
                  <c:v>2.5497064328186242E+36</c:v>
                </c:pt>
                <c:pt idx="9">
                  <c:v>1.1442375597554474E+42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EB-9A40-895D-E114F432B3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9074047"/>
        <c:axId val="969015711"/>
      </c:barChart>
      <c:catAx>
        <c:axId val="9690740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Celestial Body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9015711"/>
        <c:crosses val="autoZero"/>
        <c:auto val="1"/>
        <c:lblAlgn val="ctr"/>
        <c:lblOffset val="100"/>
        <c:noMultiLvlLbl val="0"/>
      </c:catAx>
      <c:valAx>
        <c:axId val="969015711"/>
        <c:scaling>
          <c:logBase val="10"/>
          <c:orientation val="minMax"/>
          <c:min val="9.9999999999999988E+2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Spin Angular Momentum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9074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/>
              <a:t>Orbital Angular Momentum of Each Celestial Body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'Problem 5'!$A$2:$A$11</c:f>
              <c:strCache>
                <c:ptCount val="10"/>
                <c:pt idx="0">
                  <c:v>Sun</c:v>
                </c:pt>
                <c:pt idx="1">
                  <c:v>Mercury</c:v>
                </c:pt>
                <c:pt idx="2">
                  <c:v>Venus</c:v>
                </c:pt>
                <c:pt idx="3">
                  <c:v>Earth</c:v>
                </c:pt>
                <c:pt idx="4">
                  <c:v>Mars</c:v>
                </c:pt>
                <c:pt idx="5">
                  <c:v>Jupiter</c:v>
                </c:pt>
                <c:pt idx="6">
                  <c:v>Saturn</c:v>
                </c:pt>
                <c:pt idx="7">
                  <c:v>Uranus</c:v>
                </c:pt>
                <c:pt idx="8">
                  <c:v>Neptune</c:v>
                </c:pt>
                <c:pt idx="9">
                  <c:v>Total</c:v>
                </c:pt>
              </c:strCache>
            </c:strRef>
          </c:cat>
          <c:val>
            <c:numRef>
              <c:f>'Problem 5'!$I$2:$I$11</c:f>
              <c:numCache>
                <c:formatCode>General</c:formatCode>
                <c:ptCount val="10"/>
                <c:pt idx="0">
                  <c:v>0</c:v>
                </c:pt>
                <c:pt idx="1">
                  <c:v>9.1481866110166861E+38</c:v>
                </c:pt>
                <c:pt idx="2">
                  <c:v>1.8420792399340721E+40</c:v>
                </c:pt>
                <c:pt idx="3">
                  <c:v>2.6630031188203362E+40</c:v>
                </c:pt>
                <c:pt idx="4">
                  <c:v>3.5589249357224653E+39</c:v>
                </c:pt>
                <c:pt idx="5">
                  <c:v>1.9104220197960454E+43</c:v>
                </c:pt>
                <c:pt idx="6">
                  <c:v>7.7213854998746359E+42</c:v>
                </c:pt>
                <c:pt idx="7">
                  <c:v>1.6833017345860285E+42</c:v>
                </c:pt>
                <c:pt idx="8">
                  <c:v>2.5101348763076822E+42</c:v>
                </c:pt>
                <c:pt idx="9">
                  <c:v>3.1068566875913165E+43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58-494C-BA21-1039A000B3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9700191"/>
        <c:axId val="1000032783"/>
      </c:barChart>
      <c:catAx>
        <c:axId val="9697001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Celestial</a:t>
                </a:r>
                <a:r>
                  <a:rPr lang="en-US" b="1" baseline="0"/>
                  <a:t> Body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032783"/>
        <c:crosses val="autoZero"/>
        <c:auto val="1"/>
        <c:lblAlgn val="ctr"/>
        <c:lblOffset val="100"/>
        <c:noMultiLvlLbl val="0"/>
      </c:catAx>
      <c:valAx>
        <c:axId val="1000032783"/>
        <c:scaling>
          <c:logBase val="10"/>
          <c:orientation val="minMax"/>
          <c:min val="9.9999999999999989E+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Orbital</a:t>
                </a:r>
                <a:r>
                  <a:rPr lang="en-US" b="1" baseline="0"/>
                  <a:t> Angular Momentum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97001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/>
              <a:t>Total</a:t>
            </a:r>
            <a:r>
              <a:rPr lang="en-US" sz="1200" b="1" baseline="0"/>
              <a:t> Angular Momentum of Each Celestial Body </a:t>
            </a:r>
            <a:endParaRPr lang="en-US" sz="12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'Problem 5'!$A$2:$A$11</c:f>
              <c:strCache>
                <c:ptCount val="10"/>
                <c:pt idx="0">
                  <c:v>Sun</c:v>
                </c:pt>
                <c:pt idx="1">
                  <c:v>Mercury</c:v>
                </c:pt>
                <c:pt idx="2">
                  <c:v>Venus</c:v>
                </c:pt>
                <c:pt idx="3">
                  <c:v>Earth</c:v>
                </c:pt>
                <c:pt idx="4">
                  <c:v>Mars</c:v>
                </c:pt>
                <c:pt idx="5">
                  <c:v>Jupiter</c:v>
                </c:pt>
                <c:pt idx="6">
                  <c:v>Saturn</c:v>
                </c:pt>
                <c:pt idx="7">
                  <c:v>Uranus</c:v>
                </c:pt>
                <c:pt idx="8">
                  <c:v>Neptune</c:v>
                </c:pt>
                <c:pt idx="9">
                  <c:v>Total</c:v>
                </c:pt>
              </c:strCache>
            </c:strRef>
          </c:cat>
          <c:val>
            <c:numRef>
              <c:f>'Problem 5'!$J$2:$J$11</c:f>
              <c:numCache>
                <c:formatCode>General</c:formatCode>
                <c:ptCount val="10"/>
                <c:pt idx="0">
                  <c:v>1.1434627008966524E+42</c:v>
                </c:pt>
                <c:pt idx="1">
                  <c:v>9.1481866207614881E+38</c:v>
                </c:pt>
                <c:pt idx="2">
                  <c:v>1.8420792420682157E+40</c:v>
                </c:pt>
                <c:pt idx="3">
                  <c:v>2.6630038239809267E+40</c:v>
                </c:pt>
                <c:pt idx="4">
                  <c:v>3.5589251432672801E+39</c:v>
                </c:pt>
                <c:pt idx="5">
                  <c:v>1.9104867892680203E+43</c:v>
                </c:pt>
                <c:pt idx="6">
                  <c:v>7.7215078139141875E+42</c:v>
                </c:pt>
                <c:pt idx="7">
                  <c:v>1.6833040276976229E+42</c:v>
                </c:pt>
                <c:pt idx="8">
                  <c:v>2.5101374260141149E+42</c:v>
                </c:pt>
                <c:pt idx="9">
                  <c:v>3.2212804435668616E+43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EC-794F-9574-90D7D9B94F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9297023"/>
        <c:axId val="999465135"/>
      </c:barChart>
      <c:catAx>
        <c:axId val="9692970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Celestial Body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465135"/>
        <c:crosses val="autoZero"/>
        <c:auto val="1"/>
        <c:lblAlgn val="ctr"/>
        <c:lblOffset val="100"/>
        <c:noMultiLvlLbl val="0"/>
      </c:catAx>
      <c:valAx>
        <c:axId val="999465135"/>
        <c:scaling>
          <c:logBase val="10"/>
          <c:orientation val="minMax"/>
          <c:min val="9.9999999999999979E+3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Total</a:t>
                </a:r>
                <a:r>
                  <a:rPr lang="en-US" b="1" baseline="0"/>
                  <a:t> Angular Momentum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92970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169334</xdr:rowOff>
    </xdr:from>
    <xdr:to>
      <xdr:col>4</xdr:col>
      <xdr:colOff>850900</xdr:colOff>
      <xdr:row>37</xdr:row>
      <xdr:rowOff>122767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F3D4F4-B19E-4C46-95C8-23F1BC6F1F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0</xdr:rowOff>
    </xdr:from>
    <xdr:to>
      <xdr:col>4</xdr:col>
      <xdr:colOff>571500</xdr:colOff>
      <xdr:row>27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078EE6A-9D59-814E-9986-9A63667DCC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13</xdr:row>
      <xdr:rowOff>0</xdr:rowOff>
    </xdr:from>
    <xdr:to>
      <xdr:col>10</xdr:col>
      <xdr:colOff>254000</xdr:colOff>
      <xdr:row>27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231E4B0-415C-8849-A3BA-2742FFCCBD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4</xdr:col>
      <xdr:colOff>571500</xdr:colOff>
      <xdr:row>42</xdr:row>
      <xdr:rowOff>76200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6216F8D-1F9D-7D4D-BC0B-E0140C7683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3EE70499-B865-8F42-A59F-267AE0AD2632}">
  <we:reference id="wa104379279" version="2.1.0.0" store="en-US" storeType="OMEX"/>
  <we:alternateReferences>
    <we:reference id="WA104379279" version="2.1.0.0" store="WA104379279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A87B5-0BF8-7C4A-9600-A50619AEA38E}">
  <dimension ref="A1:E23"/>
  <sheetViews>
    <sheetView zoomScaleNormal="150" zoomScaleSheetLayoutView="100" workbookViewId="0" xr3:uid="{DCB9824F-1314-58D2-9853-3440A671F412}">
      <selection activeCell="C5" sqref="C5:C10"/>
    </sheetView>
  </sheetViews>
  <sheetFormatPr defaultColWidth="8.875" defaultRowHeight="15" x14ac:dyDescent="0.2"/>
  <cols>
    <col min="1" max="1" width="12.10546875" bestFit="1" customWidth="1"/>
    <col min="2" max="2" width="19.1015625" bestFit="1" customWidth="1"/>
    <col min="3" max="3" width="13.85546875" bestFit="1" customWidth="1"/>
    <col min="4" max="4" width="9.55078125" customWidth="1"/>
    <col min="5" max="5" width="13.1796875" bestFit="1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14</v>
      </c>
      <c r="E1" s="1" t="s">
        <v>12</v>
      </c>
    </row>
    <row r="2" spans="1:5" x14ac:dyDescent="0.2">
      <c r="A2" s="2" t="s">
        <v>3</v>
      </c>
      <c r="B2" s="2">
        <f>1.9885*10^(33)</f>
        <v>1.9884999999999998E+33</v>
      </c>
      <c r="C2" s="3"/>
      <c r="D2" s="3"/>
      <c r="E2" s="3"/>
    </row>
    <row r="3" spans="1:5" x14ac:dyDescent="0.2">
      <c r="A3" s="2" t="s">
        <v>4</v>
      </c>
      <c r="B3" s="2">
        <f>3.3011*10^(26)</f>
        <v>3.3011000000000004E+26</v>
      </c>
      <c r="C3" s="2">
        <f>57909050000</f>
        <v>57909050000</v>
      </c>
      <c r="D3" s="3">
        <f>SUM(B2:B3)</f>
        <v>1.9885003301099997E+33</v>
      </c>
      <c r="E3" s="2">
        <f>(C3*B3)/D3</f>
        <v>9613.4540216256974</v>
      </c>
    </row>
    <row r="4" spans="1:5" x14ac:dyDescent="0.2">
      <c r="A4" s="2" t="s">
        <v>5</v>
      </c>
      <c r="B4" s="2">
        <f>4.8675*10^(27)</f>
        <v>4.8674999999999998E+27</v>
      </c>
      <c r="C4" s="2">
        <f>108208000000</f>
        <v>108208000000</v>
      </c>
      <c r="D4" s="3">
        <f>SUM(B2,B4)</f>
        <v>1.9885048674999999E+33</v>
      </c>
      <c r="E4" s="4">
        <f t="shared" ref="E4:E10" si="0">(B4*C4)/D4</f>
        <v>264873.59855557408</v>
      </c>
    </row>
    <row r="5" spans="1:5" x14ac:dyDescent="0.2">
      <c r="A5" s="2" t="s">
        <v>6</v>
      </c>
      <c r="B5" s="2">
        <f>5.97237*10^(27)</f>
        <v>5.9723699999999995E+27</v>
      </c>
      <c r="C5" s="2">
        <f>149598023000</f>
        <v>149598023000</v>
      </c>
      <c r="D5" s="3">
        <f>SUM(B2,B5)</f>
        <v>1.9885059723699996E+33</v>
      </c>
      <c r="E5" s="4">
        <f t="shared" si="0"/>
        <v>449309.5605640281</v>
      </c>
    </row>
    <row r="6" spans="1:5" x14ac:dyDescent="0.2">
      <c r="A6" s="2" t="s">
        <v>7</v>
      </c>
      <c r="B6" s="2">
        <f>6.471*10^26</f>
        <v>6.4710000000000001E+26</v>
      </c>
      <c r="C6" s="2">
        <f>227939200000</f>
        <v>227939200000</v>
      </c>
      <c r="D6" s="3">
        <f>SUM(B2,B6)</f>
        <v>1.9885006470999999E+33</v>
      </c>
      <c r="E6" s="4">
        <f t="shared" si="0"/>
        <v>74176.217410394631</v>
      </c>
    </row>
    <row r="7" spans="1:5" x14ac:dyDescent="0.2">
      <c r="A7" s="2" t="s">
        <v>8</v>
      </c>
      <c r="B7" s="2">
        <f>1.8982*10^(30)</f>
        <v>1.8982E+30</v>
      </c>
      <c r="C7" s="2">
        <f>778.57*10^(9)</f>
        <v>778570000000</v>
      </c>
      <c r="D7" s="3">
        <f>SUM(B2,B7)</f>
        <v>1.9903981999999997E+33</v>
      </c>
      <c r="E7" s="4">
        <f t="shared" si="0"/>
        <v>742505481.5664525</v>
      </c>
    </row>
    <row r="8" spans="1:5" x14ac:dyDescent="0.2">
      <c r="A8" s="2" t="s">
        <v>9</v>
      </c>
      <c r="B8" s="2">
        <f>5.6834*10^(29)</f>
        <v>5.6833999999999994E+29</v>
      </c>
      <c r="C8" s="2">
        <f>1433.53*10^(9)</f>
        <v>1433530000000</v>
      </c>
      <c r="D8" s="3">
        <f>SUM(B2,B8)</f>
        <v>1.9890683399999997E+33</v>
      </c>
      <c r="E8" s="4">
        <f t="shared" si="0"/>
        <v>409605051.67962205</v>
      </c>
    </row>
    <row r="9" spans="1:5" x14ac:dyDescent="0.2">
      <c r="A9" s="2" t="s">
        <v>10</v>
      </c>
      <c r="B9" s="2">
        <f>8.681*10^(28)</f>
        <v>8.6809999999999986E+28</v>
      </c>
      <c r="C9" s="2">
        <f>2875.04*10^(9)</f>
        <v>2875040000000</v>
      </c>
      <c r="D9" s="3">
        <f>SUM(B2,B9)</f>
        <v>1.9885868099999997E+33</v>
      </c>
      <c r="E9" s="4">
        <f t="shared" si="0"/>
        <v>125507330.70586945</v>
      </c>
    </row>
    <row r="10" spans="1:5" x14ac:dyDescent="0.2">
      <c r="A10" s="2" t="s">
        <v>11</v>
      </c>
      <c r="B10" s="2">
        <f>1.02413*10^(29)</f>
        <v>1.02413E+29</v>
      </c>
      <c r="C10" s="2">
        <f>30.11*(149597870700)</f>
        <v>4504391886777</v>
      </c>
      <c r="D10" s="3">
        <f>SUM(B2,B10)</f>
        <v>1.9886024129999996E+33</v>
      </c>
      <c r="E10" s="4">
        <f t="shared" si="0"/>
        <v>231976127.19606662</v>
      </c>
    </row>
    <row r="11" spans="1:5" x14ac:dyDescent="0.2">
      <c r="A11" s="2" t="s">
        <v>13</v>
      </c>
      <c r="B11" s="2"/>
      <c r="C11" s="3"/>
      <c r="D11" s="3"/>
      <c r="E11" s="2">
        <f>(B3*C3+B4*C4+B5*C5+B6*C6+B7*C7+B8*C8+B9*C9+B10*C10)/(SUM(B2:B10))</f>
        <v>1509210639.0046775</v>
      </c>
    </row>
    <row r="13" spans="1:5" x14ac:dyDescent="0.2">
      <c r="A13" s="1" t="s">
        <v>15</v>
      </c>
      <c r="B13" s="1" t="s">
        <v>16</v>
      </c>
    </row>
    <row r="14" spans="1:5" x14ac:dyDescent="0.2">
      <c r="A14" s="2" t="s">
        <v>3</v>
      </c>
      <c r="B14" s="2">
        <v>0</v>
      </c>
    </row>
    <row r="15" spans="1:5" x14ac:dyDescent="0.2">
      <c r="A15" s="2" t="s">
        <v>4</v>
      </c>
      <c r="B15" s="2">
        <f>LOG(E3)</f>
        <v>3.9828794535396286</v>
      </c>
    </row>
    <row r="16" spans="1:5" x14ac:dyDescent="0.2">
      <c r="A16" s="2" t="s">
        <v>5</v>
      </c>
      <c r="B16" s="2">
        <f t="shared" ref="B16:B22" si="1">LOG(E4)</f>
        <v>5.4230386718757515</v>
      </c>
    </row>
    <row r="17" spans="1:2" x14ac:dyDescent="0.2">
      <c r="A17" s="2" t="s">
        <v>6</v>
      </c>
      <c r="B17" s="2">
        <f t="shared" si="1"/>
        <v>5.6525456597593422</v>
      </c>
    </row>
    <row r="18" spans="1:2" x14ac:dyDescent="0.2">
      <c r="A18" s="2" t="s">
        <v>7</v>
      </c>
      <c r="B18" s="2">
        <f t="shared" si="1"/>
        <v>4.8702646828658978</v>
      </c>
    </row>
    <row r="19" spans="1:2" x14ac:dyDescent="0.2">
      <c r="A19" s="2" t="s">
        <v>8</v>
      </c>
      <c r="B19" s="2">
        <f t="shared" si="1"/>
        <v>8.8706996641916405</v>
      </c>
    </row>
    <row r="20" spans="1:2" x14ac:dyDescent="0.2">
      <c r="A20" s="2" t="s">
        <v>9</v>
      </c>
      <c r="B20" s="2">
        <f t="shared" si="1"/>
        <v>8.6123653041764054</v>
      </c>
    </row>
    <row r="21" spans="1:2" x14ac:dyDescent="0.2">
      <c r="A21" s="2" t="s">
        <v>10</v>
      </c>
      <c r="B21" s="2">
        <f t="shared" si="1"/>
        <v>8.0986690930850127</v>
      </c>
    </row>
    <row r="22" spans="1:2" x14ac:dyDescent="0.2">
      <c r="A22" s="5" t="s">
        <v>11</v>
      </c>
      <c r="B22" s="5">
        <f t="shared" si="1"/>
        <v>8.3654432936819454</v>
      </c>
    </row>
    <row r="23" spans="1:2" x14ac:dyDescent="0.2">
      <c r="A23" s="2" t="s">
        <v>13</v>
      </c>
      <c r="B23" s="2">
        <f>LOG(E11)</f>
        <v>9.1787498580481319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14D3A-5F03-E54D-92DE-5E2974F33A38}">
  <dimension ref="A1:J23"/>
  <sheetViews>
    <sheetView tabSelected="1" zoomScaleNormal="150" zoomScaleSheetLayoutView="100" workbookViewId="0" xr3:uid="{FEEE990B-16F9-5405-887D-2D2FA6C82CDE}">
      <selection activeCell="E53" sqref="E53"/>
    </sheetView>
  </sheetViews>
  <sheetFormatPr defaultColWidth="8.875" defaultRowHeight="15" x14ac:dyDescent="0.2"/>
  <cols>
    <col min="1" max="1" width="12.10546875" bestFit="1" customWidth="1"/>
    <col min="2" max="2" width="11.703125" bestFit="1" customWidth="1"/>
    <col min="3" max="3" width="12.77734375" bestFit="1" customWidth="1"/>
    <col min="4" max="4" width="15.87109375" bestFit="1" customWidth="1"/>
    <col min="5" max="5" width="12.10546875" bestFit="1" customWidth="1"/>
    <col min="6" max="6" width="10.89453125" bestFit="1" customWidth="1"/>
    <col min="7" max="7" width="10.22265625" customWidth="1"/>
    <col min="8" max="9" width="11.296875" bestFit="1" customWidth="1"/>
    <col min="10" max="10" width="13.046875" bestFit="1" customWidth="1"/>
  </cols>
  <sheetData>
    <row r="1" spans="1:10" x14ac:dyDescent="0.2">
      <c r="A1" s="1" t="s">
        <v>0</v>
      </c>
      <c r="B1" s="6" t="s">
        <v>18</v>
      </c>
      <c r="C1" s="6" t="s">
        <v>19</v>
      </c>
      <c r="D1" s="6" t="s">
        <v>20</v>
      </c>
      <c r="E1" s="6" t="s">
        <v>21</v>
      </c>
      <c r="F1" s="6" t="s">
        <v>22</v>
      </c>
      <c r="G1" s="9" t="s">
        <v>23</v>
      </c>
      <c r="H1" s="1" t="s">
        <v>24</v>
      </c>
      <c r="I1" s="6" t="s">
        <v>25</v>
      </c>
      <c r="J1" s="1" t="s">
        <v>26</v>
      </c>
    </row>
    <row r="2" spans="1:10" x14ac:dyDescent="0.2">
      <c r="A2" s="2" t="s">
        <v>3</v>
      </c>
      <c r="B2" s="7">
        <f>1.9885*10^(30)</f>
        <v>1.9885E+30</v>
      </c>
      <c r="C2" s="7">
        <f>695508000</f>
        <v>695508000</v>
      </c>
      <c r="D2" s="7">
        <v>0</v>
      </c>
      <c r="E2" s="7">
        <f>(0.4)*B2*C2^2</f>
        <v>3.8475993811210563E+47</v>
      </c>
      <c r="F2" s="10">
        <f>2*PI()/(24.47*24*60*60)</f>
        <v>2.9718860713702663E-6</v>
      </c>
      <c r="G2" s="10">
        <v>0</v>
      </c>
      <c r="H2" s="2">
        <f>E2*F2</f>
        <v>1.1434627008966524E+42</v>
      </c>
      <c r="I2" s="7">
        <f>B2*D2^2*G2</f>
        <v>0</v>
      </c>
      <c r="J2" s="2">
        <f>H2+I2</f>
        <v>1.1434627008966524E+42</v>
      </c>
    </row>
    <row r="3" spans="1:10" x14ac:dyDescent="0.2">
      <c r="A3" s="2" t="s">
        <v>4</v>
      </c>
      <c r="B3" s="7">
        <f>3.3011*10^(23)</f>
        <v>3.3010999999999995E+23</v>
      </c>
      <c r="C3" s="7">
        <f>2440000</f>
        <v>2440000</v>
      </c>
      <c r="D3" s="7">
        <f>57909050000</f>
        <v>57909050000</v>
      </c>
      <c r="E3" s="7">
        <f t="shared" ref="E3:E10" si="0">(0.4)*B3*C3^2</f>
        <v>7.861371584E+35</v>
      </c>
      <c r="F3" s="10">
        <f>(2*PI())/(1408*60*60)</f>
        <v>1.2395804346550636E-6</v>
      </c>
      <c r="G3" s="10">
        <f>(2*PI())/(88*24*60*60)</f>
        <v>8.2638695643670906E-7</v>
      </c>
      <c r="H3" s="2">
        <f t="shared" ref="H3:H10" si="1">E3*F3</f>
        <v>9.7448024050796859E+29</v>
      </c>
      <c r="I3" s="7">
        <f t="shared" ref="I3:I10" si="2">B3*D3^2*G3</f>
        <v>9.1481866110166861E+38</v>
      </c>
      <c r="J3" s="2">
        <f t="shared" ref="J3:J10" si="3">H3+I3</f>
        <v>9.1481866207614881E+38</v>
      </c>
    </row>
    <row r="4" spans="1:10" x14ac:dyDescent="0.2">
      <c r="A4" s="2" t="s">
        <v>5</v>
      </c>
      <c r="B4" s="7">
        <f>4.8675*10^(24)</f>
        <v>4.8674999999999993E+24</v>
      </c>
      <c r="C4" s="7">
        <f>6052000</f>
        <v>6052000</v>
      </c>
      <c r="D4" s="7">
        <f>108208000000</f>
        <v>108208000000</v>
      </c>
      <c r="E4" s="7">
        <f t="shared" si="0"/>
        <v>7.1312192687999993E+37</v>
      </c>
      <c r="F4" s="10">
        <f>(2*PI())/(5832*60*60)</f>
        <v>2.9926770438860245E-7</v>
      </c>
      <c r="G4" s="10">
        <f>(2*PI())/(225*24*60*60)</f>
        <v>3.2320912073969066E-7</v>
      </c>
      <c r="H4" s="2">
        <f t="shared" si="1"/>
        <v>2.1341436200655438E+31</v>
      </c>
      <c r="I4" s="7">
        <f t="shared" si="2"/>
        <v>1.8420792399340721E+40</v>
      </c>
      <c r="J4" s="2">
        <f t="shared" si="3"/>
        <v>1.8420792420682157E+40</v>
      </c>
    </row>
    <row r="5" spans="1:10" x14ac:dyDescent="0.2">
      <c r="A5" s="2" t="s">
        <v>6</v>
      </c>
      <c r="B5" s="7">
        <f>5.97237*10^(24)</f>
        <v>5.9723699999999995E+24</v>
      </c>
      <c r="C5" s="7">
        <v>6371000</v>
      </c>
      <c r="D5" s="7">
        <f>149598023000</f>
        <v>149598023000</v>
      </c>
      <c r="E5" s="7">
        <f t="shared" si="0"/>
        <v>9.6966541687667995E+37</v>
      </c>
      <c r="F5" s="10">
        <f>(2*PI())/(24*60*60)</f>
        <v>7.2722052166430395E-5</v>
      </c>
      <c r="G5" s="10">
        <f>(2*PI())/(365*24*60*60)</f>
        <v>1.9923849908611068E-7</v>
      </c>
      <c r="H5" s="2">
        <f t="shared" si="1"/>
        <v>7.05160590300894E+33</v>
      </c>
      <c r="I5" s="7">
        <f t="shared" si="2"/>
        <v>2.6630031188203362E+40</v>
      </c>
      <c r="J5" s="2">
        <f t="shared" si="3"/>
        <v>2.6630038239809267E+40</v>
      </c>
    </row>
    <row r="6" spans="1:10" x14ac:dyDescent="0.2">
      <c r="A6" s="2" t="s">
        <v>7</v>
      </c>
      <c r="B6" s="7">
        <f>6.471*10^23</f>
        <v>6.4709999999999998E+23</v>
      </c>
      <c r="C6" s="7">
        <f>3389000</f>
        <v>3389000</v>
      </c>
      <c r="D6" s="7">
        <f>227939200000</f>
        <v>227939200000</v>
      </c>
      <c r="E6" s="7">
        <f t="shared" si="0"/>
        <v>2.9728604876400003E+36</v>
      </c>
      <c r="F6" s="10">
        <f>(2*PI())/(25*60*60)</f>
        <v>6.9813170079773186E-5</v>
      </c>
      <c r="G6" s="10">
        <f>(2*PI())/(687*24*60*60)</f>
        <v>1.0585451552609955E-7</v>
      </c>
      <c r="H6" s="2">
        <f t="shared" si="1"/>
        <v>2.0754481484704879E+32</v>
      </c>
      <c r="I6" s="7">
        <f t="shared" si="2"/>
        <v>3.5589249357224653E+39</v>
      </c>
      <c r="J6" s="2">
        <f t="shared" si="3"/>
        <v>3.5589251432672801E+39</v>
      </c>
    </row>
    <row r="7" spans="1:10" x14ac:dyDescent="0.2">
      <c r="A7" s="2" t="s">
        <v>8</v>
      </c>
      <c r="B7" s="7">
        <f>1.8982*10^(27)</f>
        <v>1.8982000000000001E+27</v>
      </c>
      <c r="C7" s="7">
        <f>69911000</f>
        <v>69911000</v>
      </c>
      <c r="D7" s="7">
        <f>778.57*10^(9)</f>
        <v>778570000000</v>
      </c>
      <c r="E7" s="7">
        <f t="shared" si="0"/>
        <v>3.7110173854568805E+42</v>
      </c>
      <c r="F7" s="10">
        <f>(2*PI())/(10*60*60)</f>
        <v>1.7453292519943294E-4</v>
      </c>
      <c r="G7" s="10">
        <f>(2*PI())/(12*365*24*60*60)</f>
        <v>1.6603208257175889E-8</v>
      </c>
      <c r="H7" s="2">
        <f t="shared" si="1"/>
        <v>6.4769471974974088E+38</v>
      </c>
      <c r="I7" s="7">
        <f t="shared" si="2"/>
        <v>1.9104220197960454E+43</v>
      </c>
      <c r="J7" s="2">
        <f t="shared" si="3"/>
        <v>1.9104867892680203E+43</v>
      </c>
    </row>
    <row r="8" spans="1:10" x14ac:dyDescent="0.2">
      <c r="A8" s="2" t="s">
        <v>9</v>
      </c>
      <c r="B8" s="7">
        <f>5.6834*10^(26)</f>
        <v>5.6834000000000003E+26</v>
      </c>
      <c r="C8" s="7">
        <f>58232000</f>
        <v>58232000</v>
      </c>
      <c r="D8" s="7">
        <f>1433.53*10^(9)</f>
        <v>1433530000000</v>
      </c>
      <c r="E8" s="7">
        <f t="shared" si="0"/>
        <v>7.708886065648641E+41</v>
      </c>
      <c r="F8" s="10">
        <f>(2*PI())/(11*60*60)</f>
        <v>1.5866629563584815E-4</v>
      </c>
      <c r="G8" s="10">
        <f>(2*PI())/(11000*24*60*60)</f>
        <v>6.6110956514936726E-9</v>
      </c>
      <c r="H8" s="2">
        <f t="shared" si="1"/>
        <v>1.2231403955152776E+38</v>
      </c>
      <c r="I8" s="7">
        <f t="shared" si="2"/>
        <v>7.7213854998746359E+42</v>
      </c>
      <c r="J8" s="2">
        <f t="shared" si="3"/>
        <v>7.7215078139141875E+42</v>
      </c>
    </row>
    <row r="9" spans="1:10" x14ac:dyDescent="0.2">
      <c r="A9" s="2" t="s">
        <v>10</v>
      </c>
      <c r="B9" s="7">
        <f>8.681*10^(25)</f>
        <v>8.6810000000000007E+25</v>
      </c>
      <c r="C9" s="7">
        <f>25362000</f>
        <v>25362000</v>
      </c>
      <c r="D9" s="7">
        <f>2875.04*10^(9)</f>
        <v>2875040000000</v>
      </c>
      <c r="E9" s="7">
        <f t="shared" si="0"/>
        <v>2.2335554771856002E+40</v>
      </c>
      <c r="F9" s="10">
        <f>(2*PI())/(17*60*60)</f>
        <v>1.0266642658790173E-4</v>
      </c>
      <c r="G9" s="10">
        <f>(2*PI())/(31000*24*60*60)</f>
        <v>2.345872650530013E-9</v>
      </c>
      <c r="H9" s="2">
        <f t="shared" si="1"/>
        <v>2.2931115942848123E+36</v>
      </c>
      <c r="I9" s="7">
        <f t="shared" si="2"/>
        <v>1.6833017345860285E+42</v>
      </c>
      <c r="J9" s="2">
        <f t="shared" si="3"/>
        <v>1.6833040276976229E+42</v>
      </c>
    </row>
    <row r="10" spans="1:10" x14ac:dyDescent="0.2">
      <c r="A10" s="2" t="s">
        <v>11</v>
      </c>
      <c r="B10" s="7">
        <f>1.02413*10^(26)</f>
        <v>1.0241300000000001E+26</v>
      </c>
      <c r="C10" s="7">
        <f>24622000</f>
        <v>24622000</v>
      </c>
      <c r="D10" s="7">
        <f>30.11*(149597870700)</f>
        <v>4504391886777</v>
      </c>
      <c r="E10" s="7">
        <f t="shared" si="0"/>
        <v>2.4834860991636804E+40</v>
      </c>
      <c r="F10" s="10">
        <f>(2*PI())/(17*60*60)</f>
        <v>1.0266642658790173E-4</v>
      </c>
      <c r="G10" s="10">
        <f>(2*PI())/(60200*24*60*60)</f>
        <v>1.2080075110702724E-9</v>
      </c>
      <c r="H10" s="2">
        <f t="shared" si="1"/>
        <v>2.5497064328186242E+36</v>
      </c>
      <c r="I10" s="7">
        <f t="shared" si="2"/>
        <v>2.5101348763076822E+42</v>
      </c>
      <c r="J10" s="2">
        <f t="shared" si="3"/>
        <v>2.5101374260141149E+42</v>
      </c>
    </row>
    <row r="11" spans="1:10" x14ac:dyDescent="0.2">
      <c r="A11" s="2" t="s">
        <v>17</v>
      </c>
      <c r="B11" s="8"/>
      <c r="C11" s="8"/>
      <c r="D11" s="8"/>
      <c r="E11" s="8"/>
      <c r="F11" s="8"/>
      <c r="G11" s="10"/>
      <c r="H11" s="2">
        <f>SUM(H2:H10)</f>
        <v>1.1442375597554474E+42</v>
      </c>
      <c r="I11" s="10">
        <f>SUM(I2:I10)</f>
        <v>3.1068566875913165E+43</v>
      </c>
      <c r="J11" s="4">
        <f>SUM(J2:J10)</f>
        <v>3.2212804435668616E+43</v>
      </c>
    </row>
    <row r="13" spans="1:10" x14ac:dyDescent="0.2">
      <c r="A13" s="11"/>
      <c r="B13" s="11"/>
      <c r="C13" s="11"/>
      <c r="D13" s="11"/>
      <c r="E13" s="11"/>
      <c r="F13" s="11"/>
    </row>
    <row r="14" spans="1:10" x14ac:dyDescent="0.2">
      <c r="A14" s="12"/>
      <c r="B14" s="12"/>
      <c r="C14" s="12"/>
      <c r="D14" s="12"/>
      <c r="E14" s="12"/>
      <c r="F14" s="12"/>
    </row>
    <row r="15" spans="1:10" x14ac:dyDescent="0.2">
      <c r="A15" s="12"/>
      <c r="B15" s="12"/>
      <c r="C15" s="12"/>
      <c r="D15" s="12"/>
      <c r="E15" s="12"/>
      <c r="F15" s="12"/>
    </row>
    <row r="16" spans="1:10" x14ac:dyDescent="0.2">
      <c r="A16" s="12"/>
      <c r="B16" s="12"/>
      <c r="C16" s="12"/>
      <c r="D16" s="12"/>
      <c r="E16" s="12"/>
      <c r="F16" s="12"/>
    </row>
    <row r="17" spans="1:6" x14ac:dyDescent="0.2">
      <c r="A17" s="12"/>
      <c r="B17" s="12"/>
      <c r="C17" s="12"/>
      <c r="D17" s="12"/>
      <c r="E17" s="12"/>
      <c r="F17" s="12"/>
    </row>
    <row r="18" spans="1:6" x14ac:dyDescent="0.2">
      <c r="A18" s="12"/>
      <c r="B18" s="12"/>
      <c r="C18" s="12"/>
      <c r="D18" s="12"/>
      <c r="E18" s="12"/>
      <c r="F18" s="12"/>
    </row>
    <row r="19" spans="1:6" x14ac:dyDescent="0.2">
      <c r="A19" s="12"/>
      <c r="B19" s="12"/>
      <c r="C19" s="12"/>
      <c r="D19" s="12"/>
      <c r="E19" s="12"/>
      <c r="F19" s="12"/>
    </row>
    <row r="20" spans="1:6" x14ac:dyDescent="0.2">
      <c r="A20" s="12"/>
      <c r="B20" s="12"/>
      <c r="C20" s="12"/>
      <c r="D20" s="12"/>
      <c r="E20" s="12"/>
      <c r="F20" s="12"/>
    </row>
    <row r="21" spans="1:6" x14ac:dyDescent="0.2">
      <c r="A21" s="12"/>
      <c r="B21" s="12"/>
      <c r="C21" s="12"/>
      <c r="D21" s="12"/>
      <c r="E21" s="12"/>
      <c r="F21" s="12"/>
    </row>
    <row r="22" spans="1:6" x14ac:dyDescent="0.2">
      <c r="A22" s="12"/>
      <c r="B22" s="12"/>
      <c r="C22" s="12"/>
      <c r="D22" s="12"/>
      <c r="E22" s="12"/>
      <c r="F22" s="12"/>
    </row>
    <row r="23" spans="1:6" x14ac:dyDescent="0.2">
      <c r="A23" s="12"/>
      <c r="B23" s="12"/>
      <c r="C23" s="12"/>
      <c r="D23" s="12"/>
      <c r="E23" s="12"/>
      <c r="F23" s="1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Problem 4</vt:lpstr>
      <vt:lpstr>Problem 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Larrechea, Taylor J</dc:creator>
  <cp:lastModifiedBy>zippytato@gmail.com</cp:lastModifiedBy>
  <dcterms:created xsi:type="dcterms:W3CDTF">2018-11-26T16:28:33Z</dcterms:created>
  <dcterms:modified xsi:type="dcterms:W3CDTF">2018-11-27T04:45:50Z</dcterms:modified>
</cp:coreProperties>
</file>