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/>
  <mc:AlternateContent xmlns:mc="http://schemas.openxmlformats.org/markup-compatibility/2006">
    <mc:Choice Requires="x15">
      <x15ac:absPath xmlns:x15ac="http://schemas.microsoft.com/office/spreadsheetml/2010/11/ac" url="/Users/Tate/Documents/School/MATH 365/365 Projects/"/>
    </mc:Choice>
  </mc:AlternateContent>
  <xr:revisionPtr revIDLastSave="0" documentId="13_ncr:1_{0194A0BE-F2B9-154D-A648-4949A67FBA97}" xr6:coauthVersionLast="31" xr6:coauthVersionMax="31" xr10:uidLastSave="{00000000-0000-0000-0000-000000000000}"/>
  <bookViews>
    <workbookView xWindow="0" yWindow="460" windowWidth="25600" windowHeight="14440" xr2:uid="{00000000-000D-0000-FFFF-FFFF00000000}"/>
  </bookViews>
  <sheets>
    <sheet name="PikesPeak" sheetId="1" r:id="rId1"/>
    <sheet name="Toll Road Route" sheetId="3" r:id="rId2"/>
    <sheet name="Barr Trail Route" sheetId="4" r:id="rId3"/>
    <sheet name="Devils Garden Route" sheetId="2" r:id="rId4"/>
  </sheets>
  <definedNames>
    <definedName name="_xlnm.Print_Area" localSheetId="0">PikesPeak!$A$1:$AF$48</definedName>
  </definedNames>
  <calcPr calcId="179017"/>
</workbook>
</file>

<file path=xl/calcChain.xml><?xml version="1.0" encoding="utf-8"?>
<calcChain xmlns="http://schemas.openxmlformats.org/spreadsheetml/2006/main">
  <c r="J53" i="3" l="1"/>
  <c r="I53" i="3"/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10" i="4"/>
  <c r="G11" i="4"/>
  <c r="G9" i="4"/>
  <c r="G8" i="4"/>
  <c r="G7" i="4"/>
  <c r="G6" i="4"/>
  <c r="F53" i="3" l="1"/>
  <c r="E76" i="3"/>
  <c r="F76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F58" i="3" s="1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E67" i="3" s="1"/>
  <c r="F67" i="3" s="1"/>
  <c r="D68" i="3"/>
  <c r="E68" i="3" s="1"/>
  <c r="F68" i="3" s="1"/>
  <c r="D69" i="3"/>
  <c r="E69" i="3" s="1"/>
  <c r="F69" i="3" s="1"/>
  <c r="D70" i="3"/>
  <c r="E70" i="3" s="1"/>
  <c r="F70" i="3" s="1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75" i="3"/>
  <c r="E75" i="3" s="1"/>
  <c r="F75" i="3" s="1"/>
  <c r="D76" i="3"/>
  <c r="D77" i="3"/>
  <c r="E77" i="3" s="1"/>
  <c r="F77" i="3" s="1"/>
  <c r="D78" i="3"/>
  <c r="E78" i="3" s="1"/>
  <c r="F78" i="3" s="1"/>
  <c r="D79" i="3"/>
  <c r="E79" i="3" s="1"/>
  <c r="F79" i="3" s="1"/>
  <c r="D80" i="3"/>
  <c r="E80" i="3" s="1"/>
  <c r="F80" i="3" s="1"/>
  <c r="D81" i="3"/>
  <c r="E81" i="3" s="1"/>
  <c r="F81" i="3" s="1"/>
  <c r="D82" i="3"/>
  <c r="E82" i="3" s="1"/>
  <c r="F82" i="3" s="1"/>
  <c r="D83" i="3"/>
  <c r="E83" i="3" s="1"/>
  <c r="F83" i="3" s="1"/>
  <c r="D84" i="3"/>
  <c r="E84" i="3" s="1"/>
  <c r="F84" i="3" s="1"/>
  <c r="D54" i="3"/>
  <c r="E54" i="3" s="1"/>
  <c r="F54" i="3" s="1"/>
  <c r="D53" i="3"/>
  <c r="K57" i="3" l="1"/>
  <c r="K61" i="3"/>
  <c r="K65" i="3"/>
  <c r="K69" i="3"/>
  <c r="K73" i="3"/>
  <c r="K77" i="3"/>
  <c r="K81" i="3"/>
  <c r="K53" i="3"/>
  <c r="K74" i="3"/>
  <c r="K82" i="3"/>
  <c r="K60" i="3"/>
  <c r="K72" i="3"/>
  <c r="K84" i="3"/>
  <c r="K85" i="3" s="1"/>
  <c r="K54" i="3"/>
  <c r="K58" i="3"/>
  <c r="K62" i="3"/>
  <c r="K66" i="3"/>
  <c r="K70" i="3"/>
  <c r="K78" i="3"/>
  <c r="K56" i="3"/>
  <c r="K76" i="3"/>
  <c r="K55" i="3"/>
  <c r="K59" i="3"/>
  <c r="K63" i="3"/>
  <c r="K67" i="3"/>
  <c r="K71" i="3"/>
  <c r="K75" i="3"/>
  <c r="K79" i="3"/>
  <c r="K83" i="3"/>
  <c r="K64" i="3"/>
  <c r="K68" i="3"/>
  <c r="K80" i="3"/>
  <c r="G54" i="3"/>
  <c r="H54" i="3"/>
  <c r="H73" i="3"/>
  <c r="G73" i="3"/>
  <c r="H65" i="3"/>
  <c r="G65" i="3"/>
  <c r="H57" i="3"/>
  <c r="G57" i="3"/>
  <c r="G74" i="3"/>
  <c r="H74" i="3"/>
  <c r="G58" i="3"/>
  <c r="H58" i="3"/>
  <c r="H80" i="3"/>
  <c r="G80" i="3"/>
  <c r="H72" i="3"/>
  <c r="G72" i="3"/>
  <c r="H64" i="3"/>
  <c r="G64" i="3"/>
  <c r="H56" i="3"/>
  <c r="G56" i="3"/>
  <c r="G84" i="3"/>
  <c r="H84" i="3"/>
  <c r="H76" i="3"/>
  <c r="G76" i="3"/>
  <c r="H68" i="3"/>
  <c r="G68" i="3"/>
  <c r="H60" i="3"/>
  <c r="G60" i="3"/>
  <c r="H81" i="3"/>
  <c r="G81" i="3"/>
  <c r="H77" i="3"/>
  <c r="G77" i="3"/>
  <c r="H69" i="3"/>
  <c r="G69" i="3"/>
  <c r="H61" i="3"/>
  <c r="G61" i="3"/>
  <c r="G82" i="3"/>
  <c r="H82" i="3"/>
  <c r="G66" i="3"/>
  <c r="H66" i="3"/>
  <c r="H83" i="3"/>
  <c r="G83" i="3"/>
  <c r="H79" i="3"/>
  <c r="G79" i="3"/>
  <c r="H75" i="3"/>
  <c r="G75" i="3"/>
  <c r="H71" i="3"/>
  <c r="G71" i="3"/>
  <c r="H67" i="3"/>
  <c r="G67" i="3"/>
  <c r="H63" i="3"/>
  <c r="G63" i="3"/>
  <c r="H59" i="3"/>
  <c r="G59" i="3"/>
  <c r="H55" i="3"/>
  <c r="G55" i="3"/>
  <c r="G78" i="3"/>
  <c r="H78" i="3"/>
  <c r="G70" i="3"/>
  <c r="H70" i="3"/>
  <c r="G62" i="3"/>
  <c r="H62" i="3"/>
  <c r="H48" i="1"/>
  <c r="H49" i="1"/>
  <c r="K49" i="1" s="1"/>
  <c r="H50" i="1"/>
  <c r="K50" i="1" s="1"/>
  <c r="H51" i="1"/>
  <c r="K51" i="1" s="1"/>
  <c r="H52" i="1"/>
  <c r="H53" i="1"/>
  <c r="K53" i="1" s="1"/>
  <c r="H54" i="1"/>
  <c r="K54" i="1" s="1"/>
  <c r="H55" i="1"/>
  <c r="K55" i="1" s="1"/>
  <c r="H56" i="1"/>
  <c r="H57" i="1"/>
  <c r="K57" i="1" s="1"/>
  <c r="H47" i="1"/>
  <c r="K48" i="1"/>
  <c r="K52" i="1"/>
  <c r="K56" i="1"/>
  <c r="K47" i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47" i="1"/>
  <c r="J47" i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47" i="1"/>
  <c r="I47" i="1" s="1"/>
  <c r="K31" i="1"/>
  <c r="K35" i="1"/>
  <c r="J28" i="1"/>
  <c r="J32" i="1"/>
  <c r="J36" i="1"/>
  <c r="I29" i="1"/>
  <c r="I33" i="1"/>
  <c r="I37" i="1"/>
  <c r="H28" i="1"/>
  <c r="K28" i="1" s="1"/>
  <c r="H29" i="1"/>
  <c r="K29" i="1" s="1"/>
  <c r="H30" i="1"/>
  <c r="K30" i="1" s="1"/>
  <c r="H31" i="1"/>
  <c r="H32" i="1"/>
  <c r="K32" i="1" s="1"/>
  <c r="H33" i="1"/>
  <c r="K33" i="1" s="1"/>
  <c r="H34" i="1"/>
  <c r="K34" i="1" s="1"/>
  <c r="H35" i="1"/>
  <c r="H36" i="1"/>
  <c r="K36" i="1" s="1"/>
  <c r="H37" i="1"/>
  <c r="K37" i="1" s="1"/>
  <c r="H27" i="1"/>
  <c r="K27" i="1" s="1"/>
  <c r="G28" i="1"/>
  <c r="G29" i="1"/>
  <c r="J29" i="1" s="1"/>
  <c r="G30" i="1"/>
  <c r="J30" i="1" s="1"/>
  <c r="G31" i="1"/>
  <c r="J31" i="1" s="1"/>
  <c r="G32" i="1"/>
  <c r="G33" i="1"/>
  <c r="J33" i="1" s="1"/>
  <c r="G34" i="1"/>
  <c r="J34" i="1" s="1"/>
  <c r="G35" i="1"/>
  <c r="J35" i="1" s="1"/>
  <c r="G36" i="1"/>
  <c r="G37" i="1"/>
  <c r="J37" i="1" s="1"/>
  <c r="G27" i="1"/>
  <c r="J27" i="1" s="1"/>
  <c r="F28" i="1"/>
  <c r="I28" i="1" s="1"/>
  <c r="F29" i="1"/>
  <c r="F30" i="1"/>
  <c r="I30" i="1" s="1"/>
  <c r="F31" i="1"/>
  <c r="I31" i="1" s="1"/>
  <c r="F32" i="1"/>
  <c r="I32" i="1" s="1"/>
  <c r="F33" i="1"/>
  <c r="F34" i="1"/>
  <c r="I34" i="1" s="1"/>
  <c r="F35" i="1"/>
  <c r="I35" i="1" s="1"/>
  <c r="F36" i="1"/>
  <c r="I36" i="1" s="1"/>
  <c r="F37" i="1"/>
  <c r="F27" i="1"/>
  <c r="I27" i="1" s="1"/>
  <c r="J56" i="3" l="1"/>
  <c r="J60" i="3"/>
  <c r="J64" i="3"/>
  <c r="J68" i="3"/>
  <c r="J72" i="3"/>
  <c r="J76" i="3"/>
  <c r="J80" i="3"/>
  <c r="J84" i="3"/>
  <c r="J85" i="3" s="1"/>
  <c r="J57" i="3"/>
  <c r="J61" i="3"/>
  <c r="J69" i="3"/>
  <c r="J73" i="3"/>
  <c r="J77" i="3"/>
  <c r="J58" i="3"/>
  <c r="J78" i="3"/>
  <c r="J63" i="3"/>
  <c r="J71" i="3"/>
  <c r="J83" i="3"/>
  <c r="J65" i="3"/>
  <c r="J81" i="3"/>
  <c r="J66" i="3"/>
  <c r="J74" i="3"/>
  <c r="J82" i="3"/>
  <c r="J55" i="3"/>
  <c r="J67" i="3"/>
  <c r="J79" i="3"/>
  <c r="J54" i="3"/>
  <c r="J62" i="3"/>
  <c r="J70" i="3"/>
  <c r="J59" i="3"/>
  <c r="J75" i="3"/>
  <c r="I62" i="3"/>
  <c r="I66" i="3"/>
  <c r="I70" i="3"/>
  <c r="I74" i="3"/>
  <c r="I78" i="3"/>
  <c r="I82" i="3"/>
  <c r="I59" i="3"/>
  <c r="I54" i="3"/>
  <c r="I79" i="3"/>
  <c r="I55" i="3"/>
  <c r="I64" i="3"/>
  <c r="I80" i="3"/>
  <c r="I65" i="3"/>
  <c r="I77" i="3"/>
  <c r="I63" i="3"/>
  <c r="I67" i="3"/>
  <c r="I71" i="3"/>
  <c r="I75" i="3"/>
  <c r="I83" i="3"/>
  <c r="I60" i="3"/>
  <c r="I68" i="3"/>
  <c r="I76" i="3"/>
  <c r="I84" i="3"/>
  <c r="I85" i="3" s="1"/>
  <c r="I69" i="3"/>
  <c r="I58" i="3"/>
  <c r="I72" i="3"/>
  <c r="I56" i="3"/>
  <c r="I61" i="3"/>
  <c r="I73" i="3"/>
  <c r="I81" i="3"/>
  <c r="I57" i="3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C4" i="2"/>
  <c r="C5" i="2"/>
  <c r="C6" i="2"/>
  <c r="D6" i="2" s="1"/>
  <c r="E6" i="2" s="1"/>
  <c r="C7" i="2"/>
  <c r="C8" i="2"/>
  <c r="D8" i="2" s="1"/>
  <c r="E8" i="2" s="1"/>
  <c r="C9" i="2"/>
  <c r="D9" i="2" s="1"/>
  <c r="E9" i="2" s="1"/>
  <c r="C10" i="2"/>
  <c r="D10" i="2" s="1"/>
  <c r="E10" i="2" s="1"/>
  <c r="C11" i="2"/>
  <c r="C12" i="2"/>
  <c r="D12" i="2" s="1"/>
  <c r="E12" i="2" s="1"/>
  <c r="C13" i="2"/>
  <c r="D13" i="2" s="1"/>
  <c r="E13" i="2" s="1"/>
  <c r="C14" i="2"/>
  <c r="D14" i="2" s="1"/>
  <c r="E14" i="2" s="1"/>
  <c r="C15" i="2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B85" i="3"/>
  <c r="D85" i="3"/>
  <c r="G85" i="3"/>
  <c r="H85" i="3"/>
  <c r="D5" i="2" l="1"/>
  <c r="D15" i="2"/>
  <c r="E15" i="2" s="1"/>
  <c r="D11" i="2"/>
  <c r="E11" i="2" s="1"/>
  <c r="D7" i="2"/>
  <c r="E7" i="2" s="1"/>
  <c r="E5" i="2"/>
  <c r="D16" i="2" l="1"/>
  <c r="E16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</calcChain>
</file>

<file path=xl/sharedStrings.xml><?xml version="1.0" encoding="utf-8"?>
<sst xmlns="http://schemas.openxmlformats.org/spreadsheetml/2006/main" count="79" uniqueCount="47">
  <si>
    <t>120 lbs</t>
  </si>
  <si>
    <t>180 lbs</t>
  </si>
  <si>
    <t>200 lbs</t>
  </si>
  <si>
    <t>220 lbs</t>
  </si>
  <si>
    <t>100 lbs</t>
  </si>
  <si>
    <t>140 lbs</t>
  </si>
  <si>
    <t>160 lbs</t>
  </si>
  <si>
    <t>Angle of Inclination (Degrees)</t>
  </si>
  <si>
    <t>Weight</t>
  </si>
  <si>
    <t>Table 1: Table of kilocalories/kilometer by different weights of subject and angles of inclination</t>
  </si>
  <si>
    <t>Table 2: Table of kilometers/hour for a comfortable walk by different weights of subject and angles of inclination</t>
  </si>
  <si>
    <t>Segment</t>
  </si>
  <si>
    <t xml:space="preserve"> Distance (km)</t>
  </si>
  <si>
    <t>Cumulative Distance (km)</t>
  </si>
  <si>
    <t>Incline (Degrees)</t>
  </si>
  <si>
    <t>Energy Expended (kcal)</t>
  </si>
  <si>
    <t>Time (hours)</t>
  </si>
  <si>
    <t>Elevation Change / Distance Change</t>
  </si>
  <si>
    <t>0</t>
  </si>
  <si>
    <t>Elevation (ft)</t>
  </si>
  <si>
    <t>Sum</t>
  </si>
  <si>
    <t>Cumulative Horizontal Distance (miles)</t>
  </si>
  <si>
    <t>Cumulative Horizontal Distance (feet)</t>
  </si>
  <si>
    <t xml:space="preserve"> Estimated Segment Distance (feet)</t>
  </si>
  <si>
    <t xml:space="preserve"> Estimated Segment Distance (km)</t>
  </si>
  <si>
    <t xml:space="preserve"> Estimated Cumulative Distance (km)</t>
  </si>
  <si>
    <t>Elevation (m)</t>
  </si>
  <si>
    <t xml:space="preserve"> Cumulative Distance (km)</t>
  </si>
  <si>
    <t xml:space="preserve"> Cumulative Distance (miles)</t>
  </si>
  <si>
    <t>Toll Road Route</t>
  </si>
  <si>
    <t>Barr Trail Route</t>
  </si>
  <si>
    <t>Elevation Change (km)</t>
  </si>
  <si>
    <t>Devils Garden Route</t>
  </si>
  <si>
    <t>Devils Garden Route - Elevation Profile</t>
  </si>
  <si>
    <t>Angle</t>
  </si>
  <si>
    <t>120 Model</t>
  </si>
  <si>
    <t>160 Model</t>
  </si>
  <si>
    <t>180 Model</t>
  </si>
  <si>
    <t>120 Model PRE</t>
  </si>
  <si>
    <t>160 Model PRE</t>
  </si>
  <si>
    <t>180 Model PRE</t>
  </si>
  <si>
    <t>Change in Elevation (km)</t>
  </si>
  <si>
    <t>Running Energy Expended</t>
  </si>
  <si>
    <t>Running Time</t>
  </si>
  <si>
    <t>Running Elevation</t>
  </si>
  <si>
    <t>Running Time (hrs)</t>
  </si>
  <si>
    <t>Running Energy Expended (kcals)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</si>
</sst>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6">
    <font>
      <sz val="10"/>
      <name val="Helv"/>
    </font>
    <font>
      <b/>
      <sz val="10"/>
      <name val="Helv"/>
    </font>
    <font>
      <b/>
      <sz val="12"/>
      <name val="Times New Roman"/>
      <family val="1"/>
    </font>
    <font>
      <sz val="10"/>
      <name val="Helv"/>
    </font>
    <font>
      <b/>
      <sz val="10"/>
      <name val="Times New Roman"/>
      <family val="1"/>
    </font>
    <font>
      <b/>
      <sz val="9"/>
      <name val="Helv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/>
    <xf numFmtId="0" fontId="0" fillId="0" borderId="12" xfId="0" applyBorder="1" applyAlignment="1">
      <alignment horizontal="center"/>
    </xf>
    <xf numFmtId="49" fontId="1" fillId="0" borderId="9" xfId="0" applyNumberFormat="1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5" fontId="3" fillId="0" borderId="9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1" fontId="0" fillId="0" borderId="9" xfId="0" applyNumberFormat="1" applyBorder="1" applyAlignment="1">
      <alignment horizontal="center"/>
    </xf>
    <xf numFmtId="1" fontId="3" fillId="0" borderId="9" xfId="0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1" fontId="1" fillId="0" borderId="9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0" xfId="0" applyNumberFormat="1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 wrapText="1"/>
    </xf>
    <xf numFmtId="164" fontId="0" fillId="0" borderId="0" xfId="0" applyNumberFormat="1"/>
    <xf numFmtId="2" fontId="1" fillId="0" borderId="9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1" fontId="0" fillId="0" borderId="9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166" fontId="0" fillId="0" borderId="9" xfId="0" applyNumberFormat="1" applyBorder="1" applyAlignment="1">
      <alignment horizontal="center"/>
    </xf>
    <xf numFmtId="0" fontId="4" fillId="0" borderId="9" xfId="0" applyFont="1" applyFill="1" applyBorder="1" applyAlignment="1">
      <alignment horizontal="center" wrapText="1"/>
    </xf>
    <xf numFmtId="2" fontId="1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1" fontId="1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Kilo Calories/ Kilo Meter vs. Angle of Inclination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PikesPeak!$C$26</c:f>
              <c:strCache>
                <c:ptCount val="1"/>
                <c:pt idx="0">
                  <c:v>120 lbs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PikesPeak!$B$27:$B$37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PikesPeak!$C$27:$C$37</c:f>
              <c:numCache>
                <c:formatCode>0.00</c:formatCode>
                <c:ptCount val="11"/>
                <c:pt idx="0">
                  <c:v>56.78</c:v>
                </c:pt>
                <c:pt idx="1">
                  <c:v>86.69</c:v>
                </c:pt>
                <c:pt idx="2">
                  <c:v>125.06</c:v>
                </c:pt>
                <c:pt idx="3">
                  <c:v>168.72</c:v>
                </c:pt>
                <c:pt idx="4">
                  <c:v>215.73</c:v>
                </c:pt>
                <c:pt idx="5">
                  <c:v>265.26</c:v>
                </c:pt>
                <c:pt idx="6">
                  <c:v>317.09370999999999</c:v>
                </c:pt>
                <c:pt idx="7">
                  <c:v>371.28</c:v>
                </c:pt>
                <c:pt idx="8">
                  <c:v>428.09</c:v>
                </c:pt>
                <c:pt idx="9">
                  <c:v>487.91</c:v>
                </c:pt>
                <c:pt idx="10">
                  <c:v>551.22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3-1F48-A632-3B73E8F1ABCD}"/>
            </c:ext>
          </c:extLst>
        </c:ser>
        <c:ser>
          <c:idx val="1"/>
          <c:order val="1"/>
          <c:tx>
            <c:strRef>
              <c:f>PikesPeak!$D$26</c:f>
              <c:strCache>
                <c:ptCount val="1"/>
                <c:pt idx="0">
                  <c:v>160 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PikesPeak!$B$27:$B$37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PikesPeak!$D$27:$D$37</c:f>
              <c:numCache>
                <c:formatCode>0.00</c:formatCode>
                <c:ptCount val="11"/>
                <c:pt idx="0">
                  <c:v>66.739999999999995</c:v>
                </c:pt>
                <c:pt idx="1">
                  <c:v>109.18</c:v>
                </c:pt>
                <c:pt idx="2">
                  <c:v>164.27</c:v>
                </c:pt>
                <c:pt idx="3">
                  <c:v>226.37</c:v>
                </c:pt>
                <c:pt idx="4">
                  <c:v>292.61</c:v>
                </c:pt>
                <c:pt idx="5">
                  <c:v>361.98</c:v>
                </c:pt>
                <c:pt idx="6">
                  <c:v>434.28509000000003</c:v>
                </c:pt>
                <c:pt idx="7">
                  <c:v>509.68</c:v>
                </c:pt>
                <c:pt idx="8">
                  <c:v>588.59</c:v>
                </c:pt>
                <c:pt idx="9">
                  <c:v>671.57</c:v>
                </c:pt>
                <c:pt idx="10">
                  <c:v>759.31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3-1F48-A632-3B73E8F1ABCD}"/>
            </c:ext>
          </c:extLst>
        </c:ser>
        <c:ser>
          <c:idx val="2"/>
          <c:order val="2"/>
          <c:tx>
            <c:strRef>
              <c:f>PikesPeak!$E$26</c:f>
              <c:strCache>
                <c:ptCount val="1"/>
                <c:pt idx="0">
                  <c:v>180 lbs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PikesPeak!$B$27:$B$37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PikesPeak!$E$27:$E$37</c:f>
              <c:numCache>
                <c:formatCode>0.00</c:formatCode>
                <c:ptCount val="11"/>
                <c:pt idx="0">
                  <c:v>72.069999999999993</c:v>
                </c:pt>
                <c:pt idx="1">
                  <c:v>122.26</c:v>
                </c:pt>
                <c:pt idx="2">
                  <c:v>187.66</c:v>
                </c:pt>
                <c:pt idx="3">
                  <c:v>260.98</c:v>
                </c:pt>
                <c:pt idx="4">
                  <c:v>338.86</c:v>
                </c:pt>
                <c:pt idx="5">
                  <c:v>420.21</c:v>
                </c:pt>
                <c:pt idx="6">
                  <c:v>504.85593</c:v>
                </c:pt>
                <c:pt idx="7">
                  <c:v>593.04</c:v>
                </c:pt>
                <c:pt idx="8">
                  <c:v>685.26</c:v>
                </c:pt>
                <c:pt idx="9">
                  <c:v>782.19</c:v>
                </c:pt>
                <c:pt idx="10">
                  <c:v>884.65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3-1F48-A632-3B73E8F1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87"/>
        <c:axId val="406340383"/>
      </c:scatterChart>
      <c:valAx>
        <c:axId val="40633868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Angle of 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0383"/>
        <c:crosses val="autoZero"/>
        <c:crossBetween val="midCat"/>
      </c:valAx>
      <c:valAx>
        <c:axId val="406340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Kilo Calories/ Kilo 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Kilo Calories/ Kilo Meter vs. Angle of Inclination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PikesPeak!$C$26</c:f>
              <c:strCache>
                <c:ptCount val="1"/>
                <c:pt idx="0">
                  <c:v>120 lbs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073600174978129"/>
                  <c:y val="-0.18315580344123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PikesPeak!$B$27:$B$37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PikesPeak!$C$27:$C$37</c:f>
              <c:numCache>
                <c:formatCode>0.00</c:formatCode>
                <c:ptCount val="11"/>
                <c:pt idx="0">
                  <c:v>56.78</c:v>
                </c:pt>
                <c:pt idx="1">
                  <c:v>86.69</c:v>
                </c:pt>
                <c:pt idx="2">
                  <c:v>125.06</c:v>
                </c:pt>
                <c:pt idx="3">
                  <c:v>168.72</c:v>
                </c:pt>
                <c:pt idx="4">
                  <c:v>215.73</c:v>
                </c:pt>
                <c:pt idx="5">
                  <c:v>265.26</c:v>
                </c:pt>
                <c:pt idx="6">
                  <c:v>317.09370999999999</c:v>
                </c:pt>
                <c:pt idx="7">
                  <c:v>371.28</c:v>
                </c:pt>
                <c:pt idx="8">
                  <c:v>428.09</c:v>
                </c:pt>
                <c:pt idx="9">
                  <c:v>487.91</c:v>
                </c:pt>
                <c:pt idx="10">
                  <c:v>551.22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0E-6349-B086-1A55CF85917D}"/>
            </c:ext>
          </c:extLst>
        </c:ser>
        <c:ser>
          <c:idx val="1"/>
          <c:order val="1"/>
          <c:tx>
            <c:strRef>
              <c:f>PikesPeak!$D$26</c:f>
              <c:strCache>
                <c:ptCount val="1"/>
                <c:pt idx="0">
                  <c:v>160 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51804461942257"/>
                  <c:y val="6.0820574511519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PikesPeak!$B$27:$B$37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PikesPeak!$D$27:$D$37</c:f>
              <c:numCache>
                <c:formatCode>0.00</c:formatCode>
                <c:ptCount val="11"/>
                <c:pt idx="0">
                  <c:v>66.739999999999995</c:v>
                </c:pt>
                <c:pt idx="1">
                  <c:v>109.18</c:v>
                </c:pt>
                <c:pt idx="2">
                  <c:v>164.27</c:v>
                </c:pt>
                <c:pt idx="3">
                  <c:v>226.37</c:v>
                </c:pt>
                <c:pt idx="4">
                  <c:v>292.61</c:v>
                </c:pt>
                <c:pt idx="5">
                  <c:v>361.98</c:v>
                </c:pt>
                <c:pt idx="6">
                  <c:v>434.28509000000003</c:v>
                </c:pt>
                <c:pt idx="7">
                  <c:v>509.68</c:v>
                </c:pt>
                <c:pt idx="8">
                  <c:v>588.59</c:v>
                </c:pt>
                <c:pt idx="9">
                  <c:v>671.57</c:v>
                </c:pt>
                <c:pt idx="10">
                  <c:v>759.31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0E-6349-B086-1A55CF85917D}"/>
            </c:ext>
          </c:extLst>
        </c:ser>
        <c:ser>
          <c:idx val="2"/>
          <c:order val="2"/>
          <c:tx>
            <c:strRef>
              <c:f>PikesPeak!$E$26</c:f>
              <c:strCache>
                <c:ptCount val="1"/>
                <c:pt idx="0">
                  <c:v>180 lbs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7847112860892389E-2"/>
                  <c:y val="-3.9027777777777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PikesPeak!$B$27:$B$37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PikesPeak!$E$27:$E$37</c:f>
              <c:numCache>
                <c:formatCode>0.00</c:formatCode>
                <c:ptCount val="11"/>
                <c:pt idx="0">
                  <c:v>72.069999999999993</c:v>
                </c:pt>
                <c:pt idx="1">
                  <c:v>122.26</c:v>
                </c:pt>
                <c:pt idx="2">
                  <c:v>187.66</c:v>
                </c:pt>
                <c:pt idx="3">
                  <c:v>260.98</c:v>
                </c:pt>
                <c:pt idx="4">
                  <c:v>338.86</c:v>
                </c:pt>
                <c:pt idx="5">
                  <c:v>420.21</c:v>
                </c:pt>
                <c:pt idx="6">
                  <c:v>504.85593</c:v>
                </c:pt>
                <c:pt idx="7">
                  <c:v>593.04</c:v>
                </c:pt>
                <c:pt idx="8">
                  <c:v>685.26</c:v>
                </c:pt>
                <c:pt idx="9">
                  <c:v>782.19</c:v>
                </c:pt>
                <c:pt idx="10">
                  <c:v>884.65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0E-6349-B086-1A55CF859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87"/>
        <c:axId val="406340383"/>
      </c:scatterChart>
      <c:valAx>
        <c:axId val="40633868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Angle of 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0383"/>
        <c:crosses val="autoZero"/>
        <c:crossBetween val="midCat"/>
      </c:valAx>
      <c:valAx>
        <c:axId val="406340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Kilo Calories/ Kilo 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Kilometers/ Hour vs. Angle of Inclination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PikesPeak!$C$46</c:f>
              <c:strCache>
                <c:ptCount val="1"/>
                <c:pt idx="0">
                  <c:v>120 lbs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PikesPeak!$B$47:$B$57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PikesPeak!$C$47:$C$57</c:f>
              <c:numCache>
                <c:formatCode>0.00</c:formatCode>
                <c:ptCount val="11"/>
                <c:pt idx="0">
                  <c:v>5.05</c:v>
                </c:pt>
                <c:pt idx="1">
                  <c:v>3.31</c:v>
                </c:pt>
                <c:pt idx="2">
                  <c:v>2.29</c:v>
                </c:pt>
                <c:pt idx="3">
                  <c:v>1.7</c:v>
                </c:pt>
                <c:pt idx="4">
                  <c:v>1.33</c:v>
                </c:pt>
                <c:pt idx="5">
                  <c:v>1.08</c:v>
                </c:pt>
                <c:pt idx="6">
                  <c:v>0.9</c:v>
                </c:pt>
                <c:pt idx="7">
                  <c:v>0.77</c:v>
                </c:pt>
                <c:pt idx="8">
                  <c:v>0.67</c:v>
                </c:pt>
                <c:pt idx="9">
                  <c:v>0.59</c:v>
                </c:pt>
                <c:pt idx="10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7944-BC84-D087B2EDA95E}"/>
            </c:ext>
          </c:extLst>
        </c:ser>
        <c:ser>
          <c:idx val="1"/>
          <c:order val="1"/>
          <c:tx>
            <c:strRef>
              <c:f>PikesPeak!$D$46</c:f>
              <c:strCache>
                <c:ptCount val="1"/>
                <c:pt idx="0">
                  <c:v>160 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PikesPeak!$B$47:$B$57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PikesPeak!$D$47:$D$57</c:f>
              <c:numCache>
                <c:formatCode>0.00</c:formatCode>
                <c:ptCount val="11"/>
                <c:pt idx="0">
                  <c:v>4.3</c:v>
                </c:pt>
                <c:pt idx="1">
                  <c:v>2.63</c:v>
                </c:pt>
                <c:pt idx="2">
                  <c:v>1.75</c:v>
                </c:pt>
                <c:pt idx="3">
                  <c:v>1.27</c:v>
                </c:pt>
                <c:pt idx="4">
                  <c:v>0.98</c:v>
                </c:pt>
                <c:pt idx="5">
                  <c:v>0.79</c:v>
                </c:pt>
                <c:pt idx="6">
                  <c:v>0.66</c:v>
                </c:pt>
                <c:pt idx="7">
                  <c:v>0.56000000000000005</c:v>
                </c:pt>
                <c:pt idx="8">
                  <c:v>0.49</c:v>
                </c:pt>
                <c:pt idx="9">
                  <c:v>0.43</c:v>
                </c:pt>
                <c:pt idx="10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1-7944-BC84-D087B2EDA95E}"/>
            </c:ext>
          </c:extLst>
        </c:ser>
        <c:ser>
          <c:idx val="2"/>
          <c:order val="2"/>
          <c:tx>
            <c:strRef>
              <c:f>PikesPeak!$E$46</c:f>
              <c:strCache>
                <c:ptCount val="1"/>
                <c:pt idx="0">
                  <c:v>180 lbs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PikesPeak!$B$47:$B$57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PikesPeak!$E$47:$E$57</c:f>
              <c:numCache>
                <c:formatCode>0.00</c:formatCode>
                <c:ptCount val="11"/>
                <c:pt idx="0">
                  <c:v>3.98</c:v>
                </c:pt>
                <c:pt idx="1">
                  <c:v>2.34</c:v>
                </c:pt>
                <c:pt idx="2">
                  <c:v>1.53</c:v>
                </c:pt>
                <c:pt idx="3">
                  <c:v>1.1000000000000001</c:v>
                </c:pt>
                <c:pt idx="4">
                  <c:v>0.85</c:v>
                </c:pt>
                <c:pt idx="5">
                  <c:v>0.68</c:v>
                </c:pt>
                <c:pt idx="6">
                  <c:v>0.56999999999999995</c:v>
                </c:pt>
                <c:pt idx="7">
                  <c:v>0.48</c:v>
                </c:pt>
                <c:pt idx="8">
                  <c:v>0.42</c:v>
                </c:pt>
                <c:pt idx="9">
                  <c:v>0.37</c:v>
                </c:pt>
                <c:pt idx="10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91-7944-BC84-D087B2ED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03935"/>
        <c:axId val="435805631"/>
      </c:scatterChart>
      <c:valAx>
        <c:axId val="435803935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Angle of 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5631"/>
        <c:crosses val="autoZero"/>
        <c:crossBetween val="midCat"/>
      </c:valAx>
      <c:valAx>
        <c:axId val="435805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Kilometers/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Kilometers/ Hour vs. Angle of Inclination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PikesPeak!$C$46</c:f>
              <c:strCache>
                <c:ptCount val="1"/>
                <c:pt idx="0">
                  <c:v>120 lbs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1753343832020997"/>
                  <c:y val="-0.3937288841097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PikesPeak!$B$47:$B$57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PikesPeak!$C$47:$C$57</c:f>
              <c:numCache>
                <c:formatCode>0.00</c:formatCode>
                <c:ptCount val="11"/>
                <c:pt idx="0">
                  <c:v>5.05</c:v>
                </c:pt>
                <c:pt idx="1">
                  <c:v>3.31</c:v>
                </c:pt>
                <c:pt idx="2">
                  <c:v>2.29</c:v>
                </c:pt>
                <c:pt idx="3">
                  <c:v>1.7</c:v>
                </c:pt>
                <c:pt idx="4">
                  <c:v>1.33</c:v>
                </c:pt>
                <c:pt idx="5">
                  <c:v>1.08</c:v>
                </c:pt>
                <c:pt idx="6">
                  <c:v>0.9</c:v>
                </c:pt>
                <c:pt idx="7">
                  <c:v>0.77</c:v>
                </c:pt>
                <c:pt idx="8">
                  <c:v>0.67</c:v>
                </c:pt>
                <c:pt idx="9">
                  <c:v>0.59</c:v>
                </c:pt>
                <c:pt idx="10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A-684B-94D0-ED9094A1B674}"/>
            </c:ext>
          </c:extLst>
        </c:ser>
        <c:ser>
          <c:idx val="1"/>
          <c:order val="1"/>
          <c:tx>
            <c:strRef>
              <c:f>PikesPeak!$D$46</c:f>
              <c:strCache>
                <c:ptCount val="1"/>
                <c:pt idx="0">
                  <c:v>160 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436010498687665"/>
                  <c:y val="-0.2659755801449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PikesPeak!$B$47:$B$57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PikesPeak!$D$47:$D$57</c:f>
              <c:numCache>
                <c:formatCode>0.00</c:formatCode>
                <c:ptCount val="11"/>
                <c:pt idx="0">
                  <c:v>4.3</c:v>
                </c:pt>
                <c:pt idx="1">
                  <c:v>2.63</c:v>
                </c:pt>
                <c:pt idx="2">
                  <c:v>1.75</c:v>
                </c:pt>
                <c:pt idx="3">
                  <c:v>1.27</c:v>
                </c:pt>
                <c:pt idx="4">
                  <c:v>0.98</c:v>
                </c:pt>
                <c:pt idx="5">
                  <c:v>0.79</c:v>
                </c:pt>
                <c:pt idx="6">
                  <c:v>0.66</c:v>
                </c:pt>
                <c:pt idx="7">
                  <c:v>0.56000000000000005</c:v>
                </c:pt>
                <c:pt idx="8">
                  <c:v>0.49</c:v>
                </c:pt>
                <c:pt idx="9">
                  <c:v>0.43</c:v>
                </c:pt>
                <c:pt idx="10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A-684B-94D0-ED9094A1B674}"/>
            </c:ext>
          </c:extLst>
        </c:ser>
        <c:ser>
          <c:idx val="2"/>
          <c:order val="2"/>
          <c:tx>
            <c:strRef>
              <c:f>PikesPeak!$E$46</c:f>
              <c:strCache>
                <c:ptCount val="1"/>
                <c:pt idx="0">
                  <c:v>180 lbs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446656167979003E-2"/>
                  <c:y val="-0.12500641714939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PikesPeak!$B$47:$B$57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PikesPeak!$E$47:$E$57</c:f>
              <c:numCache>
                <c:formatCode>0.00</c:formatCode>
                <c:ptCount val="11"/>
                <c:pt idx="0">
                  <c:v>3.98</c:v>
                </c:pt>
                <c:pt idx="1">
                  <c:v>2.34</c:v>
                </c:pt>
                <c:pt idx="2">
                  <c:v>1.53</c:v>
                </c:pt>
                <c:pt idx="3">
                  <c:v>1.1000000000000001</c:v>
                </c:pt>
                <c:pt idx="4">
                  <c:v>0.85</c:v>
                </c:pt>
                <c:pt idx="5">
                  <c:v>0.68</c:v>
                </c:pt>
                <c:pt idx="6">
                  <c:v>0.56999999999999995</c:v>
                </c:pt>
                <c:pt idx="7">
                  <c:v>0.48</c:v>
                </c:pt>
                <c:pt idx="8">
                  <c:v>0.42</c:v>
                </c:pt>
                <c:pt idx="9">
                  <c:v>0.37</c:v>
                </c:pt>
                <c:pt idx="10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A-684B-94D0-ED9094A1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03935"/>
        <c:axId val="435805631"/>
      </c:scatterChart>
      <c:valAx>
        <c:axId val="435803935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Angle of 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5631"/>
        <c:crosses val="autoZero"/>
        <c:crossBetween val="midCat"/>
      </c:valAx>
      <c:valAx>
        <c:axId val="435805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Kilometers/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Elevation vs. Cumulative Distance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'Toll Road Route'!$B$4:$B$35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'Toll Road Route'!$C$4:$C$35</c:f>
              <c:numCache>
                <c:formatCode>General</c:formatCode>
                <c:ptCount val="32"/>
                <c:pt idx="0">
                  <c:v>2250</c:v>
                </c:pt>
                <c:pt idx="1">
                  <c:v>2303</c:v>
                </c:pt>
                <c:pt idx="2">
                  <c:v>2378</c:v>
                </c:pt>
                <c:pt idx="3">
                  <c:v>2474</c:v>
                </c:pt>
                <c:pt idx="4">
                  <c:v>2585</c:v>
                </c:pt>
                <c:pt idx="5">
                  <c:v>2676</c:v>
                </c:pt>
                <c:pt idx="6">
                  <c:v>2656</c:v>
                </c:pt>
                <c:pt idx="7">
                  <c:v>2754</c:v>
                </c:pt>
                <c:pt idx="8">
                  <c:v>2802</c:v>
                </c:pt>
                <c:pt idx="9">
                  <c:v>2833</c:v>
                </c:pt>
                <c:pt idx="10">
                  <c:v>2812</c:v>
                </c:pt>
                <c:pt idx="11">
                  <c:v>2860</c:v>
                </c:pt>
                <c:pt idx="12">
                  <c:v>2869</c:v>
                </c:pt>
                <c:pt idx="13">
                  <c:v>2888</c:v>
                </c:pt>
                <c:pt idx="14">
                  <c:v>2924</c:v>
                </c:pt>
                <c:pt idx="15">
                  <c:v>3006</c:v>
                </c:pt>
                <c:pt idx="16">
                  <c:v>3125</c:v>
                </c:pt>
                <c:pt idx="17">
                  <c:v>3214</c:v>
                </c:pt>
                <c:pt idx="18">
                  <c:v>3308</c:v>
                </c:pt>
                <c:pt idx="19">
                  <c:v>3399</c:v>
                </c:pt>
                <c:pt idx="20">
                  <c:v>3498</c:v>
                </c:pt>
                <c:pt idx="21">
                  <c:v>3581</c:v>
                </c:pt>
                <c:pt idx="22">
                  <c:v>3692</c:v>
                </c:pt>
                <c:pt idx="23">
                  <c:v>3788</c:v>
                </c:pt>
                <c:pt idx="24">
                  <c:v>3864</c:v>
                </c:pt>
                <c:pt idx="25">
                  <c:v>3951</c:v>
                </c:pt>
                <c:pt idx="26">
                  <c:v>3955</c:v>
                </c:pt>
                <c:pt idx="27">
                  <c:v>3994</c:v>
                </c:pt>
                <c:pt idx="28">
                  <c:v>4050</c:v>
                </c:pt>
                <c:pt idx="29">
                  <c:v>4145</c:v>
                </c:pt>
                <c:pt idx="30">
                  <c:v>4230</c:v>
                </c:pt>
                <c:pt idx="31">
                  <c:v>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1-4245-91EE-698A83D4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0383"/>
        <c:axId val="99888191"/>
      </c:scatterChart>
      <c:valAx>
        <c:axId val="922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8191"/>
        <c:crosses val="autoZero"/>
        <c:crossBetween val="midCat"/>
      </c:valAx>
      <c:valAx>
        <c:axId val="99888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Elevation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Elevation vs. Cumulative Distance (ft)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'Toll Road Route'!$D$4:$D$35</c:f>
              <c:numCache>
                <c:formatCode>0.0</c:formatCode>
                <c:ptCount val="32"/>
                <c:pt idx="0">
                  <c:v>0</c:v>
                </c:pt>
                <c:pt idx="1">
                  <c:v>0.62137119223733395</c:v>
                </c:pt>
                <c:pt idx="2">
                  <c:v>1.2427423844746679</c:v>
                </c:pt>
                <c:pt idx="3">
                  <c:v>1.8641135767120018</c:v>
                </c:pt>
                <c:pt idx="4">
                  <c:v>2.4854847689493358</c:v>
                </c:pt>
                <c:pt idx="5">
                  <c:v>3.1068559611866697</c:v>
                </c:pt>
                <c:pt idx="6">
                  <c:v>3.7282271534240037</c:v>
                </c:pt>
                <c:pt idx="7">
                  <c:v>4.3495983456613381</c:v>
                </c:pt>
                <c:pt idx="8">
                  <c:v>4.9709695378986716</c:v>
                </c:pt>
                <c:pt idx="9">
                  <c:v>5.592340730136006</c:v>
                </c:pt>
                <c:pt idx="10">
                  <c:v>6.2137119223733395</c:v>
                </c:pt>
                <c:pt idx="11">
                  <c:v>6.8350831146106739</c:v>
                </c:pt>
                <c:pt idx="12">
                  <c:v>7.4564543068480074</c:v>
                </c:pt>
                <c:pt idx="13">
                  <c:v>8.0778254990853409</c:v>
                </c:pt>
                <c:pt idx="14">
                  <c:v>8.6991966913226761</c:v>
                </c:pt>
                <c:pt idx="15">
                  <c:v>9.3205678835600096</c:v>
                </c:pt>
                <c:pt idx="16">
                  <c:v>9.9419390757973432</c:v>
                </c:pt>
                <c:pt idx="17">
                  <c:v>10.563310268034677</c:v>
                </c:pt>
                <c:pt idx="18">
                  <c:v>11.184681460272012</c:v>
                </c:pt>
                <c:pt idx="19">
                  <c:v>11.806052652509345</c:v>
                </c:pt>
                <c:pt idx="20">
                  <c:v>12.427423844746679</c:v>
                </c:pt>
                <c:pt idx="21">
                  <c:v>13.048795036984012</c:v>
                </c:pt>
                <c:pt idx="22">
                  <c:v>13.670166229221348</c:v>
                </c:pt>
                <c:pt idx="23">
                  <c:v>14.291537421458681</c:v>
                </c:pt>
                <c:pt idx="24">
                  <c:v>14.912908613696015</c:v>
                </c:pt>
                <c:pt idx="25">
                  <c:v>15.53427980593335</c:v>
                </c:pt>
                <c:pt idx="26">
                  <c:v>16.155650998170682</c:v>
                </c:pt>
                <c:pt idx="27">
                  <c:v>16.777022190408019</c:v>
                </c:pt>
                <c:pt idx="28">
                  <c:v>17.398393382645352</c:v>
                </c:pt>
                <c:pt idx="29">
                  <c:v>18.019764574882682</c:v>
                </c:pt>
                <c:pt idx="30">
                  <c:v>18.641135767120019</c:v>
                </c:pt>
                <c:pt idx="31">
                  <c:v>19.262506959357353</c:v>
                </c:pt>
              </c:numCache>
            </c:numRef>
          </c:xVal>
          <c:yVal>
            <c:numRef>
              <c:f>'Toll Road Route'!$E$4:$E$35</c:f>
              <c:numCache>
                <c:formatCode>0</c:formatCode>
                <c:ptCount val="32"/>
                <c:pt idx="0">
                  <c:v>7381.8897637795271</c:v>
                </c:pt>
                <c:pt idx="1">
                  <c:v>7555.7742782152227</c:v>
                </c:pt>
                <c:pt idx="2">
                  <c:v>7801.8372703412069</c:v>
                </c:pt>
                <c:pt idx="3">
                  <c:v>8116.797900262467</c:v>
                </c:pt>
                <c:pt idx="4">
                  <c:v>8480.9711286089241</c:v>
                </c:pt>
                <c:pt idx="5">
                  <c:v>8779.5275590551173</c:v>
                </c:pt>
                <c:pt idx="6">
                  <c:v>8713.9107611548552</c:v>
                </c:pt>
                <c:pt idx="7">
                  <c:v>9035.4330708661419</c:v>
                </c:pt>
                <c:pt idx="8">
                  <c:v>9192.9133858267724</c:v>
                </c:pt>
                <c:pt idx="9">
                  <c:v>9294.6194225721792</c:v>
                </c:pt>
                <c:pt idx="10">
                  <c:v>9225.7217847769025</c:v>
                </c:pt>
                <c:pt idx="11">
                  <c:v>9383.202099737533</c:v>
                </c:pt>
                <c:pt idx="12">
                  <c:v>9412.7296587926503</c:v>
                </c:pt>
                <c:pt idx="13">
                  <c:v>9475.0656167978996</c:v>
                </c:pt>
                <c:pt idx="14">
                  <c:v>9593.1758530183724</c:v>
                </c:pt>
                <c:pt idx="15">
                  <c:v>9862.2047244094483</c:v>
                </c:pt>
                <c:pt idx="16">
                  <c:v>10252.62467191601</c:v>
                </c:pt>
                <c:pt idx="17">
                  <c:v>10544.619422572179</c:v>
                </c:pt>
                <c:pt idx="18">
                  <c:v>10853.018372703413</c:v>
                </c:pt>
                <c:pt idx="19">
                  <c:v>11151.574803149606</c:v>
                </c:pt>
                <c:pt idx="20">
                  <c:v>11476.377952755905</c:v>
                </c:pt>
                <c:pt idx="21">
                  <c:v>11748.687664041994</c:v>
                </c:pt>
                <c:pt idx="22">
                  <c:v>12112.860892388451</c:v>
                </c:pt>
                <c:pt idx="23">
                  <c:v>12427.82152230971</c:v>
                </c:pt>
                <c:pt idx="24">
                  <c:v>12677.165354330709</c:v>
                </c:pt>
                <c:pt idx="25">
                  <c:v>12962.598425196851</c:v>
                </c:pt>
                <c:pt idx="26">
                  <c:v>12975.721784776902</c:v>
                </c:pt>
                <c:pt idx="27">
                  <c:v>13103.674540682414</c:v>
                </c:pt>
                <c:pt idx="28">
                  <c:v>13287.401574803149</c:v>
                </c:pt>
                <c:pt idx="29">
                  <c:v>13599.081364829397</c:v>
                </c:pt>
                <c:pt idx="30">
                  <c:v>13877.952755905511</c:v>
                </c:pt>
                <c:pt idx="31">
                  <c:v>14097.769028871391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A-B841-9F41-005E273D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8367"/>
        <c:axId val="98050063"/>
      </c:scatterChart>
      <c:valAx>
        <c:axId val="9804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0063"/>
        <c:crosses val="autoZero"/>
        <c:crossBetween val="midCat"/>
      </c:valAx>
      <c:valAx>
        <c:axId val="9805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Elevation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Pikes Peak: Elevation vs Estimate Distance</a:t>
            </a:r>
          </a:p>
        </c:rich>
      </c:tx>
      <c:layout>
        <c:manualLayout>
          <c:xMode val="edge"/>
          <c:yMode val="edge"/>
          <c:x val="0.15989181049369403"/>
          <c:y val="3.903359895445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628756230887204"/>
          <c:y val="0.30111633479152677"/>
          <c:w val="0.68563776364245066"/>
          <c:h val="0.4516745021872901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'Devils Garden Route'!$F$4:$F$15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4297.1594375181785</c:v>
                </c:pt>
                <c:pt idx="2">
                  <c:v>8594.318875036357</c:v>
                </c:pt>
                <c:pt idx="3">
                  <c:v>12989.802387445707</c:v>
                </c:pt>
                <c:pt idx="4">
                  <c:v>17478.574101753526</c:v>
                </c:pt>
                <c:pt idx="5">
                  <c:v>21739.416818659563</c:v>
                </c:pt>
                <c:pt idx="6">
                  <c:v>26000.259535565601</c:v>
                </c:pt>
                <c:pt idx="7">
                  <c:v>30251.974603029688</c:v>
                </c:pt>
                <c:pt idx="8">
                  <c:v>34503.689670493775</c:v>
                </c:pt>
                <c:pt idx="9">
                  <c:v>38755.404737957862</c:v>
                </c:pt>
                <c:pt idx="10">
                  <c:v>43150.888250367214</c:v>
                </c:pt>
                <c:pt idx="11">
                  <c:v>47546.371762776565</c:v>
                </c:pt>
              </c:numCache>
            </c:numRef>
          </c:xVal>
          <c:yVal>
            <c:numRef>
              <c:f>'Devils Garden Route'!$G$4:$G$15</c:f>
              <c:numCache>
                <c:formatCode>General</c:formatCode>
                <c:ptCount val="12"/>
                <c:pt idx="0">
                  <c:v>10000</c:v>
                </c:pt>
                <c:pt idx="1">
                  <c:v>10400</c:v>
                </c:pt>
                <c:pt idx="2">
                  <c:v>10800</c:v>
                </c:pt>
                <c:pt idx="3">
                  <c:v>11500</c:v>
                </c:pt>
                <c:pt idx="4">
                  <c:v>12400</c:v>
                </c:pt>
                <c:pt idx="5">
                  <c:v>12600</c:v>
                </c:pt>
                <c:pt idx="6">
                  <c:v>12800</c:v>
                </c:pt>
                <c:pt idx="7">
                  <c:v>12900</c:v>
                </c:pt>
                <c:pt idx="8">
                  <c:v>12800</c:v>
                </c:pt>
                <c:pt idx="9">
                  <c:v>12700</c:v>
                </c:pt>
                <c:pt idx="10">
                  <c:v>13400</c:v>
                </c:pt>
                <c:pt idx="11">
                  <c:v>14100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0-4E3D-A446-42B49EA4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52784"/>
        <c:axId val="1"/>
      </c:scatterChart>
      <c:valAx>
        <c:axId val="35085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Estimated Cumulative Distance</a:t>
                </a:r>
              </a:p>
            </c:rich>
          </c:tx>
          <c:layout>
            <c:manualLayout>
              <c:xMode val="edge"/>
              <c:yMode val="edge"/>
              <c:x val="0.29945839083988457"/>
              <c:y val="0.866174148227478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Estimated Elevation</a:t>
                </a:r>
              </a:p>
            </c:rich>
          </c:tx>
          <c:layout>
            <c:manualLayout>
              <c:xMode val="edge"/>
              <c:yMode val="edge"/>
              <c:x val="3.7940429608673158E-2"/>
              <c:y val="0.286246392332685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852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http://www.14ers.com/photos/PikesPeak/RPike_1Pro.gif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23</xdr:row>
      <xdr:rowOff>50800</xdr:rowOff>
    </xdr:from>
    <xdr:to>
      <xdr:col>3</xdr:col>
      <xdr:colOff>546100</xdr:colOff>
      <xdr:row>24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A486EA-0F89-D746-AFF5-335563327B10}"/>
            </a:ext>
          </a:extLst>
        </xdr:cNvPr>
        <xdr:cNvSpPr txBox="1"/>
      </xdr:nvSpPr>
      <xdr:spPr>
        <a:xfrm>
          <a:off x="901700" y="3860800"/>
          <a:ext cx="16383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Table 1 Data</a:t>
          </a:r>
          <a:r>
            <a:rPr lang="en-US" sz="1100" b="1" baseline="0"/>
            <a:t> Tansposed</a:t>
          </a:r>
        </a:p>
      </xdr:txBody>
    </xdr:sp>
    <xdr:clientData/>
  </xdr:twoCellAnchor>
  <xdr:twoCellAnchor>
    <xdr:from>
      <xdr:col>1</xdr:col>
      <xdr:colOff>12700</xdr:colOff>
      <xdr:row>37</xdr:row>
      <xdr:rowOff>76200</xdr:rowOff>
    </xdr:from>
    <xdr:to>
      <xdr:col>6</xdr:col>
      <xdr:colOff>482600</xdr:colOff>
      <xdr:row>38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6E74FEF-05A4-5F4C-83F9-1836F837B4BA}"/>
                </a:ext>
              </a:extLst>
            </xdr:cNvPr>
            <xdr:cNvSpPr txBox="1"/>
          </xdr:nvSpPr>
          <xdr:spPr>
            <a:xfrm>
              <a:off x="863600" y="6527800"/>
              <a:ext cx="3327400" cy="241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/>
                <a:t>120 Model: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=0.1718∗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+11.491∗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+52.963</m:t>
                  </m:r>
                </m:oMath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6E74FEF-05A4-5F4C-83F9-1836F837B4BA}"/>
                </a:ext>
              </a:extLst>
            </xdr:cNvPr>
            <xdr:cNvSpPr txBox="1"/>
          </xdr:nvSpPr>
          <xdr:spPr>
            <a:xfrm>
              <a:off x="863600" y="6527800"/>
              <a:ext cx="3327400" cy="241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/>
                <a:t>120 Model:</a:t>
              </a:r>
              <a:r>
                <a:rPr lang="en-US" sz="1100" b="1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𝑦=0.1718∗𝑥^2+11.491∗𝑥+52.963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1</xdr:col>
      <xdr:colOff>12700</xdr:colOff>
      <xdr:row>39</xdr:row>
      <xdr:rowOff>38100</xdr:rowOff>
    </xdr:from>
    <xdr:to>
      <xdr:col>6</xdr:col>
      <xdr:colOff>381000</xdr:colOff>
      <xdr:row>40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634988F-74F0-C44A-B6F5-AE9D797CEFC6}"/>
                </a:ext>
              </a:extLst>
            </xdr:cNvPr>
            <xdr:cNvSpPr txBox="1"/>
          </xdr:nvSpPr>
          <xdr:spPr>
            <a:xfrm>
              <a:off x="863600" y="6819900"/>
              <a:ext cx="3225800" cy="254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/>
                <a:t>160 Model: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=0.2259∗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+16.538∗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+61.198</m:t>
                  </m:r>
                </m:oMath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634988F-74F0-C44A-B6F5-AE9D797CEFC6}"/>
                </a:ext>
              </a:extLst>
            </xdr:cNvPr>
            <xdr:cNvSpPr txBox="1"/>
          </xdr:nvSpPr>
          <xdr:spPr>
            <a:xfrm>
              <a:off x="863600" y="6819900"/>
              <a:ext cx="3225800" cy="254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/>
                <a:t>160 Model:</a:t>
              </a:r>
              <a:r>
                <a:rPr lang="en-US" sz="1100" b="1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𝑦=0.2259∗𝑥^2+16.538∗𝑥+61.198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1</xdr:col>
      <xdr:colOff>12700</xdr:colOff>
      <xdr:row>41</xdr:row>
      <xdr:rowOff>12700</xdr:rowOff>
    </xdr:from>
    <xdr:to>
      <xdr:col>6</xdr:col>
      <xdr:colOff>419100</xdr:colOff>
      <xdr:row>42</xdr:row>
      <xdr:rowOff>88900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A3CD9BE-9A2E-324A-BFF5-29252577661D}"/>
                </a:ext>
              </a:extLst>
            </xdr:cNvPr>
            <xdr:cNvSpPr txBox="1"/>
          </xdr:nvSpPr>
          <xdr:spPr>
            <a:xfrm>
              <a:off x="863600" y="7124700"/>
              <a:ext cx="3263900" cy="241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/>
                <a:t>180 Model:</a:t>
              </a:r>
              <a14:m>
                <m:oMath xmlns:m="http://schemas.openxmlformats.org/officeDocument/2006/math">
                  <m:r>
                    <a:rPr lang="en-US" sz="1100" b="1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=0.257∗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+19.639∗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+65.544</m:t>
                  </m:r>
                </m:oMath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A3CD9BE-9A2E-324A-BFF5-29252577661D}"/>
                </a:ext>
              </a:extLst>
            </xdr:cNvPr>
            <xdr:cNvSpPr txBox="1"/>
          </xdr:nvSpPr>
          <xdr:spPr>
            <a:xfrm>
              <a:off x="863600" y="7124700"/>
              <a:ext cx="3263900" cy="241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/>
                <a:t>180 Model:</a:t>
              </a:r>
              <a:r>
                <a:rPr lang="en-US" sz="1100" b="1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𝑦=0.257∗𝑥^2+19.639∗𝑥+65.544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1</xdr:col>
      <xdr:colOff>12700</xdr:colOff>
      <xdr:row>42</xdr:row>
      <xdr:rowOff>152400</xdr:rowOff>
    </xdr:from>
    <xdr:to>
      <xdr:col>3</xdr:col>
      <xdr:colOff>482600</xdr:colOff>
      <xdr:row>44</xdr:row>
      <xdr:rowOff>63500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B9669FB-700E-414D-ADC4-F767D1CCDFC2}"/>
            </a:ext>
          </a:extLst>
        </xdr:cNvPr>
        <xdr:cNvSpPr txBox="1"/>
      </xdr:nvSpPr>
      <xdr:spPr>
        <a:xfrm>
          <a:off x="863600" y="7429500"/>
          <a:ext cx="16129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Table 2 Data Transposed</a:t>
          </a:r>
        </a:p>
        <a:p>
          <a:endParaRPr lang="en-US" sz="1100" b="1"/>
        </a:p>
      </xdr:txBody>
    </xdr:sp>
    <xdr:clientData/>
  </xdr:twoCellAnchor>
  <xdr:twoCellAnchor>
    <xdr:from>
      <xdr:col>14</xdr:col>
      <xdr:colOff>0</xdr:colOff>
      <xdr:row>0</xdr:row>
      <xdr:rowOff>0</xdr:rowOff>
    </xdr:from>
    <xdr:to>
      <xdr:col>19</xdr:col>
      <xdr:colOff>635000</xdr:colOff>
      <xdr:row>17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894EDE-7CC5-CA42-B4A5-B46607E5C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19</xdr:col>
      <xdr:colOff>635000</xdr:colOff>
      <xdr:row>34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E72A77-0029-4B4B-AE75-94DAF2C3F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57</xdr:row>
      <xdr:rowOff>38100</xdr:rowOff>
    </xdr:from>
    <xdr:to>
      <xdr:col>8</xdr:col>
      <xdr:colOff>215900</xdr:colOff>
      <xdr:row>58</xdr:row>
      <xdr:rowOff>139700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C01434A-3B1F-3148-9B2B-6D17462052EE}"/>
                </a:ext>
              </a:extLst>
            </xdr:cNvPr>
            <xdr:cNvSpPr txBox="1"/>
          </xdr:nvSpPr>
          <xdr:spPr>
            <a:xfrm>
              <a:off x="876300" y="10121900"/>
              <a:ext cx="4191000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120 Model: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=−0.0004∗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+0.0259∗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−0.5591∗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+4.9191</m:t>
                  </m:r>
                </m:oMath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C01434A-3B1F-3148-9B2B-6D17462052EE}"/>
                </a:ext>
              </a:extLst>
            </xdr:cNvPr>
            <xdr:cNvSpPr txBox="1"/>
          </xdr:nvSpPr>
          <xdr:spPr>
            <a:xfrm>
              <a:off x="876300" y="10121900"/>
              <a:ext cx="4191000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120 Model: </a:t>
              </a:r>
              <a:r>
                <a:rPr lang="en-US" sz="1100" b="0" i="0">
                  <a:latin typeface="Cambria Math" panose="02040503050406030204" pitchFamily="18" charset="0"/>
                </a:rPr>
                <a:t>𝑦=−0.0004∗𝑥^3+0.0259∗𝑥^2−0.5591∗𝑥+4.9191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1</xdr:col>
      <xdr:colOff>38100</xdr:colOff>
      <xdr:row>59</xdr:row>
      <xdr:rowOff>38100</xdr:rowOff>
    </xdr:from>
    <xdr:to>
      <xdr:col>8</xdr:col>
      <xdr:colOff>152400</xdr:colOff>
      <xdr:row>60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CB88A5E-1C70-F747-8A33-36602146F9D4}"/>
                </a:ext>
              </a:extLst>
            </xdr:cNvPr>
            <xdr:cNvSpPr txBox="1"/>
          </xdr:nvSpPr>
          <xdr:spPr>
            <a:xfrm>
              <a:off x="889000" y="10452100"/>
              <a:ext cx="4114800" cy="241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160</a:t>
              </a:r>
              <a:r>
                <a:rPr lang="en-US" sz="1100" b="1" baseline="0"/>
                <a:t> Model: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=−0.0004∗</m:t>
                  </m:r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sz="1100" b="0" i="1" baseline="0">
                      <a:latin typeface="Cambria Math" panose="02040503050406030204" pitchFamily="18" charset="0"/>
                    </a:rPr>
                    <m:t>+0.0249∗</m:t>
                  </m:r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 baseline="0">
                      <a:latin typeface="Cambria Math" panose="02040503050406030204" pitchFamily="18" charset="0"/>
                    </a:rPr>
                    <m:t>−0.5144∗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+4.148</m:t>
                  </m:r>
                </m:oMath>
              </a14:m>
              <a:endParaRPr lang="en-US" sz="1100" b="0" baseline="0"/>
            </a:p>
            <a:p>
              <a:endParaRPr lang="en-US" sz="11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CB88A5E-1C70-F747-8A33-36602146F9D4}"/>
                </a:ext>
              </a:extLst>
            </xdr:cNvPr>
            <xdr:cNvSpPr txBox="1"/>
          </xdr:nvSpPr>
          <xdr:spPr>
            <a:xfrm>
              <a:off x="889000" y="10452100"/>
              <a:ext cx="4114800" cy="241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160</a:t>
              </a:r>
              <a:r>
                <a:rPr lang="en-US" sz="1100" b="1" baseline="0"/>
                <a:t> Model: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𝑦=−0.0004∗𝑥^3+0.0249∗𝑥^2−0.5144∗𝑥+4.148</a:t>
              </a:r>
              <a:endParaRPr lang="en-US" sz="1100" b="0" baseline="0"/>
            </a:p>
            <a:p>
              <a:endParaRPr lang="en-US" sz="1100" b="1"/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25400</xdr:rowOff>
    </xdr:from>
    <xdr:to>
      <xdr:col>8</xdr:col>
      <xdr:colOff>292100</xdr:colOff>
      <xdr:row>62</xdr:row>
      <xdr:rowOff>139700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684784C-555F-FB49-ADDF-831D100E0DC4}"/>
                </a:ext>
              </a:extLst>
            </xdr:cNvPr>
            <xdr:cNvSpPr txBox="1"/>
          </xdr:nvSpPr>
          <xdr:spPr>
            <a:xfrm>
              <a:off x="889000" y="10769600"/>
              <a:ext cx="4254500" cy="279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180 Model: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=−0.0004∗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+0.0244∗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−0.04924∗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+3.8166</m:t>
                  </m:r>
                </m:oMath>
              </a14:m>
              <a:endParaRPr lang="en-US" sz="1100" b="0"/>
            </a:p>
            <a:p>
              <a:endParaRPr lang="en-US" sz="1100" b="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684784C-555F-FB49-ADDF-831D100E0DC4}"/>
                </a:ext>
              </a:extLst>
            </xdr:cNvPr>
            <xdr:cNvSpPr txBox="1"/>
          </xdr:nvSpPr>
          <xdr:spPr>
            <a:xfrm>
              <a:off x="889000" y="10769600"/>
              <a:ext cx="4254500" cy="279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180 Model: </a:t>
              </a:r>
              <a:r>
                <a:rPr lang="en-US" sz="1100" b="0" i="0">
                  <a:latin typeface="Cambria Math" panose="02040503050406030204" pitchFamily="18" charset="0"/>
                </a:rPr>
                <a:t>𝑦=−0.0004∗𝑥^3+0.0244∗𝑥^2−0.04924∗𝑥+3.8166</a:t>
              </a:r>
              <a:endParaRPr lang="en-US" sz="1100" b="0"/>
            </a:p>
            <a:p>
              <a:endParaRPr lang="en-US" sz="1100" b="0"/>
            </a:p>
          </xdr:txBody>
        </xdr:sp>
      </mc:Fallback>
    </mc:AlternateContent>
    <xdr:clientData/>
  </xdr:twoCellAnchor>
  <xdr:twoCellAnchor>
    <xdr:from>
      <xdr:col>14</xdr:col>
      <xdr:colOff>0</xdr:colOff>
      <xdr:row>36</xdr:row>
      <xdr:rowOff>0</xdr:rowOff>
    </xdr:from>
    <xdr:to>
      <xdr:col>20</xdr:col>
      <xdr:colOff>38100</xdr:colOff>
      <xdr:row>52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AAAEBF4-B363-264C-8F62-431854348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20</xdr:col>
      <xdr:colOff>38100</xdr:colOff>
      <xdr:row>72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631324-92D1-3844-9336-DC33785BC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36</xdr:row>
      <xdr:rowOff>138113</xdr:rowOff>
    </xdr:from>
    <xdr:to>
      <xdr:col>10</xdr:col>
      <xdr:colOff>936625</xdr:colOff>
      <xdr:row>48</xdr:row>
      <xdr:rowOff>57150</xdr:rowOff>
    </xdr:to>
    <xdr:pic>
      <xdr:nvPicPr>
        <xdr:cNvPr id="5121" name="Picture 1" descr="E:\School\Math365\TollRoadProfile.JPG">
          <a:extLst>
            <a:ext uri="{FF2B5EF4-FFF2-40B4-BE49-F238E27FC236}">
              <a16:creationId xmlns:a16="http://schemas.microsoft.com/office/drawing/2014/main" id="{F1CAB914-348D-42C4-9E9C-2774D83E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210300"/>
          <a:ext cx="7010400" cy="1804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361950</xdr:colOff>
      <xdr:row>3</xdr:row>
      <xdr:rowOff>6350</xdr:rowOff>
    </xdr:from>
    <xdr:to>
      <xdr:col>10</xdr:col>
      <xdr:colOff>590550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A27F4-90CF-534C-ADDB-C33F8291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336550</xdr:colOff>
      <xdr:row>20</xdr:row>
      <xdr:rowOff>31750</xdr:rowOff>
    </xdr:from>
    <xdr:to>
      <xdr:col>10</xdr:col>
      <xdr:colOff>565150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5F2C2-3C57-144A-9C10-9258D4F6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31</xdr:row>
      <xdr:rowOff>57150</xdr:rowOff>
    </xdr:from>
    <xdr:to>
      <xdr:col>10</xdr:col>
      <xdr:colOff>61912</xdr:colOff>
      <xdr:row>45</xdr:row>
      <xdr:rowOff>128588</xdr:rowOff>
    </xdr:to>
    <xdr:pic>
      <xdr:nvPicPr>
        <xdr:cNvPr id="6145" name="Picture 1" descr="E:\School\Math365\BarrTrailProfile.JPG">
          <a:extLst>
            <a:ext uri="{FF2B5EF4-FFF2-40B4-BE49-F238E27FC236}">
              <a16:creationId xmlns:a16="http://schemas.microsoft.com/office/drawing/2014/main" id="{B0E73AD1-0E67-4BB2-ADFB-714C5A66A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448300"/>
          <a:ext cx="6848475" cy="2271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20</xdr:row>
      <xdr:rowOff>28575</xdr:rowOff>
    </xdr:from>
    <xdr:to>
      <xdr:col>11</xdr:col>
      <xdr:colOff>504825</xdr:colOff>
      <xdr:row>30</xdr:row>
      <xdr:rowOff>0</xdr:rowOff>
    </xdr:to>
    <xdr:pic>
      <xdr:nvPicPr>
        <xdr:cNvPr id="3073" name="Picture 1" descr="http://www.14ers.com/photos/PikesPeak/RPike_1Pro.gif">
          <a:extLst>
            <a:ext uri="{FF2B5EF4-FFF2-40B4-BE49-F238E27FC236}">
              <a16:creationId xmlns:a16="http://schemas.microsoft.com/office/drawing/2014/main" id="{031392DF-5649-4871-A73C-763FC30F7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776663"/>
          <a:ext cx="86963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180975</xdr:colOff>
      <xdr:row>2</xdr:row>
      <xdr:rowOff>833438</xdr:rowOff>
    </xdr:from>
    <xdr:to>
      <xdr:col>15</xdr:col>
      <xdr:colOff>533400</xdr:colOff>
      <xdr:row>19</xdr:row>
      <xdr:rowOff>47625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FD1865A-488D-4DFC-8D99-0DEEF4C5B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"/>
  <sheetViews>
    <sheetView tabSelected="1" topLeftCell="A51" zoomScaleNormal="100" workbookViewId="0">
      <selection activeCell="K64" sqref="K64"/>
    </sheetView>
  </sheetViews>
  <sheetFormatPr baseColWidth="10" defaultColWidth="10.33203125" defaultRowHeight="13"/>
  <cols>
    <col min="1" max="1" width="11.1640625" customWidth="1"/>
    <col min="2" max="13" width="7.5" style="1" customWidth="1"/>
  </cols>
  <sheetData>
    <row r="1" spans="1:25">
      <c r="A1" s="14" t="s">
        <v>9</v>
      </c>
    </row>
    <row r="3" spans="1:25" s="14" customFormat="1" ht="12" customHeight="1">
      <c r="B3" s="15"/>
      <c r="C3" s="15"/>
      <c r="D3" s="2"/>
      <c r="E3" s="15"/>
      <c r="F3" s="15" t="s">
        <v>7</v>
      </c>
      <c r="G3" s="15"/>
      <c r="H3" s="15"/>
      <c r="I3" s="15"/>
      <c r="J3" s="15"/>
      <c r="K3" s="15"/>
      <c r="L3" s="15"/>
      <c r="M3" s="15"/>
    </row>
    <row r="4" spans="1:25" ht="14" thickBot="1">
      <c r="B4" s="4"/>
      <c r="C4" s="13">
        <v>0</v>
      </c>
      <c r="D4" s="6">
        <v>3</v>
      </c>
      <c r="E4" s="6">
        <v>6</v>
      </c>
      <c r="F4" s="6">
        <v>9</v>
      </c>
      <c r="G4" s="6">
        <v>12</v>
      </c>
      <c r="H4" s="6">
        <v>15</v>
      </c>
      <c r="I4" s="6">
        <v>18</v>
      </c>
      <c r="J4" s="6">
        <v>21</v>
      </c>
      <c r="K4" s="6">
        <v>24</v>
      </c>
      <c r="L4" s="6">
        <v>27</v>
      </c>
      <c r="M4" s="6">
        <v>30</v>
      </c>
    </row>
    <row r="5" spans="1:25">
      <c r="B5" s="7" t="s">
        <v>4</v>
      </c>
      <c r="C5" s="9">
        <v>52.08</v>
      </c>
      <c r="D5" s="9">
        <v>76.92</v>
      </c>
      <c r="E5" s="9">
        <v>108.53</v>
      </c>
      <c r="F5" s="9">
        <v>144.63</v>
      </c>
      <c r="G5" s="9">
        <v>183.7</v>
      </c>
      <c r="H5" s="9">
        <v>225.01</v>
      </c>
      <c r="I5" s="9">
        <v>268.34312999999997</v>
      </c>
      <c r="J5" s="9">
        <v>313.73</v>
      </c>
      <c r="K5" s="9">
        <v>361.36</v>
      </c>
      <c r="L5" s="9">
        <v>411.54</v>
      </c>
      <c r="M5" s="9">
        <v>464.69</v>
      </c>
      <c r="V5" s="33"/>
      <c r="W5" s="33"/>
      <c r="X5" s="33"/>
    </row>
    <row r="6" spans="1:25">
      <c r="B6" s="10" t="s">
        <v>0</v>
      </c>
      <c r="C6" s="12">
        <v>56.78</v>
      </c>
      <c r="D6" s="12">
        <v>86.69</v>
      </c>
      <c r="E6" s="12">
        <v>125.06</v>
      </c>
      <c r="F6" s="12">
        <v>168.72</v>
      </c>
      <c r="G6" s="12">
        <v>215.73</v>
      </c>
      <c r="H6" s="12">
        <v>265.26</v>
      </c>
      <c r="I6" s="12">
        <v>317.09370999999999</v>
      </c>
      <c r="J6" s="12">
        <v>371.28</v>
      </c>
      <c r="K6" s="12">
        <v>428.09</v>
      </c>
      <c r="L6" s="12">
        <v>487.91</v>
      </c>
      <c r="M6" s="12">
        <v>551.22</v>
      </c>
      <c r="Y6" s="33"/>
    </row>
    <row r="7" spans="1:25">
      <c r="B7" s="10" t="s">
        <v>5</v>
      </c>
      <c r="C7" s="12">
        <v>61.65</v>
      </c>
      <c r="D7" s="12">
        <v>97.4</v>
      </c>
      <c r="E7" s="12">
        <v>143.55000000000001</v>
      </c>
      <c r="F7" s="12">
        <v>195.82</v>
      </c>
      <c r="G7" s="12">
        <v>251.84</v>
      </c>
      <c r="H7" s="12">
        <v>310.68</v>
      </c>
      <c r="I7" s="12">
        <v>372.11435999999998</v>
      </c>
      <c r="J7" s="12">
        <v>436.26</v>
      </c>
      <c r="K7" s="12">
        <v>503.44</v>
      </c>
      <c r="L7" s="12">
        <v>574.13</v>
      </c>
      <c r="M7" s="12">
        <v>648.91</v>
      </c>
      <c r="W7" s="15"/>
    </row>
    <row r="8" spans="1:25">
      <c r="A8" s="14" t="s">
        <v>8</v>
      </c>
      <c r="B8" s="10" t="s">
        <v>6</v>
      </c>
      <c r="C8" s="12">
        <v>66.739999999999995</v>
      </c>
      <c r="D8" s="12">
        <v>109.18</v>
      </c>
      <c r="E8" s="12">
        <v>164.27</v>
      </c>
      <c r="F8" s="12">
        <v>226.37</v>
      </c>
      <c r="G8" s="12">
        <v>292.61</v>
      </c>
      <c r="H8" s="12">
        <v>361.98</v>
      </c>
      <c r="I8" s="12">
        <v>434.28509000000003</v>
      </c>
      <c r="J8" s="12">
        <v>509.68</v>
      </c>
      <c r="K8" s="12">
        <v>588.59</v>
      </c>
      <c r="L8" s="12">
        <v>671.57</v>
      </c>
      <c r="M8" s="12">
        <v>759.31</v>
      </c>
    </row>
    <row r="9" spans="1:25">
      <c r="B9" s="10" t="s">
        <v>1</v>
      </c>
      <c r="C9" s="12">
        <v>72.069999999999993</v>
      </c>
      <c r="D9" s="12">
        <v>122.26</v>
      </c>
      <c r="E9" s="12">
        <v>187.66</v>
      </c>
      <c r="F9" s="12">
        <v>260.98</v>
      </c>
      <c r="G9" s="12">
        <v>338.86</v>
      </c>
      <c r="H9" s="12">
        <v>420.21</v>
      </c>
      <c r="I9" s="12">
        <v>504.85593</v>
      </c>
      <c r="J9" s="12">
        <v>593.04</v>
      </c>
      <c r="K9" s="12">
        <v>685.26</v>
      </c>
      <c r="L9" s="12">
        <v>782.19</v>
      </c>
      <c r="M9" s="12">
        <v>884.65</v>
      </c>
    </row>
    <row r="10" spans="1:25">
      <c r="B10" s="10" t="s">
        <v>2</v>
      </c>
      <c r="C10" s="12">
        <v>77.73</v>
      </c>
      <c r="D10" s="12">
        <v>136.9</v>
      </c>
      <c r="E10" s="12">
        <v>214.25</v>
      </c>
      <c r="F10" s="12">
        <v>300.48</v>
      </c>
      <c r="G10" s="12">
        <v>391.69</v>
      </c>
      <c r="H10" s="12">
        <v>486.74</v>
      </c>
      <c r="I10" s="12">
        <v>585.49688000000003</v>
      </c>
      <c r="J10" s="12">
        <v>688.3</v>
      </c>
      <c r="K10" s="12">
        <v>795.74</v>
      </c>
      <c r="L10" s="12">
        <v>908.62</v>
      </c>
      <c r="M10" s="12">
        <v>1027.9100000000001</v>
      </c>
      <c r="W10" s="15"/>
    </row>
    <row r="11" spans="1:25">
      <c r="B11" s="10" t="s">
        <v>3</v>
      </c>
      <c r="C11" s="12">
        <v>83.77</v>
      </c>
      <c r="D11" s="12">
        <v>153.47999999999999</v>
      </c>
      <c r="E11" s="12">
        <v>244.78</v>
      </c>
      <c r="F11" s="12">
        <v>345.95</v>
      </c>
      <c r="G11" s="12">
        <v>452.56</v>
      </c>
      <c r="H11" s="12">
        <v>563.41</v>
      </c>
      <c r="I11" s="12">
        <v>678.44798000000003</v>
      </c>
      <c r="J11" s="12">
        <v>798.09</v>
      </c>
      <c r="K11" s="12">
        <v>923.08</v>
      </c>
      <c r="L11" s="12">
        <v>1054.3399999999999</v>
      </c>
      <c r="M11" s="12">
        <v>1193.02</v>
      </c>
    </row>
    <row r="13" spans="1:25">
      <c r="A13" s="14" t="s">
        <v>10</v>
      </c>
    </row>
    <row r="14" spans="1:25">
      <c r="C14" s="3"/>
    </row>
    <row r="15" spans="1:25">
      <c r="C15" s="3"/>
      <c r="F15" s="15" t="s">
        <v>7</v>
      </c>
    </row>
    <row r="16" spans="1:25" ht="14" thickBot="1">
      <c r="B16" s="4"/>
      <c r="C16" s="5">
        <v>0</v>
      </c>
      <c r="D16" s="6">
        <v>3</v>
      </c>
      <c r="E16" s="6">
        <v>6</v>
      </c>
      <c r="F16" s="6">
        <v>9</v>
      </c>
      <c r="G16" s="6">
        <v>12</v>
      </c>
      <c r="H16" s="6">
        <v>15</v>
      </c>
      <c r="I16" s="6">
        <v>18</v>
      </c>
      <c r="J16" s="6">
        <v>21</v>
      </c>
      <c r="K16" s="6">
        <v>24</v>
      </c>
      <c r="L16" s="6">
        <v>27</v>
      </c>
      <c r="M16" s="6">
        <v>30</v>
      </c>
    </row>
    <row r="17" spans="1:13">
      <c r="B17" s="7" t="s">
        <v>4</v>
      </c>
      <c r="C17" s="8">
        <v>5.5</v>
      </c>
      <c r="D17" s="9">
        <v>3.73</v>
      </c>
      <c r="E17" s="9">
        <v>2.64</v>
      </c>
      <c r="F17" s="9">
        <v>1.98</v>
      </c>
      <c r="G17" s="9">
        <v>1.56</v>
      </c>
      <c r="H17" s="9">
        <v>1.27</v>
      </c>
      <c r="I17" s="9">
        <v>1.07</v>
      </c>
      <c r="J17" s="9">
        <v>0.91</v>
      </c>
      <c r="K17" s="9">
        <v>0.79</v>
      </c>
      <c r="L17" s="9">
        <v>0.7</v>
      </c>
      <c r="M17" s="9">
        <v>0.62</v>
      </c>
    </row>
    <row r="18" spans="1:13">
      <c r="B18" s="10" t="s">
        <v>0</v>
      </c>
      <c r="C18" s="11">
        <v>5.05</v>
      </c>
      <c r="D18" s="12">
        <v>3.31</v>
      </c>
      <c r="E18" s="12">
        <v>2.29</v>
      </c>
      <c r="F18" s="12">
        <v>1.7</v>
      </c>
      <c r="G18" s="12">
        <v>1.33</v>
      </c>
      <c r="H18" s="12">
        <v>1.08</v>
      </c>
      <c r="I18" s="12">
        <v>0.9</v>
      </c>
      <c r="J18" s="12">
        <v>0.77</v>
      </c>
      <c r="K18" s="12">
        <v>0.67</v>
      </c>
      <c r="L18" s="12">
        <v>0.59</v>
      </c>
      <c r="M18" s="12">
        <v>0.52</v>
      </c>
    </row>
    <row r="19" spans="1:13">
      <c r="B19" s="10" t="s">
        <v>5</v>
      </c>
      <c r="C19" s="11">
        <v>4.6500000000000004</v>
      </c>
      <c r="D19" s="12">
        <v>2.94</v>
      </c>
      <c r="E19" s="12">
        <v>2</v>
      </c>
      <c r="F19" s="12">
        <v>1.46</v>
      </c>
      <c r="G19" s="12">
        <v>1.1399999999999999</v>
      </c>
      <c r="H19" s="12">
        <v>0.92</v>
      </c>
      <c r="I19" s="12">
        <v>0.77</v>
      </c>
      <c r="J19" s="12">
        <v>0.66</v>
      </c>
      <c r="K19" s="12">
        <v>0.56999999999999995</v>
      </c>
      <c r="L19" s="12">
        <v>0.5</v>
      </c>
      <c r="M19" s="12">
        <v>0.44</v>
      </c>
    </row>
    <row r="20" spans="1:13">
      <c r="A20" s="14" t="s">
        <v>8</v>
      </c>
      <c r="B20" s="10" t="s">
        <v>6</v>
      </c>
      <c r="C20" s="11">
        <v>4.3</v>
      </c>
      <c r="D20" s="12">
        <v>2.63</v>
      </c>
      <c r="E20" s="12">
        <v>1.75</v>
      </c>
      <c r="F20" s="12">
        <v>1.27</v>
      </c>
      <c r="G20" s="12">
        <v>0.98</v>
      </c>
      <c r="H20" s="12">
        <v>0.79</v>
      </c>
      <c r="I20" s="12">
        <v>0.66</v>
      </c>
      <c r="J20" s="12">
        <v>0.56000000000000005</v>
      </c>
      <c r="K20" s="12">
        <v>0.49</v>
      </c>
      <c r="L20" s="12">
        <v>0.43</v>
      </c>
      <c r="M20" s="12">
        <v>0.38</v>
      </c>
    </row>
    <row r="21" spans="1:13">
      <c r="B21" s="10" t="s">
        <v>1</v>
      </c>
      <c r="C21" s="11">
        <v>3.98</v>
      </c>
      <c r="D21" s="12">
        <v>2.34</v>
      </c>
      <c r="E21" s="12">
        <v>1.53</v>
      </c>
      <c r="F21" s="12">
        <v>1.1000000000000001</v>
      </c>
      <c r="G21" s="12">
        <v>0.85</v>
      </c>
      <c r="H21" s="12">
        <v>0.68</v>
      </c>
      <c r="I21" s="12">
        <v>0.56999999999999995</v>
      </c>
      <c r="J21" s="12">
        <v>0.48</v>
      </c>
      <c r="K21" s="12">
        <v>0.42</v>
      </c>
      <c r="L21" s="12">
        <v>0.37</v>
      </c>
      <c r="M21" s="12">
        <v>0.32</v>
      </c>
    </row>
    <row r="22" spans="1:13">
      <c r="B22" s="10" t="s">
        <v>2</v>
      </c>
      <c r="C22" s="11">
        <v>3.69</v>
      </c>
      <c r="D22" s="12">
        <v>2.09</v>
      </c>
      <c r="E22" s="12">
        <v>1.34</v>
      </c>
      <c r="F22" s="12">
        <v>0.95</v>
      </c>
      <c r="G22" s="12">
        <v>0.73</v>
      </c>
      <c r="H22" s="12">
        <v>0.59</v>
      </c>
      <c r="I22" s="12">
        <v>0.49</v>
      </c>
      <c r="J22" s="12">
        <v>0.42</v>
      </c>
      <c r="K22" s="12">
        <v>0.36</v>
      </c>
      <c r="L22" s="12">
        <v>0.32</v>
      </c>
      <c r="M22" s="12">
        <v>0.28000000000000003</v>
      </c>
    </row>
    <row r="23" spans="1:13">
      <c r="B23" s="10" t="s">
        <v>3</v>
      </c>
      <c r="C23" s="11">
        <v>3.42</v>
      </c>
      <c r="D23" s="12">
        <v>1.87</v>
      </c>
      <c r="E23" s="12">
        <v>1.17</v>
      </c>
      <c r="F23" s="12">
        <v>0.83</v>
      </c>
      <c r="G23" s="12">
        <v>0.63</v>
      </c>
      <c r="H23" s="12">
        <v>0.51</v>
      </c>
      <c r="I23" s="12">
        <v>0.42</v>
      </c>
      <c r="J23" s="12">
        <v>0.36</v>
      </c>
      <c r="K23" s="12">
        <v>0.31</v>
      </c>
      <c r="L23" s="12">
        <v>0.27</v>
      </c>
      <c r="M23" s="12">
        <v>0.24</v>
      </c>
    </row>
    <row r="24" spans="1:13">
      <c r="C24" s="3"/>
    </row>
    <row r="26" spans="1:13" ht="39">
      <c r="B26" s="29" t="s">
        <v>34</v>
      </c>
      <c r="C26" s="29" t="s">
        <v>0</v>
      </c>
      <c r="D26" s="29" t="s">
        <v>6</v>
      </c>
      <c r="E26" s="29" t="s">
        <v>1</v>
      </c>
      <c r="F26" s="41" t="s">
        <v>35</v>
      </c>
      <c r="G26" s="41" t="s">
        <v>36</v>
      </c>
      <c r="H26" s="41" t="s">
        <v>37</v>
      </c>
      <c r="I26" s="42" t="s">
        <v>38</v>
      </c>
      <c r="J26" s="42" t="s">
        <v>39</v>
      </c>
      <c r="K26" s="42" t="s">
        <v>40</v>
      </c>
      <c r="L26"/>
      <c r="M26"/>
    </row>
    <row r="27" spans="1:13">
      <c r="B27" s="27">
        <v>0</v>
      </c>
      <c r="C27" s="12">
        <v>56.78</v>
      </c>
      <c r="D27" s="12">
        <v>66.739999999999995</v>
      </c>
      <c r="E27" s="12">
        <v>72.069999999999993</v>
      </c>
      <c r="F27" s="12">
        <f>0.1718*B27^2+11.491*B27+52.963</f>
        <v>52.963000000000001</v>
      </c>
      <c r="G27" s="12">
        <f t="shared" ref="G27:G37" si="0">(0.2259*B27^2)+16.538*B27+61.198</f>
        <v>61.198</v>
      </c>
      <c r="H27" s="12">
        <f>0.257*B27^2+19.639*B27+65.544</f>
        <v>65.543999999999997</v>
      </c>
      <c r="I27" s="12">
        <f>(C27-F27)/(C27)*100</f>
        <v>6.7224374779852063</v>
      </c>
      <c r="J27" s="12">
        <f>(D27-G27)/(D27)*100</f>
        <v>8.3038657476775466</v>
      </c>
      <c r="K27" s="12">
        <f>(E27-H27)/(E27)*100</f>
        <v>9.0550853337033406</v>
      </c>
    </row>
    <row r="28" spans="1:13">
      <c r="B28" s="27">
        <v>3</v>
      </c>
      <c r="C28" s="12">
        <v>86.69</v>
      </c>
      <c r="D28" s="12">
        <v>109.18</v>
      </c>
      <c r="E28" s="12">
        <v>122.26</v>
      </c>
      <c r="F28" s="12">
        <f t="shared" ref="F28:F37" si="1">0.1718*B28^2+11.491*B28+52.963</f>
        <v>88.982200000000006</v>
      </c>
      <c r="G28" s="12">
        <f t="shared" si="0"/>
        <v>112.8451</v>
      </c>
      <c r="H28" s="12">
        <f t="shared" ref="H28:H37" si="2">0.257*B28^2+19.639*B28+65.544</f>
        <v>126.774</v>
      </c>
      <c r="I28" s="12">
        <f t="shared" ref="I28:I37" si="3">(C28-F28)/(C28)*100</f>
        <v>-2.6441342715422866</v>
      </c>
      <c r="J28" s="12">
        <f t="shared" ref="J28:J37" si="4">(D28-G28)/(D28)*100</f>
        <v>-3.3569335043048132</v>
      </c>
      <c r="K28" s="12">
        <f t="shared" ref="K28:K37" si="5">(E28-H28)/(E28)*100</f>
        <v>-3.6921315229838014</v>
      </c>
    </row>
    <row r="29" spans="1:13">
      <c r="B29" s="27">
        <v>6</v>
      </c>
      <c r="C29" s="12">
        <v>125.06</v>
      </c>
      <c r="D29" s="12">
        <v>164.27</v>
      </c>
      <c r="E29" s="12">
        <v>187.66</v>
      </c>
      <c r="F29" s="12">
        <f t="shared" si="1"/>
        <v>128.09379999999999</v>
      </c>
      <c r="G29" s="12">
        <f t="shared" si="0"/>
        <v>168.55840000000001</v>
      </c>
      <c r="H29" s="12">
        <f t="shared" si="2"/>
        <v>192.63</v>
      </c>
      <c r="I29" s="12">
        <f t="shared" si="3"/>
        <v>-2.4258755797217217</v>
      </c>
      <c r="J29" s="12">
        <f t="shared" si="4"/>
        <v>-2.6105801424484052</v>
      </c>
      <c r="K29" s="12">
        <f t="shared" si="5"/>
        <v>-2.6484066929553443</v>
      </c>
    </row>
    <row r="30" spans="1:13">
      <c r="B30" s="27">
        <v>9</v>
      </c>
      <c r="C30" s="12">
        <v>168.72</v>
      </c>
      <c r="D30" s="12">
        <v>226.37</v>
      </c>
      <c r="E30" s="12">
        <v>260.98</v>
      </c>
      <c r="F30" s="12">
        <f t="shared" si="1"/>
        <v>170.2978</v>
      </c>
      <c r="G30" s="12">
        <f t="shared" si="0"/>
        <v>228.33790000000002</v>
      </c>
      <c r="H30" s="12">
        <f t="shared" si="2"/>
        <v>263.11200000000002</v>
      </c>
      <c r="I30" s="12">
        <f t="shared" si="3"/>
        <v>-0.93515884305357766</v>
      </c>
      <c r="J30" s="12">
        <f t="shared" si="4"/>
        <v>-0.86932897468746484</v>
      </c>
      <c r="K30" s="12">
        <f t="shared" si="5"/>
        <v>-0.81692083684573713</v>
      </c>
    </row>
    <row r="31" spans="1:13">
      <c r="B31" s="27">
        <v>12</v>
      </c>
      <c r="C31" s="12">
        <v>215.73</v>
      </c>
      <c r="D31" s="12">
        <v>292.61</v>
      </c>
      <c r="E31" s="12">
        <v>338.86</v>
      </c>
      <c r="F31" s="12">
        <f t="shared" si="1"/>
        <v>215.5942</v>
      </c>
      <c r="G31" s="12">
        <f t="shared" si="0"/>
        <v>292.18360000000001</v>
      </c>
      <c r="H31" s="12">
        <f t="shared" si="2"/>
        <v>338.21999999999997</v>
      </c>
      <c r="I31" s="12">
        <f t="shared" si="3"/>
        <v>6.2949056691229341E-2</v>
      </c>
      <c r="J31" s="12">
        <f t="shared" si="4"/>
        <v>0.1457229759748474</v>
      </c>
      <c r="K31" s="12">
        <f t="shared" si="5"/>
        <v>0.18886855928703394</v>
      </c>
    </row>
    <row r="32" spans="1:13">
      <c r="B32" s="27">
        <v>15</v>
      </c>
      <c r="C32" s="12">
        <v>265.26</v>
      </c>
      <c r="D32" s="12">
        <v>361.98</v>
      </c>
      <c r="E32" s="12">
        <v>420.21</v>
      </c>
      <c r="F32" s="12">
        <f t="shared" si="1"/>
        <v>263.983</v>
      </c>
      <c r="G32" s="12">
        <f t="shared" si="0"/>
        <v>360.09549999999996</v>
      </c>
      <c r="H32" s="12">
        <f t="shared" si="2"/>
        <v>417.95399999999995</v>
      </c>
      <c r="I32" s="12">
        <f t="shared" si="3"/>
        <v>0.48141446128326426</v>
      </c>
      <c r="J32" s="12">
        <f t="shared" si="4"/>
        <v>0.52060887341843731</v>
      </c>
      <c r="K32" s="12">
        <f t="shared" si="5"/>
        <v>0.53687441993289753</v>
      </c>
    </row>
    <row r="33" spans="2:11">
      <c r="B33" s="27">
        <v>18</v>
      </c>
      <c r="C33" s="12">
        <v>317.09370999999999</v>
      </c>
      <c r="D33" s="12">
        <v>434.28509000000003</v>
      </c>
      <c r="E33" s="12">
        <v>504.85593</v>
      </c>
      <c r="F33" s="12">
        <f t="shared" si="1"/>
        <v>315.46420000000001</v>
      </c>
      <c r="G33" s="12">
        <f t="shared" si="0"/>
        <v>432.0736</v>
      </c>
      <c r="H33" s="12">
        <f t="shared" si="2"/>
        <v>502.31399999999996</v>
      </c>
      <c r="I33" s="12">
        <f t="shared" si="3"/>
        <v>0.51388909606563371</v>
      </c>
      <c r="J33" s="12">
        <f t="shared" si="4"/>
        <v>0.50922540306415454</v>
      </c>
      <c r="K33" s="12">
        <f t="shared" si="5"/>
        <v>0.50349611620884327</v>
      </c>
    </row>
    <row r="34" spans="2:11">
      <c r="B34" s="27">
        <v>21</v>
      </c>
      <c r="C34" s="12">
        <v>371.28</v>
      </c>
      <c r="D34" s="12">
        <v>509.68</v>
      </c>
      <c r="E34" s="12">
        <v>593.04</v>
      </c>
      <c r="F34" s="12">
        <f t="shared" si="1"/>
        <v>370.0378</v>
      </c>
      <c r="G34" s="12">
        <f t="shared" si="0"/>
        <v>508.11789999999996</v>
      </c>
      <c r="H34" s="12">
        <f t="shared" si="2"/>
        <v>591.29999999999995</v>
      </c>
      <c r="I34" s="12">
        <f t="shared" si="3"/>
        <v>0.33457229045463488</v>
      </c>
      <c r="J34" s="12">
        <f t="shared" si="4"/>
        <v>0.3064864228535637</v>
      </c>
      <c r="K34" s="12">
        <f t="shared" si="5"/>
        <v>0.29340348037232045</v>
      </c>
    </row>
    <row r="35" spans="2:11">
      <c r="B35" s="27">
        <v>24</v>
      </c>
      <c r="C35" s="12">
        <v>428.09</v>
      </c>
      <c r="D35" s="12">
        <v>588.59</v>
      </c>
      <c r="E35" s="12">
        <v>685.26</v>
      </c>
      <c r="F35" s="12">
        <f t="shared" si="1"/>
        <v>427.7038</v>
      </c>
      <c r="G35" s="12">
        <f t="shared" si="0"/>
        <v>588.22840000000008</v>
      </c>
      <c r="H35" s="12">
        <f t="shared" si="2"/>
        <v>684.91200000000003</v>
      </c>
      <c r="I35" s="12">
        <f t="shared" si="3"/>
        <v>9.021467448433132E-2</v>
      </c>
      <c r="J35" s="12">
        <f t="shared" si="4"/>
        <v>6.1434954722294474E-2</v>
      </c>
      <c r="K35" s="12">
        <f t="shared" si="5"/>
        <v>5.0783644164252455E-2</v>
      </c>
    </row>
    <row r="36" spans="2:11">
      <c r="B36" s="27">
        <v>27</v>
      </c>
      <c r="C36" s="12">
        <v>487.91</v>
      </c>
      <c r="D36" s="12">
        <v>671.57</v>
      </c>
      <c r="E36" s="12">
        <v>782.19</v>
      </c>
      <c r="F36" s="12">
        <f t="shared" si="1"/>
        <v>488.46220000000005</v>
      </c>
      <c r="G36" s="12">
        <f t="shared" si="0"/>
        <v>672.40509999999995</v>
      </c>
      <c r="H36" s="12">
        <f t="shared" si="2"/>
        <v>783.15</v>
      </c>
      <c r="I36" s="12">
        <f t="shared" si="3"/>
        <v>-0.11317661044045572</v>
      </c>
      <c r="J36" s="12">
        <f t="shared" si="4"/>
        <v>-0.12435040278748269</v>
      </c>
      <c r="K36" s="12">
        <f t="shared" si="5"/>
        <v>-0.12273232846238416</v>
      </c>
    </row>
    <row r="37" spans="2:11">
      <c r="B37" s="27">
        <v>30</v>
      </c>
      <c r="C37" s="12">
        <v>551.22</v>
      </c>
      <c r="D37" s="12">
        <v>759.31</v>
      </c>
      <c r="E37" s="12">
        <v>884.65</v>
      </c>
      <c r="F37" s="12">
        <f t="shared" si="1"/>
        <v>552.31299999999999</v>
      </c>
      <c r="G37" s="12">
        <f t="shared" si="0"/>
        <v>760.64800000000002</v>
      </c>
      <c r="H37" s="12">
        <f t="shared" si="2"/>
        <v>886.01400000000001</v>
      </c>
      <c r="I37" s="12">
        <f t="shared" si="3"/>
        <v>-0.19828743514385561</v>
      </c>
      <c r="J37" s="12">
        <f t="shared" si="4"/>
        <v>-0.17621261408384969</v>
      </c>
      <c r="K37" s="12">
        <f t="shared" si="5"/>
        <v>-0.15418527101113805</v>
      </c>
    </row>
    <row r="46" spans="2:11" ht="39">
      <c r="B46" s="41" t="s">
        <v>34</v>
      </c>
      <c r="C46" s="41" t="s">
        <v>0</v>
      </c>
      <c r="D46" s="41" t="s">
        <v>6</v>
      </c>
      <c r="E46" s="41" t="s">
        <v>1</v>
      </c>
      <c r="F46" s="41" t="s">
        <v>35</v>
      </c>
      <c r="G46" s="41" t="s">
        <v>36</v>
      </c>
      <c r="H46" s="41" t="s">
        <v>37</v>
      </c>
      <c r="I46" s="41" t="s">
        <v>38</v>
      </c>
      <c r="J46" s="41" t="s">
        <v>39</v>
      </c>
      <c r="K46" s="41" t="s">
        <v>40</v>
      </c>
    </row>
    <row r="47" spans="2:11">
      <c r="B47" s="43">
        <v>0</v>
      </c>
      <c r="C47" s="44">
        <v>5.05</v>
      </c>
      <c r="D47" s="44">
        <v>4.3</v>
      </c>
      <c r="E47" s="44">
        <v>3.98</v>
      </c>
      <c r="F47" s="45">
        <f>-0.0004*B47^3+0.0259*B47^2-0.5591*B47+4.9191</f>
        <v>4.9191000000000003</v>
      </c>
      <c r="G47" s="45">
        <f>-0.0004*B47^3+0.0249*B47^2-0.5144*B47+4.148</f>
        <v>4.1479999999999997</v>
      </c>
      <c r="H47" s="45">
        <f>-0.0004*B47^3+0.0244*B47^2-0.4924*B47+3.8166</f>
        <v>3.8166000000000002</v>
      </c>
      <c r="I47" s="12">
        <f>(C47-F47)/(C47)*100</f>
        <v>2.5920792079207837</v>
      </c>
      <c r="J47" s="12">
        <f>(D47-G47)/(D47)*100</f>
        <v>3.5348837209302362</v>
      </c>
      <c r="K47" s="12">
        <f>(E47-H47)/(E47)*100</f>
        <v>4.1055276381909493</v>
      </c>
    </row>
    <row r="48" spans="2:11">
      <c r="B48" s="43">
        <v>3</v>
      </c>
      <c r="C48" s="45">
        <v>3.31</v>
      </c>
      <c r="D48" s="45">
        <v>2.63</v>
      </c>
      <c r="E48" s="45">
        <v>2.34</v>
      </c>
      <c r="F48" s="45">
        <f t="shared" ref="F48:F57" si="6">-0.0004*B48^3+0.0259*B48^2-0.5591*B48+4.9191</f>
        <v>3.4641000000000002</v>
      </c>
      <c r="G48" s="45">
        <f t="shared" ref="G48:G57" si="7">-0.0004*B48^3+0.0249*B48^2-0.5144*B48+4.148</f>
        <v>2.8180999999999998</v>
      </c>
      <c r="H48" s="45">
        <f t="shared" ref="H48:H57" si="8">-0.0004*B48^3+0.0244*B48^2-0.4924*B48+3.8166</f>
        <v>2.5482000000000005</v>
      </c>
      <c r="I48" s="12">
        <f t="shared" ref="I48:I57" si="9">(C48-F48)/(C48)*100</f>
        <v>-4.655589123867073</v>
      </c>
      <c r="J48" s="12">
        <f t="shared" ref="J48:J57" si="10">(D48-G48)/(D48)*100</f>
        <v>-7.1520912547528503</v>
      </c>
      <c r="K48" s="12">
        <f t="shared" ref="K48:K57" si="11">(E48-H48)/(E48)*100</f>
        <v>-8.8974358974359227</v>
      </c>
    </row>
    <row r="49" spans="2:11">
      <c r="B49" s="43">
        <v>6</v>
      </c>
      <c r="C49" s="45">
        <v>2.29</v>
      </c>
      <c r="D49" s="45">
        <v>1.75</v>
      </c>
      <c r="E49" s="45">
        <v>1.53</v>
      </c>
      <c r="F49" s="45">
        <f t="shared" si="6"/>
        <v>2.4104999999999999</v>
      </c>
      <c r="G49" s="45">
        <f t="shared" si="7"/>
        <v>1.8715999999999999</v>
      </c>
      <c r="H49" s="45">
        <f t="shared" si="8"/>
        <v>1.6542000000000003</v>
      </c>
      <c r="I49" s="12">
        <f t="shared" si="9"/>
        <v>-5.2620087336244463</v>
      </c>
      <c r="J49" s="12">
        <f t="shared" si="10"/>
        <v>-6.9485714285714248</v>
      </c>
      <c r="K49" s="12">
        <f t="shared" si="11"/>
        <v>-8.1176470588235485</v>
      </c>
    </row>
    <row r="50" spans="2:11">
      <c r="B50" s="43">
        <v>9</v>
      </c>
      <c r="C50" s="45">
        <v>1.7</v>
      </c>
      <c r="D50" s="45">
        <v>1.27</v>
      </c>
      <c r="E50" s="45">
        <v>1.1000000000000001</v>
      </c>
      <c r="F50" s="45">
        <f t="shared" si="6"/>
        <v>1.6935000000000002</v>
      </c>
      <c r="G50" s="45">
        <f t="shared" si="7"/>
        <v>1.2436999999999996</v>
      </c>
      <c r="H50" s="45">
        <f t="shared" si="8"/>
        <v>1.0697999999999999</v>
      </c>
      <c r="I50" s="12">
        <f t="shared" si="9"/>
        <v>0.38235294117645463</v>
      </c>
      <c r="J50" s="12">
        <f t="shared" si="10"/>
        <v>2.0708661417323175</v>
      </c>
      <c r="K50" s="12">
        <f t="shared" si="11"/>
        <v>2.745454545454566</v>
      </c>
    </row>
    <row r="51" spans="2:11">
      <c r="B51" s="43">
        <v>12</v>
      </c>
      <c r="C51" s="45">
        <v>1.33</v>
      </c>
      <c r="D51" s="45">
        <v>0.98</v>
      </c>
      <c r="E51" s="45">
        <v>0.85</v>
      </c>
      <c r="F51" s="45">
        <f t="shared" si="6"/>
        <v>1.2482999999999995</v>
      </c>
      <c r="G51" s="45">
        <f t="shared" si="7"/>
        <v>0.86960000000000015</v>
      </c>
      <c r="H51" s="45">
        <f t="shared" si="8"/>
        <v>0.73019999999999996</v>
      </c>
      <c r="I51" s="12">
        <f t="shared" si="9"/>
        <v>6.1428571428571841</v>
      </c>
      <c r="J51" s="12">
        <f t="shared" si="10"/>
        <v>11.265306122448962</v>
      </c>
      <c r="K51" s="12">
        <f t="shared" si="11"/>
        <v>14.094117647058827</v>
      </c>
    </row>
    <row r="52" spans="2:11">
      <c r="B52" s="43">
        <v>15</v>
      </c>
      <c r="C52" s="45">
        <v>1.08</v>
      </c>
      <c r="D52" s="45">
        <v>0.79</v>
      </c>
      <c r="E52" s="45">
        <v>0.68</v>
      </c>
      <c r="F52" s="45">
        <f t="shared" si="6"/>
        <v>1.0100999999999996</v>
      </c>
      <c r="G52" s="45">
        <f t="shared" si="7"/>
        <v>0.68449999999999989</v>
      </c>
      <c r="H52" s="45">
        <f t="shared" si="8"/>
        <v>0.57060000000000066</v>
      </c>
      <c r="I52" s="12">
        <f t="shared" si="9"/>
        <v>6.4722222222222694</v>
      </c>
      <c r="J52" s="12">
        <f t="shared" si="10"/>
        <v>13.354430379746853</v>
      </c>
      <c r="K52" s="12">
        <f t="shared" si="11"/>
        <v>16.088235294117556</v>
      </c>
    </row>
    <row r="53" spans="2:11">
      <c r="B53" s="43">
        <v>18</v>
      </c>
      <c r="C53" s="45">
        <v>0.9</v>
      </c>
      <c r="D53" s="45">
        <v>0.66</v>
      </c>
      <c r="E53" s="45">
        <v>0.56999999999999995</v>
      </c>
      <c r="F53" s="45">
        <f t="shared" si="6"/>
        <v>0.91409999999999947</v>
      </c>
      <c r="G53" s="45">
        <f t="shared" si="7"/>
        <v>0.62359999999999793</v>
      </c>
      <c r="H53" s="45">
        <f t="shared" si="8"/>
        <v>0.52620000000000022</v>
      </c>
      <c r="I53" s="12">
        <f t="shared" si="9"/>
        <v>-1.5666666666666051</v>
      </c>
      <c r="J53" s="12">
        <f t="shared" si="10"/>
        <v>5.5151515151518327</v>
      </c>
      <c r="K53" s="12">
        <f t="shared" si="11"/>
        <v>7.6842105263157423</v>
      </c>
    </row>
    <row r="54" spans="2:11">
      <c r="B54" s="43">
        <v>21</v>
      </c>
      <c r="C54" s="45">
        <v>0.77</v>
      </c>
      <c r="D54" s="45">
        <v>0.56000000000000005</v>
      </c>
      <c r="E54" s="45">
        <v>0.48</v>
      </c>
      <c r="F54" s="45">
        <f t="shared" si="6"/>
        <v>0.89549999999999841</v>
      </c>
      <c r="G54" s="45">
        <f t="shared" si="7"/>
        <v>0.62210000000000143</v>
      </c>
      <c r="H54" s="45">
        <f t="shared" si="8"/>
        <v>0.53220000000000045</v>
      </c>
      <c r="I54" s="12">
        <f t="shared" si="9"/>
        <v>-16.29870129870109</v>
      </c>
      <c r="J54" s="12">
        <f t="shared" si="10"/>
        <v>-11.08928571428596</v>
      </c>
      <c r="K54" s="12">
        <f t="shared" si="11"/>
        <v>-10.875000000000098</v>
      </c>
    </row>
    <row r="55" spans="2:11">
      <c r="B55" s="43">
        <v>24</v>
      </c>
      <c r="C55" s="45">
        <v>0.67</v>
      </c>
      <c r="D55" s="45">
        <v>0.49</v>
      </c>
      <c r="E55" s="45">
        <v>0.42</v>
      </c>
      <c r="F55" s="45">
        <f t="shared" si="6"/>
        <v>0.88949999999999818</v>
      </c>
      <c r="G55" s="45">
        <f t="shared" si="7"/>
        <v>0.61519999999999975</v>
      </c>
      <c r="H55" s="45">
        <f t="shared" si="8"/>
        <v>0.52380000000000049</v>
      </c>
      <c r="I55" s="12">
        <f t="shared" si="9"/>
        <v>-32.761194029850465</v>
      </c>
      <c r="J55" s="12">
        <f t="shared" si="10"/>
        <v>-25.551020408163218</v>
      </c>
      <c r="K55" s="12">
        <f t="shared" si="11"/>
        <v>-24.714285714285836</v>
      </c>
    </row>
    <row r="56" spans="2:11">
      <c r="B56" s="43">
        <v>27</v>
      </c>
      <c r="C56" s="45">
        <v>0.59</v>
      </c>
      <c r="D56" s="45">
        <v>0.43</v>
      </c>
      <c r="E56" s="45">
        <v>0.37</v>
      </c>
      <c r="F56" s="45">
        <f t="shared" si="6"/>
        <v>0.83129999999999882</v>
      </c>
      <c r="G56" s="45">
        <f t="shared" si="7"/>
        <v>0.53809999999999647</v>
      </c>
      <c r="H56" s="45">
        <f t="shared" si="8"/>
        <v>0.43620000000000037</v>
      </c>
      <c r="I56" s="12">
        <f t="shared" si="9"/>
        <v>-40.898305084745566</v>
      </c>
      <c r="J56" s="12">
        <f t="shared" si="10"/>
        <v>-25.13953488372011</v>
      </c>
      <c r="K56" s="12">
        <f t="shared" si="11"/>
        <v>-17.891891891891991</v>
      </c>
    </row>
    <row r="57" spans="2:11">
      <c r="B57" s="43">
        <v>30</v>
      </c>
      <c r="C57" s="45">
        <v>0.52</v>
      </c>
      <c r="D57" s="45">
        <v>0.38</v>
      </c>
      <c r="E57" s="45">
        <v>0.32</v>
      </c>
      <c r="F57" s="45">
        <f t="shared" si="6"/>
        <v>0.65609999999999857</v>
      </c>
      <c r="G57" s="45">
        <f t="shared" si="7"/>
        <v>0.32600000000000051</v>
      </c>
      <c r="H57" s="45">
        <f t="shared" si="8"/>
        <v>0.20460000000000012</v>
      </c>
      <c r="I57" s="12">
        <f t="shared" si="9"/>
        <v>-26.173076923076643</v>
      </c>
      <c r="J57" s="12">
        <f t="shared" si="10"/>
        <v>14.210526315789341</v>
      </c>
      <c r="K57" s="12">
        <f t="shared" si="11"/>
        <v>36.062499999999964</v>
      </c>
    </row>
  </sheetData>
  <phoneticPr fontId="0" type="noConversion"/>
  <pageMargins left="1" right="0.9" top="1" bottom="1" header="0.5" footer="0.5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3"/>
  <sheetViews>
    <sheetView topLeftCell="A25" workbookViewId="0">
      <selection activeCell="N51" sqref="N51"/>
    </sheetView>
  </sheetViews>
  <sheetFormatPr baseColWidth="10" defaultColWidth="8.83203125" defaultRowHeight="13"/>
  <cols>
    <col min="2" max="8" width="8.83203125" customWidth="1"/>
    <col min="9" max="10" width="11.5" customWidth="1"/>
    <col min="11" max="11" width="12.5" customWidth="1"/>
  </cols>
  <sheetData>
    <row r="2" spans="2:5">
      <c r="B2" s="14" t="s">
        <v>29</v>
      </c>
    </row>
    <row r="3" spans="2:5" ht="80">
      <c r="B3" s="24" t="s">
        <v>27</v>
      </c>
      <c r="C3" s="24" t="s">
        <v>26</v>
      </c>
      <c r="D3" s="24" t="s">
        <v>28</v>
      </c>
      <c r="E3" s="24" t="s">
        <v>19</v>
      </c>
    </row>
    <row r="4" spans="2:5">
      <c r="B4" s="28">
        <v>0</v>
      </c>
      <c r="C4" s="26">
        <v>2250</v>
      </c>
      <c r="D4" s="25">
        <f t="shared" ref="D4:D35" si="0">CONVERT(B4,"km","mi")</f>
        <v>0</v>
      </c>
      <c r="E4" s="28">
        <f t="shared" ref="E4:E35" si="1">CONVERT(C4,"m","ft")</f>
        <v>7381.8897637795271</v>
      </c>
    </row>
    <row r="5" spans="2:5">
      <c r="B5" s="28">
        <v>1</v>
      </c>
      <c r="C5" s="26">
        <v>2303</v>
      </c>
      <c r="D5" s="25">
        <f t="shared" si="0"/>
        <v>0.62137119223733395</v>
      </c>
      <c r="E5" s="28">
        <f t="shared" si="1"/>
        <v>7555.7742782152227</v>
      </c>
    </row>
    <row r="6" spans="2:5">
      <c r="B6" s="27">
        <v>2</v>
      </c>
      <c r="C6" s="17">
        <v>2378</v>
      </c>
      <c r="D6" s="25">
        <f t="shared" si="0"/>
        <v>1.2427423844746679</v>
      </c>
      <c r="E6" s="28">
        <f t="shared" si="1"/>
        <v>7801.8372703412069</v>
      </c>
    </row>
    <row r="7" spans="2:5">
      <c r="B7" s="27">
        <v>3</v>
      </c>
      <c r="C7" s="17">
        <v>2474</v>
      </c>
      <c r="D7" s="25">
        <f t="shared" si="0"/>
        <v>1.8641135767120018</v>
      </c>
      <c r="E7" s="28">
        <f t="shared" si="1"/>
        <v>8116.797900262467</v>
      </c>
    </row>
    <row r="8" spans="2:5">
      <c r="B8" s="27">
        <v>4</v>
      </c>
      <c r="C8" s="17">
        <v>2585</v>
      </c>
      <c r="D8" s="25">
        <f t="shared" si="0"/>
        <v>2.4854847689493358</v>
      </c>
      <c r="E8" s="28">
        <f t="shared" si="1"/>
        <v>8480.9711286089241</v>
      </c>
    </row>
    <row r="9" spans="2:5">
      <c r="B9" s="27">
        <v>5</v>
      </c>
      <c r="C9" s="17">
        <v>2676</v>
      </c>
      <c r="D9" s="25">
        <f t="shared" si="0"/>
        <v>3.1068559611866697</v>
      </c>
      <c r="E9" s="28">
        <f t="shared" si="1"/>
        <v>8779.5275590551173</v>
      </c>
    </row>
    <row r="10" spans="2:5">
      <c r="B10" s="27">
        <v>6</v>
      </c>
      <c r="C10" s="17">
        <v>2656</v>
      </c>
      <c r="D10" s="25">
        <f t="shared" si="0"/>
        <v>3.7282271534240037</v>
      </c>
      <c r="E10" s="28">
        <f t="shared" si="1"/>
        <v>8713.9107611548552</v>
      </c>
    </row>
    <row r="11" spans="2:5">
      <c r="B11" s="27">
        <v>7</v>
      </c>
      <c r="C11" s="17">
        <v>2754</v>
      </c>
      <c r="D11" s="25">
        <f t="shared" si="0"/>
        <v>4.3495983456613381</v>
      </c>
      <c r="E11" s="28">
        <f t="shared" si="1"/>
        <v>9035.4330708661419</v>
      </c>
    </row>
    <row r="12" spans="2:5">
      <c r="B12" s="27">
        <v>8</v>
      </c>
      <c r="C12" s="17">
        <v>2802</v>
      </c>
      <c r="D12" s="25">
        <f t="shared" si="0"/>
        <v>4.9709695378986716</v>
      </c>
      <c r="E12" s="28">
        <f t="shared" si="1"/>
        <v>9192.9133858267724</v>
      </c>
    </row>
    <row r="13" spans="2:5">
      <c r="B13" s="27">
        <v>9</v>
      </c>
      <c r="C13" s="17">
        <v>2833</v>
      </c>
      <c r="D13" s="25">
        <f t="shared" si="0"/>
        <v>5.592340730136006</v>
      </c>
      <c r="E13" s="28">
        <f t="shared" si="1"/>
        <v>9294.6194225721792</v>
      </c>
    </row>
    <row r="14" spans="2:5">
      <c r="B14" s="27">
        <v>10</v>
      </c>
      <c r="C14" s="17">
        <v>2812</v>
      </c>
      <c r="D14" s="25">
        <f t="shared" si="0"/>
        <v>6.2137119223733395</v>
      </c>
      <c r="E14" s="28">
        <f t="shared" si="1"/>
        <v>9225.7217847769025</v>
      </c>
    </row>
    <row r="15" spans="2:5">
      <c r="B15" s="27">
        <v>11</v>
      </c>
      <c r="C15" s="17">
        <v>2860</v>
      </c>
      <c r="D15" s="25">
        <f t="shared" si="0"/>
        <v>6.8350831146106739</v>
      </c>
      <c r="E15" s="28">
        <f t="shared" si="1"/>
        <v>9383.202099737533</v>
      </c>
    </row>
    <row r="16" spans="2:5">
      <c r="B16" s="27">
        <v>12</v>
      </c>
      <c r="C16" s="17">
        <v>2869</v>
      </c>
      <c r="D16" s="25">
        <f t="shared" si="0"/>
        <v>7.4564543068480074</v>
      </c>
      <c r="E16" s="28">
        <f t="shared" si="1"/>
        <v>9412.7296587926503</v>
      </c>
    </row>
    <row r="17" spans="2:5">
      <c r="B17" s="27">
        <v>13</v>
      </c>
      <c r="C17" s="17">
        <v>2888</v>
      </c>
      <c r="D17" s="25">
        <f t="shared" si="0"/>
        <v>8.0778254990853409</v>
      </c>
      <c r="E17" s="28">
        <f t="shared" si="1"/>
        <v>9475.0656167978996</v>
      </c>
    </row>
    <row r="18" spans="2:5">
      <c r="B18" s="27">
        <v>14</v>
      </c>
      <c r="C18" s="17">
        <v>2924</v>
      </c>
      <c r="D18" s="25">
        <f t="shared" si="0"/>
        <v>8.6991966913226761</v>
      </c>
      <c r="E18" s="28">
        <f t="shared" si="1"/>
        <v>9593.1758530183724</v>
      </c>
    </row>
    <row r="19" spans="2:5">
      <c r="B19" s="27">
        <v>15</v>
      </c>
      <c r="C19" s="17">
        <v>3006</v>
      </c>
      <c r="D19" s="25">
        <f t="shared" si="0"/>
        <v>9.3205678835600096</v>
      </c>
      <c r="E19" s="28">
        <f t="shared" si="1"/>
        <v>9862.2047244094483</v>
      </c>
    </row>
    <row r="20" spans="2:5">
      <c r="B20" s="27">
        <v>16</v>
      </c>
      <c r="C20" s="17">
        <v>3125</v>
      </c>
      <c r="D20" s="25">
        <f t="shared" si="0"/>
        <v>9.9419390757973432</v>
      </c>
      <c r="E20" s="28">
        <f t="shared" si="1"/>
        <v>10252.62467191601</v>
      </c>
    </row>
    <row r="21" spans="2:5">
      <c r="B21" s="27">
        <v>17</v>
      </c>
      <c r="C21" s="17">
        <v>3214</v>
      </c>
      <c r="D21" s="25">
        <f t="shared" si="0"/>
        <v>10.563310268034677</v>
      </c>
      <c r="E21" s="28">
        <f t="shared" si="1"/>
        <v>10544.619422572179</v>
      </c>
    </row>
    <row r="22" spans="2:5">
      <c r="B22" s="27">
        <v>18</v>
      </c>
      <c r="C22" s="17">
        <v>3308</v>
      </c>
      <c r="D22" s="25">
        <f t="shared" si="0"/>
        <v>11.184681460272012</v>
      </c>
      <c r="E22" s="28">
        <f t="shared" si="1"/>
        <v>10853.018372703413</v>
      </c>
    </row>
    <row r="23" spans="2:5">
      <c r="B23" s="27">
        <v>19</v>
      </c>
      <c r="C23" s="17">
        <v>3399</v>
      </c>
      <c r="D23" s="25">
        <f t="shared" si="0"/>
        <v>11.806052652509345</v>
      </c>
      <c r="E23" s="28">
        <f t="shared" si="1"/>
        <v>11151.574803149606</v>
      </c>
    </row>
    <row r="24" spans="2:5">
      <c r="B24" s="27">
        <v>20</v>
      </c>
      <c r="C24" s="17">
        <v>3498</v>
      </c>
      <c r="D24" s="25">
        <f t="shared" si="0"/>
        <v>12.427423844746679</v>
      </c>
      <c r="E24" s="28">
        <f t="shared" si="1"/>
        <v>11476.377952755905</v>
      </c>
    </row>
    <row r="25" spans="2:5">
      <c r="B25" s="27">
        <v>21</v>
      </c>
      <c r="C25" s="17">
        <v>3581</v>
      </c>
      <c r="D25" s="25">
        <f t="shared" si="0"/>
        <v>13.048795036984012</v>
      </c>
      <c r="E25" s="28">
        <f t="shared" si="1"/>
        <v>11748.687664041994</v>
      </c>
    </row>
    <row r="26" spans="2:5">
      <c r="B26" s="27">
        <v>22</v>
      </c>
      <c r="C26" s="17">
        <v>3692</v>
      </c>
      <c r="D26" s="25">
        <f t="shared" si="0"/>
        <v>13.670166229221348</v>
      </c>
      <c r="E26" s="28">
        <f t="shared" si="1"/>
        <v>12112.860892388451</v>
      </c>
    </row>
    <row r="27" spans="2:5">
      <c r="B27" s="27">
        <v>23</v>
      </c>
      <c r="C27" s="17">
        <v>3788</v>
      </c>
      <c r="D27" s="25">
        <f t="shared" si="0"/>
        <v>14.291537421458681</v>
      </c>
      <c r="E27" s="28">
        <f t="shared" si="1"/>
        <v>12427.82152230971</v>
      </c>
    </row>
    <row r="28" spans="2:5">
      <c r="B28" s="27">
        <v>24</v>
      </c>
      <c r="C28" s="17">
        <v>3864</v>
      </c>
      <c r="D28" s="25">
        <f t="shared" si="0"/>
        <v>14.912908613696015</v>
      </c>
      <c r="E28" s="28">
        <f t="shared" si="1"/>
        <v>12677.165354330709</v>
      </c>
    </row>
    <row r="29" spans="2:5">
      <c r="B29" s="27">
        <v>25</v>
      </c>
      <c r="C29" s="17">
        <v>3951</v>
      </c>
      <c r="D29" s="25">
        <f t="shared" si="0"/>
        <v>15.53427980593335</v>
      </c>
      <c r="E29" s="28">
        <f t="shared" si="1"/>
        <v>12962.598425196851</v>
      </c>
    </row>
    <row r="30" spans="2:5">
      <c r="B30" s="27">
        <v>26</v>
      </c>
      <c r="C30" s="17">
        <v>3955</v>
      </c>
      <c r="D30" s="25">
        <f t="shared" si="0"/>
        <v>16.155650998170682</v>
      </c>
      <c r="E30" s="28">
        <f t="shared" si="1"/>
        <v>12975.721784776902</v>
      </c>
    </row>
    <row r="31" spans="2:5">
      <c r="B31" s="27">
        <v>27</v>
      </c>
      <c r="C31" s="17">
        <v>3994</v>
      </c>
      <c r="D31" s="25">
        <f t="shared" si="0"/>
        <v>16.777022190408019</v>
      </c>
      <c r="E31" s="28">
        <f t="shared" si="1"/>
        <v>13103.674540682414</v>
      </c>
    </row>
    <row r="32" spans="2:5">
      <c r="B32" s="27">
        <v>28</v>
      </c>
      <c r="C32" s="17">
        <v>4050</v>
      </c>
      <c r="D32" s="25">
        <f t="shared" si="0"/>
        <v>17.398393382645352</v>
      </c>
      <c r="E32" s="28">
        <f t="shared" si="1"/>
        <v>13287.401574803149</v>
      </c>
    </row>
    <row r="33" spans="2:5">
      <c r="B33" s="27">
        <v>29</v>
      </c>
      <c r="C33" s="17">
        <v>4145</v>
      </c>
      <c r="D33" s="25">
        <f t="shared" si="0"/>
        <v>18.019764574882682</v>
      </c>
      <c r="E33" s="28">
        <f t="shared" si="1"/>
        <v>13599.081364829397</v>
      </c>
    </row>
    <row r="34" spans="2:5">
      <c r="B34" s="27">
        <v>30</v>
      </c>
      <c r="C34" s="17">
        <v>4230</v>
      </c>
      <c r="D34" s="25">
        <f t="shared" si="0"/>
        <v>18.641135767120019</v>
      </c>
      <c r="E34" s="28">
        <f t="shared" si="1"/>
        <v>13877.952755905511</v>
      </c>
    </row>
    <row r="35" spans="2:5">
      <c r="B35" s="27">
        <v>31</v>
      </c>
      <c r="C35" s="17">
        <v>4297</v>
      </c>
      <c r="D35" s="25">
        <f t="shared" si="0"/>
        <v>19.262506959357353</v>
      </c>
      <c r="E35" s="28">
        <f t="shared" si="1"/>
        <v>14097.769028871391</v>
      </c>
    </row>
    <row r="52" spans="1:12" ht="52">
      <c r="A52" s="51" t="s">
        <v>11</v>
      </c>
      <c r="B52" s="51" t="s">
        <v>12</v>
      </c>
      <c r="C52" s="51" t="s">
        <v>13</v>
      </c>
      <c r="D52" s="51" t="s">
        <v>31</v>
      </c>
      <c r="E52" s="51" t="s">
        <v>17</v>
      </c>
      <c r="F52" s="51" t="s">
        <v>14</v>
      </c>
      <c r="G52" s="51" t="s">
        <v>15</v>
      </c>
      <c r="H52" s="51" t="s">
        <v>16</v>
      </c>
      <c r="I52" s="51" t="s">
        <v>42</v>
      </c>
      <c r="J52" s="51" t="s">
        <v>43</v>
      </c>
      <c r="K52" s="47" t="s">
        <v>44</v>
      </c>
      <c r="L52" s="41" t="s">
        <v>19</v>
      </c>
    </row>
    <row r="53" spans="1:12">
      <c r="A53" s="17">
        <v>0</v>
      </c>
      <c r="B53" s="17">
        <v>0</v>
      </c>
      <c r="C53" s="28">
        <v>0</v>
      </c>
      <c r="D53" s="17">
        <f>0</f>
        <v>0</v>
      </c>
      <c r="E53" s="17">
        <v>0</v>
      </c>
      <c r="F53" s="27">
        <f>ATAN(E53)*(180/PI())</f>
        <v>0</v>
      </c>
      <c r="G53" s="27">
        <v>0</v>
      </c>
      <c r="H53" s="12">
        <v>0</v>
      </c>
      <c r="I53" s="32">
        <f>SUM($G$53:G53)</f>
        <v>0</v>
      </c>
      <c r="J53" s="12">
        <f>SUM($H$53:H53)</f>
        <v>0</v>
      </c>
      <c r="K53" s="17">
        <f>SUM($D$53:D53)</f>
        <v>0</v>
      </c>
      <c r="L53" s="16">
        <v>7381.8897637795271</v>
      </c>
    </row>
    <row r="54" spans="1:12">
      <c r="A54" s="17">
        <v>1</v>
      </c>
      <c r="B54" s="17">
        <v>1</v>
      </c>
      <c r="C54" s="28">
        <v>1</v>
      </c>
      <c r="D54" s="46">
        <f>(C5-C4)/1000</f>
        <v>5.2999999999999999E-2</v>
      </c>
      <c r="E54" s="46">
        <f>(D54/(C54-C53))</f>
        <v>5.2999999999999999E-2</v>
      </c>
      <c r="F54" s="27">
        <f t="shared" ref="F54:F84" si="2">ATAN(E54)*(180/PI())</f>
        <v>3.033837755511009</v>
      </c>
      <c r="G54" s="27">
        <f t="shared" ref="G54:G83" si="3">(0.257*F54^2+19.639*F54+65.544)*(C55-C54)</f>
        <v>127.49101176285907</v>
      </c>
      <c r="H54" s="12">
        <f>(-0.0004*F54^3+0.024*F54^2-0.4924*F54+3.8166)^(-1)*(C54-C53)</f>
        <v>0.39487159402236438</v>
      </c>
      <c r="I54" s="32">
        <f>SUM($G$53:G54)</f>
        <v>127.49101176285907</v>
      </c>
      <c r="J54" s="12">
        <f>SUM($H$53:H54)</f>
        <v>0.39487159402236438</v>
      </c>
      <c r="K54" s="17">
        <f>SUM($D$53:D54)</f>
        <v>5.2999999999999999E-2</v>
      </c>
      <c r="L54" s="16">
        <v>7555.7742782152227</v>
      </c>
    </row>
    <row r="55" spans="1:12">
      <c r="A55" s="17">
        <v>2</v>
      </c>
      <c r="B55" s="17">
        <v>1</v>
      </c>
      <c r="C55" s="27">
        <v>2</v>
      </c>
      <c r="D55" s="46">
        <f t="shared" ref="D55:D84" si="4">(C6-C5)/1000</f>
        <v>7.4999999999999997E-2</v>
      </c>
      <c r="E55" s="46">
        <f t="shared" ref="E55:E84" si="5">(D55/(C55-C54))</f>
        <v>7.4999999999999997E-2</v>
      </c>
      <c r="F55" s="27">
        <f t="shared" si="2"/>
        <v>4.289153328819018</v>
      </c>
      <c r="G55" s="27">
        <f t="shared" si="3"/>
        <v>154.50666914815332</v>
      </c>
      <c r="H55" s="12">
        <f t="shared" ref="H55:H84" si="6">(-0.0004*F55^3+0.024*F55^2-0.4924*F55+3.8166)^(-1)*(C55-C54)</f>
        <v>0.47290665048087233</v>
      </c>
      <c r="I55" s="32">
        <f>SUM($G$53:G55)</f>
        <v>281.99768091101237</v>
      </c>
      <c r="J55" s="12">
        <f>SUM($H$53:H55)</f>
        <v>0.86777824450323671</v>
      </c>
      <c r="K55" s="17">
        <f>SUM($D$53:D55)</f>
        <v>0.128</v>
      </c>
      <c r="L55" s="16">
        <v>7801.8372703412069</v>
      </c>
    </row>
    <row r="56" spans="1:12">
      <c r="A56" s="17">
        <v>3</v>
      </c>
      <c r="B56" s="17">
        <v>1</v>
      </c>
      <c r="C56" s="27">
        <v>3</v>
      </c>
      <c r="D56" s="46">
        <f t="shared" si="4"/>
        <v>9.6000000000000002E-2</v>
      </c>
      <c r="E56" s="46">
        <f t="shared" si="5"/>
        <v>9.6000000000000002E-2</v>
      </c>
      <c r="F56" s="27">
        <f t="shared" si="2"/>
        <v>5.483590444464439</v>
      </c>
      <c r="G56" s="27">
        <f t="shared" si="3"/>
        <v>180.9641621286309</v>
      </c>
      <c r="H56" s="12">
        <f t="shared" si="6"/>
        <v>0.5642709407790375</v>
      </c>
      <c r="I56" s="32">
        <f>SUM($G$53:G56)</f>
        <v>462.96184303964327</v>
      </c>
      <c r="J56" s="12">
        <f>SUM($H$53:H56)</f>
        <v>1.4320491852822741</v>
      </c>
      <c r="K56" s="17">
        <f>SUM($D$53:D56)</f>
        <v>0.224</v>
      </c>
      <c r="L56" s="16">
        <v>8116.797900262467</v>
      </c>
    </row>
    <row r="57" spans="1:12">
      <c r="A57" s="17">
        <v>4</v>
      </c>
      <c r="B57" s="17">
        <v>1</v>
      </c>
      <c r="C57" s="27">
        <v>4</v>
      </c>
      <c r="D57" s="46">
        <f t="shared" si="4"/>
        <v>0.111</v>
      </c>
      <c r="E57" s="46">
        <f t="shared" si="5"/>
        <v>0.111</v>
      </c>
      <c r="F57" s="27">
        <f t="shared" si="2"/>
        <v>6.3339031080783865</v>
      </c>
      <c r="G57" s="27">
        <f t="shared" si="3"/>
        <v>200.24593358526033</v>
      </c>
      <c r="H57" s="12">
        <f t="shared" si="6"/>
        <v>0.64144350317752674</v>
      </c>
      <c r="I57" s="32">
        <f>SUM($G$53:G57)</f>
        <v>663.20777662490354</v>
      </c>
      <c r="J57" s="12">
        <f>SUM($H$53:H57)</f>
        <v>2.0734926884598011</v>
      </c>
      <c r="K57" s="17">
        <f>SUM($D$53:D57)</f>
        <v>0.33500000000000002</v>
      </c>
      <c r="L57" s="16">
        <v>8480.9711286089241</v>
      </c>
    </row>
    <row r="58" spans="1:12">
      <c r="A58" s="17">
        <v>5</v>
      </c>
      <c r="B58" s="17">
        <v>1</v>
      </c>
      <c r="C58" s="27">
        <v>5</v>
      </c>
      <c r="D58" s="46">
        <f t="shared" si="4"/>
        <v>9.0999999999999998E-2</v>
      </c>
      <c r="E58" s="46">
        <f t="shared" si="5"/>
        <v>9.0999999999999998E-2</v>
      </c>
      <c r="F58" s="27">
        <f t="shared" si="2"/>
        <v>5.1995948782837038</v>
      </c>
      <c r="G58" s="27">
        <f t="shared" si="3"/>
        <v>174.60704104747009</v>
      </c>
      <c r="H58" s="12">
        <f t="shared" si="6"/>
        <v>0.54084800185443227</v>
      </c>
      <c r="I58" s="32">
        <f>SUM($G$53:G58)</f>
        <v>837.81481767237369</v>
      </c>
      <c r="J58" s="12">
        <f>SUM($H$53:H58)</f>
        <v>2.6143406903142332</v>
      </c>
      <c r="K58" s="17">
        <f>SUM($D$53:D58)</f>
        <v>0.42600000000000005</v>
      </c>
      <c r="L58" s="16">
        <v>8779.5275590551173</v>
      </c>
    </row>
    <row r="59" spans="1:12">
      <c r="A59" s="17">
        <v>6</v>
      </c>
      <c r="B59" s="17">
        <v>1</v>
      </c>
      <c r="C59" s="27">
        <v>6</v>
      </c>
      <c r="D59" s="46">
        <f t="shared" si="4"/>
        <v>-0.02</v>
      </c>
      <c r="E59" s="46">
        <f t="shared" si="5"/>
        <v>-0.02</v>
      </c>
      <c r="F59" s="27">
        <f t="shared" si="2"/>
        <v>-1.1457628381751035</v>
      </c>
      <c r="G59" s="27">
        <f t="shared" si="3"/>
        <v>43.379746148784307</v>
      </c>
      <c r="H59" s="12">
        <f t="shared" si="6"/>
        <v>0.22660928679479911</v>
      </c>
      <c r="I59" s="32">
        <f>SUM($G$53:G59)</f>
        <v>881.194563821158</v>
      </c>
      <c r="J59" s="12">
        <f>SUM($H$53:H59)</f>
        <v>2.8409499771090325</v>
      </c>
      <c r="K59" s="17">
        <f>SUM($D$53:D59)</f>
        <v>0.40600000000000003</v>
      </c>
      <c r="L59" s="16">
        <v>8713.9107611548552</v>
      </c>
    </row>
    <row r="60" spans="1:12">
      <c r="A60" s="17">
        <v>7</v>
      </c>
      <c r="B60" s="17">
        <v>1</v>
      </c>
      <c r="C60" s="27">
        <v>7</v>
      </c>
      <c r="D60" s="46">
        <f t="shared" si="4"/>
        <v>9.8000000000000004E-2</v>
      </c>
      <c r="E60" s="46">
        <f t="shared" si="5"/>
        <v>9.8000000000000004E-2</v>
      </c>
      <c r="F60" s="27">
        <f t="shared" si="2"/>
        <v>5.5971138255675985</v>
      </c>
      <c r="G60" s="27">
        <f t="shared" si="3"/>
        <v>183.51693299664657</v>
      </c>
      <c r="H60" s="12">
        <f t="shared" si="6"/>
        <v>0.57395143067396615</v>
      </c>
      <c r="I60" s="32">
        <f>SUM($G$53:G60)</f>
        <v>1064.7114968178046</v>
      </c>
      <c r="J60" s="12">
        <f>SUM($H$53:H60)</f>
        <v>3.4149014077829989</v>
      </c>
      <c r="K60" s="17">
        <f>SUM($D$53:D60)</f>
        <v>0.504</v>
      </c>
      <c r="L60" s="16">
        <v>9035.4330708661419</v>
      </c>
    </row>
    <row r="61" spans="1:12">
      <c r="A61" s="17">
        <v>8</v>
      </c>
      <c r="B61" s="17">
        <v>1</v>
      </c>
      <c r="C61" s="27">
        <v>8</v>
      </c>
      <c r="D61" s="46">
        <f t="shared" si="4"/>
        <v>4.8000000000000001E-2</v>
      </c>
      <c r="E61" s="46">
        <f t="shared" si="5"/>
        <v>4.8000000000000001E-2</v>
      </c>
      <c r="F61" s="27">
        <f t="shared" si="2"/>
        <v>2.7480881800537502</v>
      </c>
      <c r="G61" s="27">
        <f t="shared" si="3"/>
        <v>121.45456484993083</v>
      </c>
      <c r="H61" s="12">
        <f t="shared" si="6"/>
        <v>0.37930688334218665</v>
      </c>
      <c r="I61" s="32">
        <f>SUM($G$53:G61)</f>
        <v>1186.1660616677354</v>
      </c>
      <c r="J61" s="12">
        <f>SUM($H$53:H61)</f>
        <v>3.7942082911251855</v>
      </c>
      <c r="K61" s="17">
        <f>SUM($D$53:D61)</f>
        <v>0.55200000000000005</v>
      </c>
      <c r="L61" s="16">
        <v>9192.9133858267724</v>
      </c>
    </row>
    <row r="62" spans="1:12">
      <c r="A62" s="17">
        <v>9</v>
      </c>
      <c r="B62" s="17">
        <v>1</v>
      </c>
      <c r="C62" s="27">
        <v>9</v>
      </c>
      <c r="D62" s="46">
        <f t="shared" si="4"/>
        <v>3.1E-2</v>
      </c>
      <c r="E62" s="46">
        <f t="shared" si="5"/>
        <v>3.1E-2</v>
      </c>
      <c r="F62" s="27">
        <f t="shared" si="2"/>
        <v>1.775600526557273</v>
      </c>
      <c r="G62" s="27">
        <f t="shared" si="3"/>
        <v>101.22527734914527</v>
      </c>
      <c r="H62" s="12">
        <f t="shared" si="6"/>
        <v>0.33159563302547196</v>
      </c>
      <c r="I62" s="32">
        <f>SUM($G$53:G62)</f>
        <v>1287.3913390168807</v>
      </c>
      <c r="J62" s="12">
        <f>SUM($H$53:H62)</f>
        <v>4.1258039241506577</v>
      </c>
      <c r="K62" s="17">
        <f>SUM($D$53:D62)</f>
        <v>0.58300000000000007</v>
      </c>
      <c r="L62" s="16">
        <v>9294.6194225721792</v>
      </c>
    </row>
    <row r="63" spans="1:12">
      <c r="A63" s="17">
        <v>10</v>
      </c>
      <c r="B63" s="17">
        <v>1</v>
      </c>
      <c r="C63" s="27">
        <v>10</v>
      </c>
      <c r="D63" s="46">
        <f t="shared" si="4"/>
        <v>-2.1000000000000001E-2</v>
      </c>
      <c r="E63" s="46">
        <f t="shared" si="5"/>
        <v>-2.1000000000000001E-2</v>
      </c>
      <c r="F63" s="27">
        <f t="shared" si="2"/>
        <v>-1.2030345444889849</v>
      </c>
      <c r="G63" s="27">
        <f t="shared" si="3"/>
        <v>42.289558654395918</v>
      </c>
      <c r="H63" s="12">
        <f t="shared" si="6"/>
        <v>0.22500196259691002</v>
      </c>
      <c r="I63" s="32">
        <f>SUM($G$53:G63)</f>
        <v>1329.6808976712766</v>
      </c>
      <c r="J63" s="12">
        <f>SUM($H$53:H63)</f>
        <v>4.3508058867475681</v>
      </c>
      <c r="K63" s="17">
        <f>SUM($D$53:D63)</f>
        <v>0.56200000000000006</v>
      </c>
      <c r="L63" s="16">
        <v>9225.7217847769025</v>
      </c>
    </row>
    <row r="64" spans="1:12">
      <c r="A64" s="17">
        <v>11</v>
      </c>
      <c r="B64" s="17">
        <v>1</v>
      </c>
      <c r="C64" s="27">
        <v>11</v>
      </c>
      <c r="D64" s="46">
        <f t="shared" si="4"/>
        <v>4.8000000000000001E-2</v>
      </c>
      <c r="E64" s="46">
        <f t="shared" si="5"/>
        <v>4.8000000000000001E-2</v>
      </c>
      <c r="F64" s="27">
        <f t="shared" si="2"/>
        <v>2.7480881800537502</v>
      </c>
      <c r="G64" s="27">
        <f t="shared" si="3"/>
        <v>121.45456484993083</v>
      </c>
      <c r="H64" s="12">
        <f t="shared" si="6"/>
        <v>0.37930688334218665</v>
      </c>
      <c r="I64" s="32">
        <f>SUM($G$53:G64)</f>
        <v>1451.1354625212075</v>
      </c>
      <c r="J64" s="12">
        <f>SUM($H$53:H64)</f>
        <v>4.7301127700897547</v>
      </c>
      <c r="K64" s="17">
        <f>SUM($D$53:D64)</f>
        <v>0.6100000000000001</v>
      </c>
      <c r="L64" s="16">
        <v>9383.202099737533</v>
      </c>
    </row>
    <row r="65" spans="1:12">
      <c r="A65" s="17">
        <v>12</v>
      </c>
      <c r="B65" s="17">
        <v>1</v>
      </c>
      <c r="C65" s="27">
        <v>12</v>
      </c>
      <c r="D65" s="46">
        <f t="shared" si="4"/>
        <v>8.9999999999999993E-3</v>
      </c>
      <c r="E65" s="46">
        <f t="shared" si="5"/>
        <v>8.9999999999999993E-3</v>
      </c>
      <c r="F65" s="27">
        <f t="shared" si="2"/>
        <v>0.51564809341993179</v>
      </c>
      <c r="G65" s="27">
        <f t="shared" si="3"/>
        <v>75.739147396429672</v>
      </c>
      <c r="H65" s="12">
        <f t="shared" si="6"/>
        <v>0.28018884427628427</v>
      </c>
      <c r="I65" s="32">
        <f>SUM($G$53:G65)</f>
        <v>1526.8746099176371</v>
      </c>
      <c r="J65" s="12">
        <f>SUM($H$53:H65)</f>
        <v>5.010301614366039</v>
      </c>
      <c r="K65" s="17">
        <f>SUM($D$53:D65)</f>
        <v>0.61900000000000011</v>
      </c>
      <c r="L65" s="16">
        <v>9412.7296587926503</v>
      </c>
    </row>
    <row r="66" spans="1:12">
      <c r="A66" s="17">
        <v>13</v>
      </c>
      <c r="B66" s="17">
        <v>1</v>
      </c>
      <c r="C66" s="27">
        <v>13</v>
      </c>
      <c r="D66" s="46">
        <f t="shared" si="4"/>
        <v>1.9E-2</v>
      </c>
      <c r="E66" s="46">
        <f t="shared" si="5"/>
        <v>1.9E-2</v>
      </c>
      <c r="F66" s="27">
        <f t="shared" si="2"/>
        <v>1.0884888418646941</v>
      </c>
      <c r="G66" s="27">
        <f t="shared" si="3"/>
        <v>87.225328010808752</v>
      </c>
      <c r="H66" s="12">
        <f t="shared" si="6"/>
        <v>0.30224742493926821</v>
      </c>
      <c r="I66" s="32">
        <f>SUM($G$53:G66)</f>
        <v>1614.0999379284458</v>
      </c>
      <c r="J66" s="12">
        <f>SUM($H$53:H66)</f>
        <v>5.3125490393053072</v>
      </c>
      <c r="K66" s="17">
        <f>SUM($D$53:D66)</f>
        <v>0.63800000000000012</v>
      </c>
      <c r="L66" s="16">
        <v>9475.0656167978996</v>
      </c>
    </row>
    <row r="67" spans="1:12">
      <c r="A67" s="17">
        <v>14</v>
      </c>
      <c r="B67" s="17">
        <v>1</v>
      </c>
      <c r="C67" s="27">
        <v>14</v>
      </c>
      <c r="D67" s="46">
        <f t="shared" si="4"/>
        <v>3.5999999999999997E-2</v>
      </c>
      <c r="E67" s="46">
        <f t="shared" si="5"/>
        <v>3.5999999999999997E-2</v>
      </c>
      <c r="F67" s="27">
        <f t="shared" si="2"/>
        <v>2.0617576907585402</v>
      </c>
      <c r="G67" s="27">
        <f t="shared" si="3"/>
        <v>107.12732639608527</v>
      </c>
      <c r="H67" s="12">
        <f t="shared" si="6"/>
        <v>0.34483887041479799</v>
      </c>
      <c r="I67" s="32">
        <f>SUM($G$53:G67)</f>
        <v>1721.227264324531</v>
      </c>
      <c r="J67" s="12">
        <f>SUM($H$53:H67)</f>
        <v>5.6573879097201054</v>
      </c>
      <c r="K67" s="17">
        <f>SUM($D$53:D67)</f>
        <v>0.67400000000000015</v>
      </c>
      <c r="L67" s="16">
        <v>9593.1758530183724</v>
      </c>
    </row>
    <row r="68" spans="1:12">
      <c r="A68" s="17">
        <v>15</v>
      </c>
      <c r="B68" s="17">
        <v>1</v>
      </c>
      <c r="C68" s="27">
        <v>15</v>
      </c>
      <c r="D68" s="46">
        <f t="shared" si="4"/>
        <v>8.2000000000000003E-2</v>
      </c>
      <c r="E68" s="46">
        <f t="shared" si="5"/>
        <v>8.2000000000000003E-2</v>
      </c>
      <c r="F68" s="27">
        <f t="shared" si="2"/>
        <v>4.6877658476281807</v>
      </c>
      <c r="G68" s="27">
        <f t="shared" si="3"/>
        <v>163.25464668261245</v>
      </c>
      <c r="H68" s="12">
        <f t="shared" si="6"/>
        <v>0.50136825313516276</v>
      </c>
      <c r="I68" s="32">
        <f>SUM($G$53:G68)</f>
        <v>1884.4819110071435</v>
      </c>
      <c r="J68" s="12">
        <f>SUM($H$53:H68)</f>
        <v>6.1587561628552683</v>
      </c>
      <c r="K68" s="17">
        <f>SUM($D$53:D68)</f>
        <v>0.75600000000000012</v>
      </c>
      <c r="L68" s="16">
        <v>9862.2047244094483</v>
      </c>
    </row>
    <row r="69" spans="1:12">
      <c r="A69" s="17">
        <v>16</v>
      </c>
      <c r="B69" s="17">
        <v>1</v>
      </c>
      <c r="C69" s="27">
        <v>16</v>
      </c>
      <c r="D69" s="46">
        <f t="shared" si="4"/>
        <v>0.11899999999999999</v>
      </c>
      <c r="E69" s="46">
        <f t="shared" si="5"/>
        <v>0.11899999999999999</v>
      </c>
      <c r="F69" s="27">
        <f t="shared" si="2"/>
        <v>6.7862843159825879</v>
      </c>
      <c r="G69" s="27">
        <f t="shared" si="3"/>
        <v>210.65562696964128</v>
      </c>
      <c r="H69" s="12">
        <f t="shared" si="6"/>
        <v>0.68713974796118882</v>
      </c>
      <c r="I69" s="32">
        <f>SUM($G$53:G69)</f>
        <v>2095.1375379767846</v>
      </c>
      <c r="J69" s="12">
        <f>SUM($H$53:H69)</f>
        <v>6.8458959108164574</v>
      </c>
      <c r="K69" s="17">
        <f>SUM($D$53:D69)</f>
        <v>0.87500000000000011</v>
      </c>
      <c r="L69" s="16">
        <v>10252.62467191601</v>
      </c>
    </row>
    <row r="70" spans="1:12">
      <c r="A70" s="17">
        <v>17</v>
      </c>
      <c r="B70" s="17">
        <v>1</v>
      </c>
      <c r="C70" s="27">
        <v>17</v>
      </c>
      <c r="D70" s="46">
        <f t="shared" si="4"/>
        <v>8.8999999999999996E-2</v>
      </c>
      <c r="E70" s="46">
        <f t="shared" si="5"/>
        <v>8.8999999999999996E-2</v>
      </c>
      <c r="F70" s="27">
        <f t="shared" si="2"/>
        <v>5.0859240893206135</v>
      </c>
      <c r="G70" s="27">
        <f t="shared" si="3"/>
        <v>172.07418551764675</v>
      </c>
      <c r="H70" s="12">
        <f t="shared" si="6"/>
        <v>0.53178260519503895</v>
      </c>
      <c r="I70" s="32">
        <f>SUM($G$53:G70)</f>
        <v>2267.2117234944312</v>
      </c>
      <c r="J70" s="12">
        <f>SUM($H$53:H70)</f>
        <v>7.3776785160114962</v>
      </c>
      <c r="K70" s="17">
        <f>SUM($D$53:D70)</f>
        <v>0.96400000000000008</v>
      </c>
      <c r="L70" s="16">
        <v>10544.619422572179</v>
      </c>
    </row>
    <row r="71" spans="1:12">
      <c r="A71" s="17">
        <v>18</v>
      </c>
      <c r="B71" s="17">
        <v>1</v>
      </c>
      <c r="C71" s="27">
        <v>18</v>
      </c>
      <c r="D71" s="46">
        <f t="shared" si="4"/>
        <v>9.4E-2</v>
      </c>
      <c r="E71" s="46">
        <f t="shared" si="5"/>
        <v>9.4E-2</v>
      </c>
      <c r="F71" s="27">
        <f t="shared" si="2"/>
        <v>5.3700238603609662</v>
      </c>
      <c r="G71" s="27">
        <f t="shared" si="3"/>
        <v>178.41704775266646</v>
      </c>
      <c r="H71" s="12">
        <f t="shared" si="6"/>
        <v>0.5547697813187763</v>
      </c>
      <c r="I71" s="32">
        <f>SUM($G$53:G71)</f>
        <v>2445.6287712470976</v>
      </c>
      <c r="J71" s="12">
        <f>SUM($H$53:H71)</f>
        <v>7.9324482973302723</v>
      </c>
      <c r="K71" s="17">
        <f>SUM($D$53:D71)</f>
        <v>1.0580000000000001</v>
      </c>
      <c r="L71" s="16">
        <v>10853.018372703413</v>
      </c>
    </row>
    <row r="72" spans="1:12">
      <c r="A72" s="17">
        <v>19</v>
      </c>
      <c r="B72" s="17">
        <v>1</v>
      </c>
      <c r="C72" s="27">
        <v>19</v>
      </c>
      <c r="D72" s="46">
        <f t="shared" si="4"/>
        <v>9.0999999999999998E-2</v>
      </c>
      <c r="E72" s="46">
        <f t="shared" si="5"/>
        <v>9.0999999999999998E-2</v>
      </c>
      <c r="F72" s="27">
        <f t="shared" si="2"/>
        <v>5.1995948782837038</v>
      </c>
      <c r="G72" s="27">
        <f t="shared" si="3"/>
        <v>174.60704104747009</v>
      </c>
      <c r="H72" s="12">
        <f t="shared" si="6"/>
        <v>0.54084800185443227</v>
      </c>
      <c r="I72" s="32">
        <f>SUM($G$53:G72)</f>
        <v>2620.2358122945675</v>
      </c>
      <c r="J72" s="12">
        <f>SUM($H$53:H72)</f>
        <v>8.4732962991847049</v>
      </c>
      <c r="K72" s="17">
        <f>SUM($D$53:D72)</f>
        <v>1.149</v>
      </c>
      <c r="L72" s="16">
        <v>11151.574803149606</v>
      </c>
    </row>
    <row r="73" spans="1:12">
      <c r="A73" s="17">
        <v>20</v>
      </c>
      <c r="B73" s="17">
        <v>1</v>
      </c>
      <c r="C73" s="27">
        <v>20</v>
      </c>
      <c r="D73" s="46">
        <f t="shared" si="4"/>
        <v>9.9000000000000005E-2</v>
      </c>
      <c r="E73" s="46">
        <f t="shared" si="5"/>
        <v>9.9000000000000005E-2</v>
      </c>
      <c r="F73" s="27">
        <f t="shared" si="2"/>
        <v>5.6538590442358441</v>
      </c>
      <c r="G73" s="27">
        <f t="shared" si="3"/>
        <v>184.79543114741421</v>
      </c>
      <c r="H73" s="12">
        <f t="shared" si="6"/>
        <v>0.57885982252325563</v>
      </c>
      <c r="I73" s="32">
        <f>SUM($G$53:G73)</f>
        <v>2805.0312434419816</v>
      </c>
      <c r="J73" s="12">
        <f>SUM($H$53:H73)</f>
        <v>9.0521561217079611</v>
      </c>
      <c r="K73" s="17">
        <f>SUM($D$53:D73)</f>
        <v>1.248</v>
      </c>
      <c r="L73" s="16">
        <v>11476.377952755905</v>
      </c>
    </row>
    <row r="74" spans="1:12">
      <c r="A74" s="17">
        <v>21</v>
      </c>
      <c r="B74" s="17">
        <v>1</v>
      </c>
      <c r="C74" s="27">
        <v>21</v>
      </c>
      <c r="D74" s="46">
        <f t="shared" si="4"/>
        <v>8.3000000000000004E-2</v>
      </c>
      <c r="E74" s="46">
        <f t="shared" si="5"/>
        <v>8.3000000000000004E-2</v>
      </c>
      <c r="F74" s="27">
        <f t="shared" si="2"/>
        <v>4.7446742894450153</v>
      </c>
      <c r="G74" s="27">
        <f t="shared" si="3"/>
        <v>164.51022543743125</v>
      </c>
      <c r="H74" s="12">
        <f t="shared" si="6"/>
        <v>0.5055908027235162</v>
      </c>
      <c r="I74" s="32">
        <f>SUM($G$53:G74)</f>
        <v>2969.5414688794126</v>
      </c>
      <c r="J74" s="12">
        <f>SUM($H$53:H74)</f>
        <v>9.557746924431477</v>
      </c>
      <c r="K74" s="17">
        <f>SUM($D$53:D74)</f>
        <v>1.331</v>
      </c>
      <c r="L74" s="16">
        <v>11748.687664041994</v>
      </c>
    </row>
    <row r="75" spans="1:12">
      <c r="A75" s="17">
        <v>22</v>
      </c>
      <c r="B75" s="17">
        <v>1</v>
      </c>
      <c r="C75" s="27">
        <v>22</v>
      </c>
      <c r="D75" s="46">
        <f t="shared" si="4"/>
        <v>0.111</v>
      </c>
      <c r="E75" s="46">
        <f t="shared" si="5"/>
        <v>0.111</v>
      </c>
      <c r="F75" s="27">
        <f t="shared" si="2"/>
        <v>6.3339031080783865</v>
      </c>
      <c r="G75" s="27">
        <f t="shared" si="3"/>
        <v>200.24593358526033</v>
      </c>
      <c r="H75" s="12">
        <f t="shared" si="6"/>
        <v>0.64144350317752674</v>
      </c>
      <c r="I75" s="32">
        <f>SUM($G$53:G75)</f>
        <v>3169.7874024646731</v>
      </c>
      <c r="J75" s="12">
        <f>SUM($H$53:H75)</f>
        <v>10.199190427609004</v>
      </c>
      <c r="K75" s="17">
        <f>SUM($D$53:D75)</f>
        <v>1.4419999999999999</v>
      </c>
      <c r="L75" s="16">
        <v>12112.860892388451</v>
      </c>
    </row>
    <row r="76" spans="1:12">
      <c r="A76" s="17">
        <v>23</v>
      </c>
      <c r="B76" s="17">
        <v>1</v>
      </c>
      <c r="C76" s="27">
        <v>23</v>
      </c>
      <c r="D76" s="46">
        <f t="shared" si="4"/>
        <v>9.6000000000000002E-2</v>
      </c>
      <c r="E76" s="46">
        <f t="shared" si="5"/>
        <v>9.6000000000000002E-2</v>
      </c>
      <c r="F76" s="27">
        <f t="shared" si="2"/>
        <v>5.483590444464439</v>
      </c>
      <c r="G76" s="27">
        <f t="shared" si="3"/>
        <v>180.9641621286309</v>
      </c>
      <c r="H76" s="12">
        <f t="shared" si="6"/>
        <v>0.5642709407790375</v>
      </c>
      <c r="I76" s="32">
        <f>SUM($G$53:G76)</f>
        <v>3350.751564593304</v>
      </c>
      <c r="J76" s="12">
        <f>SUM($H$53:H76)</f>
        <v>10.763461368388041</v>
      </c>
      <c r="K76" s="17">
        <f>SUM($D$53:D76)</f>
        <v>1.538</v>
      </c>
      <c r="L76" s="16">
        <v>12427.82152230971</v>
      </c>
    </row>
    <row r="77" spans="1:12">
      <c r="A77" s="17">
        <v>24</v>
      </c>
      <c r="B77" s="17">
        <v>1</v>
      </c>
      <c r="C77" s="27">
        <v>24</v>
      </c>
      <c r="D77" s="46">
        <f t="shared" si="4"/>
        <v>7.5999999999999998E-2</v>
      </c>
      <c r="E77" s="46">
        <f t="shared" si="5"/>
        <v>7.5999999999999998E-2</v>
      </c>
      <c r="F77" s="27">
        <f t="shared" si="2"/>
        <v>4.3461243546024297</v>
      </c>
      <c r="G77" s="27">
        <f t="shared" si="3"/>
        <v>155.75195700479389</v>
      </c>
      <c r="H77" s="12">
        <f t="shared" si="6"/>
        <v>0.47685756144664887</v>
      </c>
      <c r="I77" s="32">
        <f>SUM($G$53:G77)</f>
        <v>3506.5035215980979</v>
      </c>
      <c r="J77" s="12">
        <f>SUM($H$53:H77)</f>
        <v>11.240318929834689</v>
      </c>
      <c r="K77" s="17">
        <f>SUM($D$53:D77)</f>
        <v>1.6140000000000001</v>
      </c>
      <c r="L77" s="16">
        <v>12677.165354330709</v>
      </c>
    </row>
    <row r="78" spans="1:12">
      <c r="A78" s="17">
        <v>25</v>
      </c>
      <c r="B78" s="17">
        <v>1</v>
      </c>
      <c r="C78" s="27">
        <v>25</v>
      </c>
      <c r="D78" s="46">
        <f t="shared" si="4"/>
        <v>8.6999999999999994E-2</v>
      </c>
      <c r="E78" s="46">
        <f t="shared" si="5"/>
        <v>8.6999999999999994E-2</v>
      </c>
      <c r="F78" s="27">
        <f t="shared" si="2"/>
        <v>4.9722131445890092</v>
      </c>
      <c r="G78" s="27">
        <f t="shared" si="3"/>
        <v>169.54708016027604</v>
      </c>
      <c r="H78" s="12">
        <f t="shared" si="6"/>
        <v>0.52288650314827567</v>
      </c>
      <c r="I78" s="32">
        <f>SUM($G$53:G78)</f>
        <v>3676.0506017583739</v>
      </c>
      <c r="J78" s="12">
        <f>SUM($H$53:H78)</f>
        <v>11.763205432982964</v>
      </c>
      <c r="K78" s="17">
        <f>SUM($D$53:D78)</f>
        <v>1.7010000000000001</v>
      </c>
      <c r="L78" s="16">
        <v>12962.598425196851</v>
      </c>
    </row>
    <row r="79" spans="1:12">
      <c r="A79" s="17">
        <v>26</v>
      </c>
      <c r="B79" s="17">
        <v>1</v>
      </c>
      <c r="C79" s="27">
        <v>26</v>
      </c>
      <c r="D79" s="46">
        <f t="shared" si="4"/>
        <v>4.0000000000000001E-3</v>
      </c>
      <c r="E79" s="46">
        <f t="shared" si="5"/>
        <v>4.0000000000000001E-3</v>
      </c>
      <c r="F79" s="27">
        <f t="shared" si="2"/>
        <v>0.22918189575410042</v>
      </c>
      <c r="G79" s="27">
        <f t="shared" si="3"/>
        <v>70.058402006439522</v>
      </c>
      <c r="H79" s="12">
        <f t="shared" si="6"/>
        <v>0.26990505199343218</v>
      </c>
      <c r="I79" s="32">
        <f>SUM($G$53:G79)</f>
        <v>3746.1090037648132</v>
      </c>
      <c r="J79" s="12">
        <f>SUM($H$53:H79)</f>
        <v>12.033110484976396</v>
      </c>
      <c r="K79" s="17">
        <f>SUM($D$53:D79)</f>
        <v>1.7050000000000001</v>
      </c>
      <c r="L79" s="16">
        <v>12975.721784776902</v>
      </c>
    </row>
    <row r="80" spans="1:12">
      <c r="A80" s="17">
        <v>27</v>
      </c>
      <c r="B80" s="17">
        <v>1</v>
      </c>
      <c r="C80" s="27">
        <v>27</v>
      </c>
      <c r="D80" s="46">
        <f t="shared" si="4"/>
        <v>3.9E-2</v>
      </c>
      <c r="E80" s="46">
        <f t="shared" si="5"/>
        <v>3.9E-2</v>
      </c>
      <c r="F80" s="27">
        <f t="shared" si="2"/>
        <v>2.2334035243331369</v>
      </c>
      <c r="G80" s="27">
        <f t="shared" si="3"/>
        <v>110.68775127912193</v>
      </c>
      <c r="H80" s="12">
        <f t="shared" si="6"/>
        <v>0.35309112044481444</v>
      </c>
      <c r="I80" s="32">
        <f>SUM($G$53:G80)</f>
        <v>3856.7967550439353</v>
      </c>
      <c r="J80" s="12">
        <f>SUM($H$53:H80)</f>
        <v>12.38620160542121</v>
      </c>
      <c r="K80" s="17">
        <f>SUM($D$53:D80)</f>
        <v>1.744</v>
      </c>
      <c r="L80" s="16">
        <v>13103.674540682414</v>
      </c>
    </row>
    <row r="81" spans="1:12">
      <c r="A81" s="17">
        <v>28</v>
      </c>
      <c r="B81" s="17">
        <v>1</v>
      </c>
      <c r="C81" s="27">
        <v>28</v>
      </c>
      <c r="D81" s="46">
        <f t="shared" si="4"/>
        <v>5.6000000000000001E-2</v>
      </c>
      <c r="E81" s="46">
        <f t="shared" si="5"/>
        <v>5.6000000000000001E-2</v>
      </c>
      <c r="F81" s="27">
        <f t="shared" si="2"/>
        <v>3.2052159310134973</v>
      </c>
      <c r="G81" s="27">
        <f t="shared" si="3"/>
        <v>131.1315018244307</v>
      </c>
      <c r="H81" s="12">
        <f t="shared" si="6"/>
        <v>0.40457295320573744</v>
      </c>
      <c r="I81" s="32">
        <f>SUM($G$53:G81)</f>
        <v>3987.9282568683661</v>
      </c>
      <c r="J81" s="12">
        <f>SUM($H$53:H81)</f>
        <v>12.790774558626948</v>
      </c>
      <c r="K81" s="17">
        <f>SUM($D$53:D81)</f>
        <v>1.8</v>
      </c>
      <c r="L81" s="16">
        <v>13287.401574803149</v>
      </c>
    </row>
    <row r="82" spans="1:12">
      <c r="A82" s="17">
        <v>29</v>
      </c>
      <c r="B82" s="17">
        <v>1</v>
      </c>
      <c r="C82" s="27">
        <v>29</v>
      </c>
      <c r="D82" s="46">
        <f t="shared" si="4"/>
        <v>9.5000000000000001E-2</v>
      </c>
      <c r="E82" s="46">
        <f t="shared" si="5"/>
        <v>9.5000000000000001E-2</v>
      </c>
      <c r="F82" s="27">
        <f t="shared" si="2"/>
        <v>5.4268124985728203</v>
      </c>
      <c r="G82" s="27">
        <f t="shared" si="3"/>
        <v>179.68989619040082</v>
      </c>
      <c r="H82" s="12">
        <f t="shared" si="6"/>
        <v>0.55949812437085111</v>
      </c>
      <c r="I82" s="32">
        <f>SUM($G$53:G82)</f>
        <v>4167.6181530587673</v>
      </c>
      <c r="J82" s="12">
        <f>SUM($H$53:H82)</f>
        <v>13.350272682997799</v>
      </c>
      <c r="K82" s="17">
        <f>SUM($D$53:D82)</f>
        <v>1.895</v>
      </c>
      <c r="L82" s="16">
        <v>13599.081364829397</v>
      </c>
    </row>
    <row r="83" spans="1:12">
      <c r="A83" s="17">
        <v>30</v>
      </c>
      <c r="B83" s="17">
        <v>1</v>
      </c>
      <c r="C83" s="27">
        <v>30</v>
      </c>
      <c r="D83" s="46">
        <f t="shared" si="4"/>
        <v>8.5000000000000006E-2</v>
      </c>
      <c r="E83" s="46">
        <f t="shared" si="5"/>
        <v>8.5000000000000006E-2</v>
      </c>
      <c r="F83" s="27">
        <f t="shared" si="2"/>
        <v>4.8584629190342872</v>
      </c>
      <c r="G83" s="27">
        <f t="shared" si="3"/>
        <v>167.02575138437157</v>
      </c>
      <c r="H83" s="12">
        <f t="shared" si="6"/>
        <v>0.51415684727470168</v>
      </c>
      <c r="I83" s="32">
        <f>SUM($G$53:G83)</f>
        <v>4334.643904443139</v>
      </c>
      <c r="J83" s="12">
        <f>SUM($H$53:H83)</f>
        <v>13.864429530272501</v>
      </c>
      <c r="K83" s="17">
        <f>SUM($D$53:D83)</f>
        <v>1.98</v>
      </c>
      <c r="L83" s="16">
        <v>13877.952755905511</v>
      </c>
    </row>
    <row r="84" spans="1:12">
      <c r="A84" s="17">
        <v>31</v>
      </c>
      <c r="B84" s="17">
        <v>1</v>
      </c>
      <c r="C84" s="27">
        <v>31</v>
      </c>
      <c r="D84" s="46">
        <f t="shared" si="4"/>
        <v>6.7000000000000004E-2</v>
      </c>
      <c r="E84" s="46">
        <f t="shared" si="5"/>
        <v>6.7000000000000004E-2</v>
      </c>
      <c r="F84" s="27">
        <f t="shared" si="2"/>
        <v>3.8330884990576761</v>
      </c>
      <c r="G84" s="27">
        <f>(0.257*F84^2+19.639*F84+65.544)*(1)</f>
        <v>144.59801486548702</v>
      </c>
      <c r="H84" s="12">
        <f t="shared" si="6"/>
        <v>0.44261855886051465</v>
      </c>
      <c r="I84" s="32">
        <f>SUM($G$53:G84)</f>
        <v>4479.2419193086262</v>
      </c>
      <c r="J84" s="12">
        <f>SUM($H$53:H84)</f>
        <v>14.307048089133016</v>
      </c>
      <c r="K84" s="17">
        <f>SUM($D$53:D84)</f>
        <v>2.0470000000000002</v>
      </c>
      <c r="L84" s="16">
        <v>14097.769028871391</v>
      </c>
    </row>
    <row r="85" spans="1:12">
      <c r="A85" s="29" t="s">
        <v>20</v>
      </c>
      <c r="B85" s="29">
        <f>SUM(B53:B84)</f>
        <v>31</v>
      </c>
      <c r="C85" s="29"/>
      <c r="D85" s="29">
        <f>SUM(D53:D84)</f>
        <v>2.0470000000000002</v>
      </c>
      <c r="E85" s="46"/>
      <c r="F85" s="29"/>
      <c r="G85" s="52">
        <f>SUM(G53:G84)</f>
        <v>4479.2419193086262</v>
      </c>
      <c r="H85" s="38">
        <f>SUM(H53:H84)</f>
        <v>14.307048089133016</v>
      </c>
      <c r="I85" s="48">
        <f>I84</f>
        <v>4479.2419193086262</v>
      </c>
      <c r="J85" s="38">
        <f>J84</f>
        <v>14.307048089133016</v>
      </c>
      <c r="K85" s="38">
        <f>K84</f>
        <v>2.0470000000000002</v>
      </c>
      <c r="L85" s="16"/>
    </row>
    <row r="87" spans="1:12" ht="48">
      <c r="A87" s="49" t="s">
        <v>11</v>
      </c>
      <c r="B87" s="50" t="s">
        <v>46</v>
      </c>
      <c r="C87" s="41" t="s">
        <v>45</v>
      </c>
      <c r="D87" s="50" t="s">
        <v>19</v>
      </c>
    </row>
    <row r="88" spans="1:12">
      <c r="A88" s="17">
        <v>0</v>
      </c>
      <c r="B88" s="27">
        <v>0</v>
      </c>
      <c r="C88" s="12">
        <v>0</v>
      </c>
      <c r="D88" s="27">
        <v>7381.8897637795271</v>
      </c>
    </row>
    <row r="89" spans="1:12">
      <c r="A89" s="17">
        <v>1</v>
      </c>
      <c r="B89" s="27">
        <v>127.49101176285907</v>
      </c>
      <c r="C89" s="12">
        <v>0.39487159402236438</v>
      </c>
      <c r="D89" s="27">
        <v>7555.7742782152227</v>
      </c>
    </row>
    <row r="90" spans="1:12">
      <c r="A90" s="17">
        <v>2</v>
      </c>
      <c r="B90" s="27">
        <v>281.99768091101237</v>
      </c>
      <c r="C90" s="12">
        <v>0.86777824450323671</v>
      </c>
      <c r="D90" s="27">
        <v>7801.8372703412069</v>
      </c>
    </row>
    <row r="91" spans="1:12">
      <c r="A91" s="17">
        <v>3</v>
      </c>
      <c r="B91" s="27">
        <v>462.96184303964327</v>
      </c>
      <c r="C91" s="12">
        <v>1.4320491852822741</v>
      </c>
      <c r="D91" s="27">
        <v>8116.797900262467</v>
      </c>
    </row>
    <row r="92" spans="1:12">
      <c r="A92" s="17">
        <v>4</v>
      </c>
      <c r="B92" s="27">
        <v>663.20777662490354</v>
      </c>
      <c r="C92" s="12">
        <v>2.0734926884598011</v>
      </c>
      <c r="D92" s="27">
        <v>8480.9711286089241</v>
      </c>
    </row>
    <row r="93" spans="1:12">
      <c r="A93" s="17">
        <v>5</v>
      </c>
      <c r="B93" s="27">
        <v>837.81481767237369</v>
      </c>
      <c r="C93" s="12">
        <v>2.6143406903142332</v>
      </c>
      <c r="D93" s="27">
        <v>8779.5275590551173</v>
      </c>
    </row>
    <row r="94" spans="1:12">
      <c r="A94" s="17">
        <v>6</v>
      </c>
      <c r="B94" s="27">
        <v>881.194563821158</v>
      </c>
      <c r="C94" s="12">
        <v>2.8409499771090325</v>
      </c>
      <c r="D94" s="27">
        <v>8713.9107611548552</v>
      </c>
    </row>
    <row r="95" spans="1:12">
      <c r="A95" s="17">
        <v>7</v>
      </c>
      <c r="B95" s="27">
        <v>1064.7114968178046</v>
      </c>
      <c r="C95" s="12">
        <v>3.4149014077829989</v>
      </c>
      <c r="D95" s="27">
        <v>9035.4330708661419</v>
      </c>
    </row>
    <row r="96" spans="1:12">
      <c r="A96" s="17">
        <v>8</v>
      </c>
      <c r="B96" s="27">
        <v>1186.1660616677354</v>
      </c>
      <c r="C96" s="12">
        <v>3.7942082911251855</v>
      </c>
      <c r="D96" s="27">
        <v>9192.9133858267724</v>
      </c>
    </row>
    <row r="97" spans="1:4">
      <c r="A97" s="17">
        <v>9</v>
      </c>
      <c r="B97" s="27">
        <v>1287.3913390168807</v>
      </c>
      <c r="C97" s="12">
        <v>4.1258039241506577</v>
      </c>
      <c r="D97" s="27">
        <v>9294.6194225721792</v>
      </c>
    </row>
    <row r="98" spans="1:4">
      <c r="A98" s="17">
        <v>10</v>
      </c>
      <c r="B98" s="27">
        <v>1329.6808976712766</v>
      </c>
      <c r="C98" s="12">
        <v>4.3508058867475681</v>
      </c>
      <c r="D98" s="27">
        <v>9225.7217847769025</v>
      </c>
    </row>
    <row r="99" spans="1:4">
      <c r="A99" s="17">
        <v>11</v>
      </c>
      <c r="B99" s="27">
        <v>1451.1354625212075</v>
      </c>
      <c r="C99" s="12">
        <v>4.7301127700897547</v>
      </c>
      <c r="D99" s="27">
        <v>9383.202099737533</v>
      </c>
    </row>
    <row r="100" spans="1:4">
      <c r="A100" s="17">
        <v>12</v>
      </c>
      <c r="B100" s="27">
        <v>1526.8746099176371</v>
      </c>
      <c r="C100" s="12">
        <v>5.010301614366039</v>
      </c>
      <c r="D100" s="27">
        <v>9412.7296587926503</v>
      </c>
    </row>
    <row r="101" spans="1:4">
      <c r="A101" s="17">
        <v>13</v>
      </c>
      <c r="B101" s="27">
        <v>1614.0999379284458</v>
      </c>
      <c r="C101" s="12">
        <v>5.3125490393053072</v>
      </c>
      <c r="D101" s="27">
        <v>9475.0656167978996</v>
      </c>
    </row>
    <row r="102" spans="1:4">
      <c r="A102" s="17">
        <v>14</v>
      </c>
      <c r="B102" s="27">
        <v>1721.227264324531</v>
      </c>
      <c r="C102" s="12">
        <v>5.6573879097201054</v>
      </c>
      <c r="D102" s="27">
        <v>9593.1758530183724</v>
      </c>
    </row>
    <row r="103" spans="1:4">
      <c r="A103" s="17">
        <v>15</v>
      </c>
      <c r="B103" s="27">
        <v>1884.4819110071435</v>
      </c>
      <c r="C103" s="12">
        <v>6.1587561628552683</v>
      </c>
      <c r="D103" s="27">
        <v>9862.2047244094483</v>
      </c>
    </row>
    <row r="104" spans="1:4">
      <c r="A104" s="17">
        <v>16</v>
      </c>
      <c r="B104" s="27">
        <v>2095.1375379767846</v>
      </c>
      <c r="C104" s="12">
        <v>6.8458959108164574</v>
      </c>
      <c r="D104" s="27">
        <v>10252.62467191601</v>
      </c>
    </row>
    <row r="105" spans="1:4">
      <c r="A105" s="17">
        <v>17</v>
      </c>
      <c r="B105" s="27">
        <v>2267.2117234944312</v>
      </c>
      <c r="C105" s="12">
        <v>7.3776785160114962</v>
      </c>
      <c r="D105" s="27">
        <v>10544.619422572179</v>
      </c>
    </row>
    <row r="106" spans="1:4">
      <c r="A106" s="17">
        <v>18</v>
      </c>
      <c r="B106" s="27">
        <v>2445.6287712470976</v>
      </c>
      <c r="C106" s="12">
        <v>7.9324482973302723</v>
      </c>
      <c r="D106" s="27">
        <v>10853.018372703413</v>
      </c>
    </row>
    <row r="107" spans="1:4">
      <c r="A107" s="17">
        <v>19</v>
      </c>
      <c r="B107" s="27">
        <v>2620.2358122945675</v>
      </c>
      <c r="C107" s="12">
        <v>8.4732962991847049</v>
      </c>
      <c r="D107" s="27">
        <v>11151.574803149606</v>
      </c>
    </row>
    <row r="108" spans="1:4">
      <c r="A108" s="17">
        <v>20</v>
      </c>
      <c r="B108" s="27">
        <v>2805.0312434419816</v>
      </c>
      <c r="C108" s="12">
        <v>9.0521561217079611</v>
      </c>
      <c r="D108" s="27">
        <v>11476.377952755905</v>
      </c>
    </row>
    <row r="109" spans="1:4">
      <c r="A109" s="17">
        <v>21</v>
      </c>
      <c r="B109" s="27">
        <v>2969.5414688794126</v>
      </c>
      <c r="C109" s="12">
        <v>9.557746924431477</v>
      </c>
      <c r="D109" s="27">
        <v>11748.687664041994</v>
      </c>
    </row>
    <row r="110" spans="1:4">
      <c r="A110" s="17">
        <v>22</v>
      </c>
      <c r="B110" s="27">
        <v>3169.7874024646731</v>
      </c>
      <c r="C110" s="12">
        <v>10.199190427609004</v>
      </c>
      <c r="D110" s="27">
        <v>12112.860892388451</v>
      </c>
    </row>
    <row r="111" spans="1:4">
      <c r="A111" s="17">
        <v>23</v>
      </c>
      <c r="B111" s="27">
        <v>3350.751564593304</v>
      </c>
      <c r="C111" s="12">
        <v>10.763461368388041</v>
      </c>
      <c r="D111" s="27">
        <v>12427.82152230971</v>
      </c>
    </row>
    <row r="112" spans="1:4">
      <c r="A112" s="17">
        <v>24</v>
      </c>
      <c r="B112" s="27">
        <v>3506.5035215980979</v>
      </c>
      <c r="C112" s="12">
        <v>11.240318929834689</v>
      </c>
      <c r="D112" s="27">
        <v>12677.165354330709</v>
      </c>
    </row>
    <row r="113" spans="1:10">
      <c r="A113" s="17">
        <v>25</v>
      </c>
      <c r="B113" s="27">
        <v>3676.0506017583739</v>
      </c>
      <c r="C113" s="12">
        <v>11.763205432982964</v>
      </c>
      <c r="D113" s="27">
        <v>12962.598425196851</v>
      </c>
    </row>
    <row r="114" spans="1:10">
      <c r="A114" s="17">
        <v>26</v>
      </c>
      <c r="B114" s="27">
        <v>3746.1090037648132</v>
      </c>
      <c r="C114" s="12">
        <v>12.033110484976396</v>
      </c>
      <c r="D114" s="27">
        <v>12975.721784776902</v>
      </c>
    </row>
    <row r="115" spans="1:10">
      <c r="A115" s="17">
        <v>27</v>
      </c>
      <c r="B115" s="27">
        <v>3856.7967550439353</v>
      </c>
      <c r="C115" s="12">
        <v>12.38620160542121</v>
      </c>
      <c r="D115" s="27">
        <v>13103.674540682414</v>
      </c>
    </row>
    <row r="116" spans="1:10">
      <c r="A116" s="17">
        <v>28</v>
      </c>
      <c r="B116" s="27">
        <v>3987.9282568683661</v>
      </c>
      <c r="C116" s="12">
        <v>12.790774558626948</v>
      </c>
      <c r="D116" s="27">
        <v>13287.401574803149</v>
      </c>
    </row>
    <row r="117" spans="1:10">
      <c r="A117" s="17">
        <v>29</v>
      </c>
      <c r="B117" s="27">
        <v>4167.6181530587673</v>
      </c>
      <c r="C117" s="12">
        <v>13.350272682997799</v>
      </c>
      <c r="D117" s="27">
        <v>13599.081364829397</v>
      </c>
    </row>
    <row r="118" spans="1:10">
      <c r="A118" s="17">
        <v>30</v>
      </c>
      <c r="B118" s="27">
        <v>4334.643904443139</v>
      </c>
      <c r="C118" s="12">
        <v>13.864429530272501</v>
      </c>
      <c r="D118" s="27">
        <v>13877.952755905511</v>
      </c>
    </row>
    <row r="119" spans="1:10">
      <c r="A119" s="17">
        <v>31</v>
      </c>
      <c r="B119" s="27">
        <v>4479.2419193086262</v>
      </c>
      <c r="C119" s="12">
        <v>14.307048089133016</v>
      </c>
      <c r="D119" s="27">
        <v>14097.769028871391</v>
      </c>
    </row>
    <row r="123" spans="1:10">
      <c r="J123" s="37"/>
    </row>
  </sheetData>
  <phoneticPr fontId="0" type="noConversion"/>
  <pageMargins left="0.75" right="0.75" top="1" bottom="1" header="0.5" footer="0.5"/>
  <pageSetup orientation="portrait" horizontalDpi="0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7"/>
  <sheetViews>
    <sheetView topLeftCell="A15" workbookViewId="0">
      <selection activeCell="L13" sqref="L13"/>
    </sheetView>
  </sheetViews>
  <sheetFormatPr baseColWidth="10" defaultColWidth="8.83203125" defaultRowHeight="13"/>
  <cols>
    <col min="2" max="2" width="13.5" customWidth="1"/>
    <col min="3" max="3" width="10" customWidth="1"/>
    <col min="4" max="4" width="12.1640625" customWidth="1"/>
    <col min="5" max="5" width="11.5" customWidth="1"/>
  </cols>
  <sheetData>
    <row r="3" spans="2:7">
      <c r="B3" s="14" t="s">
        <v>30</v>
      </c>
    </row>
    <row r="4" spans="2:7" ht="53.25" customHeight="1">
      <c r="B4" s="24" t="s">
        <v>27</v>
      </c>
      <c r="C4" s="24" t="s">
        <v>26</v>
      </c>
      <c r="D4" s="24" t="s">
        <v>28</v>
      </c>
      <c r="E4" s="24" t="s">
        <v>19</v>
      </c>
      <c r="G4" s="47" t="s">
        <v>41</v>
      </c>
    </row>
    <row r="5" spans="2:7">
      <c r="B5" s="26">
        <v>0</v>
      </c>
      <c r="C5" s="26">
        <v>2000</v>
      </c>
      <c r="D5" s="25">
        <f t="shared" ref="D5:D27" si="0">CONVERT(B5,"km","mi")</f>
        <v>0</v>
      </c>
      <c r="E5" s="28">
        <f t="shared" ref="E5:E27" si="1">CONVERT(C5,"m","ft")</f>
        <v>6561.6797900262463</v>
      </c>
      <c r="G5" s="17">
        <v>0</v>
      </c>
    </row>
    <row r="6" spans="2:7">
      <c r="B6" s="32">
        <v>0.7</v>
      </c>
      <c r="C6" s="26">
        <v>2132</v>
      </c>
      <c r="D6" s="25">
        <f t="shared" si="0"/>
        <v>0.43495983456613374</v>
      </c>
      <c r="E6" s="28">
        <f t="shared" si="1"/>
        <v>6994.7506561679793</v>
      </c>
      <c r="G6" s="17">
        <f t="shared" ref="G6:G11" si="2">(C6-C5)/1000</f>
        <v>0.13200000000000001</v>
      </c>
    </row>
    <row r="7" spans="2:7">
      <c r="B7" s="12">
        <v>1</v>
      </c>
      <c r="C7" s="17">
        <v>2222</v>
      </c>
      <c r="D7" s="25">
        <f t="shared" si="0"/>
        <v>0.62137119223733395</v>
      </c>
      <c r="E7" s="28">
        <f t="shared" si="1"/>
        <v>7290.0262467191606</v>
      </c>
      <c r="G7" s="17">
        <f t="shared" si="2"/>
        <v>0.09</v>
      </c>
    </row>
    <row r="8" spans="2:7">
      <c r="B8" s="12">
        <v>1.3</v>
      </c>
      <c r="C8" s="17">
        <v>2404</v>
      </c>
      <c r="D8" s="25">
        <f t="shared" si="0"/>
        <v>0.80778254990853415</v>
      </c>
      <c r="E8" s="28">
        <f t="shared" si="1"/>
        <v>7887.1391076115488</v>
      </c>
      <c r="G8" s="17">
        <f t="shared" si="2"/>
        <v>0.182</v>
      </c>
    </row>
    <row r="9" spans="2:7">
      <c r="B9" s="12">
        <v>2</v>
      </c>
      <c r="C9" s="17">
        <v>2577</v>
      </c>
      <c r="D9" s="25">
        <f t="shared" si="0"/>
        <v>1.2427423844746679</v>
      </c>
      <c r="E9" s="28">
        <f t="shared" si="1"/>
        <v>8454.7244094488196</v>
      </c>
      <c r="G9" s="17">
        <f t="shared" si="2"/>
        <v>0.17299999999999999</v>
      </c>
    </row>
    <row r="10" spans="2:7">
      <c r="B10" s="12">
        <v>2.4</v>
      </c>
      <c r="C10" s="17">
        <v>2664</v>
      </c>
      <c r="D10" s="25">
        <f t="shared" si="0"/>
        <v>1.4912908613696014</v>
      </c>
      <c r="E10" s="28">
        <f t="shared" si="1"/>
        <v>8740.1574803149615</v>
      </c>
      <c r="G10" s="17">
        <f t="shared" si="2"/>
        <v>8.6999999999999994E-2</v>
      </c>
    </row>
    <row r="11" spans="2:7">
      <c r="B11" s="12">
        <v>3</v>
      </c>
      <c r="C11" s="17">
        <v>2671</v>
      </c>
      <c r="D11" s="25">
        <f t="shared" si="0"/>
        <v>1.8641135767120018</v>
      </c>
      <c r="E11" s="28">
        <f t="shared" si="1"/>
        <v>8763.1233595800531</v>
      </c>
      <c r="G11" s="17">
        <f t="shared" si="2"/>
        <v>7.0000000000000001E-3</v>
      </c>
    </row>
    <row r="12" spans="2:7">
      <c r="B12" s="12">
        <v>3.4</v>
      </c>
      <c r="C12" s="17">
        <v>2745</v>
      </c>
      <c r="D12" s="25">
        <f t="shared" si="0"/>
        <v>2.1126620536069356</v>
      </c>
      <c r="E12" s="28">
        <f t="shared" si="1"/>
        <v>9005.9055118110227</v>
      </c>
      <c r="G12" s="17">
        <f t="shared" ref="G12:G27" si="3">(C12-C11)/1000</f>
        <v>7.3999999999999996E-2</v>
      </c>
    </row>
    <row r="13" spans="2:7">
      <c r="B13" s="12">
        <v>4</v>
      </c>
      <c r="C13" s="17">
        <v>2796</v>
      </c>
      <c r="D13" s="25">
        <f t="shared" si="0"/>
        <v>2.4854847689493358</v>
      </c>
      <c r="E13" s="28">
        <f t="shared" si="1"/>
        <v>9173.2283464566935</v>
      </c>
      <c r="G13" s="17">
        <f t="shared" si="3"/>
        <v>5.0999999999999997E-2</v>
      </c>
    </row>
    <row r="14" spans="2:7">
      <c r="B14" s="12">
        <v>5</v>
      </c>
      <c r="C14" s="17">
        <v>2853</v>
      </c>
      <c r="D14" s="25">
        <f t="shared" si="0"/>
        <v>3.1068559611866697</v>
      </c>
      <c r="E14" s="28">
        <f t="shared" si="1"/>
        <v>9360.2362204724413</v>
      </c>
      <c r="G14" s="17">
        <f t="shared" si="3"/>
        <v>5.7000000000000002E-2</v>
      </c>
    </row>
    <row r="15" spans="2:7">
      <c r="B15" s="12">
        <v>6</v>
      </c>
      <c r="C15" s="17">
        <v>2918</v>
      </c>
      <c r="D15" s="25">
        <f t="shared" si="0"/>
        <v>3.7282271534240037</v>
      </c>
      <c r="E15" s="28">
        <f t="shared" si="1"/>
        <v>9573.4908136482936</v>
      </c>
      <c r="G15" s="17">
        <f t="shared" si="3"/>
        <v>6.5000000000000002E-2</v>
      </c>
    </row>
    <row r="16" spans="2:7">
      <c r="B16" s="12">
        <v>7</v>
      </c>
      <c r="C16" s="17">
        <v>2969</v>
      </c>
      <c r="D16" s="25">
        <f t="shared" si="0"/>
        <v>4.3495983456613381</v>
      </c>
      <c r="E16" s="28">
        <f t="shared" si="1"/>
        <v>9740.8136482939626</v>
      </c>
      <c r="G16" s="17">
        <f t="shared" si="3"/>
        <v>5.0999999999999997E-2</v>
      </c>
    </row>
    <row r="17" spans="2:7">
      <c r="B17" s="12">
        <v>8</v>
      </c>
      <c r="C17" s="17">
        <v>3105</v>
      </c>
      <c r="D17" s="25">
        <f t="shared" si="0"/>
        <v>4.9709695378986716</v>
      </c>
      <c r="E17" s="28">
        <f t="shared" si="1"/>
        <v>10187.007874015748</v>
      </c>
      <c r="G17" s="17">
        <f t="shared" si="3"/>
        <v>0.13600000000000001</v>
      </c>
    </row>
    <row r="18" spans="2:7">
      <c r="B18" s="12">
        <v>9</v>
      </c>
      <c r="C18" s="17">
        <v>3230</v>
      </c>
      <c r="D18" s="25">
        <f t="shared" si="0"/>
        <v>5.592340730136006</v>
      </c>
      <c r="E18" s="28">
        <f t="shared" si="1"/>
        <v>10597.112860892388</v>
      </c>
      <c r="G18" s="17">
        <f t="shared" si="3"/>
        <v>0.125</v>
      </c>
    </row>
    <row r="19" spans="2:7">
      <c r="B19" s="12">
        <v>10</v>
      </c>
      <c r="C19" s="17">
        <v>3367</v>
      </c>
      <c r="D19" s="25">
        <f t="shared" si="0"/>
        <v>6.2137119223733395</v>
      </c>
      <c r="E19" s="28">
        <f t="shared" si="1"/>
        <v>11046.587926509186</v>
      </c>
      <c r="G19" s="17">
        <f t="shared" si="3"/>
        <v>0.13700000000000001</v>
      </c>
    </row>
    <row r="20" spans="2:7">
      <c r="B20" s="12">
        <v>11</v>
      </c>
      <c r="C20" s="17">
        <v>3527</v>
      </c>
      <c r="D20" s="25">
        <f t="shared" si="0"/>
        <v>6.8350831146106739</v>
      </c>
      <c r="E20" s="28">
        <f t="shared" si="1"/>
        <v>11571.522309711287</v>
      </c>
      <c r="G20" s="17">
        <f t="shared" si="3"/>
        <v>0.16</v>
      </c>
    </row>
    <row r="21" spans="2:7">
      <c r="B21" s="12">
        <v>11.6</v>
      </c>
      <c r="C21" s="17">
        <v>3675</v>
      </c>
      <c r="D21" s="25">
        <f t="shared" si="0"/>
        <v>7.2079058299530736</v>
      </c>
      <c r="E21" s="28">
        <f t="shared" si="1"/>
        <v>12057.086614173228</v>
      </c>
      <c r="G21" s="17">
        <f t="shared" si="3"/>
        <v>0.14799999999999999</v>
      </c>
    </row>
    <row r="22" spans="2:7">
      <c r="B22" s="12">
        <v>12</v>
      </c>
      <c r="C22" s="17">
        <v>3731</v>
      </c>
      <c r="D22" s="25">
        <f t="shared" si="0"/>
        <v>7.4564543068480074</v>
      </c>
      <c r="E22" s="28">
        <f t="shared" si="1"/>
        <v>12240.813648293963</v>
      </c>
      <c r="G22" s="17">
        <f t="shared" si="3"/>
        <v>5.6000000000000001E-2</v>
      </c>
    </row>
    <row r="23" spans="2:7">
      <c r="B23" s="12">
        <v>12.6</v>
      </c>
      <c r="C23" s="17">
        <v>3883</v>
      </c>
      <c r="D23" s="25">
        <f t="shared" si="0"/>
        <v>7.829277022190408</v>
      </c>
      <c r="E23" s="28">
        <f t="shared" si="1"/>
        <v>12739.501312335959</v>
      </c>
      <c r="G23" s="17">
        <f t="shared" si="3"/>
        <v>0.152</v>
      </c>
    </row>
    <row r="24" spans="2:7">
      <c r="B24" s="12">
        <v>13</v>
      </c>
      <c r="C24" s="17">
        <v>3948</v>
      </c>
      <c r="D24" s="25">
        <f t="shared" si="0"/>
        <v>8.0778254990853409</v>
      </c>
      <c r="E24" s="28">
        <f t="shared" si="1"/>
        <v>12952.755905511811</v>
      </c>
      <c r="G24" s="17">
        <f t="shared" si="3"/>
        <v>6.5000000000000002E-2</v>
      </c>
    </row>
    <row r="25" spans="2:7">
      <c r="B25" s="12">
        <v>14</v>
      </c>
      <c r="C25" s="17">
        <v>4113</v>
      </c>
      <c r="D25" s="25">
        <f t="shared" si="0"/>
        <v>8.6991966913226761</v>
      </c>
      <c r="E25" s="28">
        <f t="shared" si="1"/>
        <v>13494.094488188977</v>
      </c>
      <c r="G25" s="17">
        <f t="shared" si="3"/>
        <v>0.16500000000000001</v>
      </c>
    </row>
    <row r="26" spans="2:7">
      <c r="B26" s="12">
        <v>14.5</v>
      </c>
      <c r="C26" s="17">
        <v>4197</v>
      </c>
      <c r="D26" s="25">
        <f t="shared" si="0"/>
        <v>9.0098822874413411</v>
      </c>
      <c r="E26" s="28">
        <f t="shared" si="1"/>
        <v>13769.685039370079</v>
      </c>
      <c r="G26" s="17">
        <f t="shared" si="3"/>
        <v>8.4000000000000005E-2</v>
      </c>
    </row>
    <row r="27" spans="2:7">
      <c r="B27" s="12">
        <v>14.7</v>
      </c>
      <c r="C27" s="17">
        <v>4291</v>
      </c>
      <c r="D27" s="25">
        <f t="shared" si="0"/>
        <v>9.1341565258888089</v>
      </c>
      <c r="E27" s="28">
        <f t="shared" si="1"/>
        <v>14078.083989501312</v>
      </c>
      <c r="G27" s="17">
        <f t="shared" si="3"/>
        <v>9.4E-2</v>
      </c>
    </row>
    <row r="28" spans="2:7">
      <c r="B28" s="33"/>
      <c r="C28" s="34"/>
      <c r="D28" s="35"/>
      <c r="E28" s="36"/>
    </row>
    <row r="29" spans="2:7">
      <c r="B29" s="33"/>
      <c r="C29" s="34"/>
      <c r="D29" s="35"/>
      <c r="E29" s="36"/>
    </row>
    <row r="30" spans="2:7">
      <c r="B30" s="33"/>
      <c r="C30" s="34"/>
      <c r="D30" s="35"/>
      <c r="E30" s="36"/>
    </row>
    <row r="31" spans="2:7">
      <c r="B31" s="33"/>
      <c r="C31" s="34"/>
      <c r="D31" s="35"/>
      <c r="E31" s="36"/>
    </row>
    <row r="32" spans="2:7">
      <c r="B32" s="33"/>
      <c r="C32" s="34"/>
      <c r="D32" s="35"/>
      <c r="E32" s="36"/>
    </row>
    <row r="33" spans="2:5">
      <c r="B33" s="33"/>
      <c r="C33" s="34"/>
      <c r="D33" s="35"/>
      <c r="E33" s="36"/>
    </row>
    <row r="34" spans="2:5">
      <c r="B34" s="33"/>
      <c r="C34" s="34"/>
      <c r="D34" s="35"/>
      <c r="E34" s="36"/>
    </row>
    <row r="35" spans="2:5">
      <c r="B35" s="33"/>
      <c r="C35" s="34"/>
      <c r="D35" s="35"/>
      <c r="E35" s="36"/>
    </row>
    <row r="36" spans="2:5">
      <c r="B36" s="33"/>
      <c r="C36" s="34"/>
      <c r="D36" s="35"/>
      <c r="E36" s="36"/>
    </row>
    <row r="37" spans="2:5">
      <c r="B37" s="33"/>
      <c r="C37" s="34"/>
      <c r="D37" s="35"/>
      <c r="E37" s="36"/>
    </row>
    <row r="38" spans="2:5">
      <c r="B38" s="33"/>
      <c r="C38" s="34"/>
      <c r="D38" s="35"/>
      <c r="E38" s="36"/>
    </row>
    <row r="39" spans="2:5">
      <c r="B39" s="33"/>
      <c r="C39" s="34"/>
      <c r="D39" s="35"/>
      <c r="E39" s="36"/>
    </row>
    <row r="40" spans="2:5">
      <c r="B40" s="33"/>
      <c r="C40" s="34"/>
      <c r="D40" s="35"/>
      <c r="E40" s="36"/>
    </row>
    <row r="41" spans="2:5">
      <c r="B41" s="33"/>
      <c r="C41" s="34"/>
      <c r="D41" s="35"/>
      <c r="E41" s="36"/>
    </row>
    <row r="42" spans="2:5">
      <c r="B42" s="33"/>
      <c r="C42" s="34"/>
      <c r="D42" s="35"/>
      <c r="E42" s="36"/>
    </row>
    <row r="43" spans="2:5">
      <c r="B43" s="33"/>
      <c r="C43" s="34"/>
      <c r="D43" s="35"/>
      <c r="E43" s="36"/>
    </row>
    <row r="44" spans="2:5">
      <c r="B44" s="33"/>
      <c r="C44" s="34"/>
      <c r="D44" s="35"/>
      <c r="E44" s="36"/>
    </row>
    <row r="45" spans="2:5">
      <c r="B45" s="33"/>
      <c r="C45" s="34"/>
      <c r="D45" s="35"/>
      <c r="E45" s="36"/>
    </row>
    <row r="46" spans="2:5">
      <c r="B46" s="33"/>
      <c r="C46" s="34"/>
      <c r="D46" s="35"/>
      <c r="E46" s="36"/>
    </row>
    <row r="47" spans="2:5">
      <c r="B47" s="33"/>
      <c r="C47" s="34"/>
      <c r="D47" s="35"/>
      <c r="E47" s="36"/>
    </row>
  </sheetData>
  <phoneticPr fontId="0" type="noConversion"/>
  <pageMargins left="0.75" right="0.75" top="1" bottom="1" header="0.5" footer="0.5"/>
  <pageSetup orientation="portrait" horizontalDpi="0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0"/>
  <sheetViews>
    <sheetView workbookViewId="0">
      <selection activeCell="N26" sqref="N26"/>
    </sheetView>
  </sheetViews>
  <sheetFormatPr baseColWidth="10" defaultColWidth="8.83203125" defaultRowHeight="13"/>
  <cols>
    <col min="2" max="2" width="11.83203125" customWidth="1"/>
    <col min="3" max="3" width="12.33203125" customWidth="1"/>
    <col min="4" max="4" width="12.1640625" customWidth="1"/>
    <col min="5" max="6" width="12.5" customWidth="1"/>
    <col min="7" max="7" width="10.83203125" customWidth="1"/>
    <col min="8" max="8" width="11.6640625" customWidth="1"/>
    <col min="9" max="9" width="10.5" customWidth="1"/>
    <col min="10" max="10" width="11.5" customWidth="1"/>
    <col min="11" max="11" width="10.83203125" customWidth="1"/>
  </cols>
  <sheetData>
    <row r="2" spans="1:8">
      <c r="A2" s="14" t="s">
        <v>32</v>
      </c>
    </row>
    <row r="3" spans="1:8" ht="64">
      <c r="A3" s="19" t="s">
        <v>11</v>
      </c>
      <c r="B3" s="23" t="s">
        <v>21</v>
      </c>
      <c r="C3" s="23" t="s">
        <v>22</v>
      </c>
      <c r="D3" s="24" t="s">
        <v>23</v>
      </c>
      <c r="E3" s="24" t="s">
        <v>24</v>
      </c>
      <c r="F3" s="24" t="s">
        <v>25</v>
      </c>
      <c r="G3" s="24" t="s">
        <v>19</v>
      </c>
      <c r="H3" s="39"/>
    </row>
    <row r="4" spans="1:8" s="21" customFormat="1">
      <c r="A4" s="20">
        <v>0</v>
      </c>
      <c r="B4" s="25" t="s">
        <v>18</v>
      </c>
      <c r="C4" s="28">
        <f t="shared" ref="C4:C15" si="0">B4*5280</f>
        <v>0</v>
      </c>
      <c r="D4" s="26">
        <v>0</v>
      </c>
      <c r="E4" s="26">
        <v>0</v>
      </c>
      <c r="F4" s="26">
        <v>0</v>
      </c>
      <c r="G4" s="26">
        <v>10000</v>
      </c>
      <c r="H4" s="40"/>
    </row>
    <row r="5" spans="1:8">
      <c r="A5" s="22">
        <v>1</v>
      </c>
      <c r="B5" s="18">
        <v>0.5</v>
      </c>
      <c r="C5" s="28">
        <f t="shared" si="0"/>
        <v>2640</v>
      </c>
      <c r="D5" s="27">
        <f t="shared" ref="D5:D15" si="1">SQRT((C5-C4)^2+(G5-G4)^2)</f>
        <v>2670.1310829245817</v>
      </c>
      <c r="E5" s="27">
        <f t="shared" ref="E5:E15" si="2">CONVERT(D5,"mi","m")/1000</f>
        <v>4297.1594375181785</v>
      </c>
      <c r="F5" s="27">
        <f t="shared" ref="F5:F15" si="3">SUM(F4+E5)</f>
        <v>4297.1594375181785</v>
      </c>
      <c r="G5" s="17">
        <v>10400</v>
      </c>
      <c r="H5" s="34"/>
    </row>
    <row r="6" spans="1:8">
      <c r="A6" s="22">
        <v>2</v>
      </c>
      <c r="B6" s="18">
        <v>1</v>
      </c>
      <c r="C6" s="28">
        <f t="shared" si="0"/>
        <v>5280</v>
      </c>
      <c r="D6" s="27">
        <f t="shared" si="1"/>
        <v>2670.1310829245817</v>
      </c>
      <c r="E6" s="27">
        <f t="shared" si="2"/>
        <v>4297.1594375181785</v>
      </c>
      <c r="F6" s="27">
        <f t="shared" si="3"/>
        <v>8594.318875036357</v>
      </c>
      <c r="G6" s="17">
        <v>10800</v>
      </c>
      <c r="H6" s="34"/>
    </row>
    <row r="7" spans="1:8">
      <c r="A7" s="22">
        <v>3</v>
      </c>
      <c r="B7" s="18">
        <v>1.5</v>
      </c>
      <c r="C7" s="28">
        <f t="shared" si="0"/>
        <v>7920</v>
      </c>
      <c r="D7" s="27">
        <f t="shared" si="1"/>
        <v>2731.2268305653415</v>
      </c>
      <c r="E7" s="27">
        <f t="shared" si="2"/>
        <v>4395.4835124093488</v>
      </c>
      <c r="F7" s="27">
        <f t="shared" si="3"/>
        <v>12989.802387445707</v>
      </c>
      <c r="G7" s="17">
        <v>11500</v>
      </c>
      <c r="H7" s="34"/>
    </row>
    <row r="8" spans="1:8">
      <c r="A8" s="22">
        <v>4</v>
      </c>
      <c r="B8" s="18">
        <v>2</v>
      </c>
      <c r="C8" s="28">
        <f t="shared" si="0"/>
        <v>10560</v>
      </c>
      <c r="D8" s="27">
        <f t="shared" si="1"/>
        <v>2789.1934318006702</v>
      </c>
      <c r="E8" s="27">
        <f t="shared" si="2"/>
        <v>4488.771714307818</v>
      </c>
      <c r="F8" s="27">
        <f t="shared" si="3"/>
        <v>17478.574101753526</v>
      </c>
      <c r="G8" s="17">
        <v>12400</v>
      </c>
      <c r="H8" s="34"/>
    </row>
    <row r="9" spans="1:8">
      <c r="A9" s="22">
        <v>5</v>
      </c>
      <c r="B9" s="18">
        <v>2.5</v>
      </c>
      <c r="C9" s="28">
        <f t="shared" si="0"/>
        <v>13200</v>
      </c>
      <c r="D9" s="27">
        <f t="shared" si="1"/>
        <v>2647.5649189396659</v>
      </c>
      <c r="E9" s="27">
        <f t="shared" si="2"/>
        <v>4260.8427169060369</v>
      </c>
      <c r="F9" s="27">
        <f t="shared" si="3"/>
        <v>21739.416818659563</v>
      </c>
      <c r="G9" s="17">
        <v>12600</v>
      </c>
      <c r="H9" s="34"/>
    </row>
    <row r="10" spans="1:8">
      <c r="A10" s="22">
        <v>6</v>
      </c>
      <c r="B10" s="18">
        <v>3</v>
      </c>
      <c r="C10" s="28">
        <f t="shared" si="0"/>
        <v>15840</v>
      </c>
      <c r="D10" s="27">
        <f t="shared" si="1"/>
        <v>2647.5649189396659</v>
      </c>
      <c r="E10" s="27">
        <f t="shared" si="2"/>
        <v>4260.8427169060369</v>
      </c>
      <c r="F10" s="27">
        <f t="shared" si="3"/>
        <v>26000.259535565601</v>
      </c>
      <c r="G10" s="17">
        <v>12800</v>
      </c>
      <c r="H10" s="34"/>
    </row>
    <row r="11" spans="1:8">
      <c r="A11" s="22">
        <v>7</v>
      </c>
      <c r="B11" s="18">
        <v>3.5</v>
      </c>
      <c r="C11" s="28">
        <f t="shared" si="0"/>
        <v>18480</v>
      </c>
      <c r="D11" s="27">
        <f t="shared" si="1"/>
        <v>2641.8932605235964</v>
      </c>
      <c r="E11" s="27">
        <f t="shared" si="2"/>
        <v>4251.7150674640861</v>
      </c>
      <c r="F11" s="27">
        <f t="shared" si="3"/>
        <v>30251.974603029688</v>
      </c>
      <c r="G11" s="17">
        <v>12900</v>
      </c>
      <c r="H11" s="34"/>
    </row>
    <row r="12" spans="1:8">
      <c r="A12" s="22">
        <v>8</v>
      </c>
      <c r="B12" s="18">
        <v>4</v>
      </c>
      <c r="C12" s="28">
        <f t="shared" si="0"/>
        <v>21120</v>
      </c>
      <c r="D12" s="27">
        <f t="shared" si="1"/>
        <v>2641.8932605235964</v>
      </c>
      <c r="E12" s="27">
        <f t="shared" si="2"/>
        <v>4251.7150674640861</v>
      </c>
      <c r="F12" s="27">
        <f t="shared" si="3"/>
        <v>34503.689670493775</v>
      </c>
      <c r="G12" s="17">
        <v>12800</v>
      </c>
      <c r="H12" s="34"/>
    </row>
    <row r="13" spans="1:8">
      <c r="A13" s="22">
        <v>9</v>
      </c>
      <c r="B13" s="18">
        <v>4.5</v>
      </c>
      <c r="C13" s="28">
        <f t="shared" si="0"/>
        <v>23760</v>
      </c>
      <c r="D13" s="27">
        <f t="shared" si="1"/>
        <v>2641.8932605235964</v>
      </c>
      <c r="E13" s="27">
        <f t="shared" si="2"/>
        <v>4251.7150674640861</v>
      </c>
      <c r="F13" s="27">
        <f t="shared" si="3"/>
        <v>38755.404737957862</v>
      </c>
      <c r="G13" s="17">
        <v>12700</v>
      </c>
      <c r="H13" s="34"/>
    </row>
    <row r="14" spans="1:8">
      <c r="A14" s="22">
        <v>10</v>
      </c>
      <c r="B14" s="18">
        <v>5</v>
      </c>
      <c r="C14" s="28">
        <f t="shared" si="0"/>
        <v>26400</v>
      </c>
      <c r="D14" s="27">
        <f t="shared" si="1"/>
        <v>2731.2268305653415</v>
      </c>
      <c r="E14" s="27">
        <f t="shared" si="2"/>
        <v>4395.4835124093488</v>
      </c>
      <c r="F14" s="27">
        <f t="shared" si="3"/>
        <v>43150.888250367214</v>
      </c>
      <c r="G14" s="17">
        <v>13400</v>
      </c>
      <c r="H14" s="34"/>
    </row>
    <row r="15" spans="1:8">
      <c r="A15" s="22">
        <v>11</v>
      </c>
      <c r="B15" s="18">
        <v>5.5</v>
      </c>
      <c r="C15" s="28">
        <f t="shared" si="0"/>
        <v>29040</v>
      </c>
      <c r="D15" s="27">
        <f t="shared" si="1"/>
        <v>2731.2268305653415</v>
      </c>
      <c r="E15" s="27">
        <f t="shared" si="2"/>
        <v>4395.4835124093488</v>
      </c>
      <c r="F15" s="27">
        <f t="shared" si="3"/>
        <v>47546.371762776565</v>
      </c>
      <c r="G15" s="17">
        <v>14100</v>
      </c>
      <c r="H15" s="34"/>
    </row>
    <row r="16" spans="1:8">
      <c r="C16" s="29" t="s">
        <v>20</v>
      </c>
      <c r="D16" s="30">
        <f>SUM(D4:D15)</f>
        <v>29543.945708795982</v>
      </c>
      <c r="E16" s="30">
        <f>SUM(E4:E15)</f>
        <v>47546.371762776565</v>
      </c>
      <c r="F16" s="31"/>
    </row>
    <row r="20" spans="1:1">
      <c r="A20" s="14" t="s">
        <v>33</v>
      </c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PikesPeak</vt:lpstr>
      <vt:lpstr>Toll Road Route</vt:lpstr>
      <vt:lpstr>Barr Trail Route</vt:lpstr>
      <vt:lpstr>Devils Garden Route</vt:lpstr>
      <vt:lpstr>PikesPeak!Print_Area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Gustafson</dc:creator>
  <cp:lastModifiedBy>zippytato@gmail.com</cp:lastModifiedBy>
  <cp:lastPrinted>2005-02-23T04:40:49Z</cp:lastPrinted>
  <dcterms:created xsi:type="dcterms:W3CDTF">2005-02-17T16:55:39Z</dcterms:created>
  <dcterms:modified xsi:type="dcterms:W3CDTF">2018-03-28T18:49:11Z</dcterms:modified>
</cp:coreProperties>
</file>