
<file path=[Content_Types].xml><?xml version="1.0" encoding="utf-8"?>
<Types xmlns="http://schemas.openxmlformats.org/package/2006/content-types"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2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andes-my.sharepoint.com/personal/j_guzmanm_uniandes_edu_co/Documents/Documentos/"/>
    </mc:Choice>
  </mc:AlternateContent>
  <xr:revisionPtr revIDLastSave="69" documentId="8_{42C7F20A-C538-41FB-96A3-0BE167FFAEC7}" xr6:coauthVersionLast="47" xr6:coauthVersionMax="47" xr10:uidLastSave="{78B76CF6-15EF-4A57-B350-16F0BCDD1C35}"/>
  <bookViews>
    <workbookView xWindow="2580" yWindow="1275" windowWidth="15300" windowHeight="7785" xr2:uid="{DE1BC7AC-5B15-481F-BC99-B54E55175A36}"/>
  </bookViews>
  <sheets>
    <sheet name="Calculos" sheetId="1" r:id="rId1"/>
    <sheet name="Propagació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G17" i="1" s="1"/>
  <c r="C16" i="1"/>
  <c r="C15" i="1"/>
  <c r="C14" i="1"/>
  <c r="C13" i="1"/>
  <c r="D17" i="1"/>
  <c r="D16" i="1"/>
  <c r="D15" i="1"/>
  <c r="G15" i="1" s="1"/>
  <c r="D14" i="1"/>
  <c r="D13" i="1"/>
  <c r="E17" i="1"/>
  <c r="E16" i="1"/>
  <c r="E15" i="1"/>
  <c r="E14" i="1"/>
  <c r="E13" i="1"/>
  <c r="E12" i="1"/>
  <c r="D12" i="1"/>
  <c r="F12" i="1" s="1"/>
  <c r="C12" i="1"/>
  <c r="M15" i="1"/>
  <c r="M13" i="1"/>
  <c r="D21" i="1"/>
  <c r="G25" i="1"/>
  <c r="C21" i="1"/>
  <c r="N14" i="1"/>
  <c r="N15" i="1"/>
  <c r="N16" i="1"/>
  <c r="N17" i="1"/>
  <c r="N13" i="1"/>
  <c r="K43" i="1"/>
  <c r="K40" i="1"/>
  <c r="J51" i="1"/>
  <c r="J49" i="1"/>
  <c r="J50" i="1"/>
  <c r="J52" i="1"/>
  <c r="J53" i="1"/>
  <c r="J48" i="1"/>
  <c r="F8" i="1"/>
  <c r="F7" i="1"/>
  <c r="F6" i="1"/>
  <c r="F5" i="1"/>
  <c r="D50" i="1" s="1"/>
  <c r="F4" i="1"/>
  <c r="F3" i="1"/>
  <c r="D48" i="1" s="1"/>
  <c r="M8" i="1"/>
  <c r="M7" i="1"/>
  <c r="M6" i="1"/>
  <c r="M5" i="1"/>
  <c r="M4" i="1"/>
  <c r="M3" i="1"/>
  <c r="F17" i="1"/>
  <c r="F16" i="1"/>
  <c r="F14" i="1"/>
  <c r="F13" i="1"/>
  <c r="B49" i="1" s="1"/>
  <c r="F26" i="1"/>
  <c r="F24" i="1"/>
  <c r="F23" i="1"/>
  <c r="F22" i="1"/>
  <c r="F21" i="1"/>
  <c r="F35" i="1"/>
  <c r="F34" i="1"/>
  <c r="F33" i="1"/>
  <c r="F32" i="1"/>
  <c r="F31" i="1"/>
  <c r="F30" i="1"/>
  <c r="M35" i="1"/>
  <c r="M34" i="1"/>
  <c r="M33" i="1"/>
  <c r="M32" i="1"/>
  <c r="M31" i="1"/>
  <c r="M30" i="1"/>
  <c r="F40" i="1"/>
  <c r="F41" i="1"/>
  <c r="F42" i="1"/>
  <c r="F43" i="1"/>
  <c r="F44" i="1"/>
  <c r="F39" i="1"/>
  <c r="G40" i="1"/>
  <c r="G44" i="1"/>
  <c r="G43" i="1"/>
  <c r="G42" i="1"/>
  <c r="G41" i="1"/>
  <c r="G39" i="1"/>
  <c r="G30" i="1"/>
  <c r="N32" i="1"/>
  <c r="N31" i="1"/>
  <c r="N30" i="1"/>
  <c r="N35" i="1"/>
  <c r="N34" i="1"/>
  <c r="N33" i="1"/>
  <c r="G35" i="1"/>
  <c r="G34" i="1"/>
  <c r="G33" i="1"/>
  <c r="G32" i="1"/>
  <c r="G31" i="1"/>
  <c r="G21" i="1"/>
  <c r="G26" i="1"/>
  <c r="G24" i="1"/>
  <c r="G23" i="1"/>
  <c r="G22" i="1"/>
  <c r="G13" i="1"/>
  <c r="G16" i="1"/>
  <c r="G14" i="1"/>
  <c r="N3" i="1"/>
  <c r="N8" i="1"/>
  <c r="N7" i="1"/>
  <c r="N6" i="1"/>
  <c r="N5" i="1"/>
  <c r="N4" i="1"/>
  <c r="G4" i="1"/>
  <c r="G5" i="1"/>
  <c r="G6" i="1"/>
  <c r="G7" i="1"/>
  <c r="G8" i="1"/>
  <c r="G3" i="1"/>
  <c r="M22" i="1"/>
  <c r="M23" i="1" s="1"/>
  <c r="M24" i="1" s="1"/>
  <c r="D53" i="1" l="1"/>
  <c r="D52" i="1"/>
  <c r="F52" i="1" s="1"/>
  <c r="C76" i="1" s="1"/>
  <c r="D49" i="1"/>
  <c r="F49" i="1" s="1"/>
  <c r="C73" i="1" s="1"/>
  <c r="F48" i="1"/>
  <c r="C72" i="1" s="1"/>
  <c r="B53" i="1"/>
  <c r="F15" i="1"/>
  <c r="B51" i="1"/>
  <c r="B50" i="1"/>
  <c r="F50" i="1" s="1"/>
  <c r="C74" i="1" s="1"/>
  <c r="B48" i="1"/>
  <c r="G12" i="1"/>
  <c r="H12" i="1" s="1"/>
  <c r="I12" i="1" s="1"/>
  <c r="F53" i="1"/>
  <c r="C77" i="1" s="1"/>
  <c r="D51" i="1"/>
  <c r="F51" i="1" s="1"/>
  <c r="C75" i="1" s="1"/>
  <c r="F25" i="1"/>
  <c r="B52" i="1" s="1"/>
  <c r="H21" i="1"/>
  <c r="I21" i="1" s="1"/>
  <c r="H3" i="1"/>
  <c r="I3" i="1" s="1"/>
  <c r="H33" i="1"/>
  <c r="I33" i="1" s="1"/>
  <c r="H6" i="1"/>
  <c r="I6" i="1" s="1"/>
  <c r="H40" i="1"/>
  <c r="I40" i="1" s="1"/>
  <c r="O31" i="1"/>
  <c r="P31" i="1" s="1"/>
  <c r="O30" i="1"/>
  <c r="P30" i="1" s="1"/>
  <c r="H7" i="1"/>
  <c r="I7" i="1" s="1"/>
  <c r="H13" i="1"/>
  <c r="I13" i="1" s="1"/>
  <c r="H42" i="1"/>
  <c r="I42" i="1" s="1"/>
  <c r="H30" i="1"/>
  <c r="I30" i="1" s="1"/>
  <c r="K48" i="1" s="1"/>
  <c r="O6" i="1"/>
  <c r="P6" i="1" s="1"/>
  <c r="H17" i="1"/>
  <c r="I17" i="1" s="1"/>
  <c r="O7" i="1"/>
  <c r="P7" i="1" s="1"/>
  <c r="O33" i="1"/>
  <c r="P33" i="1" s="1"/>
  <c r="H39" i="1"/>
  <c r="I39" i="1" s="1"/>
  <c r="H43" i="1"/>
  <c r="I43" i="1" s="1"/>
  <c r="O4" i="1"/>
  <c r="P4" i="1" s="1"/>
  <c r="H25" i="1"/>
  <c r="I25" i="1" s="1"/>
  <c r="H31" i="1"/>
  <c r="I31" i="1" s="1"/>
  <c r="K49" i="1" s="1"/>
  <c r="H34" i="1"/>
  <c r="I34" i="1" s="1"/>
  <c r="O34" i="1"/>
  <c r="P34" i="1" s="1"/>
  <c r="O32" i="1"/>
  <c r="P32" i="1" s="1"/>
  <c r="H41" i="1"/>
  <c r="I41" i="1" s="1"/>
  <c r="H44" i="1"/>
  <c r="I44" i="1" s="1"/>
  <c r="H23" i="1"/>
  <c r="I23" i="1" s="1"/>
  <c r="H14" i="1"/>
  <c r="I14" i="1" s="1"/>
  <c r="H16" i="1"/>
  <c r="I16" i="1" s="1"/>
  <c r="H22" i="1"/>
  <c r="I22" i="1" s="1"/>
  <c r="H26" i="1"/>
  <c r="I26" i="1" s="1"/>
  <c r="H32" i="1"/>
  <c r="I32" i="1" s="1"/>
  <c r="K50" i="1" s="1"/>
  <c r="H35" i="1"/>
  <c r="I35" i="1" s="1"/>
  <c r="O35" i="1"/>
  <c r="P35" i="1" s="1"/>
  <c r="O5" i="1"/>
  <c r="P5" i="1" s="1"/>
  <c r="H4" i="1"/>
  <c r="I4" i="1" s="1"/>
  <c r="O8" i="1"/>
  <c r="P8" i="1" s="1"/>
  <c r="H8" i="1"/>
  <c r="I8" i="1" s="1"/>
  <c r="E53" i="1" s="1"/>
  <c r="H5" i="1"/>
  <c r="I5" i="1" s="1"/>
  <c r="O3" i="1"/>
  <c r="P3" i="1" s="1"/>
  <c r="H15" i="1"/>
  <c r="I15" i="1" s="1"/>
  <c r="H24" i="1"/>
  <c r="I24" i="1" s="1"/>
  <c r="E50" i="1" l="1"/>
  <c r="H53" i="1"/>
  <c r="L53" i="1" s="1"/>
  <c r="H49" i="1"/>
  <c r="L49" i="1" s="1"/>
  <c r="C52" i="1"/>
  <c r="C48" i="1"/>
  <c r="E52" i="1"/>
  <c r="E49" i="1"/>
  <c r="E51" i="1"/>
  <c r="H50" i="1"/>
  <c r="L50" i="1" s="1"/>
  <c r="C50" i="1"/>
  <c r="G50" i="1" s="1"/>
  <c r="I50" i="1" s="1"/>
  <c r="H48" i="1"/>
  <c r="L48" i="1" s="1"/>
  <c r="K53" i="1"/>
  <c r="K52" i="1"/>
  <c r="C51" i="1"/>
  <c r="K51" i="1"/>
  <c r="E48" i="1"/>
  <c r="C53" i="1"/>
  <c r="C49" i="1"/>
  <c r="H51" i="1"/>
  <c r="H52" i="1"/>
  <c r="M50" i="1" l="1"/>
  <c r="C65" i="1" s="1"/>
  <c r="G49" i="1"/>
  <c r="I49" i="1" s="1"/>
  <c r="M49" i="1" s="1"/>
  <c r="C64" i="1" s="1"/>
  <c r="G51" i="1"/>
  <c r="I51" i="1" s="1"/>
  <c r="G48" i="1"/>
  <c r="I48" i="1" s="1"/>
  <c r="M48" i="1" s="1"/>
  <c r="C63" i="1" s="1"/>
  <c r="G52" i="1"/>
  <c r="I52" i="1" s="1"/>
  <c r="G53" i="1"/>
  <c r="I53" i="1" s="1"/>
  <c r="M53" i="1" s="1"/>
  <c r="C68" i="1" s="1"/>
  <c r="L52" i="1"/>
  <c r="L51" i="1"/>
  <c r="M52" i="1" l="1"/>
  <c r="C67" i="1" s="1"/>
  <c r="M51" i="1"/>
  <c r="C66" i="1" s="1"/>
</calcChain>
</file>

<file path=xl/sharedStrings.xml><?xml version="1.0" encoding="utf-8"?>
<sst xmlns="http://schemas.openxmlformats.org/spreadsheetml/2006/main" count="75" uniqueCount="41">
  <si>
    <t>Punto</t>
  </si>
  <si>
    <t>rpm</t>
  </si>
  <si>
    <t>Humedad</t>
  </si>
  <si>
    <t>Voltaje (V)</t>
  </si>
  <si>
    <t>Corriente (A)</t>
  </si>
  <si>
    <t>Presión de vapor (Pa)</t>
  </si>
  <si>
    <t>IC</t>
  </si>
  <si>
    <t>T-student</t>
  </si>
  <si>
    <t>Prob</t>
  </si>
  <si>
    <t>Alfa</t>
  </si>
  <si>
    <t>Corriente [A]</t>
  </si>
  <si>
    <t>Voltaje [V]</t>
  </si>
  <si>
    <t>Eficiencia</t>
  </si>
  <si>
    <t>Densidad del aire</t>
  </si>
  <si>
    <t>Potencia eólica</t>
  </si>
  <si>
    <t>Potencia entregada</t>
  </si>
  <si>
    <t>Velocidad del aire</t>
  </si>
  <si>
    <t>Incertidumbre</t>
  </si>
  <si>
    <t>Inccertidumbre densidad</t>
  </si>
  <si>
    <t>Incertidumbre velocidad</t>
  </si>
  <si>
    <t>Incertidumbre potencia eol.</t>
  </si>
  <si>
    <t>Incertidumbre potencia ent.</t>
  </si>
  <si>
    <t>Incertidumbre eficiencia</t>
  </si>
  <si>
    <t xml:space="preserve">Desviación muestral </t>
  </si>
  <si>
    <t>Desviación muestral</t>
  </si>
  <si>
    <t>Error aleatorio</t>
  </si>
  <si>
    <t>Promedio</t>
  </si>
  <si>
    <t>Presión dinámica</t>
  </si>
  <si>
    <t>Incertidumbre presión</t>
  </si>
  <si>
    <t>Presión atmosférica [Pa]</t>
  </si>
  <si>
    <t>Área del rotor [m^2]</t>
  </si>
  <si>
    <t>Errores sistemáticos (resolución)</t>
  </si>
  <si>
    <t>Propagación del error promedio (3 datos)</t>
  </si>
  <si>
    <t>Barras de error eficiencia</t>
  </si>
  <si>
    <t>Barras de error velocidad</t>
  </si>
  <si>
    <t>Humedad Relativa [Adimensional]</t>
  </si>
  <si>
    <t>Presión total [Pa]</t>
  </si>
  <si>
    <t>Presion [Pa]</t>
  </si>
  <si>
    <t>T [K]</t>
  </si>
  <si>
    <t>Temperatura (K)</t>
  </si>
  <si>
    <t>Presión estática [Pa]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</si>
</sst>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microsoft.com/office/2017/10/relationships/person" Target="persons/person0.xml"/><Relationship Id="rId4" Type="http://schemas.openxmlformats.org/officeDocument/2006/relationships/styles" Target="styles.xml"/><Relationship Id="rId9" Type="http://schemas.microsoft.com/office/2017/10/relationships/person" Target="persons/pers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Eficiencia contra velocidad angular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Calculos!$C$63:$C$68</c:f>
                <c:numCache>
                  <c:formatCode>General</c:formatCode>
                  <c:ptCount val="6"/>
                  <c:pt idx="0">
                    <c:v>3.0065817628268428E-3</c:v>
                  </c:pt>
                  <c:pt idx="1">
                    <c:v>3.0817027952119415E-2</c:v>
                  </c:pt>
                  <c:pt idx="2">
                    <c:v>2.9269466617449256E-2</c:v>
                  </c:pt>
                  <c:pt idx="3">
                    <c:v>4.8934310182270783E-2</c:v>
                  </c:pt>
                  <c:pt idx="4">
                    <c:v>1.7922271607060235E-2</c:v>
                  </c:pt>
                  <c:pt idx="5">
                    <c:v>1.667851714629456E-2</c:v>
                  </c:pt>
                </c:numCache>
              </c:numRef>
            </c:plus>
            <c:minus>
              <c:numRef>
                <c:f>Calculos!$C$63:$C$68</c:f>
                <c:numCache>
                  <c:formatCode>General</c:formatCode>
                  <c:ptCount val="6"/>
                  <c:pt idx="0">
                    <c:v>3.0065817628268428E-3</c:v>
                  </c:pt>
                  <c:pt idx="1">
                    <c:v>3.0817027952119415E-2</c:v>
                  </c:pt>
                  <c:pt idx="2">
                    <c:v>2.9269466617449256E-2</c:v>
                  </c:pt>
                  <c:pt idx="3">
                    <c:v>4.8934310182270783E-2</c:v>
                  </c:pt>
                  <c:pt idx="4">
                    <c:v>1.7922271607060235E-2</c:v>
                  </c:pt>
                  <c:pt idx="5">
                    <c:v>1.667851714629456E-2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Calculos!$B$30:$B$35</c:f>
              <c:numCache>
                <c:formatCode>General</c:formatCode>
                <c:ptCount val="6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</c:numCache>
            </c:numRef>
          </c:xVal>
          <c:yVal>
            <c:numRef>
              <c:f>Calculos!$L$48:$L$53</c:f>
              <c:numCache>
                <c:formatCode>General</c:formatCode>
                <c:ptCount val="6"/>
                <c:pt idx="0">
                  <c:v>0</c:v>
                </c:pt>
                <c:pt idx="1">
                  <c:v>8.523705066937512E-2</c:v>
                </c:pt>
                <c:pt idx="2">
                  <c:v>0.25520998034468684</c:v>
                </c:pt>
                <c:pt idx="3">
                  <c:v>0.28353960719251581</c:v>
                </c:pt>
                <c:pt idx="4">
                  <c:v>0.27330797842300625</c:v>
                </c:pt>
                <c:pt idx="5">
                  <c:v>0.17471867209313718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876-48CA-AC10-9A69E996A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912991"/>
        <c:axId val="727895535"/>
      </c:scatterChart>
      <c:valAx>
        <c:axId val="857912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Velocidad</a:t>
                </a:r>
                <a:r>
                  <a:rPr lang="es-CO" baseline="0"/>
                  <a:t> angular [rpm]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27895535"/>
        <c:crosses val="autoZero"/>
        <c:crossBetween val="midCat"/>
      </c:valAx>
      <c:valAx>
        <c:axId val="72789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Eficiencia</a:t>
                </a:r>
                <a:r>
                  <a:rPr lang="es-CO" baseline="0"/>
                  <a:t> [adimensional]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57912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Velocidad viento vs velocidad angular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Calculos!$C$72:$C$77</c:f>
                <c:numCache>
                  <c:formatCode>General</c:formatCode>
                  <c:ptCount val="6"/>
                  <c:pt idx="0">
                    <c:v>1.2770870197951276</c:v>
                  </c:pt>
                  <c:pt idx="1">
                    <c:v>2.0197100342329612</c:v>
                  </c:pt>
                  <c:pt idx="2">
                    <c:v>2.6080150870400978</c:v>
                  </c:pt>
                  <c:pt idx="3">
                    <c:v>3.4215026161989881</c:v>
                  </c:pt>
                  <c:pt idx="4">
                    <c:v>4.2235155565786355</c:v>
                  </c:pt>
                  <c:pt idx="5">
                    <c:v>5.1689583981358309</c:v>
                  </c:pt>
                </c:numCache>
              </c:numRef>
            </c:plus>
            <c:minus>
              <c:numRef>
                <c:f>Calculos!$C$72:$C$77</c:f>
                <c:numCache>
                  <c:formatCode>General</c:formatCode>
                  <c:ptCount val="6"/>
                  <c:pt idx="0">
                    <c:v>1.2770870197951276</c:v>
                  </c:pt>
                  <c:pt idx="1">
                    <c:v>2.0197100342329612</c:v>
                  </c:pt>
                  <c:pt idx="2">
                    <c:v>2.6080150870400978</c:v>
                  </c:pt>
                  <c:pt idx="3">
                    <c:v>3.4215026161989881</c:v>
                  </c:pt>
                  <c:pt idx="4">
                    <c:v>4.2235155565786355</c:v>
                  </c:pt>
                  <c:pt idx="5">
                    <c:v>5.1689583981358309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Calculos!$B$39:$B$44</c:f>
              <c:numCache>
                <c:formatCode>General</c:formatCode>
                <c:ptCount val="6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</c:numCache>
            </c:numRef>
          </c:xVal>
          <c:yVal>
            <c:numRef>
              <c:f>Calculos!$F$48:$F$53</c:f>
              <c:numCache>
                <c:formatCode>General</c:formatCode>
                <c:ptCount val="6"/>
                <c:pt idx="0">
                  <c:v>2.5541740395902552</c:v>
                </c:pt>
                <c:pt idx="1">
                  <c:v>4.0394200684659225</c:v>
                </c:pt>
                <c:pt idx="2">
                  <c:v>5.2160301740801955</c:v>
                </c:pt>
                <c:pt idx="3">
                  <c:v>6.8430052323979762</c:v>
                </c:pt>
                <c:pt idx="4">
                  <c:v>8.4470311131572711</c:v>
                </c:pt>
                <c:pt idx="5">
                  <c:v>10.337916796271662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E7-4278-9D05-4F0ED635F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912991"/>
        <c:axId val="72789553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Eficiencia contra velocidad angular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Calculos!$B$30:$B$35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100</c:v>
                      </c:pt>
                      <c:pt idx="1">
                        <c:v>150</c:v>
                      </c:pt>
                      <c:pt idx="2">
                        <c:v>200</c:v>
                      </c:pt>
                      <c:pt idx="3">
                        <c:v>250</c:v>
                      </c:pt>
                      <c:pt idx="4">
                        <c:v>300</c:v>
                      </c:pt>
                      <c:pt idx="5">
                        <c:v>350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Calculos!$L$48:$L$53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8.523705066937512E-2</c:v>
                      </c:pt>
                      <c:pt idx="2">
                        <c:v>0.25520998034468684</c:v>
                      </c:pt>
                      <c:pt idx="3">
                        <c:v>0.28353960719251581</c:v>
                      </c:pt>
                      <c:pt idx="4">
                        <c:v>0.27330797842300625</c:v>
                      </c:pt>
                      <c:pt idx="5">
                        <c:v>0.17471867209313718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E2E7-4278-9D05-4F0ED635F010}"/>
                  </c:ext>
                </c:extLst>
              </c15:ser>
            </c15:filteredScatterSeries>
          </c:ext>
        </c:extLst>
      </c:scatterChart>
      <c:valAx>
        <c:axId val="857912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Velocidad angular</a:t>
                </a:r>
                <a:r>
                  <a:rPr lang="en-US" baseline="0"/>
                  <a:t> [rpm]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27895535"/>
        <c:crosses val="autoZero"/>
        <c:crossBetween val="midCat"/>
      </c:valAx>
      <c:valAx>
        <c:axId val="72789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Velocidad</a:t>
                </a:r>
                <a:r>
                  <a:rPr lang="es-CO" baseline="0"/>
                  <a:t> del viento [m/s]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57912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tmp"/><Relationship Id="rId1" Type="http://schemas.openxmlformats.org/officeDocument/2006/relationships/image" Target="../media/image1.tmp"/><Relationship Id="rId6" Type="http://schemas.openxmlformats.org/officeDocument/2006/relationships/image" Target="../media/image6.tmp"/><Relationship Id="rId5" Type="http://schemas.openxmlformats.org/officeDocument/2006/relationships/image" Target="../media/image5.tmp"/><Relationship Id="rId4" Type="http://schemas.openxmlformats.org/officeDocument/2006/relationships/image" Target="../media/image4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494107</xdr:colOff>
      <xdr:row>56</xdr:row>
      <xdr:rowOff>182163</xdr:rowOff>
    </xdr:from>
    <xdr:to>
      <xdr:col>7</xdr:col>
      <xdr:colOff>654842</xdr:colOff>
      <xdr:row>78</xdr:row>
      <xdr:rowOff>107155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175BDD-72E5-0554-5FDB-10F6FD9AD8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511969</xdr:colOff>
      <xdr:row>56</xdr:row>
      <xdr:rowOff>23813</xdr:rowOff>
    </xdr:from>
    <xdr:to>
      <xdr:col>12</xdr:col>
      <xdr:colOff>922736</xdr:colOff>
      <xdr:row>77</xdr:row>
      <xdr:rowOff>139305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75D4124-189C-4015-939E-894FEF7E94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1</xdr:row>
      <xdr:rowOff>123824</xdr:rowOff>
    </xdr:from>
    <xdr:to>
      <xdr:col>5</xdr:col>
      <xdr:colOff>264925</xdr:colOff>
      <xdr:row>15</xdr:row>
      <xdr:rowOff>114299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DFF8A73-8C1A-2B60-3EAD-1D3F2BEEF7A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1600" t="31518" r="39372" b="17539"/>
        <a:stretch/>
      </xdr:blipFill>
      <xdr:spPr>
        <a:xfrm rot="16200000">
          <a:off x="851600" y="-251526"/>
          <a:ext cx="2657475" cy="3789175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285750</xdr:colOff>
      <xdr:row>17</xdr:row>
      <xdr:rowOff>38101</xdr:rowOff>
    </xdr:from>
    <xdr:to>
      <xdr:col>5</xdr:col>
      <xdr:colOff>228600</xdr:colOff>
      <xdr:row>29</xdr:row>
      <xdr:rowOff>152401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D79FC21-D656-247F-A132-0901A0C1992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048" t="30432" r="38720" b="16043"/>
        <a:stretch/>
      </xdr:blipFill>
      <xdr:spPr>
        <a:xfrm rot="16200000">
          <a:off x="962025" y="2600326"/>
          <a:ext cx="2400300" cy="3752850"/>
        </a:xfrm>
        <a:prstGeom prst="rect">
          <a:avLst/>
        </a:prstGeom>
      </xdr:spPr>
    </xdr:pic>
    <xdr:clientData/>
  </xdr:twoCellAnchor>
  <xdr:twoCellAnchor editAs="oneCell">
    <xdr:from>
      <xdr:col>6</xdr:col>
      <xdr:colOff>14287</xdr:colOff>
      <xdr:row>2</xdr:row>
      <xdr:rowOff>71437</xdr:rowOff>
    </xdr:from>
    <xdr:to>
      <xdr:col>12</xdr:col>
      <xdr:colOff>757238</xdr:colOff>
      <xdr:row>14</xdr:row>
      <xdr:rowOff>100012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2033E04C-5CC7-1D59-6FBE-C13C624C01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179" t="20785" r="40240" b="3410"/>
        <a:stretch/>
      </xdr:blipFill>
      <xdr:spPr>
        <a:xfrm rot="16200000">
          <a:off x="6086475" y="-1047751"/>
          <a:ext cx="2314575" cy="5314951"/>
        </a:xfrm>
        <a:prstGeom prst="rect">
          <a:avLst/>
        </a:prstGeom>
      </xdr:spPr>
    </xdr:pic>
    <xdr:clientData/>
  </xdr:twoCellAnchor>
  <xdr:twoCellAnchor editAs="oneCell">
    <xdr:from>
      <xdr:col>6</xdr:col>
      <xdr:colOff>166689</xdr:colOff>
      <xdr:row>16</xdr:row>
      <xdr:rowOff>23811</xdr:rowOff>
    </xdr:from>
    <xdr:to>
      <xdr:col>13</xdr:col>
      <xdr:colOff>28575</xdr:colOff>
      <xdr:row>30</xdr:row>
      <xdr:rowOff>104278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509913A0-6B5A-D82A-B781-56F25D1A6EA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969" t="22990" r="38931" b="12740"/>
        <a:stretch/>
      </xdr:blipFill>
      <xdr:spPr>
        <a:xfrm rot="16200000">
          <a:off x="5962898" y="1847602"/>
          <a:ext cx="2747467" cy="5195886"/>
        </a:xfrm>
        <a:prstGeom prst="rect">
          <a:avLst/>
        </a:prstGeom>
      </xdr:spPr>
    </xdr:pic>
    <xdr:clientData/>
  </xdr:twoCellAnchor>
  <xdr:twoCellAnchor editAs="oneCell">
    <xdr:from>
      <xdr:col>13</xdr:col>
      <xdr:colOff>476251</xdr:colOff>
      <xdr:row>1</xdr:row>
      <xdr:rowOff>180974</xdr:rowOff>
    </xdr:from>
    <xdr:to>
      <xdr:col>18</xdr:col>
      <xdr:colOff>752478</xdr:colOff>
      <xdr:row>15</xdr:row>
      <xdr:rowOff>23789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8A8A64EF-61EF-7EB0-82D3-FF93AE45C85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471" t="25421" r="39123" b="18310"/>
        <a:stretch/>
      </xdr:blipFill>
      <xdr:spPr>
        <a:xfrm rot="16200000">
          <a:off x="11170457" y="-416732"/>
          <a:ext cx="2509815" cy="4086227"/>
        </a:xfrm>
        <a:prstGeom prst="rect">
          <a:avLst/>
        </a:prstGeom>
      </xdr:spPr>
    </xdr:pic>
    <xdr:clientData/>
  </xdr:twoCellAnchor>
  <xdr:twoCellAnchor editAs="oneCell">
    <xdr:from>
      <xdr:col>13</xdr:col>
      <xdr:colOff>419100</xdr:colOff>
      <xdr:row>16</xdr:row>
      <xdr:rowOff>66674</xdr:rowOff>
    </xdr:from>
    <xdr:to>
      <xdr:col>22</xdr:col>
      <xdr:colOff>219078</xdr:colOff>
      <xdr:row>31</xdr:row>
      <xdr:rowOff>138688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DD68C249-53EE-BC9E-D39D-6A2FE7FFC59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228" t="22138" r="40562" b="8683"/>
        <a:stretch/>
      </xdr:blipFill>
      <xdr:spPr>
        <a:xfrm rot="16200000">
          <a:off x="12189332" y="1250442"/>
          <a:ext cx="2929514" cy="665797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8561B-66F7-48A6-8316-989A41A349C7}">
  <dimension ref="A1:P77"/>
  <sheetViews>
    <sheetView tabSelected="1" topLeftCell="C43" zoomScale="62" zoomScaleNormal="70" workbookViewId="0">
      <selection activeCell="H77" sqref="H77"/>
    </sheetView>
  </sheetViews>
  <sheetFormatPr baseColWidth="10" defaultColWidth="11.42578125" defaultRowHeight="15" x14ac:dyDescent="0.25"/>
  <cols>
    <col min="1" max="1" width="17.140625" customWidth="1"/>
    <col min="2" max="2" width="24.140625" customWidth="1"/>
    <col min="3" max="3" width="26.85546875" customWidth="1"/>
    <col min="4" max="4" width="25.5703125" customWidth="1"/>
    <col min="5" max="5" width="29.140625" customWidth="1"/>
    <col min="6" max="6" width="27.28515625" customWidth="1"/>
    <col min="7" max="7" width="29" customWidth="1"/>
    <col min="8" max="8" width="21" customWidth="1"/>
    <col min="9" max="9" width="30.42578125" customWidth="1"/>
    <col min="10" max="10" width="24.5703125" customWidth="1"/>
    <col min="11" max="11" width="29.42578125" customWidth="1"/>
    <col min="12" max="12" width="22.7109375" customWidth="1"/>
    <col min="13" max="13" width="26.5703125" customWidth="1"/>
    <col min="14" max="14" width="42.28515625" customWidth="1"/>
    <col min="15" max="15" width="17.42578125" customWidth="1"/>
    <col min="16" max="16" width="14.7109375" customWidth="1"/>
    <col min="18" max="18" width="9.140625" customWidth="1"/>
    <col min="19" max="20" width="16.85546875" customWidth="1"/>
    <col min="21" max="21" width="17.85546875" customWidth="1"/>
    <col min="22" max="22" width="15.140625" customWidth="1"/>
  </cols>
  <sheetData>
    <row r="1" spans="1:16" x14ac:dyDescent="0.25">
      <c r="A1" s="1"/>
      <c r="B1" s="1"/>
      <c r="C1" s="6" t="s">
        <v>36</v>
      </c>
      <c r="D1" s="6"/>
      <c r="E1" s="6"/>
      <c r="F1" s="6"/>
      <c r="G1" s="6"/>
      <c r="H1" s="6"/>
      <c r="I1" s="6"/>
      <c r="J1" s="6" t="s">
        <v>40</v>
      </c>
      <c r="K1" s="6"/>
      <c r="L1" s="6"/>
      <c r="M1" s="6"/>
      <c r="N1" s="6"/>
      <c r="O1" s="6"/>
      <c r="P1" s="6"/>
    </row>
    <row r="2" spans="1:16" x14ac:dyDescent="0.25">
      <c r="A2" s="1" t="s">
        <v>0</v>
      </c>
      <c r="B2" s="1" t="s">
        <v>1</v>
      </c>
      <c r="C2" s="5">
        <v>1</v>
      </c>
      <c r="D2" s="5">
        <v>2</v>
      </c>
      <c r="E2" s="5">
        <v>3</v>
      </c>
      <c r="F2" s="1" t="s">
        <v>26</v>
      </c>
      <c r="G2" s="5" t="s">
        <v>23</v>
      </c>
      <c r="H2" s="5" t="s">
        <v>25</v>
      </c>
      <c r="I2" s="5" t="s">
        <v>17</v>
      </c>
      <c r="J2" s="5">
        <v>1</v>
      </c>
      <c r="K2" s="5">
        <v>2</v>
      </c>
      <c r="L2" s="5">
        <v>3</v>
      </c>
      <c r="M2" s="1" t="s">
        <v>26</v>
      </c>
      <c r="N2" s="5" t="s">
        <v>24</v>
      </c>
      <c r="O2" s="5" t="s">
        <v>25</v>
      </c>
      <c r="P2" s="5" t="s">
        <v>17</v>
      </c>
    </row>
    <row r="3" spans="1:16" x14ac:dyDescent="0.25">
      <c r="A3" s="1">
        <v>1</v>
      </c>
      <c r="B3" s="1">
        <v>100</v>
      </c>
      <c r="C3" s="1">
        <v>74163</v>
      </c>
      <c r="D3" s="1">
        <v>74162</v>
      </c>
      <c r="E3" s="1">
        <v>74162</v>
      </c>
      <c r="F3" s="1">
        <f t="shared" ref="F3:F8" si="0">AVERAGE(C3:E3)</f>
        <v>74162.333333333328</v>
      </c>
      <c r="G3" s="1">
        <f t="shared" ref="G3:G8" si="1">STDEVA(C3:E3)</f>
        <v>0.57735026918962584</v>
      </c>
      <c r="H3" s="1">
        <f t="shared" ref="H3:H8" si="2">$M$24*G3/SQRT(3)</f>
        <v>1.4342175765831542</v>
      </c>
      <c r="I3" s="1">
        <f t="shared" ref="I3:I8" si="3">SQRT($M$13^2+H3^2)</f>
        <v>1.7484221621164768</v>
      </c>
      <c r="J3" s="1">
        <v>74158</v>
      </c>
      <c r="K3" s="1">
        <v>74159</v>
      </c>
      <c r="L3" s="1">
        <v>74158</v>
      </c>
      <c r="M3" s="1">
        <f t="shared" ref="M3:M8" si="4">AVERAGE(J3:L3)</f>
        <v>74158.333333333328</v>
      </c>
      <c r="N3" s="1">
        <f t="shared" ref="N3:N8" si="5">STDEVA(J3:L3)</f>
        <v>0.57735026918962584</v>
      </c>
      <c r="O3" s="1">
        <f t="shared" ref="O3:O8" si="6">$M$24*N3/SQRT(3)</f>
        <v>1.4342175765831542</v>
      </c>
      <c r="P3" s="1">
        <f t="shared" ref="P3:P8" si="7">SQRT($M$13^2+O3^2)</f>
        <v>1.7484221621164768</v>
      </c>
    </row>
    <row r="4" spans="1:16" x14ac:dyDescent="0.25">
      <c r="A4" s="1">
        <v>2</v>
      </c>
      <c r="B4" s="1">
        <v>150</v>
      </c>
      <c r="C4" s="1">
        <v>74180</v>
      </c>
      <c r="D4" s="1">
        <v>74180</v>
      </c>
      <c r="E4" s="1">
        <v>74180</v>
      </c>
      <c r="F4" s="1">
        <f t="shared" si="0"/>
        <v>74180</v>
      </c>
      <c r="G4" s="1">
        <f t="shared" si="1"/>
        <v>0</v>
      </c>
      <c r="H4" s="1">
        <f t="shared" si="2"/>
        <v>0</v>
      </c>
      <c r="I4" s="1">
        <f t="shared" si="3"/>
        <v>1</v>
      </c>
      <c r="J4" s="1">
        <v>74168</v>
      </c>
      <c r="K4" s="1">
        <v>74171</v>
      </c>
      <c r="L4" s="1">
        <v>74171</v>
      </c>
      <c r="M4" s="1">
        <f t="shared" si="4"/>
        <v>74170</v>
      </c>
      <c r="N4" s="1">
        <f t="shared" si="5"/>
        <v>1.7320508075688772</v>
      </c>
      <c r="O4" s="1">
        <f t="shared" si="6"/>
        <v>4.3026527297494619</v>
      </c>
      <c r="P4" s="1">
        <f t="shared" si="7"/>
        <v>4.4173318318664379</v>
      </c>
    </row>
    <row r="5" spans="1:16" x14ac:dyDescent="0.25">
      <c r="A5" s="1">
        <v>3</v>
      </c>
      <c r="B5" s="1">
        <v>200</v>
      </c>
      <c r="C5" s="1">
        <v>74195</v>
      </c>
      <c r="D5" s="1">
        <v>74194</v>
      </c>
      <c r="E5" s="1">
        <v>74194</v>
      </c>
      <c r="F5" s="1">
        <f t="shared" si="0"/>
        <v>74194.333333333328</v>
      </c>
      <c r="G5" s="1">
        <f t="shared" si="1"/>
        <v>0.57735026918962584</v>
      </c>
      <c r="H5" s="1">
        <f t="shared" si="2"/>
        <v>1.4342175765831542</v>
      </c>
      <c r="I5" s="1">
        <f t="shared" si="3"/>
        <v>1.7484221621164768</v>
      </c>
      <c r="J5" s="1">
        <v>74178</v>
      </c>
      <c r="K5" s="1">
        <v>74178</v>
      </c>
      <c r="L5" s="1">
        <v>74177</v>
      </c>
      <c r="M5" s="1">
        <f t="shared" si="4"/>
        <v>74177.666666666672</v>
      </c>
      <c r="N5" s="1">
        <f t="shared" si="5"/>
        <v>0.57735026918962584</v>
      </c>
      <c r="O5" s="1">
        <f t="shared" si="6"/>
        <v>1.4342175765831542</v>
      </c>
      <c r="P5" s="1">
        <f t="shared" si="7"/>
        <v>1.7484221621164768</v>
      </c>
    </row>
    <row r="6" spans="1:16" x14ac:dyDescent="0.25">
      <c r="A6" s="1">
        <v>4</v>
      </c>
      <c r="B6" s="1">
        <v>250</v>
      </c>
      <c r="C6" s="1">
        <v>74212</v>
      </c>
      <c r="D6" s="1">
        <v>74215</v>
      </c>
      <c r="E6" s="1">
        <v>74216</v>
      </c>
      <c r="F6" s="1">
        <f t="shared" si="0"/>
        <v>74214.333333333328</v>
      </c>
      <c r="G6" s="1">
        <f t="shared" si="1"/>
        <v>2.0816659994661331</v>
      </c>
      <c r="H6" s="1">
        <f t="shared" si="2"/>
        <v>5.1711450125422633</v>
      </c>
      <c r="I6" s="1">
        <f t="shared" si="3"/>
        <v>5.2669479531072572</v>
      </c>
      <c r="J6" s="1">
        <v>74184</v>
      </c>
      <c r="K6" s="1">
        <v>74186</v>
      </c>
      <c r="L6" s="1">
        <v>74187</v>
      </c>
      <c r="M6" s="1">
        <f t="shared" si="4"/>
        <v>74185.666666666672</v>
      </c>
      <c r="N6" s="1">
        <f t="shared" si="5"/>
        <v>1.5275252316519465</v>
      </c>
      <c r="O6" s="1">
        <f t="shared" si="6"/>
        <v>3.7945830335967594</v>
      </c>
      <c r="P6" s="1">
        <f t="shared" si="7"/>
        <v>3.9241381727533993</v>
      </c>
    </row>
    <row r="7" spans="1:16" x14ac:dyDescent="0.25">
      <c r="A7" s="1">
        <v>5</v>
      </c>
      <c r="B7" s="1">
        <v>300</v>
      </c>
      <c r="C7" s="1">
        <v>74241</v>
      </c>
      <c r="D7" s="1">
        <v>74243</v>
      </c>
      <c r="E7" s="1">
        <v>74242</v>
      </c>
      <c r="F7" s="1">
        <f t="shared" si="0"/>
        <v>74242</v>
      </c>
      <c r="G7" s="1">
        <f t="shared" si="1"/>
        <v>1</v>
      </c>
      <c r="H7" s="1">
        <f t="shared" si="2"/>
        <v>2.4841377117503303</v>
      </c>
      <c r="I7" s="1">
        <f t="shared" si="3"/>
        <v>2.6778611186803856</v>
      </c>
      <c r="J7" s="1">
        <v>74198</v>
      </c>
      <c r="K7" s="1">
        <v>74199</v>
      </c>
      <c r="L7" s="1">
        <v>74198</v>
      </c>
      <c r="M7" s="1">
        <f t="shared" si="4"/>
        <v>74198.333333333328</v>
      </c>
      <c r="N7" s="1">
        <f t="shared" si="5"/>
        <v>0.57735026918962584</v>
      </c>
      <c r="O7" s="1">
        <f t="shared" si="6"/>
        <v>1.4342175765831542</v>
      </c>
      <c r="P7" s="1">
        <f t="shared" si="7"/>
        <v>1.7484221621164768</v>
      </c>
    </row>
    <row r="8" spans="1:16" x14ac:dyDescent="0.25">
      <c r="A8" s="1">
        <v>6</v>
      </c>
      <c r="B8" s="1">
        <v>350</v>
      </c>
      <c r="C8" s="1">
        <v>74273</v>
      </c>
      <c r="D8" s="1">
        <v>74274</v>
      </c>
      <c r="E8" s="1">
        <v>74274</v>
      </c>
      <c r="F8" s="1">
        <f t="shared" si="0"/>
        <v>74273.666666666672</v>
      </c>
      <c r="G8" s="1">
        <f t="shared" si="1"/>
        <v>0.57735026918962584</v>
      </c>
      <c r="H8" s="1">
        <f t="shared" si="2"/>
        <v>1.4342175765831542</v>
      </c>
      <c r="I8" s="1">
        <f t="shared" si="3"/>
        <v>1.7484221621164768</v>
      </c>
      <c r="J8" s="1">
        <v>74207</v>
      </c>
      <c r="K8" s="1">
        <v>74206</v>
      </c>
      <c r="L8" s="1">
        <v>74212</v>
      </c>
      <c r="M8" s="1">
        <f t="shared" si="4"/>
        <v>74208.333333333328</v>
      </c>
      <c r="N8" s="1">
        <f t="shared" si="5"/>
        <v>3.2145502536643185</v>
      </c>
      <c r="O8" s="1">
        <f t="shared" si="6"/>
        <v>7.9853855114441235</v>
      </c>
      <c r="P8" s="1">
        <f t="shared" si="7"/>
        <v>8.0477563187749244</v>
      </c>
    </row>
    <row r="10" spans="1:16" x14ac:dyDescent="0.25">
      <c r="A10" s="1"/>
      <c r="B10" s="1"/>
      <c r="C10" s="6" t="s">
        <v>39</v>
      </c>
      <c r="D10" s="6"/>
      <c r="E10" s="6"/>
      <c r="F10" s="6"/>
      <c r="G10" s="6"/>
      <c r="H10" s="6"/>
      <c r="I10" s="6"/>
    </row>
    <row r="11" spans="1:16" x14ac:dyDescent="0.25">
      <c r="A11" s="1" t="s">
        <v>0</v>
      </c>
      <c r="B11" s="1" t="s">
        <v>1</v>
      </c>
      <c r="C11" s="1">
        <v>1</v>
      </c>
      <c r="D11" s="1">
        <v>2</v>
      </c>
      <c r="E11" s="1">
        <v>3</v>
      </c>
      <c r="F11" s="1" t="s">
        <v>26</v>
      </c>
      <c r="G11" s="1" t="s">
        <v>23</v>
      </c>
      <c r="H11" s="1" t="s">
        <v>25</v>
      </c>
      <c r="I11" s="1" t="s">
        <v>17</v>
      </c>
    </row>
    <row r="12" spans="1:16" x14ac:dyDescent="0.25">
      <c r="A12" s="1">
        <v>1</v>
      </c>
      <c r="B12" s="1">
        <v>100</v>
      </c>
      <c r="C12" s="1">
        <f>20.57+273.15</f>
        <v>293.71999999999997</v>
      </c>
      <c r="D12" s="1">
        <f>20.57+273.15</f>
        <v>293.71999999999997</v>
      </c>
      <c r="E12" s="1">
        <f>20.57+273.15</f>
        <v>293.71999999999997</v>
      </c>
      <c r="F12" s="1">
        <f t="shared" ref="F12:F17" si="8">AVERAGE(C12:E12)</f>
        <v>293.71999999999997</v>
      </c>
      <c r="G12" s="1">
        <f t="shared" ref="G12:G17" si="9">STDEVA(C12:E12)</f>
        <v>0</v>
      </c>
      <c r="H12" s="1">
        <f t="shared" ref="H12:H17" si="10">$M$24*G12/SQRT(3)</f>
        <v>0</v>
      </c>
      <c r="I12" s="1">
        <f t="shared" ref="I12:I17" si="11">SQRT($M$14^2+H12^2)</f>
        <v>0.01</v>
      </c>
      <c r="L12" s="6" t="s">
        <v>31</v>
      </c>
      <c r="M12" s="6"/>
      <c r="N12" s="1" t="s">
        <v>32</v>
      </c>
    </row>
    <row r="13" spans="1:16" x14ac:dyDescent="0.25">
      <c r="A13" s="1">
        <v>2</v>
      </c>
      <c r="B13" s="1">
        <v>150</v>
      </c>
      <c r="C13" s="1">
        <f>20.63+273.15</f>
        <v>293.77999999999997</v>
      </c>
      <c r="D13" s="1">
        <f>20.63+273.15</f>
        <v>293.77999999999997</v>
      </c>
      <c r="E13" s="1">
        <f>20.63+273.15</f>
        <v>293.77999999999997</v>
      </c>
      <c r="F13" s="1">
        <f t="shared" si="8"/>
        <v>293.77999999999997</v>
      </c>
      <c r="G13" s="1">
        <f t="shared" si="9"/>
        <v>0</v>
      </c>
      <c r="H13" s="1">
        <f t="shared" si="10"/>
        <v>0</v>
      </c>
      <c r="I13" s="1">
        <f t="shared" si="11"/>
        <v>0.01</v>
      </c>
      <c r="L13" s="1" t="s">
        <v>37</v>
      </c>
      <c r="M13" s="1">
        <f>0.01*100</f>
        <v>1</v>
      </c>
      <c r="N13" s="1">
        <f>(SQRT(3)/3)*M13</f>
        <v>0.57735026918962573</v>
      </c>
    </row>
    <row r="14" spans="1:16" x14ac:dyDescent="0.25">
      <c r="A14" s="1">
        <v>3</v>
      </c>
      <c r="B14" s="1">
        <v>200</v>
      </c>
      <c r="C14" s="1">
        <f>20.69+273.15</f>
        <v>293.83999999999997</v>
      </c>
      <c r="D14" s="1">
        <f>20.7+273.15</f>
        <v>293.84999999999997</v>
      </c>
      <c r="E14" s="1">
        <f>20.7+273.15</f>
        <v>293.84999999999997</v>
      </c>
      <c r="F14" s="1">
        <f t="shared" si="8"/>
        <v>293.84666666666664</v>
      </c>
      <c r="G14" s="1">
        <f t="shared" si="9"/>
        <v>5.773502691891007E-3</v>
      </c>
      <c r="H14" s="1">
        <f t="shared" si="10"/>
        <v>1.4342175765818498E-2</v>
      </c>
      <c r="I14" s="1">
        <f t="shared" si="11"/>
        <v>1.748422162115407E-2</v>
      </c>
      <c r="L14" s="1" t="s">
        <v>38</v>
      </c>
      <c r="M14" s="1">
        <v>0.01</v>
      </c>
      <c r="N14" s="1">
        <f>(SQRT(3)/3)*M14</f>
        <v>5.7735026918962571E-3</v>
      </c>
    </row>
    <row r="15" spans="1:16" x14ac:dyDescent="0.25">
      <c r="A15" s="1">
        <v>4</v>
      </c>
      <c r="B15" s="1">
        <v>250</v>
      </c>
      <c r="C15" s="1">
        <f>20.8+273.15</f>
        <v>293.95</v>
      </c>
      <c r="D15" s="1">
        <f>20.83+273.15</f>
        <v>293.97999999999996</v>
      </c>
      <c r="E15" s="1">
        <f>20.83+273.15</f>
        <v>293.97999999999996</v>
      </c>
      <c r="F15" s="1">
        <f t="shared" si="8"/>
        <v>293.96999999999997</v>
      </c>
      <c r="G15" s="1">
        <f t="shared" si="9"/>
        <v>1.7320508075673018E-2</v>
      </c>
      <c r="H15" s="1">
        <f t="shared" si="10"/>
        <v>4.3026527297455486E-2</v>
      </c>
      <c r="I15" s="1">
        <f t="shared" si="11"/>
        <v>4.417331831862626E-2</v>
      </c>
      <c r="L15" s="1" t="s">
        <v>2</v>
      </c>
      <c r="M15" s="1">
        <f>0.01/100</f>
        <v>1E-4</v>
      </c>
      <c r="N15" s="1">
        <f>(SQRT(3)/3)*M15</f>
        <v>5.7735026918962578E-5</v>
      </c>
    </row>
    <row r="16" spans="1:16" x14ac:dyDescent="0.25">
      <c r="A16" s="1">
        <v>5</v>
      </c>
      <c r="B16" s="1">
        <v>300</v>
      </c>
      <c r="C16" s="1">
        <f>20.29+273.15</f>
        <v>293.44</v>
      </c>
      <c r="D16" s="1">
        <f>20.97+273.15</f>
        <v>294.12</v>
      </c>
      <c r="E16" s="1">
        <f>20.99+273.15</f>
        <v>294.14</v>
      </c>
      <c r="F16" s="1">
        <f t="shared" si="8"/>
        <v>293.89999999999998</v>
      </c>
      <c r="G16" s="1">
        <f t="shared" si="9"/>
        <v>0.39849717690342396</v>
      </c>
      <c r="H16" s="1">
        <f t="shared" si="10"/>
        <v>0.98992186517183811</v>
      </c>
      <c r="I16" s="1">
        <f t="shared" si="11"/>
        <v>0.98997237292021989</v>
      </c>
      <c r="L16" s="1" t="s">
        <v>10</v>
      </c>
      <c r="M16" s="1">
        <v>1E-3</v>
      </c>
      <c r="N16" s="1">
        <f>(SQRT(3)/3)*M16</f>
        <v>5.773502691896258E-4</v>
      </c>
    </row>
    <row r="17" spans="1:16" x14ac:dyDescent="0.25">
      <c r="A17" s="1">
        <v>6</v>
      </c>
      <c r="B17" s="1">
        <v>350</v>
      </c>
      <c r="C17" s="1">
        <f>21.1+273.15</f>
        <v>294.25</v>
      </c>
      <c r="D17" s="1">
        <f>21.11+273.15</f>
        <v>294.26</v>
      </c>
      <c r="E17" s="1">
        <f>21.14+273.15</f>
        <v>294.28999999999996</v>
      </c>
      <c r="F17" s="1">
        <f t="shared" si="8"/>
        <v>294.26666666666665</v>
      </c>
      <c r="G17" s="1">
        <f t="shared" si="9"/>
        <v>2.0816659994642394E-2</v>
      </c>
      <c r="H17" s="1">
        <f t="shared" si="10"/>
        <v>5.1711450125375598E-2</v>
      </c>
      <c r="I17" s="1">
        <f t="shared" si="11"/>
        <v>5.2669479531026388E-2</v>
      </c>
      <c r="L17" s="1" t="s">
        <v>11</v>
      </c>
      <c r="M17" s="1">
        <v>0.01</v>
      </c>
      <c r="N17" s="1">
        <f>(SQRT(3)/3)*M17</f>
        <v>5.7735026918962571E-3</v>
      </c>
    </row>
    <row r="19" spans="1:16" x14ac:dyDescent="0.25">
      <c r="A19" s="1"/>
      <c r="B19" s="1"/>
      <c r="C19" s="7" t="s">
        <v>35</v>
      </c>
      <c r="D19" s="8"/>
      <c r="E19" s="8"/>
      <c r="F19" s="8"/>
      <c r="G19" s="8"/>
      <c r="H19" s="8"/>
      <c r="I19" s="9"/>
    </row>
    <row r="20" spans="1:16" x14ac:dyDescent="0.25">
      <c r="A20" s="1" t="s">
        <v>0</v>
      </c>
      <c r="B20" s="1" t="s">
        <v>1</v>
      </c>
      <c r="C20" s="1">
        <v>1</v>
      </c>
      <c r="D20" s="1">
        <v>2</v>
      </c>
      <c r="E20" s="1">
        <v>3</v>
      </c>
      <c r="F20" s="1" t="s">
        <v>26</v>
      </c>
      <c r="G20" s="1" t="s">
        <v>23</v>
      </c>
      <c r="H20" s="1" t="s">
        <v>25</v>
      </c>
      <c r="I20" s="1" t="s">
        <v>17</v>
      </c>
    </row>
    <row r="21" spans="1:16" x14ac:dyDescent="0.25">
      <c r="A21" s="1">
        <v>1</v>
      </c>
      <c r="B21" s="1">
        <v>100</v>
      </c>
      <c r="C21" s="1">
        <f>52.6/100</f>
        <v>0.52600000000000002</v>
      </c>
      <c r="D21" s="1">
        <f>0.5261</f>
        <v>0.52610000000000001</v>
      </c>
      <c r="E21" s="1">
        <v>0.52590000000000003</v>
      </c>
      <c r="F21" s="1">
        <f t="shared" ref="F21:F26" si="12">AVERAGE(C21:E21)</f>
        <v>0.52600000000000002</v>
      </c>
      <c r="G21" s="1">
        <f t="shared" ref="G21:G26" si="13">STDEVA(C21:E21)</f>
        <v>9.9999999999988987E-5</v>
      </c>
      <c r="H21" s="1">
        <f t="shared" ref="H21:H26" si="14">$M$24*G21/SQRT(3)</f>
        <v>2.4841377117500564E-4</v>
      </c>
      <c r="I21" s="1">
        <f t="shared" ref="I21:I26" si="15">SQRT($M$15^2+H21^2)</f>
        <v>2.6778611186801317E-4</v>
      </c>
      <c r="L21" s="1" t="s">
        <v>6</v>
      </c>
      <c r="M21" s="1">
        <v>0.95</v>
      </c>
    </row>
    <row r="22" spans="1:16" x14ac:dyDescent="0.25">
      <c r="A22" s="1">
        <v>2</v>
      </c>
      <c r="B22" s="1">
        <v>150</v>
      </c>
      <c r="C22" s="1">
        <v>0.51749999999999996</v>
      </c>
      <c r="D22" s="1">
        <v>0.51780000000000004</v>
      </c>
      <c r="E22" s="1">
        <v>0.51729999999999998</v>
      </c>
      <c r="F22" s="1">
        <f t="shared" si="12"/>
        <v>0.51753333333333329</v>
      </c>
      <c r="G22" s="1">
        <f t="shared" si="13"/>
        <v>2.516611478423894E-4</v>
      </c>
      <c r="H22" s="1">
        <f t="shared" si="14"/>
        <v>6.2516094793765473E-4</v>
      </c>
      <c r="I22" s="1">
        <f t="shared" si="15"/>
        <v>6.3310837210252323E-4</v>
      </c>
      <c r="L22" s="1" t="s">
        <v>9</v>
      </c>
      <c r="M22" s="1">
        <f>1-M21</f>
        <v>5.0000000000000044E-2</v>
      </c>
    </row>
    <row r="23" spans="1:16" x14ac:dyDescent="0.25">
      <c r="A23" s="1">
        <v>3</v>
      </c>
      <c r="B23" s="1">
        <v>200</v>
      </c>
      <c r="C23" s="1">
        <v>0.50960000000000005</v>
      </c>
      <c r="D23" s="1">
        <v>0.50970000000000004</v>
      </c>
      <c r="E23" s="1">
        <v>0.50990000000000002</v>
      </c>
      <c r="F23" s="1">
        <f t="shared" si="12"/>
        <v>0.50973333333333337</v>
      </c>
      <c r="G23" s="1">
        <f t="shared" si="13"/>
        <v>1.5275252316517785E-4</v>
      </c>
      <c r="H23" s="1">
        <f t="shared" si="14"/>
        <v>3.7945830335963423E-4</v>
      </c>
      <c r="I23" s="1">
        <f t="shared" si="15"/>
        <v>3.9241381727529956E-4</v>
      </c>
      <c r="L23" s="1" t="s">
        <v>8</v>
      </c>
      <c r="M23" s="1">
        <f>M21+M22/2</f>
        <v>0.97499999999999998</v>
      </c>
    </row>
    <row r="24" spans="1:16" x14ac:dyDescent="0.25">
      <c r="A24" s="1">
        <v>4</v>
      </c>
      <c r="B24" s="1">
        <v>250</v>
      </c>
      <c r="C24" s="1">
        <v>0.50249999999999995</v>
      </c>
      <c r="D24" s="1">
        <v>0.49859999999999999</v>
      </c>
      <c r="E24" s="1">
        <v>0.49830000000000002</v>
      </c>
      <c r="F24" s="1">
        <f t="shared" si="12"/>
        <v>0.49979999999999997</v>
      </c>
      <c r="G24" s="1">
        <f t="shared" si="13"/>
        <v>2.3430749027719623E-3</v>
      </c>
      <c r="H24" s="1">
        <f t="shared" si="14"/>
        <v>5.820520727431569E-3</v>
      </c>
      <c r="I24" s="1">
        <f t="shared" si="15"/>
        <v>5.8213796937204264E-3</v>
      </c>
      <c r="L24" s="1" t="s">
        <v>7</v>
      </c>
      <c r="M24" s="1">
        <f>_xlfn.T.INV(M23,2)</f>
        <v>4.3026527297494619</v>
      </c>
    </row>
    <row r="25" spans="1:16" x14ac:dyDescent="0.25">
      <c r="A25" s="1">
        <v>5</v>
      </c>
      <c r="B25" s="1">
        <v>300</v>
      </c>
      <c r="C25" s="1">
        <v>0.48730000000000001</v>
      </c>
      <c r="D25" s="1">
        <v>0.48809999999999998</v>
      </c>
      <c r="E25" s="1">
        <v>0.4864</v>
      </c>
      <c r="F25" s="1">
        <f t="shared" si="12"/>
        <v>0.48726666666666668</v>
      </c>
      <c r="G25" s="1">
        <f t="shared" si="13"/>
        <v>8.5049005481152833E-4</v>
      </c>
      <c r="H25" s="1">
        <f t="shared" si="14"/>
        <v>2.1127344186259228E-3</v>
      </c>
      <c r="I25" s="1">
        <f t="shared" si="15"/>
        <v>2.1150996959119011E-3</v>
      </c>
    </row>
    <row r="26" spans="1:16" x14ac:dyDescent="0.25">
      <c r="A26" s="1">
        <v>6</v>
      </c>
      <c r="B26" s="1">
        <v>350</v>
      </c>
      <c r="C26" s="1">
        <v>0.48130000000000001</v>
      </c>
      <c r="D26" s="1">
        <v>0.48110000000000003</v>
      </c>
      <c r="E26" s="1">
        <v>0.47899999999999998</v>
      </c>
      <c r="F26" s="1">
        <f t="shared" si="12"/>
        <v>0.48046666666666665</v>
      </c>
      <c r="G26" s="1">
        <f t="shared" si="13"/>
        <v>1.2741009902411122E-3</v>
      </c>
      <c r="H26" s="1">
        <f t="shared" si="14"/>
        <v>3.1650423184363861E-3</v>
      </c>
      <c r="I26" s="1">
        <f t="shared" si="15"/>
        <v>3.1666216820916853E-3</v>
      </c>
    </row>
    <row r="28" spans="1:16" x14ac:dyDescent="0.25">
      <c r="A28" s="1"/>
      <c r="B28" s="1"/>
      <c r="C28" s="7" t="s">
        <v>3</v>
      </c>
      <c r="D28" s="8"/>
      <c r="E28" s="8"/>
      <c r="F28" s="9"/>
      <c r="G28" s="3"/>
      <c r="H28" s="3"/>
      <c r="I28" s="4"/>
      <c r="J28" s="6" t="s">
        <v>4</v>
      </c>
      <c r="K28" s="6"/>
      <c r="L28" s="6"/>
      <c r="M28" s="6"/>
      <c r="N28" s="6"/>
      <c r="O28" s="6"/>
      <c r="P28" s="6"/>
    </row>
    <row r="29" spans="1:16" x14ac:dyDescent="0.25">
      <c r="A29" s="1" t="s">
        <v>0</v>
      </c>
      <c r="B29" s="1" t="s">
        <v>1</v>
      </c>
      <c r="C29" s="1">
        <v>1</v>
      </c>
      <c r="D29" s="1">
        <v>2</v>
      </c>
      <c r="E29" s="2">
        <v>3</v>
      </c>
      <c r="F29" s="1" t="s">
        <v>26</v>
      </c>
      <c r="G29" s="4" t="s">
        <v>23</v>
      </c>
      <c r="H29" s="1" t="s">
        <v>25</v>
      </c>
      <c r="I29" s="1" t="s">
        <v>17</v>
      </c>
      <c r="J29" s="1">
        <v>1</v>
      </c>
      <c r="K29" s="1">
        <v>2</v>
      </c>
      <c r="L29" s="2">
        <v>3</v>
      </c>
      <c r="M29" s="1" t="s">
        <v>26</v>
      </c>
      <c r="N29" s="4" t="s">
        <v>23</v>
      </c>
      <c r="O29" s="1" t="s">
        <v>25</v>
      </c>
      <c r="P29" s="1" t="s">
        <v>17</v>
      </c>
    </row>
    <row r="30" spans="1:16" x14ac:dyDescent="0.25">
      <c r="A30" s="1">
        <v>1</v>
      </c>
      <c r="B30" s="1">
        <v>100</v>
      </c>
      <c r="C30" s="1">
        <v>12.55</v>
      </c>
      <c r="D30" s="1">
        <v>12.55</v>
      </c>
      <c r="E30" s="2">
        <v>12.55</v>
      </c>
      <c r="F30" s="1">
        <f t="shared" ref="F30:F35" si="16">AVERAGE(C30:E30)</f>
        <v>12.550000000000002</v>
      </c>
      <c r="G30" s="4">
        <f t="shared" ref="G30:G35" si="17">STDEVA(C30:E30)</f>
        <v>2.1755839288168292E-15</v>
      </c>
      <c r="H30" s="1">
        <f t="shared" ref="H30:H35" si="18">$M$24*G30/SQRT(3)</f>
        <v>5.4044500826518313E-15</v>
      </c>
      <c r="I30" s="1">
        <f t="shared" ref="I30:I35" si="19">SQRT($M$17^2+H30^2)</f>
        <v>0.01</v>
      </c>
      <c r="J30" s="1">
        <v>0</v>
      </c>
      <c r="K30" s="1">
        <v>0</v>
      </c>
      <c r="L30" s="2">
        <v>0</v>
      </c>
      <c r="M30" s="1">
        <f t="shared" ref="M30:M35" si="20">AVERAGE(J30:L30)</f>
        <v>0</v>
      </c>
      <c r="N30" s="4">
        <f t="shared" ref="N30:N35" si="21">STDEVA(J30:L30)</f>
        <v>0</v>
      </c>
      <c r="O30" s="1">
        <f t="shared" ref="O30:O35" si="22">$M$24*N30/SQRT(3)</f>
        <v>0</v>
      </c>
      <c r="P30" s="1">
        <f t="shared" ref="P30:P35" si="23">SQRT($M$16^2+O30^2)</f>
        <v>1E-3</v>
      </c>
    </row>
    <row r="31" spans="1:16" x14ac:dyDescent="0.25">
      <c r="A31" s="1">
        <v>2</v>
      </c>
      <c r="B31" s="1">
        <v>150</v>
      </c>
      <c r="C31" s="1">
        <v>12.56</v>
      </c>
      <c r="D31" s="1">
        <v>12.56</v>
      </c>
      <c r="E31" s="2">
        <v>12.56</v>
      </c>
      <c r="F31" s="1">
        <f t="shared" si="16"/>
        <v>12.56</v>
      </c>
      <c r="G31" s="4">
        <f t="shared" si="17"/>
        <v>0</v>
      </c>
      <c r="H31" s="1">
        <f t="shared" si="18"/>
        <v>0</v>
      </c>
      <c r="I31" s="1">
        <f t="shared" si="19"/>
        <v>0.01</v>
      </c>
      <c r="J31" s="1">
        <v>0.05</v>
      </c>
      <c r="K31" s="1">
        <v>6.0999999999999999E-2</v>
      </c>
      <c r="L31" s="2">
        <v>5.7000000000000002E-2</v>
      </c>
      <c r="M31" s="1">
        <f t="shared" si="20"/>
        <v>5.6000000000000001E-2</v>
      </c>
      <c r="N31" s="4">
        <f t="shared" si="21"/>
        <v>5.5677643628300197E-3</v>
      </c>
      <c r="O31" s="1">
        <f t="shared" si="22"/>
        <v>1.38310934238456E-2</v>
      </c>
      <c r="P31" s="1">
        <f t="shared" si="23"/>
        <v>1.3867196735430885E-2</v>
      </c>
    </row>
    <row r="32" spans="1:16" x14ac:dyDescent="0.25">
      <c r="A32" s="1">
        <v>3</v>
      </c>
      <c r="B32" s="1">
        <v>200</v>
      </c>
      <c r="C32" s="1">
        <v>12.66</v>
      </c>
      <c r="D32" s="1">
        <v>12.66</v>
      </c>
      <c r="E32" s="2">
        <v>12.66</v>
      </c>
      <c r="F32" s="1">
        <f t="shared" si="16"/>
        <v>12.660000000000002</v>
      </c>
      <c r="G32" s="4">
        <f t="shared" si="17"/>
        <v>2.1755839288168292E-15</v>
      </c>
      <c r="H32" s="1">
        <f t="shared" si="18"/>
        <v>5.4044500826518313E-15</v>
      </c>
      <c r="I32" s="1">
        <f t="shared" si="19"/>
        <v>0.01</v>
      </c>
      <c r="J32" s="1">
        <v>0.35799999999999998</v>
      </c>
      <c r="K32" s="1">
        <v>0.36599999999999999</v>
      </c>
      <c r="L32" s="2">
        <v>0.35</v>
      </c>
      <c r="M32" s="1">
        <f t="shared" si="20"/>
        <v>0.35799999999999993</v>
      </c>
      <c r="N32" s="4">
        <f t="shared" si="21"/>
        <v>8.0000000000000071E-3</v>
      </c>
      <c r="O32" s="1">
        <f t="shared" si="22"/>
        <v>1.9873101694002658E-2</v>
      </c>
      <c r="P32" s="1">
        <f t="shared" si="23"/>
        <v>1.9898245423659127E-2</v>
      </c>
    </row>
    <row r="33" spans="1:16" x14ac:dyDescent="0.25">
      <c r="A33" s="1">
        <v>4</v>
      </c>
      <c r="B33" s="1">
        <v>250</v>
      </c>
      <c r="C33" s="1">
        <v>12.84</v>
      </c>
      <c r="D33" s="1">
        <v>12.86</v>
      </c>
      <c r="E33" s="2">
        <v>12.86</v>
      </c>
      <c r="F33" s="1">
        <f t="shared" si="16"/>
        <v>12.853333333333333</v>
      </c>
      <c r="G33" s="4">
        <f t="shared" si="17"/>
        <v>1.154700538379227E-2</v>
      </c>
      <c r="H33" s="1">
        <f t="shared" si="18"/>
        <v>2.8684351531662468E-2</v>
      </c>
      <c r="I33" s="1">
        <f t="shared" si="19"/>
        <v>3.0377492042497303E-2</v>
      </c>
      <c r="J33" s="1">
        <v>0.88900000000000001</v>
      </c>
      <c r="K33" s="1">
        <v>0.89200000000000002</v>
      </c>
      <c r="L33" s="2">
        <v>0.871</v>
      </c>
      <c r="M33" s="1">
        <f t="shared" si="20"/>
        <v>0.88400000000000001</v>
      </c>
      <c r="N33" s="4">
        <f t="shared" si="21"/>
        <v>1.1357816691600558E-2</v>
      </c>
      <c r="O33" s="1">
        <f t="shared" si="22"/>
        <v>2.8214380766752315E-2</v>
      </c>
      <c r="P33" s="1">
        <f t="shared" si="23"/>
        <v>2.8232096664103482E-2</v>
      </c>
    </row>
    <row r="34" spans="1:16" x14ac:dyDescent="0.25">
      <c r="A34" s="1">
        <v>5</v>
      </c>
      <c r="B34" s="1">
        <v>300</v>
      </c>
      <c r="C34" s="1">
        <v>13.05</v>
      </c>
      <c r="D34" s="1">
        <v>13.05</v>
      </c>
      <c r="E34" s="2">
        <v>13.06</v>
      </c>
      <c r="F34" s="1">
        <f t="shared" si="16"/>
        <v>13.053333333333335</v>
      </c>
      <c r="G34" s="4">
        <f t="shared" si="17"/>
        <v>5.7735026918961348E-3</v>
      </c>
      <c r="H34" s="1">
        <f t="shared" si="18"/>
        <v>1.4342175765831234E-2</v>
      </c>
      <c r="I34" s="1">
        <f t="shared" si="19"/>
        <v>1.7484221621164517E-2</v>
      </c>
      <c r="J34" s="1">
        <v>1.5509999999999999</v>
      </c>
      <c r="K34" s="1">
        <v>1.552</v>
      </c>
      <c r="L34" s="2">
        <v>1.63</v>
      </c>
      <c r="M34" s="1">
        <f t="shared" si="20"/>
        <v>1.5776666666666666</v>
      </c>
      <c r="N34" s="4">
        <f t="shared" si="21"/>
        <v>4.5324754090158376E-2</v>
      </c>
      <c r="O34" s="1">
        <f t="shared" si="22"/>
        <v>0.11259293091117244</v>
      </c>
      <c r="P34" s="1">
        <f t="shared" si="23"/>
        <v>0.11259737159973163</v>
      </c>
    </row>
    <row r="35" spans="1:16" x14ac:dyDescent="0.25">
      <c r="A35" s="1">
        <v>6</v>
      </c>
      <c r="B35" s="1">
        <v>350</v>
      </c>
      <c r="C35" s="1">
        <v>13.13</v>
      </c>
      <c r="D35" s="1">
        <v>13.13</v>
      </c>
      <c r="E35" s="2">
        <v>13.13</v>
      </c>
      <c r="F35" s="1">
        <f t="shared" si="16"/>
        <v>13.13</v>
      </c>
      <c r="G35" s="4">
        <f t="shared" si="17"/>
        <v>0</v>
      </c>
      <c r="H35" s="1">
        <f t="shared" si="18"/>
        <v>0</v>
      </c>
      <c r="I35" s="1">
        <f t="shared" si="19"/>
        <v>0.01</v>
      </c>
      <c r="J35" s="1">
        <v>1.835</v>
      </c>
      <c r="K35" s="1">
        <v>1.8560000000000001</v>
      </c>
      <c r="L35" s="2">
        <v>1.8169999999999999</v>
      </c>
      <c r="M35" s="1">
        <f t="shared" si="20"/>
        <v>1.8360000000000001</v>
      </c>
      <c r="N35" s="4">
        <f t="shared" si="21"/>
        <v>1.9519221295943211E-2</v>
      </c>
      <c r="O35" s="1">
        <f t="shared" si="22"/>
        <v>4.8488433725252682E-2</v>
      </c>
      <c r="P35" s="1">
        <f t="shared" si="23"/>
        <v>4.8498744366511408E-2</v>
      </c>
    </row>
    <row r="37" spans="1:16" x14ac:dyDescent="0.25">
      <c r="A37" s="1"/>
      <c r="B37" s="1"/>
      <c r="C37" s="6" t="s">
        <v>5</v>
      </c>
      <c r="D37" s="6"/>
      <c r="E37" s="6"/>
      <c r="F37" s="6"/>
      <c r="G37" s="6"/>
      <c r="H37" s="6"/>
      <c r="I37" s="6"/>
    </row>
    <row r="38" spans="1:16" x14ac:dyDescent="0.25">
      <c r="A38" s="1" t="s">
        <v>0</v>
      </c>
      <c r="B38" s="1" t="s">
        <v>1</v>
      </c>
      <c r="C38" s="1">
        <v>1</v>
      </c>
      <c r="D38" s="1">
        <v>2</v>
      </c>
      <c r="E38" s="1">
        <v>3</v>
      </c>
      <c r="F38" s="1" t="s">
        <v>26</v>
      </c>
      <c r="G38" s="1" t="s">
        <v>23</v>
      </c>
      <c r="H38" s="1" t="s">
        <v>25</v>
      </c>
      <c r="I38" s="1" t="s">
        <v>17</v>
      </c>
    </row>
    <row r="39" spans="1:16" x14ac:dyDescent="0.25">
      <c r="A39" s="1">
        <v>1</v>
      </c>
      <c r="B39" s="1">
        <v>100</v>
      </c>
      <c r="C39" s="1">
        <v>2424.1729999999998</v>
      </c>
      <c r="D39" s="1">
        <v>2424.1729999999998</v>
      </c>
      <c r="E39" s="1">
        <v>2424.1729999999998</v>
      </c>
      <c r="F39" s="1">
        <f t="shared" ref="F39:F44" si="24">AVERAGE(C39:E39)</f>
        <v>2424.1729999999998</v>
      </c>
      <c r="G39" s="1">
        <f t="shared" ref="G39:G44" si="25">STDEVA(C39:E39)</f>
        <v>0</v>
      </c>
      <c r="H39" s="1">
        <f t="shared" ref="H39:H44" si="26">$M$24*G39/SQRT(3)</f>
        <v>0</v>
      </c>
      <c r="I39" s="1">
        <f t="shared" ref="I39:I44" si="27">SQRT(($M$13)*100^2+H39^2)</f>
        <v>100</v>
      </c>
      <c r="K39" s="1" t="s">
        <v>30</v>
      </c>
      <c r="L39" s="1" t="s">
        <v>17</v>
      </c>
    </row>
    <row r="40" spans="1:16" x14ac:dyDescent="0.25">
      <c r="A40" s="1">
        <v>2</v>
      </c>
      <c r="B40" s="1">
        <v>150</v>
      </c>
      <c r="C40" s="1">
        <v>2433.107</v>
      </c>
      <c r="D40" s="1">
        <v>2433.107</v>
      </c>
      <c r="E40" s="1">
        <v>2433.107</v>
      </c>
      <c r="F40" s="1">
        <f t="shared" si="24"/>
        <v>2433.107</v>
      </c>
      <c r="G40" s="1">
        <f t="shared" si="25"/>
        <v>0</v>
      </c>
      <c r="H40" s="1">
        <f t="shared" si="26"/>
        <v>0</v>
      </c>
      <c r="I40" s="1">
        <f t="shared" si="27"/>
        <v>100</v>
      </c>
      <c r="K40" s="1">
        <f>(PI()*0.51^2/4)</f>
        <v>0.2042820622996763</v>
      </c>
      <c r="L40" s="1">
        <v>0</v>
      </c>
    </row>
    <row r="41" spans="1:16" x14ac:dyDescent="0.25">
      <c r="A41" s="1">
        <v>3</v>
      </c>
      <c r="B41" s="1">
        <v>200</v>
      </c>
      <c r="C41" s="1">
        <v>2442.0410000000002</v>
      </c>
      <c r="D41" s="1">
        <v>2443.5300000000002</v>
      </c>
      <c r="E41" s="1">
        <v>2443.5300000000002</v>
      </c>
      <c r="F41" s="1">
        <f t="shared" si="24"/>
        <v>2443.0336666666667</v>
      </c>
      <c r="G41" s="1">
        <f t="shared" si="25"/>
        <v>0.85967455082337163</v>
      </c>
      <c r="H41" s="1">
        <f t="shared" si="26"/>
        <v>2.1355499715323631</v>
      </c>
      <c r="I41" s="1">
        <f t="shared" si="27"/>
        <v>100.02280026914319</v>
      </c>
    </row>
    <row r="42" spans="1:16" x14ac:dyDescent="0.25">
      <c r="A42" s="1">
        <v>4</v>
      </c>
      <c r="B42" s="1">
        <v>250</v>
      </c>
      <c r="C42" s="1">
        <v>2458.42</v>
      </c>
      <c r="D42" s="1">
        <v>2462.8870000000002</v>
      </c>
      <c r="E42" s="1">
        <v>2462.8870000000002</v>
      </c>
      <c r="F42" s="1">
        <f t="shared" si="24"/>
        <v>2461.3980000000006</v>
      </c>
      <c r="G42" s="1">
        <f t="shared" si="25"/>
        <v>2.5790236524701151</v>
      </c>
      <c r="H42" s="1">
        <f t="shared" si="26"/>
        <v>6.4066499145970903</v>
      </c>
      <c r="I42" s="1">
        <f t="shared" si="27"/>
        <v>100.20501565853981</v>
      </c>
      <c r="K42" s="1" t="s">
        <v>29</v>
      </c>
      <c r="L42" s="1" t="s">
        <v>17</v>
      </c>
    </row>
    <row r="43" spans="1:16" x14ac:dyDescent="0.25">
      <c r="A43" s="1">
        <v>5</v>
      </c>
      <c r="B43" s="1">
        <v>300</v>
      </c>
      <c r="C43" s="1">
        <v>2382.4810000000002</v>
      </c>
      <c r="D43" s="1">
        <v>2483.7330000000002</v>
      </c>
      <c r="E43" s="1">
        <v>2486.7109999999998</v>
      </c>
      <c r="F43" s="1">
        <f t="shared" si="24"/>
        <v>2450.9749999999999</v>
      </c>
      <c r="G43" s="1">
        <f t="shared" si="25"/>
        <v>59.336229640919917</v>
      </c>
      <c r="H43" s="1">
        <f t="shared" si="26"/>
        <v>147.39936572408692</v>
      </c>
      <c r="I43" s="1">
        <f t="shared" si="27"/>
        <v>178.11954697860403</v>
      </c>
      <c r="K43" s="1">
        <f>1013.25*100</f>
        <v>101325</v>
      </c>
      <c r="L43" s="1">
        <v>0</v>
      </c>
    </row>
    <row r="44" spans="1:16" x14ac:dyDescent="0.25">
      <c r="A44" s="1">
        <v>6</v>
      </c>
      <c r="B44" s="1">
        <v>350</v>
      </c>
      <c r="C44" s="1">
        <v>2503.91</v>
      </c>
      <c r="D44" s="1">
        <v>2505.4810000000002</v>
      </c>
      <c r="E44" s="1">
        <v>2510.194</v>
      </c>
      <c r="F44" s="1">
        <f t="shared" si="24"/>
        <v>2506.5283333333332</v>
      </c>
      <c r="G44" s="1">
        <f t="shared" si="25"/>
        <v>3.2702972851612948</v>
      </c>
      <c r="H44" s="1">
        <f t="shared" si="26"/>
        <v>8.1238688147038953</v>
      </c>
      <c r="I44" s="1">
        <f t="shared" si="27"/>
        <v>100.32944355730534</v>
      </c>
    </row>
    <row r="47" spans="1:16" x14ac:dyDescent="0.25">
      <c r="A47" s="1" t="s">
        <v>0</v>
      </c>
      <c r="B47" s="1" t="s">
        <v>13</v>
      </c>
      <c r="C47" s="1" t="s">
        <v>18</v>
      </c>
      <c r="D47" s="1" t="s">
        <v>27</v>
      </c>
      <c r="E47" s="1" t="s">
        <v>28</v>
      </c>
      <c r="F47" s="1" t="s">
        <v>16</v>
      </c>
      <c r="G47" s="1" t="s">
        <v>19</v>
      </c>
      <c r="H47" s="1" t="s">
        <v>14</v>
      </c>
      <c r="I47" s="1" t="s">
        <v>20</v>
      </c>
      <c r="J47" s="1" t="s">
        <v>15</v>
      </c>
      <c r="K47" s="1" t="s">
        <v>21</v>
      </c>
      <c r="L47" s="1" t="s">
        <v>12</v>
      </c>
      <c r="M47" s="1" t="s">
        <v>22</v>
      </c>
    </row>
    <row r="48" spans="1:16" x14ac:dyDescent="0.25">
      <c r="A48" s="1">
        <v>1</v>
      </c>
      <c r="B48" s="1">
        <f t="shared" ref="B48:B53" si="28">(1/F12)*(($K$43/287.058)+F21*F39*((1/287.058) + (1/461.5)))</f>
        <v>1.226278217993269</v>
      </c>
      <c r="C48" s="1">
        <f>SQRT((1/F12^4)*($K$43/287.058 + F21*F39*(1/287.058 - 1/461.5))^2*I12^2 +( F39^2/F12^2)*(1/287.058 - 1/461.5)^2*I21^2 + (F21^2/F12^2)*(1/287.058 - 1/461.5)^2*I39^2)</f>
        <v>2.3938406430578941E-4</v>
      </c>
      <c r="D48" s="1">
        <f>F3-M3</f>
        <v>4</v>
      </c>
      <c r="E48" s="1">
        <f t="shared" ref="E48:E53" si="29">SQRT(I3^2+P3^2)</f>
        <v>2.4726423344188118</v>
      </c>
      <c r="F48" s="1">
        <f t="shared" ref="F48:F53" si="30">SQRT(2*D48/B48)</f>
        <v>2.5541740395902552</v>
      </c>
      <c r="G48" s="1">
        <f t="shared" ref="G48:G53" si="31" xml:space="preserve"> SQRT(((1/B48)/F48)^2*E48^2+((D48/B48^2)/F48)^2*C48^2)</f>
        <v>0.78944489683476415</v>
      </c>
      <c r="H48" s="1">
        <f t="shared" ref="H48:H53" si="32">(1/2)*B48*$K$40*F48^3</f>
        <v>2.0870877611191694</v>
      </c>
      <c r="I48" s="1">
        <f t="shared" ref="I48:I53" si="33">SQRT((0.5*$K$40*F48^3*C48)^2+(1.5*B48*$K$40*F48^2*G48)^2)</f>
        <v>1.9352332220558131</v>
      </c>
      <c r="J48" s="1">
        <f t="shared" ref="J48:J53" si="34">F30*M30</f>
        <v>0</v>
      </c>
      <c r="K48" s="1">
        <f t="shared" ref="K48:K53" si="35">SQRT((M30*I30)^2+(F30*P30)^2)</f>
        <v>1.2550000000000002E-2</v>
      </c>
      <c r="L48" s="1">
        <f t="shared" ref="L48:L53" si="36">J48/H48</f>
        <v>0</v>
      </c>
      <c r="M48" s="1">
        <f>SQRT((K48/H48)^2+(J48*I48/H48^2)^2)</f>
        <v>6.0131635256536857E-3</v>
      </c>
    </row>
    <row r="49" spans="1:13" x14ac:dyDescent="0.25">
      <c r="A49" s="1">
        <v>2</v>
      </c>
      <c r="B49" s="1">
        <f>(1/F13)*(($K$43/287.058)+F22*F40*((1/287.058) + (1/461.5)))</f>
        <v>1.2257219349184643</v>
      </c>
      <c r="C49" s="1">
        <f t="shared" ref="C48:C53" si="37">SQRT((1/F13^4)*($K$43/287.058 + F22*F40*(1/287.058 - 1/461.5))^2*I13^2 +( F40^2/F13^2)*(1/287.058 - 1/461.5)^2*I22^2 + (F22^2/F13^2)*(1/287.058 - 1/461.5)^2*I40^2)</f>
        <v>2.3567914615594233E-4</v>
      </c>
      <c r="D49" s="1">
        <f t="shared" ref="D48:D53" si="38">F4-M4</f>
        <v>10</v>
      </c>
      <c r="E49" s="1">
        <f t="shared" si="29"/>
        <v>4.5291081365783814</v>
      </c>
      <c r="F49" s="1">
        <f t="shared" si="30"/>
        <v>4.0394200684659225</v>
      </c>
      <c r="G49" s="1">
        <f t="shared" si="31"/>
        <v>0.91474859739103553</v>
      </c>
      <c r="H49" s="1">
        <f t="shared" si="32"/>
        <v>8.2518106208091826</v>
      </c>
      <c r="I49" s="1">
        <f t="shared" si="33"/>
        <v>5.6060021233529387</v>
      </c>
      <c r="J49" s="1">
        <f t="shared" si="34"/>
        <v>0.7033600000000001</v>
      </c>
      <c r="K49" s="1">
        <f t="shared" si="35"/>
        <v>0.17417289125424543</v>
      </c>
      <c r="L49" s="1">
        <f t="shared" si="36"/>
        <v>8.523705066937512E-2</v>
      </c>
      <c r="M49" s="1">
        <f t="shared" ref="M49:M53" si="39">SQRT((K49/H49)^2+(J49*I49/H49^2)^2)</f>
        <v>6.163405590423883E-2</v>
      </c>
    </row>
    <row r="50" spans="1:13" x14ac:dyDescent="0.25">
      <c r="A50" s="1">
        <v>3</v>
      </c>
      <c r="B50" s="1">
        <f t="shared" si="28"/>
        <v>1.2251762096792134</v>
      </c>
      <c r="C50" s="1">
        <f t="shared" si="37"/>
        <v>2.3952791016766168E-4</v>
      </c>
      <c r="D50" s="1">
        <f>F5-M5</f>
        <v>16.666666666656965</v>
      </c>
      <c r="E50" s="1">
        <f t="shared" si="29"/>
        <v>2.4726423344188118</v>
      </c>
      <c r="F50" s="1">
        <f t="shared" si="30"/>
        <v>5.2160301740801955</v>
      </c>
      <c r="G50" s="1">
        <f t="shared" si="31"/>
        <v>0.38692164673740331</v>
      </c>
      <c r="H50" s="1">
        <f t="shared" si="32"/>
        <v>17.759023349630365</v>
      </c>
      <c r="I50" s="1">
        <f t="shared" si="33"/>
        <v>3.9520591222986061</v>
      </c>
      <c r="J50" s="1">
        <f t="shared" si="34"/>
        <v>4.5322800000000001</v>
      </c>
      <c r="K50" s="1">
        <f t="shared" si="35"/>
        <v>0.25193722404904473</v>
      </c>
      <c r="L50" s="1">
        <f t="shared" si="36"/>
        <v>0.25520998034468684</v>
      </c>
      <c r="M50" s="1">
        <f t="shared" si="39"/>
        <v>5.8538933234898512E-2</v>
      </c>
    </row>
    <row r="51" spans="1:13" x14ac:dyDescent="0.25">
      <c r="A51" s="1">
        <v>4</v>
      </c>
      <c r="B51" s="1">
        <f t="shared" si="28"/>
        <v>1.2243721658420739</v>
      </c>
      <c r="C51" s="1">
        <f t="shared" si="37"/>
        <v>2.954619538379573E-4</v>
      </c>
      <c r="D51" s="1">
        <f t="shared" si="38"/>
        <v>28.666666666656965</v>
      </c>
      <c r="E51" s="1">
        <f>SQRT(I6^2+P6^2)</f>
        <v>6.5680743859674058</v>
      </c>
      <c r="F51" s="1">
        <f t="shared" si="30"/>
        <v>6.8430052323979762</v>
      </c>
      <c r="G51" s="1">
        <f t="shared" si="31"/>
        <v>0.78393126138183999</v>
      </c>
      <c r="H51" s="1">
        <f t="shared" si="32"/>
        <v>40.073225674436159</v>
      </c>
      <c r="I51" s="1">
        <f t="shared" si="33"/>
        <v>13.772309545819683</v>
      </c>
      <c r="J51" s="1">
        <f t="shared" si="34"/>
        <v>11.362346666666667</v>
      </c>
      <c r="K51" s="1">
        <f t="shared" si="35"/>
        <v>0.36386881051568154</v>
      </c>
      <c r="L51" s="1">
        <f t="shared" si="36"/>
        <v>0.28353960719251581</v>
      </c>
      <c r="M51" s="1">
        <f t="shared" si="39"/>
        <v>9.7868620364541567E-2</v>
      </c>
    </row>
    <row r="52" spans="1:13" x14ac:dyDescent="0.25">
      <c r="A52" s="1">
        <v>5</v>
      </c>
      <c r="B52" s="1">
        <f t="shared" si="28"/>
        <v>1.223973031720925</v>
      </c>
      <c r="C52" s="1">
        <f>SQRT((1/F16^4)*($K$43/287.058 + F25*F43*(1/287.058 - 1/461.5))^2*I16^2 +( F43^2/F16^2)*(1/287.058 - 1/461.5)^2*I25^2 + (F25^2/F16^2)*(1/287.058 - 1/461.5)^2*I43^2)</f>
        <v>4.0821403205341207E-3</v>
      </c>
      <c r="D52" s="1">
        <f t="shared" si="38"/>
        <v>43.666666666671517</v>
      </c>
      <c r="E52" s="1">
        <f t="shared" si="29"/>
        <v>3.1981119786399321</v>
      </c>
      <c r="F52" s="1">
        <f t="shared" si="30"/>
        <v>8.4470311131572711</v>
      </c>
      <c r="G52" s="1">
        <f t="shared" si="31"/>
        <v>0.30964748304867762</v>
      </c>
      <c r="H52" s="1">
        <f t="shared" si="32"/>
        <v>75.350192876606357</v>
      </c>
      <c r="I52" s="1">
        <f t="shared" si="33"/>
        <v>8.290270659811819</v>
      </c>
      <c r="J52" s="1">
        <f t="shared" si="34"/>
        <v>20.593808888888891</v>
      </c>
      <c r="K52" s="1">
        <f t="shared" si="35"/>
        <v>1.4700298483333929</v>
      </c>
      <c r="L52" s="1">
        <f t="shared" si="36"/>
        <v>0.27330797842300625</v>
      </c>
      <c r="M52" s="1">
        <f t="shared" si="39"/>
        <v>3.5844543214120471E-2</v>
      </c>
    </row>
    <row r="53" spans="1:13" x14ac:dyDescent="0.25">
      <c r="A53" s="1">
        <v>6</v>
      </c>
      <c r="B53" s="1">
        <f t="shared" si="28"/>
        <v>1.222640414572953</v>
      </c>
      <c r="C53" s="1">
        <f t="shared" si="37"/>
        <v>3.0708236049882786E-4</v>
      </c>
      <c r="D53" s="1">
        <f t="shared" si="38"/>
        <v>65.333333333343035</v>
      </c>
      <c r="E53" s="1">
        <f t="shared" si="29"/>
        <v>8.2354940242441916</v>
      </c>
      <c r="F53" s="1">
        <f t="shared" si="30"/>
        <v>10.337916796271662</v>
      </c>
      <c r="G53" s="1">
        <f t="shared" si="31"/>
        <v>0.65156648726003297</v>
      </c>
      <c r="H53" s="1">
        <f t="shared" si="32"/>
        <v>137.97426291764322</v>
      </c>
      <c r="I53" s="1">
        <f t="shared" si="33"/>
        <v>26.088278781776154</v>
      </c>
      <c r="J53" s="1">
        <f t="shared" si="34"/>
        <v>24.106680000000001</v>
      </c>
      <c r="K53" s="1">
        <f t="shared" si="35"/>
        <v>0.63705313794586216</v>
      </c>
      <c r="L53" s="1">
        <f t="shared" si="36"/>
        <v>0.17471867209313718</v>
      </c>
      <c r="M53" s="1">
        <f t="shared" si="39"/>
        <v>3.335703429258912E-2</v>
      </c>
    </row>
    <row r="62" spans="1:13" x14ac:dyDescent="0.25">
      <c r="C62" s="1" t="s">
        <v>33</v>
      </c>
    </row>
    <row r="63" spans="1:13" x14ac:dyDescent="0.25">
      <c r="C63" s="1">
        <f t="shared" ref="C63:C68" si="40">M48/2</f>
        <v>3.0065817628268428E-3</v>
      </c>
    </row>
    <row r="64" spans="1:13" x14ac:dyDescent="0.25">
      <c r="C64" s="1">
        <f t="shared" si="40"/>
        <v>3.0817027952119415E-2</v>
      </c>
    </row>
    <row r="65" spans="3:3" x14ac:dyDescent="0.25">
      <c r="C65" s="1">
        <f t="shared" si="40"/>
        <v>2.9269466617449256E-2</v>
      </c>
    </row>
    <row r="66" spans="3:3" x14ac:dyDescent="0.25">
      <c r="C66" s="1">
        <f t="shared" si="40"/>
        <v>4.8934310182270783E-2</v>
      </c>
    </row>
    <row r="67" spans="3:3" x14ac:dyDescent="0.25">
      <c r="C67" s="1">
        <f t="shared" si="40"/>
        <v>1.7922271607060235E-2</v>
      </c>
    </row>
    <row r="68" spans="3:3" x14ac:dyDescent="0.25">
      <c r="C68" s="1">
        <f t="shared" si="40"/>
        <v>1.667851714629456E-2</v>
      </c>
    </row>
    <row r="71" spans="3:3" x14ac:dyDescent="0.25">
      <c r="C71" s="1" t="s">
        <v>34</v>
      </c>
    </row>
    <row r="72" spans="3:3" x14ac:dyDescent="0.25">
      <c r="C72" s="1">
        <f>F48/2</f>
        <v>1.2770870197951276</v>
      </c>
    </row>
    <row r="73" spans="3:3" x14ac:dyDescent="0.25">
      <c r="C73" s="1">
        <f t="shared" ref="C73:C77" si="41">F49/2</f>
        <v>2.0197100342329612</v>
      </c>
    </row>
    <row r="74" spans="3:3" x14ac:dyDescent="0.25">
      <c r="C74" s="1">
        <f t="shared" si="41"/>
        <v>2.6080150870400978</v>
      </c>
    </row>
    <row r="75" spans="3:3" x14ac:dyDescent="0.25">
      <c r="C75" s="1">
        <f t="shared" si="41"/>
        <v>3.4215026161989881</v>
      </c>
    </row>
    <row r="76" spans="3:3" x14ac:dyDescent="0.25">
      <c r="C76" s="1">
        <f t="shared" si="41"/>
        <v>4.2235155565786355</v>
      </c>
    </row>
    <row r="77" spans="3:3" x14ac:dyDescent="0.25">
      <c r="C77" s="1">
        <f t="shared" si="41"/>
        <v>5.1689583981358309</v>
      </c>
    </row>
  </sheetData>
  <mergeCells count="8">
    <mergeCell ref="C37:I37"/>
    <mergeCell ref="C28:F28"/>
    <mergeCell ref="L12:M12"/>
    <mergeCell ref="J1:P1"/>
    <mergeCell ref="C1:I1"/>
    <mergeCell ref="J28:P28"/>
    <mergeCell ref="C19:I19"/>
    <mergeCell ref="C10:I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5F234-C246-42F4-A93F-3CDF68C93385}">
  <dimension ref="A1"/>
  <sheetViews>
    <sheetView topLeftCell="A16" workbookViewId="0">
      <selection activeCell="J1" sqref="J1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Calculos</vt:lpstr>
      <vt:lpstr>Propagación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Jose Guzman Mejia</dc:creator>
  <cp:keywords/>
  <dc:description/>
  <cp:lastModifiedBy>Juan Jose Guzman Mejia</cp:lastModifiedBy>
  <cp:revision/>
  <dcterms:created xsi:type="dcterms:W3CDTF">2023-09-22T00:34:11Z</dcterms:created>
  <dcterms:modified xsi:type="dcterms:W3CDTF">2023-09-30T01:51:08Z</dcterms:modified>
  <cp:category/>
  <cp:contentStatus/>
</cp:coreProperties>
</file>