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RDFiles\Courses\2105_Summer_Law\"/>
    </mc:Choice>
  </mc:AlternateContent>
  <bookViews>
    <workbookView xWindow="0" yWindow="0" windowWidth="19200" windowHeight="7035"/>
  </bookViews>
  <sheets>
    <sheet name="BuildingEnvelope" sheetId="1" r:id="rId1"/>
    <sheet name="Sheet2" sheetId="2" r:id="rId2"/>
    <sheet name="Sheet3" sheetId="3" r:id="rId3"/>
  </sheets>
  <definedNames>
    <definedName name="INPUTS">BuildingEnvelope!$Q$3:$T$9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6" i="1"/>
  <c r="N4" i="1"/>
  <c r="N3" i="1"/>
  <c r="T5" i="1"/>
  <c r="G13" i="1" l="1"/>
  <c r="C5" i="2"/>
  <c r="G30" i="1"/>
  <c r="G25" i="1" l="1"/>
  <c r="G19" i="1"/>
  <c r="E26" i="1"/>
  <c r="I8" i="1"/>
  <c r="G8" i="1"/>
  <c r="I7" i="1"/>
  <c r="G7" i="1" l="1"/>
  <c r="G10" i="1" s="1"/>
  <c r="N24" i="1"/>
  <c r="N14" i="1"/>
  <c r="N22" i="1" s="1"/>
  <c r="G11" i="1" l="1"/>
  <c r="N15" i="1"/>
  <c r="N23" i="1" l="1"/>
  <c r="N25" i="1" s="1"/>
  <c r="E30" i="1" s="1"/>
  <c r="I31" i="1" s="1"/>
  <c r="N16" i="1"/>
  <c r="E25" i="1"/>
  <c r="I27" i="1" s="1"/>
  <c r="E19" i="1"/>
  <c r="I20" i="1" s="1"/>
  <c r="I32" i="1" l="1"/>
</calcChain>
</file>

<file path=xl/sharedStrings.xml><?xml version="1.0" encoding="utf-8"?>
<sst xmlns="http://schemas.openxmlformats.org/spreadsheetml/2006/main" count="127" uniqueCount="74">
  <si>
    <t>Building Maximum - Mathematical Approach</t>
  </si>
  <si>
    <t>Base Case</t>
  </si>
  <si>
    <t>Gross Site Area</t>
  </si>
  <si>
    <t>Building Square Footage Maximum</t>
  </si>
  <si>
    <t>Lot Coverage Ratio</t>
  </si>
  <si>
    <t xml:space="preserve"> =</t>
  </si>
  <si>
    <t>1000/PI</t>
  </si>
  <si>
    <t xml:space="preserve"> +</t>
  </si>
  <si>
    <r>
      <t>BSF</t>
    </r>
    <r>
      <rPr>
        <vertAlign val="subscript"/>
        <sz val="14"/>
        <rFont val="Times New Roman"/>
        <family val="1"/>
      </rPr>
      <t>max</t>
    </r>
  </si>
  <si>
    <t>GSsf * LC</t>
  </si>
  <si>
    <t>FAR Maximum</t>
  </si>
  <si>
    <t>(1/#St) + [(1/1000/PI) *(PS/PF))]</t>
  </si>
  <si>
    <t>Building Design</t>
  </si>
  <si>
    <t>Building Stories</t>
  </si>
  <si>
    <t xml:space="preserve"> *</t>
  </si>
  <si>
    <t>Revenue Unit Size (SF) *</t>
  </si>
  <si>
    <t xml:space="preserve">  Parking</t>
  </si>
  <si>
    <t xml:space="preserve">      Index (Spaces/1,000sf) *</t>
  </si>
  <si>
    <t xml:space="preserve">      SF/Stall</t>
  </si>
  <si>
    <t xml:space="preserve">      Parking Floors</t>
  </si>
  <si>
    <t>Development Components</t>
  </si>
  <si>
    <t>Improvement Size</t>
  </si>
  <si>
    <t xml:space="preserve">  Building</t>
  </si>
  <si>
    <t>Allocation of Site</t>
  </si>
  <si>
    <t xml:space="preserve">  No. of Parking Stalls</t>
  </si>
  <si>
    <t>Building Footprint</t>
  </si>
  <si>
    <t>Scenario Change</t>
  </si>
  <si>
    <t xml:space="preserve"> /</t>
  </si>
  <si>
    <t xml:space="preserve"> #St</t>
  </si>
  <si>
    <t>SF</t>
  </si>
  <si>
    <t>Site Allocation</t>
  </si>
  <si>
    <t>Parking Footprint</t>
  </si>
  <si>
    <t>Square Footage</t>
  </si>
  <si>
    <t xml:space="preserve"> PS/PF</t>
  </si>
  <si>
    <t>Building Footprint (SF)</t>
  </si>
  <si>
    <t>Open Space</t>
  </si>
  <si>
    <t>Total Site</t>
  </si>
  <si>
    <t>GSSF</t>
  </si>
  <si>
    <t xml:space="preserve">* </t>
  </si>
  <si>
    <t>(1 - LC)</t>
  </si>
  <si>
    <t>UR</t>
  </si>
  <si>
    <t>B4-5</t>
  </si>
  <si>
    <t>R-1.5</t>
  </si>
  <si>
    <t>MPD</t>
  </si>
  <si>
    <t>B1-1</t>
  </si>
  <si>
    <t>B3-2</t>
  </si>
  <si>
    <t>B4-2</t>
  </si>
  <si>
    <t>M1-5</t>
  </si>
  <si>
    <t>lotCoverageRatio</t>
  </si>
  <si>
    <t>farMaximum</t>
  </si>
  <si>
    <t>parkingIndex</t>
  </si>
  <si>
    <t>zoningType</t>
  </si>
  <si>
    <t>depth</t>
  </si>
  <si>
    <t>width</t>
  </si>
  <si>
    <t>sideSetback</t>
  </si>
  <si>
    <t>frontSetback</t>
  </si>
  <si>
    <t>rearSetback</t>
  </si>
  <si>
    <t>N/A</t>
  </si>
  <si>
    <t>15% OR 7.5%</t>
  </si>
  <si>
    <t>15% OR %7.5</t>
  </si>
  <si>
    <t>b3-2</t>
  </si>
  <si>
    <t>Height</t>
  </si>
  <si>
    <t>1 per 4 employee</t>
  </si>
  <si>
    <t>PKG_Index</t>
  </si>
  <si>
    <t>Variable</t>
  </si>
  <si>
    <t>Zoning---&gt;</t>
  </si>
  <si>
    <t>b1_1</t>
  </si>
  <si>
    <t>b3_2</t>
  </si>
  <si>
    <t>r_15</t>
  </si>
  <si>
    <t>height</t>
  </si>
  <si>
    <t>lot_cover</t>
  </si>
  <si>
    <t>far</t>
  </si>
  <si>
    <t>max_height</t>
  </si>
  <si>
    <t>building_fl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</si>
</sst>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5" formatCode="0.0000"/>
    <numFmt numFmtId="167" formatCode="_(* #,##0_);_(* \(#,##0\);_(* &quot;-&quot;??_);_(@_)"/>
  </numFmts>
  <fonts count="1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4"/>
      <name val="Times New Roman"/>
      <family val="1"/>
    </font>
    <font>
      <sz val="10"/>
      <name val="Times New Roman"/>
      <family val="1"/>
    </font>
    <font>
      <b/>
      <i/>
      <sz val="12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vertAlign val="subscript"/>
      <sz val="14"/>
      <name val="Times New Roman"/>
      <family val="1"/>
    </font>
    <font>
      <b/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 applyBorder="1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4" fillId="2" borderId="2" xfId="0" applyFont="1" applyFill="1" applyBorder="1"/>
    <xf numFmtId="0" fontId="0" fillId="2" borderId="3" xfId="0" applyFill="1" applyBorder="1" applyAlignment="1">
      <alignment horizontal="center"/>
    </xf>
    <xf numFmtId="0" fontId="6" fillId="0" borderId="0" xfId="0" applyFont="1" applyBorder="1"/>
    <xf numFmtId="0" fontId="6" fillId="0" borderId="0" xfId="0" applyFont="1"/>
    <xf numFmtId="0" fontId="7" fillId="2" borderId="4" xfId="0" applyFont="1" applyFill="1" applyBorder="1" applyAlignment="1">
      <alignment horizontal="left" indent="1"/>
    </xf>
    <xf numFmtId="3" fontId="5" fillId="2" borderId="1" xfId="0" applyNumberFormat="1" applyFont="1" applyFill="1" applyBorder="1" applyAlignment="1">
      <alignment horizontal="right"/>
    </xf>
    <xf numFmtId="0" fontId="6" fillId="0" borderId="0" xfId="0" applyFont="1" applyFill="1" applyBorder="1"/>
    <xf numFmtId="0" fontId="6" fillId="2" borderId="0" xfId="0" applyFont="1" applyFill="1" applyBorder="1"/>
    <xf numFmtId="0" fontId="6" fillId="2" borderId="5" xfId="0" applyFont="1" applyFill="1" applyBorder="1"/>
    <xf numFmtId="0" fontId="7" fillId="2" borderId="4" xfId="0" applyFont="1" applyFill="1" applyBorder="1" applyAlignment="1">
      <alignment horizontal="left" indent="2"/>
    </xf>
    <xf numFmtId="0" fontId="5" fillId="0" borderId="0" xfId="0" applyFont="1" applyBorder="1"/>
    <xf numFmtId="0" fontId="6" fillId="2" borderId="6" xfId="0" applyFont="1" applyFill="1" applyBorder="1"/>
    <xf numFmtId="0" fontId="6" fillId="2" borderId="11" xfId="0" applyFont="1" applyFill="1" applyBorder="1"/>
    <xf numFmtId="0" fontId="6" fillId="2" borderId="13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left" indent="1"/>
    </xf>
    <xf numFmtId="0" fontId="0" fillId="2" borderId="0" xfId="0" applyFill="1" applyBorder="1"/>
    <xf numFmtId="0" fontId="6" fillId="2" borderId="7" xfId="0" applyFont="1" applyFill="1" applyBorder="1"/>
    <xf numFmtId="0" fontId="6" fillId="2" borderId="6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left" indent="2"/>
    </xf>
    <xf numFmtId="0" fontId="6" fillId="2" borderId="16" xfId="0" applyFont="1" applyFill="1" applyBorder="1"/>
    <xf numFmtId="41" fontId="6" fillId="2" borderId="8" xfId="0" applyNumberFormat="1" applyFont="1" applyFill="1" applyBorder="1" applyAlignment="1">
      <alignment horizontal="center"/>
    </xf>
    <xf numFmtId="9" fontId="6" fillId="2" borderId="8" xfId="2" applyFont="1" applyFill="1" applyBorder="1" applyAlignment="1">
      <alignment horizontal="center"/>
    </xf>
    <xf numFmtId="0" fontId="6" fillId="2" borderId="15" xfId="0" applyFont="1" applyFill="1" applyBorder="1"/>
    <xf numFmtId="165" fontId="6" fillId="2" borderId="0" xfId="0" applyNumberFormat="1" applyFont="1" applyFill="1" applyBorder="1" applyAlignment="1">
      <alignment horizontal="center"/>
    </xf>
    <xf numFmtId="9" fontId="6" fillId="2" borderId="15" xfId="2" applyFont="1" applyFill="1" applyBorder="1" applyAlignment="1">
      <alignment horizontal="center"/>
    </xf>
    <xf numFmtId="9" fontId="6" fillId="2" borderId="0" xfId="2" applyFont="1" applyFill="1" applyBorder="1" applyAlignment="1">
      <alignment horizontal="center"/>
    </xf>
    <xf numFmtId="0" fontId="7" fillId="2" borderId="14" xfId="0" applyFont="1" applyFill="1" applyBorder="1"/>
    <xf numFmtId="0" fontId="6" fillId="2" borderId="15" xfId="0" applyFont="1" applyFill="1" applyBorder="1" applyAlignment="1">
      <alignment horizontal="center"/>
    </xf>
    <xf numFmtId="0" fontId="7" fillId="2" borderId="18" xfId="0" applyFont="1" applyFill="1" applyBorder="1"/>
    <xf numFmtId="3" fontId="5" fillId="2" borderId="19" xfId="0" applyNumberFormat="1" applyFont="1" applyFill="1" applyBorder="1" applyAlignment="1">
      <alignment horizontal="right"/>
    </xf>
    <xf numFmtId="0" fontId="4" fillId="2" borderId="0" xfId="0" applyFont="1" applyFill="1" applyBorder="1"/>
    <xf numFmtId="0" fontId="6" fillId="2" borderId="10" xfId="0" applyFont="1" applyFill="1" applyBorder="1"/>
    <xf numFmtId="0" fontId="6" fillId="2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vertical="center"/>
    </xf>
    <xf numFmtId="0" fontId="6" fillId="2" borderId="20" xfId="0" applyFont="1" applyFill="1" applyBorder="1"/>
    <xf numFmtId="0" fontId="7" fillId="2" borderId="6" xfId="0" applyFont="1" applyFill="1" applyBorder="1"/>
    <xf numFmtId="0" fontId="6" fillId="2" borderId="0" xfId="0" applyFont="1" applyFill="1" applyBorder="1" applyAlignment="1">
      <alignment vertical="center"/>
    </xf>
    <xf numFmtId="0" fontId="5" fillId="0" borderId="0" xfId="0" applyFont="1"/>
    <xf numFmtId="0" fontId="3" fillId="0" borderId="1" xfId="0" applyFont="1" applyFill="1" applyBorder="1" applyAlignment="1">
      <alignment horizontal="center"/>
    </xf>
    <xf numFmtId="0" fontId="2" fillId="2" borderId="7" xfId="0" applyFont="1" applyFill="1" applyBorder="1"/>
    <xf numFmtId="0" fontId="6" fillId="2" borderId="21" xfId="0" applyFont="1" applyFill="1" applyBorder="1"/>
    <xf numFmtId="0" fontId="7" fillId="2" borderId="0" xfId="0" applyFont="1" applyFill="1" applyBorder="1"/>
    <xf numFmtId="0" fontId="6" fillId="2" borderId="0" xfId="0" applyFont="1" applyFill="1" applyBorder="1" applyAlignment="1">
      <alignment horizontal="right"/>
    </xf>
    <xf numFmtId="41" fontId="6" fillId="2" borderId="0" xfId="0" applyNumberFormat="1" applyFont="1" applyFill="1" applyBorder="1"/>
    <xf numFmtId="0" fontId="6" fillId="2" borderId="22" xfId="0" applyFont="1" applyFill="1" applyBorder="1"/>
    <xf numFmtId="0" fontId="0" fillId="2" borderId="11" xfId="0" applyFill="1" applyBorder="1"/>
    <xf numFmtId="0" fontId="6" fillId="2" borderId="23" xfId="0" applyFont="1" applyFill="1" applyBorder="1"/>
    <xf numFmtId="0" fontId="6" fillId="2" borderId="8" xfId="0" applyFont="1" applyFill="1" applyBorder="1"/>
    <xf numFmtId="0" fontId="6" fillId="2" borderId="24" xfId="0" applyFont="1" applyFill="1" applyBorder="1"/>
    <xf numFmtId="41" fontId="6" fillId="2" borderId="8" xfId="0" applyNumberFormat="1" applyFont="1" applyFill="1" applyBorder="1"/>
    <xf numFmtId="0" fontId="6" fillId="2" borderId="9" xfId="0" applyFont="1" applyFill="1" applyBorder="1"/>
    <xf numFmtId="0" fontId="2" fillId="2" borderId="16" xfId="0" applyFont="1" applyFill="1" applyBorder="1"/>
    <xf numFmtId="0" fontId="7" fillId="2" borderId="17" xfId="0" applyFont="1" applyFill="1" applyBorder="1"/>
    <xf numFmtId="3" fontId="5" fillId="2" borderId="25" xfId="0" applyNumberFormat="1" applyFont="1" applyFill="1" applyBorder="1" applyAlignment="1">
      <alignment horizontal="right"/>
    </xf>
    <xf numFmtId="0" fontId="6" fillId="2" borderId="8" xfId="0" applyFont="1" applyFill="1" applyBorder="1" applyAlignment="1">
      <alignment horizontal="center"/>
    </xf>
    <xf numFmtId="3" fontId="5" fillId="2" borderId="1" xfId="1" applyNumberFormat="1" applyFont="1" applyFill="1" applyBorder="1" applyAlignment="1">
      <alignment horizontal="right"/>
    </xf>
    <xf numFmtId="41" fontId="0" fillId="0" borderId="0" xfId="0" applyNumberFormat="1"/>
    <xf numFmtId="0" fontId="0" fillId="0" borderId="0" xfId="0" applyFill="1" applyBorder="1"/>
    <xf numFmtId="41" fontId="6" fillId="2" borderId="8" xfId="0" applyNumberFormat="1" applyFont="1" applyFill="1" applyBorder="1" applyAlignment="1"/>
    <xf numFmtId="0" fontId="7" fillId="2" borderId="18" xfId="0" applyFont="1" applyFill="1" applyBorder="1" applyAlignment="1">
      <alignment horizontal="left" indent="1"/>
    </xf>
    <xf numFmtId="1" fontId="6" fillId="2" borderId="0" xfId="0" applyNumberFormat="1" applyFont="1" applyFill="1" applyBorder="1" applyAlignment="1">
      <alignment horizontal="right"/>
    </xf>
    <xf numFmtId="1" fontId="5" fillId="0" borderId="0" xfId="0" applyNumberFormat="1" applyFont="1"/>
    <xf numFmtId="9" fontId="6" fillId="2" borderId="0" xfId="2" applyFont="1" applyFill="1" applyBorder="1" applyAlignment="1">
      <alignment horizontal="left"/>
    </xf>
    <xf numFmtId="0" fontId="2" fillId="2" borderId="10" xfId="0" applyFont="1" applyFill="1" applyBorder="1"/>
    <xf numFmtId="0" fontId="6" fillId="2" borderId="26" xfId="0" applyFont="1" applyFill="1" applyBorder="1"/>
    <xf numFmtId="41" fontId="6" fillId="2" borderId="11" xfId="0" applyNumberFormat="1" applyFont="1" applyFill="1" applyBorder="1"/>
    <xf numFmtId="1" fontId="6" fillId="0" borderId="0" xfId="0" applyNumberFormat="1" applyFont="1" applyBorder="1"/>
    <xf numFmtId="3" fontId="6" fillId="2" borderId="0" xfId="0" applyNumberFormat="1" applyFont="1" applyFill="1" applyBorder="1" applyAlignment="1">
      <alignment horizontal="left"/>
    </xf>
    <xf numFmtId="3" fontId="6" fillId="2" borderId="8" xfId="0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right"/>
    </xf>
    <xf numFmtId="0" fontId="9" fillId="0" borderId="1" xfId="0" applyFont="1" applyBorder="1"/>
    <xf numFmtId="0" fontId="0" fillId="0" borderId="1" xfId="0" applyBorder="1"/>
    <xf numFmtId="0" fontId="9" fillId="0" borderId="1" xfId="0" applyFont="1" applyFill="1" applyBorder="1"/>
    <xf numFmtId="9" fontId="0" fillId="0" borderId="0" xfId="0" applyNumberFormat="1"/>
    <xf numFmtId="0" fontId="0" fillId="3" borderId="0" xfId="0" applyFill="1"/>
    <xf numFmtId="9" fontId="0" fillId="0" borderId="1" xfId="2" applyFont="1" applyBorder="1"/>
    <xf numFmtId="9" fontId="0" fillId="0" borderId="1" xfId="0" applyNumberFormat="1" applyBorder="1"/>
    <xf numFmtId="0" fontId="0" fillId="0" borderId="27" xfId="0" applyFill="1" applyBorder="1"/>
    <xf numFmtId="0" fontId="0" fillId="0" borderId="0" xfId="0" applyNumberFormat="1"/>
    <xf numFmtId="0" fontId="0" fillId="0" borderId="1" xfId="0" applyFill="1" applyBorder="1"/>
    <xf numFmtId="0" fontId="0" fillId="0" borderId="28" xfId="0" applyBorder="1"/>
    <xf numFmtId="0" fontId="6" fillId="2" borderId="0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41" fontId="6" fillId="2" borderId="2" xfId="0" applyNumberFormat="1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41" fontId="6" fillId="2" borderId="0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41" fontId="6" fillId="2" borderId="11" xfId="0" applyNumberFormat="1" applyFont="1" applyFill="1" applyBorder="1" applyAlignment="1">
      <alignment vertical="center"/>
    </xf>
    <xf numFmtId="0" fontId="0" fillId="0" borderId="29" xfId="0" applyFill="1" applyBorder="1"/>
    <xf numFmtId="0" fontId="0" fillId="3" borderId="1" xfId="0" applyFill="1" applyBorder="1"/>
    <xf numFmtId="43" fontId="5" fillId="3" borderId="1" xfId="1" applyFont="1" applyFill="1" applyBorder="1" applyAlignment="1">
      <alignment horizontal="right"/>
    </xf>
    <xf numFmtId="9" fontId="5" fillId="4" borderId="1" xfId="0" applyNumberFormat="1" applyFont="1" applyFill="1" applyBorder="1" applyAlignment="1">
      <alignment horizontal="right"/>
    </xf>
    <xf numFmtId="43" fontId="5" fillId="4" borderId="1" xfId="1" applyFont="1" applyFill="1" applyBorder="1" applyAlignment="1">
      <alignment horizontal="right"/>
    </xf>
    <xf numFmtId="0" fontId="0" fillId="4" borderId="1" xfId="0" applyFill="1" applyBorder="1"/>
    <xf numFmtId="0" fontId="9" fillId="4" borderId="1" xfId="0" applyFont="1" applyFill="1" applyBorder="1"/>
    <xf numFmtId="0" fontId="0" fillId="4" borderId="1" xfId="0" applyNumberFormat="1" applyFill="1" applyBorder="1"/>
    <xf numFmtId="9" fontId="0" fillId="4" borderId="1" xfId="0" applyNumberFormat="1" applyFill="1" applyBorder="1"/>
    <xf numFmtId="9" fontId="0" fillId="4" borderId="1" xfId="2" applyFont="1" applyFill="1" applyBorder="1"/>
    <xf numFmtId="0" fontId="0" fillId="4" borderId="29" xfId="0" applyFill="1" applyBorder="1"/>
    <xf numFmtId="0" fontId="0" fillId="4" borderId="0" xfId="0" applyFill="1" applyBorder="1"/>
    <xf numFmtId="0" fontId="0" fillId="4" borderId="0" xfId="0" applyFill="1"/>
    <xf numFmtId="0" fontId="0" fillId="5" borderId="29" xfId="0" applyFill="1" applyBorder="1"/>
    <xf numFmtId="0" fontId="0" fillId="5" borderId="0" xfId="0" applyFill="1"/>
    <xf numFmtId="167" fontId="5" fillId="4" borderId="1" xfId="1" applyNumberFormat="1" applyFont="1" applyFill="1" applyBorder="1" applyAlignment="1">
      <alignment horizontal="right"/>
    </xf>
    <xf numFmtId="2" fontId="0" fillId="4" borderId="1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41</xdr:row>
      <xdr:rowOff>123825</xdr:rowOff>
    </xdr:from>
    <xdr:to>
      <xdr:col>9</xdr:col>
      <xdr:colOff>8787</xdr:colOff>
      <xdr:row>84</xdr:row>
      <xdr:rowOff>94383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5" y="6762750"/>
          <a:ext cx="5904762" cy="6933333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41</xdr:row>
      <xdr:rowOff>152400</xdr:rowOff>
    </xdr:from>
    <xdr:to>
      <xdr:col>18</xdr:col>
      <xdr:colOff>161184</xdr:colOff>
      <xdr:row>85</xdr:row>
      <xdr:rowOff>132462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10400" y="6791325"/>
          <a:ext cx="5923809" cy="7104762"/>
        </a:xfrm>
        <a:prstGeom prst="rect">
          <a:avLst/>
        </a:prstGeom>
      </xdr:spPr>
    </xdr:pic>
    <xdr:clientData/>
  </xdr:twoCellAnchor>
  <xdr:twoCellAnchor editAs="oneCell">
    <xdr:from>
      <xdr:col>18</xdr:col>
      <xdr:colOff>447675</xdr:colOff>
      <xdr:row>41</xdr:row>
      <xdr:rowOff>104775</xdr:rowOff>
    </xdr:from>
    <xdr:to>
      <xdr:col>24</xdr:col>
      <xdr:colOff>361504</xdr:colOff>
      <xdr:row>85</xdr:row>
      <xdr:rowOff>113408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20700" y="6743700"/>
          <a:ext cx="3571429" cy="7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86</xdr:row>
      <xdr:rowOff>66675</xdr:rowOff>
    </xdr:from>
    <xdr:to>
      <xdr:col>6</xdr:col>
      <xdr:colOff>447138</xdr:colOff>
      <xdr:row>117</xdr:row>
      <xdr:rowOff>85095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8675" y="13992225"/>
          <a:ext cx="4295238" cy="5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5"/>
  <sheetViews>
    <sheetView tabSelected="1" topLeftCell="C1" zoomScale="87" zoomScaleNormal="87" workbookViewId="0">
      <selection activeCell="P7" sqref="P7"/>
    </sheetView>
  </sheetViews>
  <sheetFormatPr defaultRowHeight="12.75" x14ac:dyDescent="0.2"/>
  <cols>
    <col min="2" max="2" width="12.42578125" customWidth="1"/>
    <col min="3" max="3" width="4.5703125" customWidth="1"/>
    <col min="4" max="4" width="12.42578125" bestFit="1" customWidth="1"/>
    <col min="5" max="5" width="10.85546875" customWidth="1"/>
    <col min="6" max="6" width="3.140625" customWidth="1"/>
    <col min="7" max="7" width="15.85546875" customWidth="1"/>
    <col min="8" max="8" width="11" bestFit="1" customWidth="1"/>
    <col min="9" max="9" width="10.7109375" customWidth="1"/>
    <col min="10" max="11" width="5.85546875" customWidth="1"/>
    <col min="12" max="12" width="7.85546875" customWidth="1"/>
    <col min="13" max="13" width="27.5703125" customWidth="1"/>
    <col min="14" max="14" width="12.7109375" customWidth="1"/>
    <col min="15" max="16" width="8.42578125" customWidth="1"/>
    <col min="17" max="17" width="14" customWidth="1"/>
    <col min="19" max="19" width="12.42578125" customWidth="1"/>
    <col min="21" max="21" width="18.5703125" customWidth="1"/>
    <col min="24" max="24" width="15.85546875" customWidth="1"/>
    <col min="28" max="28" width="18" customWidth="1"/>
    <col min="29" max="29" width="10.28515625" bestFit="1" customWidth="1"/>
    <col min="32" max="32" width="9.5703125" bestFit="1" customWidth="1"/>
  </cols>
  <sheetData>
    <row r="1" spans="2:23" ht="18.75" x14ac:dyDescent="0.3">
      <c r="B1" s="1" t="s">
        <v>0</v>
      </c>
      <c r="D1" s="2"/>
      <c r="E1" s="2"/>
      <c r="F1" s="2"/>
      <c r="G1" s="2"/>
      <c r="H1" s="2"/>
      <c r="I1" s="2"/>
      <c r="L1" s="3">
        <v>1</v>
      </c>
      <c r="M1" s="4" t="s">
        <v>65</v>
      </c>
      <c r="N1" s="103" t="s">
        <v>68</v>
      </c>
      <c r="O1" s="2"/>
      <c r="P1" s="2"/>
      <c r="W1" s="2"/>
    </row>
    <row r="2" spans="2:23" ht="19.5" thickBot="1" x14ac:dyDescent="0.35">
      <c r="C2" s="6"/>
      <c r="D2" s="6"/>
      <c r="E2" s="6"/>
      <c r="F2" s="6"/>
      <c r="G2" s="6"/>
      <c r="H2" s="6"/>
      <c r="I2" s="6"/>
      <c r="J2" s="7"/>
      <c r="K2" s="7"/>
      <c r="L2" s="3">
        <v>2</v>
      </c>
      <c r="M2" s="8" t="s">
        <v>2</v>
      </c>
      <c r="N2" s="75">
        <v>6250</v>
      </c>
      <c r="O2" s="2"/>
      <c r="P2" s="2"/>
      <c r="W2" s="2"/>
    </row>
    <row r="3" spans="2:23" ht="19.5" thickBot="1" x14ac:dyDescent="0.35">
      <c r="B3" s="2"/>
      <c r="C3" s="6"/>
      <c r="D3" s="11" t="s">
        <v>3</v>
      </c>
      <c r="E3" s="11"/>
      <c r="F3" s="11"/>
      <c r="G3" s="11"/>
      <c r="H3" s="11"/>
      <c r="I3" s="11"/>
      <c r="J3" s="12"/>
      <c r="K3" s="11"/>
      <c r="L3" s="3">
        <v>3</v>
      </c>
      <c r="M3" s="13" t="s">
        <v>4</v>
      </c>
      <c r="N3" s="100">
        <f>HLOOKUP(N$1,INPUTS,3)</f>
        <v>0.48</v>
      </c>
      <c r="O3" s="14"/>
      <c r="P3" s="14">
        <v>1</v>
      </c>
      <c r="Q3" s="102" t="s">
        <v>64</v>
      </c>
      <c r="R3" s="103" t="s">
        <v>66</v>
      </c>
      <c r="S3" s="103" t="s">
        <v>67</v>
      </c>
      <c r="T3" s="103" t="s">
        <v>68</v>
      </c>
    </row>
    <row r="4" spans="2:23" ht="18.75" customHeight="1" x14ac:dyDescent="0.3">
      <c r="B4" s="2"/>
      <c r="C4" s="6"/>
      <c r="D4" s="88" t="s">
        <v>8</v>
      </c>
      <c r="E4" s="90" t="s">
        <v>5</v>
      </c>
      <c r="F4" s="15"/>
      <c r="G4" s="92" t="s">
        <v>9</v>
      </c>
      <c r="H4" s="92"/>
      <c r="I4" s="92"/>
      <c r="J4" s="12"/>
      <c r="K4" s="11"/>
      <c r="L4" s="3">
        <v>4</v>
      </c>
      <c r="M4" s="13" t="s">
        <v>10</v>
      </c>
      <c r="N4" s="101">
        <f>HLOOKUP(N$1,INPUTS,4)</f>
        <v>1</v>
      </c>
      <c r="O4" s="14"/>
      <c r="P4" s="14">
        <v>2</v>
      </c>
      <c r="Q4" s="102" t="s">
        <v>69</v>
      </c>
      <c r="R4" s="102">
        <v>40</v>
      </c>
      <c r="S4" s="102">
        <v>55</v>
      </c>
      <c r="T4" s="104">
        <v>45</v>
      </c>
    </row>
    <row r="5" spans="2:23" ht="19.5" thickBot="1" x14ac:dyDescent="0.35">
      <c r="B5" s="2"/>
      <c r="C5" s="6"/>
      <c r="D5" s="89"/>
      <c r="E5" s="91"/>
      <c r="F5" s="16"/>
      <c r="G5" s="93" t="s">
        <v>11</v>
      </c>
      <c r="H5" s="93"/>
      <c r="I5" s="93"/>
      <c r="J5" s="17"/>
      <c r="K5" s="18"/>
      <c r="L5" s="3">
        <v>5</v>
      </c>
      <c r="M5" s="19" t="s">
        <v>12</v>
      </c>
      <c r="N5" s="20"/>
      <c r="O5" s="14"/>
      <c r="P5" s="14">
        <v>3</v>
      </c>
      <c r="Q5" s="102" t="s">
        <v>70</v>
      </c>
      <c r="R5" s="105">
        <v>0.6</v>
      </c>
      <c r="S5" s="105">
        <v>0.6</v>
      </c>
      <c r="T5" s="106">
        <f>((R16*R17)-(((R16*R19)*R17)+((R16*R20)*R17)+((R16-(R16*R19)-(R16*R20))*(R18*R17)*2)))/(R16*R17)</f>
        <v>0.48</v>
      </c>
    </row>
    <row r="6" spans="2:23" ht="18.75" x14ac:dyDescent="0.3">
      <c r="B6" s="2"/>
      <c r="C6" s="6"/>
      <c r="D6" s="21"/>
      <c r="E6" s="22"/>
      <c r="F6" s="15"/>
      <c r="G6" s="15"/>
      <c r="H6" s="15"/>
      <c r="I6" s="15"/>
      <c r="J6" s="23"/>
      <c r="K6" s="18"/>
      <c r="L6" s="3">
        <v>6</v>
      </c>
      <c r="M6" s="24" t="s">
        <v>13</v>
      </c>
      <c r="N6" s="112">
        <f>HLOOKUP(N$1,INPUTS,6)</f>
        <v>2</v>
      </c>
      <c r="O6" s="14"/>
      <c r="P6" s="14">
        <v>4</v>
      </c>
      <c r="Q6" s="102" t="s">
        <v>71</v>
      </c>
      <c r="R6" s="102">
        <v>1.4</v>
      </c>
      <c r="S6" s="102">
        <v>2.5</v>
      </c>
      <c r="T6" s="102">
        <v>1</v>
      </c>
    </row>
    <row r="7" spans="2:23" ht="18.75" x14ac:dyDescent="0.3">
      <c r="B7" s="2"/>
      <c r="C7" s="6"/>
      <c r="D7" s="25"/>
      <c r="E7" s="87" t="s">
        <v>5</v>
      </c>
      <c r="F7" s="11"/>
      <c r="G7" s="26">
        <f>+N2</f>
        <v>6250</v>
      </c>
      <c r="H7" s="26" t="s">
        <v>14</v>
      </c>
      <c r="I7" s="27">
        <f>N3</f>
        <v>0.48</v>
      </c>
      <c r="J7" s="28"/>
      <c r="K7" s="11"/>
      <c r="L7" s="3">
        <v>7</v>
      </c>
      <c r="M7" s="24" t="s">
        <v>15</v>
      </c>
      <c r="N7" s="9">
        <v>1</v>
      </c>
      <c r="O7" s="14"/>
      <c r="P7" s="14">
        <v>5</v>
      </c>
      <c r="Q7" s="107" t="s">
        <v>72</v>
      </c>
      <c r="R7" s="108">
        <v>40</v>
      </c>
      <c r="S7" s="108">
        <v>55</v>
      </c>
      <c r="T7" s="109">
        <v>45</v>
      </c>
    </row>
    <row r="8" spans="2:23" ht="18.75" x14ac:dyDescent="0.3">
      <c r="B8" s="2"/>
      <c r="C8" s="6"/>
      <c r="D8" s="25"/>
      <c r="E8" s="87"/>
      <c r="F8" s="11"/>
      <c r="G8" s="29">
        <f>1/N6</f>
        <v>0.5</v>
      </c>
      <c r="H8" s="18" t="s">
        <v>7</v>
      </c>
      <c r="I8" s="29">
        <f>+(1/(1000/N9))*(N10/N11)</f>
        <v>7.4999999999999997E-2</v>
      </c>
      <c r="J8" s="30"/>
      <c r="K8" s="31"/>
      <c r="L8" s="3">
        <v>8</v>
      </c>
      <c r="M8" s="32" t="s">
        <v>16</v>
      </c>
      <c r="N8" s="20"/>
      <c r="O8" s="14"/>
      <c r="P8" s="14">
        <v>6</v>
      </c>
      <c r="Q8" s="110" t="s">
        <v>73</v>
      </c>
      <c r="R8" s="111">
        <v>2</v>
      </c>
      <c r="S8" s="111">
        <v>2</v>
      </c>
      <c r="T8" s="111">
        <v>2</v>
      </c>
      <c r="W8" s="2"/>
    </row>
    <row r="9" spans="2:23" ht="18.75" x14ac:dyDescent="0.3">
      <c r="B9" s="2"/>
      <c r="C9" s="6"/>
      <c r="D9" s="25"/>
      <c r="E9" s="18"/>
      <c r="F9" s="11"/>
      <c r="G9" s="11"/>
      <c r="H9" s="11"/>
      <c r="I9" s="11"/>
      <c r="J9" s="33"/>
      <c r="K9" s="18"/>
      <c r="L9" s="3">
        <v>9</v>
      </c>
      <c r="M9" s="32" t="s">
        <v>17</v>
      </c>
      <c r="N9" s="99">
        <f>HLOOKUP(N$1,INPUTS,7)</f>
        <v>0.25</v>
      </c>
      <c r="O9" s="14"/>
      <c r="P9" s="14">
        <v>7</v>
      </c>
      <c r="Q9" s="102" t="s">
        <v>63</v>
      </c>
      <c r="R9" s="113">
        <v>3</v>
      </c>
      <c r="S9" s="113">
        <v>4</v>
      </c>
      <c r="T9" s="113">
        <v>0.25</v>
      </c>
      <c r="W9" s="2"/>
    </row>
    <row r="10" spans="2:23" ht="18.75" x14ac:dyDescent="0.3">
      <c r="B10" s="2"/>
      <c r="C10" s="6"/>
      <c r="D10" s="25"/>
      <c r="E10" s="87" t="s">
        <v>5</v>
      </c>
      <c r="F10" s="11"/>
      <c r="G10" s="94">
        <f>+G7*I7</f>
        <v>3000</v>
      </c>
      <c r="H10" s="94"/>
      <c r="I10" s="11"/>
      <c r="J10" s="28"/>
      <c r="K10" s="11"/>
      <c r="L10" s="3">
        <v>10</v>
      </c>
      <c r="M10" s="32" t="s">
        <v>18</v>
      </c>
      <c r="N10" s="9">
        <v>300</v>
      </c>
      <c r="O10" s="14"/>
      <c r="P10" s="14">
        <v>8</v>
      </c>
      <c r="W10" s="2"/>
    </row>
    <row r="11" spans="2:23" ht="19.5" thickBot="1" x14ac:dyDescent="0.35">
      <c r="B11" s="2"/>
      <c r="C11" s="6"/>
      <c r="D11" s="25"/>
      <c r="E11" s="87"/>
      <c r="F11" s="11"/>
      <c r="G11" s="95">
        <f>+G8+I8</f>
        <v>0.57499999999999996</v>
      </c>
      <c r="H11" s="95"/>
      <c r="I11" s="95"/>
      <c r="J11" s="28"/>
      <c r="K11" s="11"/>
      <c r="L11" s="3">
        <v>11</v>
      </c>
      <c r="M11" s="34" t="s">
        <v>19</v>
      </c>
      <c r="N11" s="35">
        <v>1</v>
      </c>
      <c r="O11" s="14"/>
      <c r="P11" s="14">
        <v>9</v>
      </c>
      <c r="Q11" s="97" t="s">
        <v>63</v>
      </c>
      <c r="W11" s="2"/>
    </row>
    <row r="12" spans="2:23" ht="19.5" thickBot="1" x14ac:dyDescent="0.35">
      <c r="B12" s="2"/>
      <c r="C12" s="6"/>
      <c r="D12" s="25"/>
      <c r="E12" s="18"/>
      <c r="F12" s="11"/>
      <c r="G12" s="11"/>
      <c r="H12" s="11"/>
      <c r="I12" s="11"/>
      <c r="J12" s="28"/>
      <c r="K12" s="11"/>
      <c r="L12" s="3">
        <v>12</v>
      </c>
      <c r="M12" s="36" t="s">
        <v>20</v>
      </c>
      <c r="N12" s="20"/>
      <c r="O12" s="14"/>
      <c r="P12" s="14">
        <v>10</v>
      </c>
      <c r="W12" s="2"/>
    </row>
    <row r="13" spans="2:23" ht="19.5" customHeight="1" thickBot="1" x14ac:dyDescent="0.35">
      <c r="B13" s="2"/>
      <c r="C13" s="6"/>
      <c r="D13" s="37"/>
      <c r="E13" s="38" t="s">
        <v>5</v>
      </c>
      <c r="F13" s="16"/>
      <c r="G13" s="9">
        <f>IF((N2*N3)/((1/N6)+(1/(1000/N9))*(N10/N11))&gt;(N2*N4),N2*N4,(N2*N3)/((1/N6)+(1/(1000/N9))*(N10/N11)))</f>
        <v>5217.3913043478269</v>
      </c>
      <c r="H13" s="96"/>
      <c r="I13" s="39" t="s">
        <v>8</v>
      </c>
      <c r="J13" s="40"/>
      <c r="K13" s="11"/>
      <c r="L13" s="3">
        <v>13</v>
      </c>
      <c r="M13" s="41" t="s">
        <v>21</v>
      </c>
      <c r="N13" s="5" t="s">
        <v>1</v>
      </c>
      <c r="O13" s="14"/>
      <c r="P13" s="14"/>
      <c r="W13" s="2"/>
    </row>
    <row r="14" spans="2:23" ht="18.75" x14ac:dyDescent="0.3">
      <c r="B14" s="2"/>
      <c r="C14" s="6"/>
      <c r="D14" s="6"/>
      <c r="E14" s="6"/>
      <c r="F14" s="6"/>
      <c r="G14" s="6"/>
      <c r="H14" s="72"/>
      <c r="I14" s="42"/>
      <c r="J14" s="10"/>
      <c r="K14" s="10"/>
      <c r="L14" s="3">
        <v>14</v>
      </c>
      <c r="M14" s="32" t="s">
        <v>22</v>
      </c>
      <c r="N14" s="9">
        <f>IF(+(N2*N3)/((1/N6)+(1/(1000/N9))*(N10/N11))&gt;(N2*N4),N2*N4,(N2*N3)/((1/N6)+(1/(1000/N9))*(N10/N11)))</f>
        <v>5217.3913043478269</v>
      </c>
      <c r="O14" s="14"/>
      <c r="P14" s="14"/>
      <c r="W14" s="2"/>
    </row>
    <row r="15" spans="2:23" ht="18.75" x14ac:dyDescent="0.3">
      <c r="B15" s="1" t="s">
        <v>23</v>
      </c>
      <c r="C15" s="6"/>
      <c r="D15" s="6"/>
      <c r="E15" s="6"/>
      <c r="F15" s="6"/>
      <c r="G15" s="6"/>
      <c r="H15" s="7"/>
      <c r="I15" s="7"/>
      <c r="J15" s="7"/>
      <c r="K15" s="7"/>
      <c r="L15" s="3">
        <v>15</v>
      </c>
      <c r="M15" s="32" t="s">
        <v>16</v>
      </c>
      <c r="N15" s="9">
        <f>+(N14/(1000/N9))*N10</f>
        <v>391.30434782608705</v>
      </c>
      <c r="O15" s="14"/>
      <c r="P15" s="14"/>
      <c r="W15" s="2"/>
    </row>
    <row r="16" spans="2:23" ht="19.5" thickBot="1" x14ac:dyDescent="0.35">
      <c r="B16" s="6"/>
      <c r="D16" s="43"/>
      <c r="E16" s="43"/>
      <c r="F16" s="43"/>
      <c r="G16" s="43"/>
      <c r="H16" s="43"/>
      <c r="I16" s="43"/>
      <c r="J16" s="43"/>
      <c r="K16" s="43"/>
      <c r="L16" s="44">
        <v>16</v>
      </c>
      <c r="M16" s="34" t="s">
        <v>24</v>
      </c>
      <c r="N16" s="35">
        <f>+N15/N10</f>
        <v>1.3043478260869568</v>
      </c>
      <c r="O16" s="14"/>
      <c r="P16" s="14"/>
      <c r="Q16" s="77" t="s">
        <v>52</v>
      </c>
      <c r="R16" s="98">
        <v>125</v>
      </c>
      <c r="S16" s="77">
        <v>125</v>
      </c>
      <c r="T16" s="77">
        <v>125</v>
      </c>
      <c r="W16" s="2"/>
    </row>
    <row r="17" spans="2:28" ht="18.75" x14ac:dyDescent="0.3">
      <c r="B17" s="6"/>
      <c r="C17" s="45" t="s">
        <v>25</v>
      </c>
      <c r="D17" s="15"/>
      <c r="E17" s="15"/>
      <c r="F17" s="15"/>
      <c r="G17" s="15"/>
      <c r="H17" s="46"/>
      <c r="I17" s="15"/>
      <c r="J17" s="12"/>
      <c r="K17" s="11"/>
      <c r="L17" s="44">
        <v>17</v>
      </c>
      <c r="M17" s="47" t="s">
        <v>26</v>
      </c>
      <c r="N17" s="20"/>
      <c r="O17" s="14"/>
      <c r="P17" s="14"/>
      <c r="Q17" s="77" t="s">
        <v>53</v>
      </c>
      <c r="R17" s="98">
        <v>25</v>
      </c>
      <c r="S17" s="77">
        <v>25</v>
      </c>
      <c r="T17" s="77">
        <v>25</v>
      </c>
      <c r="W17" s="2"/>
    </row>
    <row r="18" spans="2:28" ht="20.25" x14ac:dyDescent="0.35">
      <c r="B18" s="6"/>
      <c r="C18" s="25"/>
      <c r="D18" s="11" t="s">
        <v>5</v>
      </c>
      <c r="E18" s="48" t="s">
        <v>8</v>
      </c>
      <c r="F18" s="49" t="s">
        <v>27</v>
      </c>
      <c r="G18" s="49" t="s">
        <v>28</v>
      </c>
      <c r="H18" s="50"/>
      <c r="I18" s="11"/>
      <c r="J18" s="28"/>
      <c r="K18" s="11"/>
      <c r="L18" s="44">
        <v>18</v>
      </c>
      <c r="M18" s="32" t="s">
        <v>22</v>
      </c>
      <c r="N18" s="20"/>
      <c r="O18" s="14"/>
      <c r="P18" s="14"/>
      <c r="Q18" s="77" t="s">
        <v>54</v>
      </c>
      <c r="R18" s="82">
        <v>0.1</v>
      </c>
      <c r="S18" s="82">
        <v>0.1</v>
      </c>
      <c r="T18" s="82">
        <v>0.1</v>
      </c>
      <c r="W18" s="2"/>
    </row>
    <row r="19" spans="2:28" ht="19.5" thickBot="1" x14ac:dyDescent="0.35">
      <c r="B19" s="1"/>
      <c r="C19" s="25"/>
      <c r="D19" s="11" t="s">
        <v>5</v>
      </c>
      <c r="E19" s="49">
        <f>+G13</f>
        <v>5217.3913043478269</v>
      </c>
      <c r="F19" s="49" t="s">
        <v>27</v>
      </c>
      <c r="G19" s="73">
        <f>N6</f>
        <v>2</v>
      </c>
      <c r="H19" s="50"/>
      <c r="I19" s="11"/>
      <c r="J19" s="28"/>
      <c r="K19" s="11"/>
      <c r="L19" s="44">
        <v>19</v>
      </c>
      <c r="M19" s="34" t="s">
        <v>24</v>
      </c>
      <c r="N19" s="51"/>
      <c r="O19" s="14"/>
      <c r="P19" s="14"/>
      <c r="Q19" s="77" t="s">
        <v>55</v>
      </c>
      <c r="R19" s="82">
        <v>0.15</v>
      </c>
      <c r="S19" s="77" t="s">
        <v>58</v>
      </c>
      <c r="T19" s="85" t="s">
        <v>59</v>
      </c>
      <c r="W19" s="2"/>
    </row>
    <row r="20" spans="2:28" ht="18.75" x14ac:dyDescent="0.3">
      <c r="B20" s="1"/>
      <c r="C20" s="52"/>
      <c r="D20" s="53" t="s">
        <v>5</v>
      </c>
      <c r="E20" s="53"/>
      <c r="F20" s="53"/>
      <c r="G20" s="53"/>
      <c r="H20" s="54"/>
      <c r="I20" s="55">
        <f>+E19/G19</f>
        <v>2608.6956521739135</v>
      </c>
      <c r="J20" s="56" t="s">
        <v>29</v>
      </c>
      <c r="K20" s="11"/>
      <c r="L20" s="44">
        <v>20</v>
      </c>
      <c r="M20" s="36" t="s">
        <v>30</v>
      </c>
      <c r="N20" s="20"/>
      <c r="O20" s="14"/>
      <c r="P20" s="14"/>
      <c r="Q20" s="77" t="s">
        <v>56</v>
      </c>
      <c r="R20" s="82">
        <v>0.25</v>
      </c>
      <c r="S20" s="82">
        <v>0.25</v>
      </c>
      <c r="T20" s="82">
        <v>0.25</v>
      </c>
      <c r="W20" s="2"/>
    </row>
    <row r="21" spans="2:28" ht="18.75" x14ac:dyDescent="0.3">
      <c r="B21" s="6"/>
      <c r="C21" s="57" t="s">
        <v>31</v>
      </c>
      <c r="D21" s="11"/>
      <c r="E21" s="11"/>
      <c r="F21" s="11"/>
      <c r="G21" s="11"/>
      <c r="H21" s="50"/>
      <c r="I21" s="11"/>
      <c r="J21" s="28"/>
      <c r="K21" s="11"/>
      <c r="L21" s="44">
        <v>21</v>
      </c>
      <c r="M21" s="58" t="s">
        <v>32</v>
      </c>
      <c r="N21" s="59"/>
      <c r="O21" s="14"/>
      <c r="P21" s="14"/>
      <c r="W21" s="2"/>
    </row>
    <row r="22" spans="2:28" ht="20.25" x14ac:dyDescent="0.35">
      <c r="B22" s="6"/>
      <c r="C22" s="25"/>
      <c r="D22" s="11" t="s">
        <v>5</v>
      </c>
      <c r="E22" s="60" t="s">
        <v>8</v>
      </c>
      <c r="F22" s="60" t="s">
        <v>14</v>
      </c>
      <c r="G22" s="26" t="s">
        <v>33</v>
      </c>
      <c r="H22" s="50"/>
      <c r="I22" s="11"/>
      <c r="J22" s="28"/>
      <c r="K22" s="11"/>
      <c r="L22" s="44">
        <v>22</v>
      </c>
      <c r="M22" s="19" t="s">
        <v>34</v>
      </c>
      <c r="N22" s="61">
        <f>N14/N6</f>
        <v>2608.6956521739135</v>
      </c>
      <c r="O22" s="14"/>
      <c r="P22" s="14"/>
      <c r="W22" s="2"/>
    </row>
    <row r="23" spans="2:28" ht="18.75" x14ac:dyDescent="0.3">
      <c r="B23" s="1"/>
      <c r="C23" s="25"/>
      <c r="D23" s="11"/>
      <c r="E23" s="48" t="s">
        <v>6</v>
      </c>
      <c r="F23" s="18"/>
      <c r="G23" s="18"/>
      <c r="H23" s="50"/>
      <c r="I23" s="11"/>
      <c r="J23" s="28"/>
      <c r="K23" s="11"/>
      <c r="L23" s="44">
        <v>23</v>
      </c>
      <c r="M23" s="19" t="s">
        <v>31</v>
      </c>
      <c r="N23" s="9">
        <f t="shared" ref="N23" si="0">N15/N11</f>
        <v>391.30434782608705</v>
      </c>
      <c r="W23" s="2"/>
      <c r="X23" s="62"/>
    </row>
    <row r="24" spans="2:28" ht="18.75" x14ac:dyDescent="0.3">
      <c r="B24" s="1"/>
      <c r="C24" s="25"/>
      <c r="D24" s="11"/>
      <c r="E24" s="48"/>
      <c r="F24" s="18"/>
      <c r="G24" s="18"/>
      <c r="H24" s="50"/>
      <c r="I24" s="11"/>
      <c r="J24" s="28"/>
      <c r="K24" s="11"/>
      <c r="L24" s="44">
        <v>24</v>
      </c>
      <c r="M24" s="19" t="s">
        <v>35</v>
      </c>
      <c r="N24" s="9">
        <f t="shared" ref="N24" si="1">+N2*(1-N3)</f>
        <v>3250</v>
      </c>
      <c r="W24" s="63"/>
      <c r="X24" s="62"/>
    </row>
    <row r="25" spans="2:28" ht="19.5" thickBot="1" x14ac:dyDescent="0.35">
      <c r="B25" s="1"/>
      <c r="C25" s="25"/>
      <c r="D25" s="42" t="s">
        <v>5</v>
      </c>
      <c r="E25" s="64">
        <f>+G13</f>
        <v>5217.3913043478269</v>
      </c>
      <c r="F25" s="53" t="s">
        <v>14</v>
      </c>
      <c r="G25" s="74">
        <f>N10/N11</f>
        <v>300</v>
      </c>
      <c r="H25" s="50"/>
      <c r="I25" s="11"/>
      <c r="J25" s="28"/>
      <c r="K25" s="11"/>
      <c r="L25" s="44">
        <v>25</v>
      </c>
      <c r="M25" s="65" t="s">
        <v>36</v>
      </c>
      <c r="N25" s="35">
        <f>SUM(N22:N24)</f>
        <v>6250</v>
      </c>
      <c r="W25" s="2"/>
    </row>
    <row r="26" spans="2:28" ht="18.75" x14ac:dyDescent="0.3">
      <c r="B26" s="1"/>
      <c r="C26" s="25"/>
      <c r="D26" s="42"/>
      <c r="E26" s="66">
        <f>1000/N9</f>
        <v>4000</v>
      </c>
      <c r="F26" s="11"/>
      <c r="G26" s="11"/>
      <c r="H26" s="50"/>
      <c r="I26" s="11"/>
      <c r="J26" s="28"/>
      <c r="K26" s="11"/>
      <c r="L26" s="43"/>
      <c r="Q26" s="14"/>
      <c r="R26" s="14"/>
      <c r="S26" s="14"/>
      <c r="AB26" s="2"/>
    </row>
    <row r="27" spans="2:28" ht="18.75" x14ac:dyDescent="0.3">
      <c r="B27" s="1"/>
      <c r="C27" s="52"/>
      <c r="D27" s="53" t="s">
        <v>5</v>
      </c>
      <c r="E27" s="53"/>
      <c r="F27" s="53"/>
      <c r="G27" s="53"/>
      <c r="H27" s="54"/>
      <c r="I27" s="55">
        <f>+(E25/E26)*G25</f>
        <v>391.30434782608705</v>
      </c>
      <c r="J27" s="56" t="s">
        <v>29</v>
      </c>
      <c r="K27" s="11"/>
      <c r="L27" s="67"/>
      <c r="Q27" s="14"/>
      <c r="R27" s="14"/>
      <c r="S27" s="14"/>
      <c r="AB27" s="2"/>
    </row>
    <row r="28" spans="2:28" ht="18.75" x14ac:dyDescent="0.3">
      <c r="B28" s="1"/>
      <c r="C28" s="57" t="s">
        <v>35</v>
      </c>
      <c r="D28" s="11"/>
      <c r="E28" s="11"/>
      <c r="F28" s="11"/>
      <c r="G28" s="11"/>
      <c r="H28" s="50"/>
      <c r="I28" s="11"/>
      <c r="J28" s="28"/>
      <c r="K28" s="11"/>
      <c r="L28" s="43"/>
      <c r="Q28" s="14"/>
      <c r="R28" s="14"/>
      <c r="S28" s="14"/>
      <c r="AB28" s="2"/>
    </row>
    <row r="29" spans="2:28" ht="18.75" x14ac:dyDescent="0.3">
      <c r="B29" s="6"/>
      <c r="C29" s="25"/>
      <c r="D29" s="11" t="s">
        <v>5</v>
      </c>
      <c r="E29" s="48" t="s">
        <v>37</v>
      </c>
      <c r="F29" s="11" t="s">
        <v>38</v>
      </c>
      <c r="G29" s="11" t="s">
        <v>39</v>
      </c>
      <c r="H29" s="50"/>
      <c r="I29" s="11"/>
      <c r="J29" s="28"/>
      <c r="K29" s="11"/>
      <c r="Q29" s="14"/>
      <c r="R29" s="14"/>
      <c r="S29" s="14"/>
      <c r="AB29" s="2"/>
    </row>
    <row r="30" spans="2:28" ht="18.75" x14ac:dyDescent="0.3">
      <c r="B30" s="6"/>
      <c r="C30" s="25"/>
      <c r="D30" s="11" t="s">
        <v>5</v>
      </c>
      <c r="E30" s="49">
        <f>N25</f>
        <v>6250</v>
      </c>
      <c r="F30" s="49"/>
      <c r="G30" s="68">
        <f>1-N3</f>
        <v>0.52</v>
      </c>
      <c r="H30" s="50"/>
      <c r="I30" s="11"/>
      <c r="J30" s="28"/>
      <c r="K30" s="11"/>
      <c r="Q30" s="14"/>
      <c r="R30" s="14"/>
      <c r="S30" s="14"/>
      <c r="AB30" s="2"/>
    </row>
    <row r="31" spans="2:28" ht="18.75" x14ac:dyDescent="0.3">
      <c r="B31" s="6"/>
      <c r="C31" s="52"/>
      <c r="D31" s="53" t="s">
        <v>5</v>
      </c>
      <c r="E31" s="53"/>
      <c r="F31" s="53"/>
      <c r="G31" s="53"/>
      <c r="H31" s="54"/>
      <c r="I31" s="55">
        <f>+E30*G30</f>
        <v>3250</v>
      </c>
      <c r="J31" s="56" t="s">
        <v>29</v>
      </c>
      <c r="K31" s="11"/>
      <c r="Q31" s="14"/>
      <c r="R31" s="14"/>
      <c r="S31" s="14"/>
      <c r="AB31" s="2"/>
    </row>
    <row r="32" spans="2:28" ht="19.5" thickBot="1" x14ac:dyDescent="0.35">
      <c r="B32" s="6"/>
      <c r="C32" s="69" t="s">
        <v>36</v>
      </c>
      <c r="D32" s="16"/>
      <c r="E32" s="16"/>
      <c r="F32" s="16"/>
      <c r="G32" s="16"/>
      <c r="H32" s="70"/>
      <c r="I32" s="71">
        <f>+I20+I27+I31</f>
        <v>6250</v>
      </c>
      <c r="J32" s="40" t="s">
        <v>29</v>
      </c>
      <c r="K32" s="11"/>
      <c r="Q32" s="14"/>
      <c r="R32" s="14"/>
      <c r="S32" s="14"/>
      <c r="AB32" s="2"/>
    </row>
    <row r="33" spans="2:28" ht="15" x14ac:dyDescent="0.25">
      <c r="Q33" s="14"/>
      <c r="R33" s="14"/>
      <c r="S33" s="14"/>
      <c r="AB33" s="2"/>
    </row>
    <row r="34" spans="2:28" ht="18.75" x14ac:dyDescent="0.3">
      <c r="B34" s="6"/>
      <c r="Q34" s="14"/>
      <c r="R34" s="14"/>
      <c r="S34" s="14"/>
      <c r="AB34" s="2"/>
    </row>
    <row r="35" spans="2:28" ht="18.75" x14ac:dyDescent="0.3">
      <c r="B35" s="6"/>
      <c r="L35" s="43"/>
      <c r="M35" s="14"/>
      <c r="N35" s="14"/>
      <c r="O35" s="14"/>
      <c r="P35" s="14"/>
      <c r="Q35" s="14"/>
      <c r="R35" s="14"/>
      <c r="S35" s="14"/>
      <c r="AB35" s="2"/>
    </row>
    <row r="36" spans="2:28" ht="18.75" x14ac:dyDescent="0.3">
      <c r="B36" s="6"/>
      <c r="L36" s="43"/>
      <c r="M36" s="14"/>
      <c r="N36" s="14"/>
      <c r="O36" s="14"/>
      <c r="P36" s="14"/>
      <c r="Q36" s="14"/>
      <c r="R36" s="14"/>
      <c r="S36" s="14"/>
      <c r="AB36" s="2"/>
    </row>
    <row r="37" spans="2:28" ht="18.75" x14ac:dyDescent="0.3">
      <c r="B37" s="2"/>
      <c r="C37" s="6"/>
      <c r="D37" s="43"/>
      <c r="E37" s="43"/>
      <c r="F37" s="43"/>
      <c r="G37" s="43"/>
      <c r="H37" s="43"/>
      <c r="I37" s="43"/>
      <c r="J37" s="43"/>
      <c r="K37" s="43"/>
      <c r="L37" s="43"/>
      <c r="M37" s="14"/>
      <c r="N37" s="14"/>
      <c r="O37" s="14"/>
      <c r="P37" s="14"/>
      <c r="Q37" s="14"/>
      <c r="R37" s="14"/>
      <c r="S37" s="14"/>
      <c r="AB37" s="2"/>
    </row>
    <row r="38" spans="2:28" ht="18.75" x14ac:dyDescent="0.3">
      <c r="B38" s="2"/>
      <c r="C38" s="6"/>
      <c r="D38" s="6"/>
      <c r="E38" s="6"/>
      <c r="F38" s="6"/>
      <c r="G38" s="6"/>
      <c r="H38" s="6"/>
      <c r="I38" s="6"/>
      <c r="J38" s="6"/>
      <c r="K38" s="6"/>
      <c r="L38" s="6"/>
      <c r="M38" s="14"/>
      <c r="N38" s="14"/>
      <c r="O38" s="14"/>
      <c r="P38" s="14"/>
      <c r="Q38" s="14"/>
      <c r="R38" s="14"/>
      <c r="S38" s="14"/>
      <c r="AB38" s="2"/>
    </row>
    <row r="39" spans="2:28" ht="15" x14ac:dyDescent="0.25">
      <c r="B39" s="2"/>
      <c r="D39" s="43"/>
      <c r="E39" s="43"/>
      <c r="F39" s="43"/>
      <c r="G39" s="43"/>
      <c r="H39" s="43"/>
      <c r="I39" s="43"/>
      <c r="J39" s="43"/>
      <c r="K39" s="43"/>
      <c r="L39" s="43"/>
      <c r="M39" s="14"/>
      <c r="N39" s="14"/>
      <c r="O39" s="14"/>
      <c r="P39" s="14"/>
      <c r="Q39" s="14"/>
      <c r="R39" s="14"/>
      <c r="S39" s="14"/>
      <c r="AB39" s="2"/>
    </row>
    <row r="40" spans="2:28" ht="15" x14ac:dyDescent="0.25">
      <c r="D40" s="43"/>
      <c r="E40" s="43"/>
      <c r="F40" s="43"/>
      <c r="G40" s="43"/>
      <c r="H40" s="43"/>
      <c r="I40" s="43"/>
      <c r="J40" s="43"/>
      <c r="K40" s="43"/>
      <c r="L40" s="43"/>
      <c r="M40" s="14"/>
      <c r="N40" s="14"/>
      <c r="O40" s="14"/>
      <c r="P40" s="14"/>
      <c r="Q40" s="14"/>
      <c r="R40" s="14"/>
      <c r="S40" s="14"/>
      <c r="AB40" s="2"/>
    </row>
    <row r="41" spans="2:28" ht="15" x14ac:dyDescent="0.25">
      <c r="D41" s="43"/>
      <c r="E41" s="43"/>
      <c r="F41" s="43"/>
      <c r="G41" s="43"/>
      <c r="H41" s="43"/>
      <c r="I41" s="43"/>
      <c r="J41" s="43"/>
      <c r="K41" s="43"/>
      <c r="L41" s="43"/>
      <c r="M41" s="14"/>
      <c r="N41" s="14"/>
      <c r="O41" s="14"/>
      <c r="P41" s="14"/>
      <c r="Q41" s="14"/>
      <c r="R41" s="14"/>
      <c r="S41" s="14"/>
      <c r="AB41" s="2"/>
    </row>
    <row r="42" spans="2:28" ht="15" x14ac:dyDescent="0.25">
      <c r="D42" s="43"/>
      <c r="E42" s="43"/>
      <c r="F42" s="43"/>
      <c r="G42" s="43"/>
      <c r="H42" s="43"/>
      <c r="I42" s="43"/>
      <c r="J42" s="43"/>
      <c r="K42" s="43"/>
      <c r="L42" s="43"/>
      <c r="M42" s="14"/>
      <c r="N42" s="14"/>
      <c r="O42" s="14"/>
      <c r="P42" s="14"/>
      <c r="Q42" s="14"/>
      <c r="R42" s="14"/>
      <c r="S42" s="14"/>
      <c r="AB42" s="2"/>
    </row>
    <row r="43" spans="2:28" ht="15" x14ac:dyDescent="0.25">
      <c r="D43" s="43"/>
      <c r="E43" s="43"/>
      <c r="F43" s="43"/>
      <c r="G43" s="43"/>
      <c r="H43" s="43"/>
      <c r="I43" s="43"/>
      <c r="J43" s="43"/>
      <c r="K43" s="43"/>
      <c r="L43" s="43"/>
      <c r="M43" s="14"/>
      <c r="N43" s="14"/>
      <c r="O43" s="14"/>
      <c r="P43" s="14"/>
      <c r="Q43" s="14"/>
      <c r="R43" s="14"/>
      <c r="S43" s="14"/>
      <c r="AB43" s="2"/>
    </row>
    <row r="44" spans="2:28" ht="15" x14ac:dyDescent="0.25">
      <c r="D44" s="43"/>
      <c r="E44" s="43"/>
      <c r="F44" s="43"/>
      <c r="G44" s="43"/>
      <c r="H44" s="43"/>
      <c r="I44" s="43"/>
      <c r="J44" s="43"/>
      <c r="K44" s="43"/>
      <c r="L44" s="43"/>
      <c r="M44" s="14"/>
      <c r="N44" s="14"/>
      <c r="O44" s="14"/>
      <c r="P44" s="14"/>
      <c r="Q44" s="14"/>
      <c r="R44" s="14"/>
      <c r="S44" s="14"/>
      <c r="AB44" s="2"/>
    </row>
    <row r="45" spans="2:28" ht="15" x14ac:dyDescent="0.25">
      <c r="D45" s="43"/>
      <c r="E45" s="43"/>
      <c r="F45" s="43"/>
      <c r="G45" s="43"/>
      <c r="H45" s="43"/>
      <c r="I45" s="43"/>
      <c r="J45" s="43"/>
      <c r="K45" s="43"/>
      <c r="L45" s="43"/>
      <c r="M45" s="14"/>
      <c r="N45" s="14"/>
      <c r="O45" s="14"/>
      <c r="P45" s="14"/>
      <c r="Q45" s="14"/>
      <c r="R45" s="14"/>
      <c r="S45" s="14"/>
      <c r="AB45" s="2"/>
    </row>
    <row r="46" spans="2:28" ht="15" x14ac:dyDescent="0.25">
      <c r="D46" s="43"/>
      <c r="E46" s="43"/>
      <c r="F46" s="43"/>
      <c r="G46" s="43"/>
      <c r="H46" s="43"/>
      <c r="I46" s="43"/>
      <c r="J46" s="43"/>
      <c r="K46" s="43"/>
      <c r="L46" s="43"/>
      <c r="M46" s="14"/>
      <c r="N46" s="14"/>
      <c r="O46" s="14"/>
      <c r="P46" s="14"/>
      <c r="Q46" s="14"/>
      <c r="R46" s="14"/>
      <c r="S46" s="14"/>
      <c r="AB46" s="2"/>
    </row>
    <row r="47" spans="2:28" ht="15" x14ac:dyDescent="0.25">
      <c r="D47" s="43"/>
      <c r="E47" s="43"/>
      <c r="F47" s="43"/>
      <c r="G47" s="43"/>
      <c r="H47" s="43"/>
      <c r="I47" s="43"/>
      <c r="J47" s="43"/>
      <c r="K47" s="43"/>
      <c r="L47" s="43"/>
      <c r="M47" s="14"/>
      <c r="N47" s="14"/>
      <c r="O47" s="14"/>
      <c r="P47" s="14"/>
      <c r="Q47" s="14"/>
      <c r="R47" s="14"/>
      <c r="S47" s="14"/>
      <c r="AB47" s="2"/>
    </row>
    <row r="48" spans="2:28" ht="15" x14ac:dyDescent="0.25">
      <c r="D48" s="43"/>
      <c r="E48" s="43"/>
      <c r="F48" s="43"/>
      <c r="G48" s="43"/>
      <c r="H48" s="43"/>
      <c r="I48" s="43"/>
      <c r="J48" s="43"/>
      <c r="K48" s="43"/>
      <c r="L48" s="43"/>
      <c r="M48" s="14"/>
      <c r="N48" s="14"/>
      <c r="O48" s="14"/>
      <c r="P48" s="14"/>
      <c r="Q48" s="14"/>
      <c r="R48" s="14"/>
      <c r="S48" s="14"/>
      <c r="AB48" s="2"/>
    </row>
    <row r="49" spans="4:28" ht="15" x14ac:dyDescent="0.25">
      <c r="D49" s="43"/>
      <c r="E49" s="43"/>
      <c r="F49" s="43"/>
      <c r="G49" s="43"/>
      <c r="H49" s="43"/>
      <c r="I49" s="43"/>
      <c r="J49" s="43"/>
      <c r="K49" s="43"/>
      <c r="L49" s="43"/>
      <c r="M49" s="14"/>
      <c r="N49" s="14"/>
      <c r="O49" s="14"/>
      <c r="P49" s="14"/>
      <c r="Q49" s="14"/>
      <c r="R49" s="14"/>
      <c r="S49" s="14"/>
      <c r="AB49" s="2"/>
    </row>
    <row r="50" spans="4:28" ht="15" x14ac:dyDescent="0.25">
      <c r="D50" s="43"/>
      <c r="E50" s="43"/>
      <c r="F50" s="43"/>
      <c r="G50" s="43"/>
      <c r="H50" s="43"/>
      <c r="I50" s="43"/>
      <c r="J50" s="43"/>
      <c r="K50" s="43"/>
      <c r="L50" s="43"/>
      <c r="M50" s="14"/>
      <c r="N50" s="14"/>
      <c r="O50" s="14"/>
      <c r="P50" s="14"/>
      <c r="Q50" s="14"/>
      <c r="R50" s="14"/>
      <c r="S50" s="14"/>
      <c r="AB50" s="2"/>
    </row>
    <row r="51" spans="4:28" x14ac:dyDescent="0.2">
      <c r="M51" s="2"/>
      <c r="N51" s="2"/>
      <c r="O51" s="2"/>
      <c r="P51" s="2"/>
      <c r="Q51" s="2"/>
      <c r="R51" s="2"/>
      <c r="S51" s="2"/>
      <c r="AB51" s="2"/>
    </row>
    <row r="52" spans="4:28" x14ac:dyDescent="0.2">
      <c r="M52" s="2"/>
      <c r="N52" s="2"/>
      <c r="O52" s="2"/>
      <c r="P52" s="2"/>
      <c r="Q52" s="2"/>
      <c r="R52" s="2"/>
      <c r="S52" s="2"/>
      <c r="AB52" s="2"/>
    </row>
    <row r="53" spans="4:28" x14ac:dyDescent="0.2">
      <c r="M53" s="2"/>
      <c r="N53" s="2"/>
      <c r="O53" s="2"/>
      <c r="P53" s="2"/>
      <c r="Q53" s="2"/>
      <c r="R53" s="2"/>
      <c r="S53" s="2"/>
      <c r="AB53" s="2"/>
    </row>
    <row r="54" spans="4:28" x14ac:dyDescent="0.2">
      <c r="M54" s="2"/>
      <c r="N54" s="2"/>
      <c r="O54" s="2"/>
      <c r="P54" s="2"/>
      <c r="Q54" s="2"/>
      <c r="R54" s="2"/>
      <c r="S54" s="2"/>
      <c r="AB54" s="2"/>
    </row>
    <row r="55" spans="4:28" x14ac:dyDescent="0.2">
      <c r="M55" s="2"/>
      <c r="N55" s="2"/>
      <c r="O55" s="2"/>
      <c r="P55" s="2"/>
      <c r="Q55" s="2"/>
      <c r="R55" s="2"/>
      <c r="S55" s="2"/>
    </row>
  </sheetData>
  <mergeCells count="8">
    <mergeCell ref="E7:E8"/>
    <mergeCell ref="D4:D5"/>
    <mergeCell ref="E4:E5"/>
    <mergeCell ref="G4:I4"/>
    <mergeCell ref="G5:I5"/>
    <mergeCell ref="E10:E11"/>
    <mergeCell ref="G10:H10"/>
    <mergeCell ref="G11:I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1"/>
  <sheetViews>
    <sheetView workbookViewId="0">
      <selection activeCell="G17" sqref="G17"/>
    </sheetView>
  </sheetViews>
  <sheetFormatPr defaultRowHeight="12.75" x14ac:dyDescent="0.2"/>
  <cols>
    <col min="2" max="2" width="10.28515625" customWidth="1"/>
    <col min="3" max="3" width="14.42578125" customWidth="1"/>
    <col min="4" max="4" width="11.5703125" customWidth="1"/>
    <col min="5" max="5" width="15.5703125" customWidth="1"/>
    <col min="7" max="7" width="11.140625" customWidth="1"/>
    <col min="9" max="9" width="11" customWidth="1"/>
    <col min="10" max="10" width="11.5703125" customWidth="1"/>
    <col min="11" max="11" width="11.7109375" customWidth="1"/>
    <col min="12" max="12" width="12" customWidth="1"/>
  </cols>
  <sheetData>
    <row r="3" spans="2:12" x14ac:dyDescent="0.2">
      <c r="B3" s="76" t="s">
        <v>51</v>
      </c>
      <c r="C3" s="76" t="s">
        <v>48</v>
      </c>
      <c r="D3" s="76" t="s">
        <v>49</v>
      </c>
      <c r="E3" s="76" t="s">
        <v>50</v>
      </c>
      <c r="G3" s="78" t="s">
        <v>42</v>
      </c>
      <c r="I3" s="78" t="s">
        <v>44</v>
      </c>
      <c r="K3" s="78" t="s">
        <v>60</v>
      </c>
    </row>
    <row r="4" spans="2:12" x14ac:dyDescent="0.2">
      <c r="B4" s="77" t="s">
        <v>40</v>
      </c>
      <c r="D4" s="77"/>
      <c r="E4" s="77"/>
      <c r="G4" s="77" t="s">
        <v>52</v>
      </c>
      <c r="H4" s="80">
        <v>125</v>
      </c>
      <c r="I4" s="77" t="s">
        <v>52</v>
      </c>
      <c r="J4">
        <v>125</v>
      </c>
      <c r="K4" s="77" t="s">
        <v>52</v>
      </c>
      <c r="L4">
        <v>125</v>
      </c>
    </row>
    <row r="5" spans="2:12" x14ac:dyDescent="0.2">
      <c r="B5" s="76" t="s">
        <v>42</v>
      </c>
      <c r="C5" s="81">
        <f>((H4*H5)-(((H4*H7)*H5)+((H4*H8)*H5)+((H4-(H4*H7)-(H4*H8))*(H6*H5)*2)))/(H4*H5)</f>
        <v>0.48</v>
      </c>
      <c r="D5" s="77" t="s">
        <v>57</v>
      </c>
      <c r="E5" s="77">
        <v>2.5</v>
      </c>
      <c r="G5" s="77" t="s">
        <v>53</v>
      </c>
      <c r="H5" s="80">
        <v>25</v>
      </c>
      <c r="I5" s="77" t="s">
        <v>53</v>
      </c>
      <c r="J5">
        <v>25</v>
      </c>
      <c r="K5" s="77" t="s">
        <v>53</v>
      </c>
      <c r="L5">
        <v>25</v>
      </c>
    </row>
    <row r="6" spans="2:12" x14ac:dyDescent="0.2">
      <c r="B6" s="77" t="s">
        <v>43</v>
      </c>
      <c r="C6" s="77" t="s">
        <v>57</v>
      </c>
      <c r="D6" s="77" t="s">
        <v>57</v>
      </c>
      <c r="E6" s="77" t="s">
        <v>57</v>
      </c>
      <c r="G6" s="77" t="s">
        <v>54</v>
      </c>
      <c r="H6" s="79">
        <v>0.1</v>
      </c>
      <c r="I6" s="77" t="s">
        <v>54</v>
      </c>
      <c r="J6" s="79">
        <v>0.1</v>
      </c>
      <c r="K6" s="77" t="s">
        <v>54</v>
      </c>
      <c r="L6" s="79">
        <v>0.1</v>
      </c>
    </row>
    <row r="7" spans="2:12" x14ac:dyDescent="0.2">
      <c r="B7" s="76" t="s">
        <v>44</v>
      </c>
      <c r="C7" s="82">
        <v>0.59</v>
      </c>
      <c r="D7" s="77">
        <v>1.4</v>
      </c>
      <c r="E7" s="77">
        <v>2.5</v>
      </c>
      <c r="G7" s="77" t="s">
        <v>55</v>
      </c>
      <c r="H7" s="79">
        <v>0.15</v>
      </c>
      <c r="I7" s="77" t="s">
        <v>55</v>
      </c>
      <c r="J7" t="s">
        <v>58</v>
      </c>
      <c r="K7" s="86" t="s">
        <v>55</v>
      </c>
      <c r="L7" s="63" t="s">
        <v>59</v>
      </c>
    </row>
    <row r="8" spans="2:12" x14ac:dyDescent="0.2">
      <c r="B8" s="76" t="s">
        <v>45</v>
      </c>
      <c r="C8" s="77"/>
      <c r="D8" s="77">
        <v>3</v>
      </c>
      <c r="E8" s="77">
        <v>3</v>
      </c>
      <c r="G8" s="77" t="s">
        <v>56</v>
      </c>
      <c r="H8" s="79">
        <v>0.25</v>
      </c>
      <c r="I8" s="77" t="s">
        <v>56</v>
      </c>
      <c r="J8" s="79">
        <v>0.25</v>
      </c>
      <c r="K8" s="77" t="s">
        <v>56</v>
      </c>
      <c r="L8" s="79">
        <v>0.25</v>
      </c>
    </row>
    <row r="9" spans="2:12" x14ac:dyDescent="0.2">
      <c r="B9" s="77" t="s">
        <v>46</v>
      </c>
      <c r="C9" s="77"/>
      <c r="D9" s="77">
        <v>4</v>
      </c>
      <c r="E9" s="77">
        <v>3</v>
      </c>
      <c r="G9" s="85" t="s">
        <v>61</v>
      </c>
      <c r="H9" s="84">
        <v>45</v>
      </c>
      <c r="I9" s="85" t="s">
        <v>61</v>
      </c>
      <c r="J9">
        <v>40</v>
      </c>
      <c r="K9" s="85" t="s">
        <v>61</v>
      </c>
      <c r="L9" s="83">
        <v>55</v>
      </c>
    </row>
    <row r="10" spans="2:12" x14ac:dyDescent="0.2">
      <c r="B10" s="77" t="s">
        <v>41</v>
      </c>
      <c r="C10" s="77"/>
      <c r="D10" s="77">
        <v>4</v>
      </c>
      <c r="E10" s="77">
        <v>3</v>
      </c>
    </row>
    <row r="11" spans="2:12" x14ac:dyDescent="0.2">
      <c r="B11" s="77" t="s">
        <v>47</v>
      </c>
      <c r="C11" s="77"/>
      <c r="D11" s="77">
        <v>1.4</v>
      </c>
      <c r="E11" s="77" t="s">
        <v>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BuildingEnvelope</vt:lpstr>
      <vt:lpstr>Sheet2</vt:lpstr>
      <vt:lpstr>Sheet3</vt:lpstr>
      <vt:lpstr>INPUTS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JRDeLisle</dc:creator>
  <cp:lastModifiedBy>JRDeLisle</cp:lastModifiedBy>
  <dcterms:created xsi:type="dcterms:W3CDTF">2015-06-06T20:02:32Z</dcterms:created>
  <dcterms:modified xsi:type="dcterms:W3CDTF">2015-06-07T17:16:08Z</dcterms:modified>
</cp:coreProperties>
</file>