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GitHub\"/>
    </mc:Choice>
  </mc:AlternateContent>
  <xr:revisionPtr revIDLastSave="0" documentId="8_{415832D1-48AF-4718-A408-8700B6216BB0}" xr6:coauthVersionLast="47" xr6:coauthVersionMax="47" xr10:uidLastSave="{00000000-0000-0000-0000-000000000000}"/>
  <bookViews>
    <workbookView xWindow="-120" yWindow="-120" windowWidth="29040" windowHeight="15720" tabRatio="772" activeTab="5" xr2:uid="{AE77EB3E-F486-4329-AE31-94A5F757C227}"/>
  </bookViews>
  <sheets>
    <sheet name="RESULTS" sheetId="1" r:id="rId1"/>
    <sheet name="IP(a)" sheetId="6" r:id="rId2"/>
    <sheet name="EA" sheetId="7" r:id="rId3"/>
    <sheet name="Molecular Properties" sheetId="20" r:id="rId4"/>
    <sheet name="lambda-max" sheetId="24" r:id="rId5"/>
    <sheet name="Fluorescence" sheetId="2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5" l="1"/>
  <c r="E10" i="25"/>
  <c r="E11" i="25"/>
  <c r="F12" i="25"/>
  <c r="E3" i="25"/>
  <c r="F3" i="25"/>
  <c r="E4" i="25"/>
  <c r="F4" i="25"/>
  <c r="E5" i="25"/>
  <c r="F5" i="25"/>
  <c r="E6" i="25"/>
  <c r="F6" i="25"/>
  <c r="E7" i="25"/>
  <c r="F7" i="25"/>
  <c r="E8" i="25"/>
  <c r="F8" i="25"/>
  <c r="E9" i="25"/>
  <c r="F9" i="25"/>
  <c r="F10" i="25"/>
  <c r="F11" i="25"/>
  <c r="E13" i="25"/>
  <c r="F13" i="25"/>
  <c r="E14" i="25"/>
  <c r="F14" i="25"/>
  <c r="E15" i="25"/>
  <c r="F15" i="25"/>
  <c r="E16" i="25"/>
  <c r="F16" i="25"/>
  <c r="E17" i="25"/>
  <c r="F17" i="25"/>
  <c r="Y18" i="1" l="1"/>
  <c r="X18" i="1" l="1"/>
  <c r="S32" i="1" l="1"/>
  <c r="W18" i="1" l="1"/>
  <c r="E33" i="7"/>
  <c r="F33" i="7" s="1"/>
  <c r="Q31" i="1" s="1"/>
  <c r="E30" i="6" l="1"/>
  <c r="F30" i="6" s="1"/>
  <c r="E31" i="6"/>
  <c r="F31" i="6" s="1"/>
  <c r="P31" i="1" s="1"/>
  <c r="R31" i="1" s="1"/>
  <c r="S31" i="1" s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8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8" i="1"/>
  <c r="AB31" i="1"/>
  <c r="AA31" i="1"/>
  <c r="Z31" i="1"/>
  <c r="Y31" i="1"/>
  <c r="X31" i="1"/>
  <c r="W31" i="1"/>
  <c r="V31" i="1"/>
  <c r="U31" i="1"/>
  <c r="T31" i="1"/>
  <c r="J31" i="1"/>
  <c r="I31" i="1"/>
  <c r="H31" i="1"/>
  <c r="E29" i="6" l="1"/>
  <c r="F29" i="6" s="1"/>
  <c r="E28" i="7"/>
  <c r="F28" i="7" s="1"/>
  <c r="E29" i="7"/>
  <c r="F29" i="7" s="1"/>
  <c r="E30" i="7"/>
  <c r="F30" i="7" s="1"/>
  <c r="E31" i="7"/>
  <c r="F31" i="7" s="1"/>
  <c r="E32" i="7"/>
  <c r="F32" i="7" s="1"/>
  <c r="E28" i="6"/>
  <c r="F28" i="6" s="1"/>
  <c r="E27" i="6"/>
  <c r="F27" i="6" s="1"/>
  <c r="Z18" i="1"/>
  <c r="AB19" i="1"/>
  <c r="AB20" i="1"/>
  <c r="AB21" i="1"/>
  <c r="AB22" i="1"/>
  <c r="AB24" i="1"/>
  <c r="AB18" i="1"/>
  <c r="AA19" i="1"/>
  <c r="AA20" i="1"/>
  <c r="AA21" i="1"/>
  <c r="AA24" i="1"/>
  <c r="AA18" i="1"/>
  <c r="Z19" i="1"/>
  <c r="Z20" i="1"/>
  <c r="Z21" i="1"/>
  <c r="Z22" i="1"/>
  <c r="Z24" i="1"/>
  <c r="Y19" i="1"/>
  <c r="Y20" i="1"/>
  <c r="Y21" i="1"/>
  <c r="Y22" i="1"/>
  <c r="Y24" i="1"/>
  <c r="X19" i="1"/>
  <c r="X20" i="1"/>
  <c r="X21" i="1"/>
  <c r="X24" i="1"/>
  <c r="W19" i="1"/>
  <c r="W20" i="1"/>
  <c r="W21" i="1"/>
  <c r="W22" i="1"/>
  <c r="W24" i="1"/>
  <c r="X2" i="1"/>
  <c r="E26" i="6" l="1"/>
  <c r="F26" i="6" s="1"/>
  <c r="D28" i="20" l="1"/>
  <c r="D29" i="20"/>
  <c r="D30" i="20"/>
  <c r="D31" i="20"/>
  <c r="D32" i="20"/>
  <c r="D33" i="20"/>
  <c r="C28" i="20"/>
  <c r="C29" i="20"/>
  <c r="C30" i="20"/>
  <c r="C31" i="20"/>
  <c r="C32" i="20"/>
  <c r="C33" i="20"/>
  <c r="Q26" i="1"/>
  <c r="Q27" i="1"/>
  <c r="Q28" i="1"/>
  <c r="Q29" i="1"/>
  <c r="Q30" i="1"/>
  <c r="P26" i="1"/>
  <c r="R26" i="1" s="1"/>
  <c r="S26" i="1" s="1"/>
  <c r="P27" i="1"/>
  <c r="P28" i="1"/>
  <c r="P29" i="1"/>
  <c r="P30" i="1"/>
  <c r="E27" i="7"/>
  <c r="F27" i="7" s="1"/>
  <c r="D27" i="20" s="1"/>
  <c r="E25" i="6"/>
  <c r="F25" i="6" s="1"/>
  <c r="P25" i="1" s="1"/>
  <c r="I14" i="1"/>
  <c r="G23" i="1"/>
  <c r="F23" i="1"/>
  <c r="D23" i="1"/>
  <c r="E23" i="1"/>
  <c r="G28" i="1"/>
  <c r="F28" i="1"/>
  <c r="E28" i="1"/>
  <c r="D28" i="1"/>
  <c r="V28" i="1" s="1"/>
  <c r="E25" i="7"/>
  <c r="F25" i="7" s="1"/>
  <c r="Q23" i="1" s="1"/>
  <c r="E26" i="7"/>
  <c r="F26" i="7" s="1"/>
  <c r="D26" i="20" s="1"/>
  <c r="E23" i="6"/>
  <c r="F23" i="6" s="1"/>
  <c r="P23" i="1" s="1"/>
  <c r="E24" i="6"/>
  <c r="F24" i="6" s="1"/>
  <c r="G26" i="1"/>
  <c r="J26" i="1" s="1"/>
  <c r="F26" i="1"/>
  <c r="E26" i="1"/>
  <c r="D26" i="1"/>
  <c r="T23" i="1"/>
  <c r="T24" i="1"/>
  <c r="V24" i="1"/>
  <c r="U23" i="1"/>
  <c r="U24" i="1"/>
  <c r="U25" i="1"/>
  <c r="U26" i="1"/>
  <c r="U27" i="1"/>
  <c r="U28" i="1"/>
  <c r="U29" i="1"/>
  <c r="U30" i="1"/>
  <c r="V22" i="1"/>
  <c r="U21" i="1"/>
  <c r="U22" i="1"/>
  <c r="T22" i="1"/>
  <c r="E22" i="6"/>
  <c r="F22" i="6" s="1"/>
  <c r="E24" i="7"/>
  <c r="F24" i="7" s="1"/>
  <c r="E23" i="7"/>
  <c r="F23" i="7" s="1"/>
  <c r="E21" i="6"/>
  <c r="F21" i="6" s="1"/>
  <c r="G30" i="1"/>
  <c r="F30" i="1"/>
  <c r="E30" i="1"/>
  <c r="D30" i="1"/>
  <c r="G29" i="1"/>
  <c r="F29" i="1"/>
  <c r="E29" i="1"/>
  <c r="D29" i="1"/>
  <c r="G27" i="1"/>
  <c r="F27" i="1"/>
  <c r="E27" i="1"/>
  <c r="D27" i="1"/>
  <c r="G25" i="1"/>
  <c r="F25" i="1"/>
  <c r="E25" i="1"/>
  <c r="D25" i="1"/>
  <c r="V25" i="1" s="1"/>
  <c r="G22" i="1"/>
  <c r="F22" i="1"/>
  <c r="I22" i="1" s="1"/>
  <c r="E22" i="1"/>
  <c r="J23" i="1"/>
  <c r="I23" i="1"/>
  <c r="J24" i="1"/>
  <c r="I24" i="1"/>
  <c r="H24" i="1"/>
  <c r="T21" i="1"/>
  <c r="V21" i="1"/>
  <c r="J21" i="1"/>
  <c r="I21" i="1"/>
  <c r="H21" i="1"/>
  <c r="G33" i="20" l="1"/>
  <c r="E33" i="20"/>
  <c r="F33" i="20"/>
  <c r="G32" i="20"/>
  <c r="E32" i="20"/>
  <c r="F32" i="20"/>
  <c r="G31" i="20"/>
  <c r="F31" i="20"/>
  <c r="E31" i="20"/>
  <c r="H23" i="1"/>
  <c r="I28" i="1"/>
  <c r="I32" i="20"/>
  <c r="J28" i="1"/>
  <c r="R29" i="1"/>
  <c r="S29" i="1" s="1"/>
  <c r="C26" i="20"/>
  <c r="I26" i="20" s="1"/>
  <c r="P24" i="1"/>
  <c r="I27" i="1"/>
  <c r="AB27" i="1"/>
  <c r="Y27" i="1"/>
  <c r="W27" i="1"/>
  <c r="Z27" i="1"/>
  <c r="J30" i="1"/>
  <c r="AA30" i="1"/>
  <c r="X30" i="1"/>
  <c r="AA28" i="1"/>
  <c r="X28" i="1"/>
  <c r="AB23" i="1"/>
  <c r="Z23" i="1"/>
  <c r="Y23" i="1"/>
  <c r="W23" i="1"/>
  <c r="C27" i="20"/>
  <c r="H27" i="20" s="1"/>
  <c r="X29" i="1"/>
  <c r="AA29" i="1"/>
  <c r="V30" i="1"/>
  <c r="Z30" i="1"/>
  <c r="Y30" i="1"/>
  <c r="W30" i="1"/>
  <c r="AB30" i="1"/>
  <c r="T25" i="1"/>
  <c r="Z25" i="1"/>
  <c r="Y25" i="1"/>
  <c r="W25" i="1"/>
  <c r="AB25" i="1"/>
  <c r="AA22" i="1"/>
  <c r="X22" i="1"/>
  <c r="X25" i="1"/>
  <c r="AA25" i="1"/>
  <c r="AA27" i="1"/>
  <c r="X27" i="1"/>
  <c r="V29" i="1"/>
  <c r="Z29" i="1"/>
  <c r="Y29" i="1"/>
  <c r="W29" i="1"/>
  <c r="AB29" i="1"/>
  <c r="AB26" i="1"/>
  <c r="Z26" i="1"/>
  <c r="Y26" i="1"/>
  <c r="W26" i="1"/>
  <c r="Q25" i="1"/>
  <c r="R25" i="1" s="1"/>
  <c r="S25" i="1" s="1"/>
  <c r="I30" i="20"/>
  <c r="E30" i="20"/>
  <c r="G30" i="20"/>
  <c r="F30" i="20"/>
  <c r="V23" i="1"/>
  <c r="AA26" i="1"/>
  <c r="X26" i="1"/>
  <c r="I33" i="20"/>
  <c r="G29" i="20"/>
  <c r="F29" i="20"/>
  <c r="E29" i="20"/>
  <c r="Z28" i="1"/>
  <c r="W28" i="1"/>
  <c r="AB28" i="1"/>
  <c r="Y28" i="1"/>
  <c r="X23" i="1"/>
  <c r="AA23" i="1"/>
  <c r="F28" i="20"/>
  <c r="E28" i="20"/>
  <c r="G28" i="20"/>
  <c r="D25" i="20"/>
  <c r="R27" i="1"/>
  <c r="S27" i="1" s="1"/>
  <c r="H28" i="20"/>
  <c r="I29" i="20"/>
  <c r="R30" i="1"/>
  <c r="S30" i="1" s="1"/>
  <c r="H32" i="20"/>
  <c r="I31" i="20"/>
  <c r="R28" i="1"/>
  <c r="S28" i="1" s="1"/>
  <c r="I28" i="20"/>
  <c r="C24" i="20"/>
  <c r="P22" i="1"/>
  <c r="P21" i="1"/>
  <c r="C23" i="20"/>
  <c r="H26" i="20"/>
  <c r="Q21" i="1"/>
  <c r="D23" i="20"/>
  <c r="D24" i="20"/>
  <c r="Q22" i="1"/>
  <c r="H31" i="20"/>
  <c r="J22" i="1"/>
  <c r="V27" i="1"/>
  <c r="T30" i="1"/>
  <c r="Q24" i="1"/>
  <c r="H30" i="20"/>
  <c r="I27" i="20"/>
  <c r="C25" i="20"/>
  <c r="H33" i="20"/>
  <c r="H29" i="20"/>
  <c r="T29" i="1"/>
  <c r="T27" i="1"/>
  <c r="H26" i="1"/>
  <c r="R23" i="1"/>
  <c r="S23" i="1" s="1"/>
  <c r="H28" i="1"/>
  <c r="T28" i="1"/>
  <c r="T26" i="1"/>
  <c r="V26" i="1"/>
  <c r="I26" i="1"/>
  <c r="I25" i="1"/>
  <c r="H29" i="1"/>
  <c r="J25" i="1"/>
  <c r="J27" i="1"/>
  <c r="I30" i="1"/>
  <c r="H27" i="1"/>
  <c r="I29" i="1"/>
  <c r="J29" i="1"/>
  <c r="H30" i="1"/>
  <c r="H25" i="1"/>
  <c r="H22" i="1"/>
  <c r="E22" i="7"/>
  <c r="F22" i="7" s="1"/>
  <c r="E20" i="6"/>
  <c r="F20" i="6" s="1"/>
  <c r="V19" i="1"/>
  <c r="V20" i="1"/>
  <c r="U19" i="1"/>
  <c r="U20" i="1"/>
  <c r="U18" i="1"/>
  <c r="U13" i="1"/>
  <c r="U14" i="1"/>
  <c r="T19" i="1"/>
  <c r="T20" i="1"/>
  <c r="J20" i="1"/>
  <c r="I20" i="1"/>
  <c r="H20" i="1"/>
  <c r="E21" i="7"/>
  <c r="F21" i="7" s="1"/>
  <c r="E19" i="6"/>
  <c r="F19" i="6" s="1"/>
  <c r="E13" i="7"/>
  <c r="J19" i="1"/>
  <c r="I19" i="1"/>
  <c r="H19" i="1"/>
  <c r="E20" i="7"/>
  <c r="F20" i="7" s="1"/>
  <c r="E18" i="6"/>
  <c r="F18" i="6" s="1"/>
  <c r="C20" i="20" s="1"/>
  <c r="J18" i="1"/>
  <c r="J2" i="1"/>
  <c r="I18" i="1"/>
  <c r="I2" i="1"/>
  <c r="H18" i="1"/>
  <c r="H2" i="1"/>
  <c r="E2" i="7"/>
  <c r="F2" i="7" s="1"/>
  <c r="AB3" i="1"/>
  <c r="AB4" i="1"/>
  <c r="AB5" i="1"/>
  <c r="AB6" i="1"/>
  <c r="AB7" i="1"/>
  <c r="AB8" i="1"/>
  <c r="AB9" i="1"/>
  <c r="AB10" i="1"/>
  <c r="AB11" i="1"/>
  <c r="AB12" i="1"/>
  <c r="AB13" i="1"/>
  <c r="AB14" i="1"/>
  <c r="AB2" i="1"/>
  <c r="Y2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X3" i="1"/>
  <c r="X4" i="1"/>
  <c r="X5" i="1"/>
  <c r="X6" i="1"/>
  <c r="X7" i="1"/>
  <c r="X8" i="1"/>
  <c r="X9" i="1"/>
  <c r="X10" i="1"/>
  <c r="X11" i="1"/>
  <c r="X12" i="1"/>
  <c r="X13" i="1"/>
  <c r="X14" i="1"/>
  <c r="W3" i="1"/>
  <c r="W4" i="1"/>
  <c r="W5" i="1"/>
  <c r="W6" i="1"/>
  <c r="W7" i="1"/>
  <c r="W8" i="1"/>
  <c r="W9" i="1"/>
  <c r="W10" i="1"/>
  <c r="W11" i="1"/>
  <c r="W12" i="1"/>
  <c r="W13" i="1"/>
  <c r="W14" i="1"/>
  <c r="W2" i="1"/>
  <c r="U2" i="1"/>
  <c r="E2" i="6"/>
  <c r="F2" i="6" s="1"/>
  <c r="I14" i="20"/>
  <c r="H14" i="20"/>
  <c r="G14" i="20"/>
  <c r="F14" i="20"/>
  <c r="E14" i="20"/>
  <c r="E14" i="7"/>
  <c r="E14" i="6"/>
  <c r="F14" i="6" s="1"/>
  <c r="J14" i="1"/>
  <c r="H14" i="1"/>
  <c r="I3" i="20"/>
  <c r="I4" i="20"/>
  <c r="I5" i="20"/>
  <c r="I6" i="20"/>
  <c r="I7" i="20"/>
  <c r="I8" i="20"/>
  <c r="I9" i="20"/>
  <c r="I10" i="20"/>
  <c r="I11" i="20"/>
  <c r="I12" i="20"/>
  <c r="I13" i="20"/>
  <c r="I2" i="20"/>
  <c r="H3" i="20"/>
  <c r="H4" i="20"/>
  <c r="H5" i="20"/>
  <c r="H6" i="20"/>
  <c r="H7" i="20"/>
  <c r="H8" i="20"/>
  <c r="H9" i="20"/>
  <c r="H10" i="20"/>
  <c r="H11" i="20"/>
  <c r="H12" i="20"/>
  <c r="H13" i="20"/>
  <c r="H2" i="20"/>
  <c r="G3" i="20"/>
  <c r="G4" i="20"/>
  <c r="G5" i="20"/>
  <c r="G6" i="20"/>
  <c r="G7" i="20"/>
  <c r="G8" i="20"/>
  <c r="G9" i="20"/>
  <c r="G10" i="20"/>
  <c r="G11" i="20"/>
  <c r="G12" i="20"/>
  <c r="G13" i="20"/>
  <c r="G2" i="20"/>
  <c r="F2" i="20"/>
  <c r="F3" i="20"/>
  <c r="F4" i="20"/>
  <c r="F5" i="20"/>
  <c r="F6" i="20"/>
  <c r="F7" i="20"/>
  <c r="F8" i="20"/>
  <c r="F9" i="20"/>
  <c r="F10" i="20"/>
  <c r="F11" i="20"/>
  <c r="F12" i="20"/>
  <c r="F13" i="20"/>
  <c r="E3" i="20"/>
  <c r="E4" i="20"/>
  <c r="E5" i="20"/>
  <c r="E6" i="20"/>
  <c r="E7" i="20"/>
  <c r="E8" i="20"/>
  <c r="E9" i="20"/>
  <c r="E10" i="20"/>
  <c r="E11" i="20"/>
  <c r="E12" i="20"/>
  <c r="E13" i="20"/>
  <c r="E2" i="20"/>
  <c r="U3" i="1"/>
  <c r="U4" i="1"/>
  <c r="U5" i="1"/>
  <c r="U6" i="1"/>
  <c r="U7" i="1"/>
  <c r="U8" i="1"/>
  <c r="U9" i="1"/>
  <c r="U10" i="1"/>
  <c r="U11" i="1"/>
  <c r="U12" i="1"/>
  <c r="R24" i="1" l="1"/>
  <c r="S24" i="1" s="1"/>
  <c r="P18" i="1"/>
  <c r="R21" i="1"/>
  <c r="S21" i="1" s="1"/>
  <c r="R22" i="1"/>
  <c r="S22" i="1" s="1"/>
  <c r="I25" i="20"/>
  <c r="G25" i="20"/>
  <c r="E25" i="20"/>
  <c r="F25" i="20"/>
  <c r="H25" i="20"/>
  <c r="F27" i="20"/>
  <c r="E27" i="20"/>
  <c r="G27" i="20"/>
  <c r="E26" i="20"/>
  <c r="G26" i="20"/>
  <c r="F26" i="20"/>
  <c r="C21" i="20"/>
  <c r="P19" i="1"/>
  <c r="P20" i="1"/>
  <c r="C22" i="20"/>
  <c r="Q19" i="1"/>
  <c r="D21" i="20"/>
  <c r="Q20" i="1"/>
  <c r="D22" i="20"/>
  <c r="Q18" i="1"/>
  <c r="D20" i="20"/>
  <c r="G20" i="20" s="1"/>
  <c r="H23" i="20"/>
  <c r="F23" i="20"/>
  <c r="G23" i="20"/>
  <c r="E23" i="20"/>
  <c r="I23" i="20"/>
  <c r="F14" i="7"/>
  <c r="Q14" i="1" s="1"/>
  <c r="F20" i="20"/>
  <c r="I24" i="20"/>
  <c r="H24" i="20"/>
  <c r="F24" i="20"/>
  <c r="G24" i="20"/>
  <c r="E24" i="20"/>
  <c r="P14" i="1"/>
  <c r="P2" i="1"/>
  <c r="E3" i="7"/>
  <c r="F3" i="7" s="1"/>
  <c r="Q3" i="1" s="1"/>
  <c r="E4" i="7"/>
  <c r="F4" i="7" s="1"/>
  <c r="Q4" i="1" s="1"/>
  <c r="E5" i="7"/>
  <c r="F5" i="7" s="1"/>
  <c r="Q5" i="1" s="1"/>
  <c r="E6" i="7"/>
  <c r="F6" i="7" s="1"/>
  <c r="Q6" i="1" s="1"/>
  <c r="E7" i="7"/>
  <c r="F7" i="7" s="1"/>
  <c r="Q7" i="1" s="1"/>
  <c r="E8" i="7"/>
  <c r="F8" i="7" s="1"/>
  <c r="Q8" i="1" s="1"/>
  <c r="E9" i="7"/>
  <c r="F9" i="7" s="1"/>
  <c r="Q9" i="1" s="1"/>
  <c r="E10" i="7"/>
  <c r="F10" i="7" s="1"/>
  <c r="Q10" i="1" s="1"/>
  <c r="E11" i="7"/>
  <c r="F11" i="7" s="1"/>
  <c r="Q11" i="1" s="1"/>
  <c r="E12" i="7"/>
  <c r="F12" i="7" s="1"/>
  <c r="Q12" i="1" s="1"/>
  <c r="F13" i="7"/>
  <c r="Q13" i="1" s="1"/>
  <c r="Q2" i="1"/>
  <c r="E3" i="6"/>
  <c r="F3" i="6" s="1"/>
  <c r="P3" i="1" s="1"/>
  <c r="E4" i="6"/>
  <c r="F4" i="6" s="1"/>
  <c r="P4" i="1" s="1"/>
  <c r="E5" i="6"/>
  <c r="F5" i="6" s="1"/>
  <c r="P5" i="1" s="1"/>
  <c r="E6" i="6"/>
  <c r="F6" i="6" s="1"/>
  <c r="P6" i="1" s="1"/>
  <c r="E7" i="6"/>
  <c r="F7" i="6" s="1"/>
  <c r="P7" i="1" s="1"/>
  <c r="E8" i="6"/>
  <c r="F8" i="6" s="1"/>
  <c r="P8" i="1" s="1"/>
  <c r="E9" i="6"/>
  <c r="F9" i="6" s="1"/>
  <c r="P9" i="1" s="1"/>
  <c r="E10" i="6"/>
  <c r="F10" i="6" s="1"/>
  <c r="P10" i="1" s="1"/>
  <c r="E11" i="6"/>
  <c r="F11" i="6" s="1"/>
  <c r="P11" i="1" s="1"/>
  <c r="E12" i="6"/>
  <c r="F12" i="6" s="1"/>
  <c r="P12" i="1" s="1"/>
  <c r="E13" i="6"/>
  <c r="F13" i="6" s="1"/>
  <c r="P13" i="1" s="1"/>
  <c r="I4" i="1"/>
  <c r="I3" i="1"/>
  <c r="I5" i="1"/>
  <c r="I6" i="1"/>
  <c r="I7" i="1"/>
  <c r="I8" i="1"/>
  <c r="I9" i="1"/>
  <c r="I10" i="1"/>
  <c r="I11" i="1"/>
  <c r="I12" i="1"/>
  <c r="I13" i="1"/>
  <c r="J3" i="1"/>
  <c r="J4" i="1"/>
  <c r="J5" i="1"/>
  <c r="J6" i="1"/>
  <c r="J7" i="1"/>
  <c r="J8" i="1"/>
  <c r="J9" i="1"/>
  <c r="J10" i="1"/>
  <c r="J11" i="1"/>
  <c r="J12" i="1"/>
  <c r="J13" i="1"/>
  <c r="H3" i="1"/>
  <c r="H4" i="1"/>
  <c r="H5" i="1"/>
  <c r="H6" i="1"/>
  <c r="H7" i="1"/>
  <c r="H8" i="1"/>
  <c r="H9" i="1"/>
  <c r="H10" i="1"/>
  <c r="H11" i="1"/>
  <c r="H12" i="1"/>
  <c r="H13" i="1"/>
  <c r="R18" i="1" l="1"/>
  <c r="S18" i="1" s="1"/>
  <c r="R19" i="1"/>
  <c r="S19" i="1" s="1"/>
  <c r="R20" i="1"/>
  <c r="S20" i="1" s="1"/>
  <c r="H20" i="20"/>
  <c r="E20" i="20"/>
  <c r="I20" i="20"/>
  <c r="G22" i="20"/>
  <c r="E22" i="20"/>
  <c r="I22" i="20"/>
  <c r="H22" i="20"/>
  <c r="F22" i="20"/>
  <c r="R14" i="1"/>
  <c r="S14" i="1" s="1"/>
  <c r="E21" i="20"/>
  <c r="I21" i="20"/>
  <c r="H21" i="20"/>
  <c r="F21" i="20"/>
  <c r="G21" i="20"/>
  <c r="R2" i="1"/>
  <c r="S2" i="1" s="1"/>
  <c r="R5" i="1"/>
  <c r="S5" i="1" s="1"/>
  <c r="R12" i="1"/>
  <c r="S12" i="1" s="1"/>
  <c r="R8" i="1"/>
  <c r="S8" i="1" s="1"/>
  <c r="R4" i="1"/>
  <c r="S4" i="1" s="1"/>
  <c r="R7" i="1"/>
  <c r="S7" i="1" s="1"/>
  <c r="R3" i="1"/>
  <c r="S3" i="1" s="1"/>
  <c r="R6" i="1"/>
  <c r="S6" i="1" s="1"/>
  <c r="R10" i="1"/>
  <c r="S10" i="1" s="1"/>
  <c r="R13" i="1"/>
  <c r="S13" i="1" s="1"/>
  <c r="R9" i="1"/>
  <c r="S9" i="1" s="1"/>
  <c r="R11" i="1"/>
  <c r="S11" i="1" s="1"/>
</calcChain>
</file>

<file path=xl/sharedStrings.xml><?xml version="1.0" encoding="utf-8"?>
<sst xmlns="http://schemas.openxmlformats.org/spreadsheetml/2006/main" count="397" uniqueCount="119">
  <si>
    <t>SUB</t>
  </si>
  <si>
    <t>NAME</t>
  </si>
  <si>
    <t>Benzene</t>
  </si>
  <si>
    <t>Naftalene</t>
  </si>
  <si>
    <t>Butyl phenyl ether</t>
  </si>
  <si>
    <t>Benzothiazole</t>
  </si>
  <si>
    <t>2,1,3-Benzothiadiazole</t>
  </si>
  <si>
    <t>Thieno[3,4,b]pirazine</t>
  </si>
  <si>
    <t>2,5-Diphenylthiophene</t>
  </si>
  <si>
    <t>Carbazole</t>
  </si>
  <si>
    <t>Acceptor</t>
  </si>
  <si>
    <t>DPP</t>
  </si>
  <si>
    <r>
      <t>E</t>
    </r>
    <r>
      <rPr>
        <b/>
        <vertAlign val="subscript"/>
        <sz val="12"/>
        <color theme="1"/>
        <rFont val="Times New Roman"/>
        <family val="1"/>
      </rPr>
      <t xml:space="preserve">HOMO </t>
    </r>
    <r>
      <rPr>
        <b/>
        <sz val="12"/>
        <color theme="1"/>
        <rFont val="Times New Roman"/>
        <family val="1"/>
      </rPr>
      <t>/ eV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</si>
  <si>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LUMO </t>
    </r>
    <r>
      <rPr>
        <b/>
        <sz val="12"/>
        <color theme="1"/>
        <rFont val="Times New Roman"/>
        <family val="1"/>
      </rPr>
      <t>/ eV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</si>
  <si>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HOMO-1 </t>
    </r>
    <r>
      <rPr>
        <b/>
        <sz val="12"/>
        <color theme="1"/>
        <rFont val="Times New Roman"/>
        <family val="1"/>
      </rPr>
      <t>/ eV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</si>
  <si>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LUMO+1 </t>
    </r>
    <r>
      <rPr>
        <b/>
        <sz val="12"/>
        <color theme="1"/>
        <rFont val="Times New Roman"/>
        <family val="1"/>
      </rPr>
      <t>/ eV</t>
    </r>
  </si>
  <si>
    <r>
      <rPr>
        <b/>
        <sz val="12"/>
        <color theme="1"/>
        <rFont val="Calibri"/>
        <family val="2"/>
      </rPr>
      <t>Δ</t>
    </r>
    <r>
      <rPr>
        <b/>
        <vertAlign val="subscript"/>
        <sz val="12"/>
        <color theme="1"/>
        <rFont val="Times New Roman"/>
        <family val="1"/>
      </rPr>
      <t>HOMO</t>
    </r>
  </si>
  <si>
    <r>
      <rPr>
        <b/>
        <sz val="12"/>
        <color theme="1"/>
        <rFont val="Calibri"/>
        <family val="2"/>
      </rPr>
      <t>Δ</t>
    </r>
    <r>
      <rPr>
        <b/>
        <vertAlign val="subscript"/>
        <sz val="12"/>
        <color theme="1"/>
        <rFont val="Times New Roman"/>
        <family val="1"/>
      </rPr>
      <t>LUMO</t>
    </r>
  </si>
  <si>
    <r>
      <t>f</t>
    </r>
    <r>
      <rPr>
        <b/>
        <vertAlign val="subscript"/>
        <sz val="12"/>
        <color theme="1"/>
        <rFont val="Times New Roman"/>
        <family val="1"/>
      </rPr>
      <t>osc</t>
    </r>
  </si>
  <si>
    <r>
      <t>E</t>
    </r>
    <r>
      <rPr>
        <b/>
        <vertAlign val="superscript"/>
        <sz val="12"/>
        <color theme="1"/>
        <rFont val="Times New Roman"/>
        <family val="1"/>
      </rPr>
      <t>0</t>
    </r>
  </si>
  <si>
    <r>
      <t>E</t>
    </r>
    <r>
      <rPr>
        <b/>
        <vertAlign val="superscript"/>
        <sz val="12"/>
        <color theme="1"/>
        <rFont val="Times New Roman"/>
        <family val="1"/>
      </rPr>
      <t>+1</t>
    </r>
  </si>
  <si>
    <t>EA</t>
  </si>
  <si>
    <r>
      <t>E</t>
    </r>
    <r>
      <rPr>
        <b/>
        <vertAlign val="superscript"/>
        <sz val="12"/>
        <color theme="1"/>
        <rFont val="Times New Roman"/>
        <family val="1"/>
      </rPr>
      <t>-1</t>
    </r>
  </si>
  <si>
    <t>IP(v) / eV</t>
  </si>
  <si>
    <t>EA / h</t>
  </si>
  <si>
    <t>EA / eV</t>
  </si>
  <si>
    <r>
      <t>f</t>
    </r>
    <r>
      <rPr>
        <b/>
        <vertAlign val="subscript"/>
        <sz val="12"/>
        <color theme="1"/>
        <rFont val="Times New Roman"/>
        <family val="1"/>
      </rPr>
      <t>osc</t>
    </r>
    <r>
      <rPr>
        <b/>
        <vertAlign val="superscript"/>
        <sz val="12"/>
        <color theme="1"/>
        <rFont val="Times New Roman"/>
        <family val="1"/>
      </rPr>
      <t>S1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</si>
  <si>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fund </t>
    </r>
    <r>
      <rPr>
        <b/>
        <sz val="12"/>
        <color theme="1"/>
        <rFont val="Times New Roman"/>
        <family val="1"/>
      </rPr>
      <t>/ eV</t>
    </r>
  </si>
  <si>
    <t>&lt;0,5eV</t>
  </si>
  <si>
    <t>&lt;0,75eV</t>
  </si>
  <si>
    <r>
      <t>S</t>
    </r>
    <r>
      <rPr>
        <i/>
        <vertAlign val="subscript"/>
        <sz val="12"/>
        <color theme="1"/>
        <rFont val="Times New Roman"/>
        <family val="1"/>
      </rPr>
      <t>6</t>
    </r>
  </si>
  <si>
    <r>
      <t>S</t>
    </r>
    <r>
      <rPr>
        <i/>
        <vertAlign val="subscript"/>
        <sz val="12"/>
        <color theme="1"/>
        <rFont val="Times New Roman"/>
        <family val="1"/>
      </rPr>
      <t>5</t>
    </r>
  </si>
  <si>
    <r>
      <t>S</t>
    </r>
    <r>
      <rPr>
        <i/>
        <vertAlign val="subscript"/>
        <sz val="12"/>
        <color theme="1"/>
        <rFont val="Times New Roman"/>
        <family val="1"/>
      </rPr>
      <t>7</t>
    </r>
  </si>
  <si>
    <r>
      <t>S</t>
    </r>
    <r>
      <rPr>
        <i/>
        <vertAlign val="subscript"/>
        <sz val="12"/>
        <color theme="1"/>
        <rFont val="Times New Roman"/>
        <family val="1"/>
      </rPr>
      <t>9</t>
    </r>
  </si>
  <si>
    <r>
      <t>S</t>
    </r>
    <r>
      <rPr>
        <i/>
        <vertAlign val="subscript"/>
        <sz val="12"/>
        <color theme="1"/>
        <rFont val="Times New Roman"/>
        <family val="1"/>
      </rPr>
      <t>14</t>
    </r>
  </si>
  <si>
    <r>
      <t>S</t>
    </r>
    <r>
      <rPr>
        <i/>
        <vertAlign val="subscript"/>
        <sz val="12"/>
        <color theme="1"/>
        <rFont val="Times New Roman"/>
        <family val="1"/>
      </rPr>
      <t>1</t>
    </r>
  </si>
  <si>
    <r>
      <t>S</t>
    </r>
    <r>
      <rPr>
        <i/>
        <vertAlign val="subscript"/>
        <sz val="12"/>
        <color theme="1"/>
        <rFont val="Times New Roman"/>
        <family val="1"/>
      </rPr>
      <t>10</t>
    </r>
  </si>
  <si>
    <r>
      <t>S</t>
    </r>
    <r>
      <rPr>
        <b/>
        <i/>
        <vertAlign val="subscript"/>
        <sz val="12"/>
        <color theme="1"/>
        <rFont val="Times New Roman"/>
        <family val="1"/>
      </rPr>
      <t>N</t>
    </r>
  </si>
  <si>
    <r>
      <t>V</t>
    </r>
    <r>
      <rPr>
        <b/>
        <vertAlign val="subscript"/>
        <sz val="12"/>
        <color theme="1"/>
        <rFont val="Times New Roman"/>
        <family val="1"/>
      </rPr>
      <t>OC</t>
    </r>
    <r>
      <rPr>
        <b/>
        <sz val="12"/>
        <color theme="1"/>
        <rFont val="Times New Roman"/>
        <family val="1"/>
      </rPr>
      <t xml:space="preserve"> / V</t>
    </r>
  </si>
  <si>
    <t>LHE</t>
  </si>
  <si>
    <r>
      <t>E</t>
    </r>
    <r>
      <rPr>
        <b/>
        <vertAlign val="subscript"/>
        <sz val="12"/>
        <color theme="1"/>
        <rFont val="Times New Roman"/>
        <family val="1"/>
      </rPr>
      <t>b</t>
    </r>
    <r>
      <rPr>
        <b/>
        <sz val="12"/>
        <color theme="1"/>
        <rFont val="Times New Roman"/>
        <family val="1"/>
      </rPr>
      <t>=</t>
    </r>
    <r>
      <rPr>
        <b/>
        <sz val="12"/>
        <color theme="1"/>
        <rFont val="Calibri"/>
        <family val="2"/>
      </rPr>
      <t xml:space="preserve"> Δ</t>
    </r>
    <r>
      <rPr>
        <b/>
        <vertAlign val="subscript"/>
        <sz val="12"/>
        <color theme="1"/>
        <rFont val="Times New Roman"/>
        <family val="1"/>
      </rPr>
      <t>HL</t>
    </r>
    <r>
      <rPr>
        <b/>
        <sz val="12"/>
        <color theme="1"/>
        <rFont val="Times New Roman"/>
        <family val="1"/>
      </rPr>
      <t>-E</t>
    </r>
    <r>
      <rPr>
        <b/>
        <vertAlign val="subscript"/>
        <sz val="12"/>
        <color theme="1"/>
        <rFont val="Times New Roman"/>
        <family val="1"/>
      </rPr>
      <t xml:space="preserve">fund </t>
    </r>
    <r>
      <rPr>
        <b/>
        <sz val="12"/>
        <color theme="1"/>
        <rFont val="Times New Roman"/>
        <family val="1"/>
      </rPr>
      <t>/ eV</t>
    </r>
  </si>
  <si>
    <r>
      <t>E</t>
    </r>
    <r>
      <rPr>
        <b/>
        <vertAlign val="subscript"/>
        <sz val="12"/>
        <color theme="1"/>
        <rFont val="Times New Roman"/>
        <family val="1"/>
      </rPr>
      <t>opt</t>
    </r>
    <r>
      <rPr>
        <b/>
        <vertAlign val="superscript"/>
        <sz val="12"/>
        <color theme="1"/>
        <rFont val="Times New Roman"/>
        <family val="1"/>
      </rPr>
      <t>S1</t>
    </r>
    <r>
      <rPr>
        <b/>
        <sz val="12"/>
        <color theme="1"/>
        <rFont val="Times New Roman"/>
        <family val="1"/>
      </rPr>
      <t xml:space="preserve"> / eV</t>
    </r>
  </si>
  <si>
    <r>
      <t>E</t>
    </r>
    <r>
      <rPr>
        <b/>
        <vertAlign val="subscript"/>
        <sz val="12"/>
        <color theme="1"/>
        <rFont val="Times New Roman"/>
        <family val="1"/>
      </rPr>
      <t>opt</t>
    </r>
    <r>
      <rPr>
        <b/>
        <vertAlign val="superscript"/>
        <sz val="12"/>
        <color theme="1"/>
        <rFont val="Times New Roman"/>
        <family val="1"/>
      </rPr>
      <t>Sn</t>
    </r>
    <r>
      <rPr>
        <b/>
        <sz val="12"/>
        <color theme="1"/>
        <rFont val="Times New Roman"/>
        <family val="1"/>
      </rPr>
      <t xml:space="preserve"> / eV</t>
    </r>
  </si>
  <si>
    <r>
      <t>S</t>
    </r>
    <r>
      <rPr>
        <i/>
        <vertAlign val="subscript"/>
        <sz val="12"/>
        <rFont val="Times New Roman"/>
        <family val="1"/>
      </rPr>
      <t>1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</si>
  <si>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Times New Roman"/>
        <family val="1"/>
      </rPr>
      <t>E</t>
    </r>
    <r>
      <rPr>
        <b/>
        <vertAlign val="subscript"/>
        <sz val="12"/>
        <color theme="1"/>
        <rFont val="Times New Roman"/>
        <family val="1"/>
      </rPr>
      <t>HL</t>
    </r>
    <r>
      <rPr>
        <b/>
        <vertAlign val="superscript"/>
        <sz val="12"/>
        <color theme="1"/>
        <rFont val="Times New Roman"/>
        <family val="1"/>
      </rPr>
      <t>D-PCBM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</si>
  <si>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Times New Roman"/>
        <family val="1"/>
      </rPr>
      <t>E</t>
    </r>
    <r>
      <rPr>
        <b/>
        <vertAlign val="subscript"/>
        <sz val="12"/>
        <color theme="1"/>
        <rFont val="Times New Roman"/>
        <family val="1"/>
      </rPr>
      <t>LL</t>
    </r>
    <r>
      <rPr>
        <b/>
        <vertAlign val="superscript"/>
        <sz val="12"/>
        <color theme="1"/>
        <rFont val="Times New Roman"/>
        <family val="1"/>
      </rPr>
      <t>D-PCBM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</si>
  <si>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Times New Roman"/>
        <family val="1"/>
      </rPr>
      <t>E</t>
    </r>
    <r>
      <rPr>
        <b/>
        <vertAlign val="subscript"/>
        <sz val="12"/>
        <color theme="1"/>
        <rFont val="Times New Roman"/>
        <family val="1"/>
      </rPr>
      <t>HH</t>
    </r>
    <r>
      <rPr>
        <b/>
        <vertAlign val="superscript"/>
        <sz val="12"/>
        <color theme="1"/>
        <rFont val="Times New Roman"/>
        <family val="1"/>
      </rPr>
      <t>D-PCBM</t>
    </r>
  </si>
  <si>
    <t>benzo[c]thiophene</t>
  </si>
  <si>
    <t>benzo[c]isothiazole</t>
  </si>
  <si>
    <t>2,4-dihydrobenzo[d]thiazole</t>
  </si>
  <si>
    <t>Thieno[3,4-b][1,4] dioxine</t>
  </si>
  <si>
    <t>IP(a)</t>
  </si>
  <si>
    <t>η / eV</t>
  </si>
  <si>
    <r>
      <t>ω</t>
    </r>
    <r>
      <rPr>
        <b/>
        <vertAlign val="superscript"/>
        <sz val="12"/>
        <color theme="1"/>
        <rFont val="Times New Roman"/>
        <family val="1"/>
      </rPr>
      <t>+</t>
    </r>
    <r>
      <rPr>
        <b/>
        <sz val="12"/>
        <color theme="1"/>
        <rFont val="Times New Roman"/>
        <family val="1"/>
      </rPr>
      <t xml:space="preserve"> / eV</t>
    </r>
  </si>
  <si>
    <r>
      <t>ω</t>
    </r>
    <r>
      <rPr>
        <b/>
        <vertAlign val="superscript"/>
        <sz val="12"/>
        <color theme="1"/>
        <rFont val="Times New Roman"/>
        <family val="1"/>
      </rPr>
      <t>-</t>
    </r>
    <r>
      <rPr>
        <b/>
        <sz val="12"/>
        <color theme="1"/>
        <rFont val="Times New Roman"/>
        <family val="1"/>
      </rPr>
      <t xml:space="preserve"> / eV</t>
    </r>
  </si>
  <si>
    <t>ω / eV</t>
  </si>
  <si>
    <t>χ / eV</t>
  </si>
  <si>
    <r>
      <t>S</t>
    </r>
    <r>
      <rPr>
        <i/>
        <vertAlign val="subscript"/>
        <sz val="12"/>
        <color theme="1"/>
        <rFont val="Times New Roman"/>
        <family val="1"/>
      </rPr>
      <t>15</t>
    </r>
  </si>
  <si>
    <t>IP(a) / h</t>
  </si>
  <si>
    <t>IP(a) / eV</t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</si>
  <si>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Times New Roman"/>
        <family val="1"/>
      </rPr>
      <t>E</t>
    </r>
    <r>
      <rPr>
        <b/>
        <vertAlign val="subscript"/>
        <sz val="12"/>
        <color theme="1"/>
        <rFont val="Times New Roman"/>
        <family val="1"/>
      </rPr>
      <t>HL</t>
    </r>
    <r>
      <rPr>
        <b/>
        <vertAlign val="superscript"/>
        <sz val="12"/>
        <color theme="1"/>
        <rFont val="Times New Roman"/>
        <family val="1"/>
      </rPr>
      <t>D-ITIC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</si>
  <si>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Times New Roman"/>
        <family val="1"/>
      </rPr>
      <t>E</t>
    </r>
    <r>
      <rPr>
        <b/>
        <vertAlign val="subscript"/>
        <sz val="12"/>
        <color theme="1"/>
        <rFont val="Times New Roman"/>
        <family val="1"/>
      </rPr>
      <t>LL</t>
    </r>
    <r>
      <rPr>
        <b/>
        <vertAlign val="superscript"/>
        <sz val="12"/>
        <color theme="1"/>
        <rFont val="Times New Roman"/>
        <family val="1"/>
      </rPr>
      <t>D-ITIC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</si>
  <si>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Times New Roman"/>
        <family val="1"/>
      </rPr>
      <t>E</t>
    </r>
    <r>
      <rPr>
        <b/>
        <vertAlign val="subscript"/>
        <sz val="12"/>
        <color theme="1"/>
        <rFont val="Times New Roman"/>
        <family val="1"/>
      </rPr>
      <t>HH</t>
    </r>
    <r>
      <rPr>
        <b/>
        <vertAlign val="superscript"/>
        <sz val="12"/>
        <color theme="1"/>
        <rFont val="Times New Roman"/>
        <family val="1"/>
      </rPr>
      <t>D-ITIC</t>
    </r>
  </si>
  <si>
    <r>
      <t>V</t>
    </r>
    <r>
      <rPr>
        <b/>
        <vertAlign val="subscript"/>
        <sz val="12"/>
        <color theme="1"/>
        <rFont val="Times New Roman"/>
        <family val="1"/>
      </rPr>
      <t>OC</t>
    </r>
    <r>
      <rPr>
        <b/>
        <sz val="12"/>
        <color theme="1"/>
        <rFont val="Times New Roman"/>
        <family val="2"/>
      </rPr>
      <t xml:space="preserve"> (ITIC)</t>
    </r>
  </si>
  <si>
    <t>DPP-diphenyl</t>
  </si>
  <si>
    <r>
      <rPr>
        <b/>
        <sz val="12"/>
        <color theme="1"/>
        <rFont val="Calibri"/>
        <family val="2"/>
      </rPr>
      <t>E</t>
    </r>
    <r>
      <rPr>
        <b/>
        <vertAlign val="subscript"/>
        <sz val="12"/>
        <color theme="1"/>
        <rFont val="Times New Roman"/>
        <family val="1"/>
      </rPr>
      <t xml:space="preserve">g </t>
    </r>
    <r>
      <rPr>
        <b/>
        <sz val="12"/>
        <color theme="1"/>
        <rFont val="Times New Roman"/>
        <family val="1"/>
      </rPr>
      <t>/ eV</t>
    </r>
  </si>
  <si>
    <r>
      <t>S</t>
    </r>
    <r>
      <rPr>
        <i/>
        <vertAlign val="subscript"/>
        <sz val="12"/>
        <color theme="1"/>
        <rFont val="Times New Roman"/>
        <family val="1"/>
      </rPr>
      <t>8</t>
    </r>
  </si>
  <si>
    <t>DPP derivatives</t>
  </si>
  <si>
    <t>EA(a) / h</t>
  </si>
  <si>
    <t>EA(a) / eV</t>
  </si>
  <si>
    <t>DPP-dinaphthyl</t>
  </si>
  <si>
    <r>
      <t>V</t>
    </r>
    <r>
      <rPr>
        <b/>
        <vertAlign val="subscript"/>
        <sz val="12"/>
        <color theme="1"/>
        <rFont val="Times New Roman"/>
        <family val="1"/>
      </rPr>
      <t>OC</t>
    </r>
    <r>
      <rPr>
        <b/>
        <sz val="12"/>
        <color theme="1"/>
        <rFont val="Times New Roman"/>
        <family val="1"/>
      </rPr>
      <t xml:space="preserve"> / V (PC</t>
    </r>
    <r>
      <rPr>
        <b/>
        <vertAlign val="subscript"/>
        <sz val="12"/>
        <color theme="1"/>
        <rFont val="Times New Roman"/>
        <family val="1"/>
      </rPr>
      <t>61</t>
    </r>
    <r>
      <rPr>
        <b/>
        <sz val="12"/>
        <color theme="1"/>
        <rFont val="Times New Roman"/>
        <family val="1"/>
      </rPr>
      <t>BM)</t>
    </r>
  </si>
  <si>
    <t>DPP-di(Butyl phenyl ether)</t>
  </si>
  <si>
    <t>DPP-di(benzo[c]thiophene)</t>
  </si>
  <si>
    <t>DPP-benzo[c]isothiazole</t>
  </si>
  <si>
    <t>DPP-2,1,3-Benzothiadiazole.</t>
  </si>
  <si>
    <t>DPP-2,4-dihydrobenzo[d]thiazole</t>
  </si>
  <si>
    <t>DPP-Benzothiazole</t>
  </si>
  <si>
    <t>DPP-Thieno[3,4-b][1,4] dioxine</t>
  </si>
  <si>
    <t>DPP-2,5-Diphenylthiophene</t>
  </si>
  <si>
    <t>DPP-Thieno[3,4,b]pirazine</t>
  </si>
  <si>
    <t>DPP-Carbazole</t>
  </si>
  <si>
    <r>
      <t>S</t>
    </r>
    <r>
      <rPr>
        <i/>
        <vertAlign val="subscript"/>
        <sz val="12"/>
        <color theme="1"/>
        <rFont val="Times New Roman"/>
        <family val="1"/>
      </rPr>
      <t>3</t>
    </r>
  </si>
  <si>
    <t>f</t>
  </si>
  <si>
    <t>Assigment</t>
  </si>
  <si>
    <t>Contribution / %</t>
  </si>
  <si>
    <t>HOMO→LUMO</t>
  </si>
  <si>
    <t>HOMO-2→LUMO+2</t>
  </si>
  <si>
    <t>HOMO-1→LUMO+1</t>
  </si>
  <si>
    <r>
      <t>λ</t>
    </r>
    <r>
      <rPr>
        <b/>
        <vertAlign val="subscript"/>
        <sz val="12"/>
        <color theme="1"/>
        <rFont val="Times New Roman"/>
        <family val="1"/>
      </rPr>
      <t>max</t>
    </r>
    <r>
      <rPr>
        <b/>
        <sz val="12"/>
        <color theme="1"/>
        <rFont val="Times New Roman"/>
        <family val="1"/>
      </rPr>
      <t xml:space="preserve"> / nm</t>
    </r>
  </si>
  <si>
    <r>
      <t>E</t>
    </r>
    <r>
      <rPr>
        <b/>
        <vertAlign val="subscript"/>
        <sz val="12"/>
        <color theme="1"/>
        <rFont val="Times New Roman"/>
        <family val="1"/>
      </rPr>
      <t>b</t>
    </r>
    <r>
      <rPr>
        <b/>
        <sz val="12"/>
        <color theme="1"/>
        <rFont val="Times New Roman"/>
        <family val="1"/>
      </rPr>
      <t>=</t>
    </r>
    <r>
      <rPr>
        <b/>
        <sz val="12"/>
        <color theme="1"/>
        <rFont val="Calibri"/>
        <family val="2"/>
      </rPr>
      <t xml:space="preserve"> </t>
    </r>
    <r>
      <rPr>
        <b/>
        <sz val="12"/>
        <color theme="1"/>
        <rFont val="Times New Roman"/>
        <family val="1"/>
      </rPr>
      <t>E</t>
    </r>
    <r>
      <rPr>
        <b/>
        <vertAlign val="subscript"/>
        <sz val="12"/>
        <color theme="1"/>
        <rFont val="Times New Roman"/>
        <family val="1"/>
      </rPr>
      <t>fund</t>
    </r>
    <r>
      <rPr>
        <b/>
        <sz val="12"/>
        <color theme="1"/>
        <rFont val="Times New Roman"/>
        <family val="1"/>
      </rPr>
      <t xml:space="preserve"> - E</t>
    </r>
    <r>
      <rPr>
        <b/>
        <vertAlign val="subscript"/>
        <sz val="12"/>
        <color theme="1"/>
        <rFont val="Times New Roman"/>
        <family val="1"/>
      </rPr>
      <t>s1</t>
    </r>
    <r>
      <rPr>
        <b/>
        <sz val="12"/>
        <color theme="1"/>
        <rFont val="Times New Roman"/>
        <family val="1"/>
      </rPr>
      <t>/ eV</t>
    </r>
  </si>
  <si>
    <t>Systems</t>
  </si>
  <si>
    <t>CAM-B3LYP/6-31+g(d,p)</t>
  </si>
  <si>
    <t>B3LYP/6-31+g(d,p)</t>
  </si>
  <si>
    <r>
      <t>N</t>
    </r>
    <r>
      <rPr>
        <b/>
        <vertAlign val="subscript"/>
        <sz val="12"/>
        <color rgb="FF000000"/>
        <rFont val="Times New Roman"/>
        <family val="1"/>
      </rPr>
      <t>atom</t>
    </r>
  </si>
  <si>
    <t>D-0</t>
  </si>
  <si>
    <t>D-1</t>
  </si>
  <si>
    <t>D-2</t>
  </si>
  <si>
    <t>D-3</t>
  </si>
  <si>
    <t>D-4a</t>
  </si>
  <si>
    <t>D-4b</t>
  </si>
  <si>
    <t>-</t>
  </si>
  <si>
    <t>D-5b</t>
  </si>
  <si>
    <t>D-5a</t>
  </si>
  <si>
    <t>D-6</t>
  </si>
  <si>
    <t>D-7</t>
  </si>
  <si>
    <t>D-8</t>
  </si>
  <si>
    <t>D-9</t>
  </si>
  <si>
    <t>D-10</t>
  </si>
  <si>
    <t>D-11</t>
  </si>
  <si>
    <t>D-12</t>
  </si>
  <si>
    <t>Method</t>
  </si>
  <si>
    <r>
      <t>E</t>
    </r>
    <r>
      <rPr>
        <b/>
        <vertAlign val="subscript"/>
        <sz val="12"/>
        <color theme="1"/>
        <rFont val="Times New Roman"/>
        <family val="1"/>
      </rPr>
      <t xml:space="preserve">S0 </t>
    </r>
    <r>
      <rPr>
        <b/>
        <sz val="12"/>
        <color theme="1"/>
        <rFont val="Times New Roman"/>
        <family val="1"/>
      </rPr>
      <t>/ h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</si>
  <si>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S1 </t>
    </r>
    <r>
      <rPr>
        <b/>
        <sz val="12"/>
        <color theme="1"/>
        <rFont val="Times New Roman"/>
        <family val="1"/>
      </rPr>
      <t>/ h</t>
    </r>
  </si>
  <si>
    <r>
      <t>E</t>
    </r>
    <r>
      <rPr>
        <b/>
        <vertAlign val="subscript"/>
        <sz val="12"/>
        <color theme="1"/>
        <rFont val="Times New Roman"/>
        <family val="1"/>
      </rPr>
      <t>S0</t>
    </r>
    <r>
      <rPr>
        <b/>
        <vertAlign val="superscript"/>
        <sz val="12"/>
        <color theme="1"/>
        <rFont val="Times New Roman"/>
        <family val="1"/>
      </rPr>
      <t xml:space="preserve">S1 </t>
    </r>
    <r>
      <rPr>
        <b/>
        <sz val="12"/>
        <color theme="1"/>
        <rFont val="Times New Roman"/>
        <family val="1"/>
      </rPr>
      <t>/ h</t>
    </r>
  </si>
  <si>
    <r>
      <t>ΔE</t>
    </r>
    <r>
      <rPr>
        <b/>
        <vertAlign val="subscript"/>
        <sz val="12"/>
        <color theme="1"/>
        <rFont val="Times New Roman"/>
        <family val="1"/>
      </rPr>
      <t>abs</t>
    </r>
    <r>
      <rPr>
        <b/>
        <vertAlign val="superscript"/>
        <sz val="12"/>
        <color theme="1"/>
        <rFont val="Times New Roman"/>
        <family val="1"/>
      </rPr>
      <t xml:space="preserve">vertical </t>
    </r>
    <r>
      <rPr>
        <b/>
        <sz val="12"/>
        <color theme="1"/>
        <rFont val="Times New Roman"/>
        <family val="1"/>
      </rPr>
      <t>/ eV</t>
    </r>
  </si>
  <si>
    <r>
      <t>ΔE</t>
    </r>
    <r>
      <rPr>
        <b/>
        <vertAlign val="subscript"/>
        <sz val="12"/>
        <color theme="1"/>
        <rFont val="Times New Roman"/>
        <family val="1"/>
      </rPr>
      <t>flu</t>
    </r>
    <r>
      <rPr>
        <b/>
        <sz val="12"/>
        <color theme="1"/>
        <rFont val="Times New Roman"/>
        <family val="1"/>
      </rPr>
      <t xml:space="preserve"> </t>
    </r>
    <r>
      <rPr>
        <b/>
        <vertAlign val="superscript"/>
        <sz val="12"/>
        <color theme="1"/>
        <rFont val="Times New Roman"/>
        <family val="1"/>
      </rPr>
      <t xml:space="preserve">vertical </t>
    </r>
    <r>
      <rPr>
        <b/>
        <sz val="12"/>
        <color theme="1"/>
        <rFont val="Times New Roman"/>
        <family val="1"/>
      </rPr>
      <t>/ eV</t>
    </r>
  </si>
  <si>
    <r>
      <t>ΔE</t>
    </r>
    <r>
      <rPr>
        <b/>
        <vertAlign val="subscript"/>
        <sz val="12"/>
        <color theme="1"/>
        <rFont val="Times New Roman"/>
        <family val="1"/>
      </rPr>
      <t>abs</t>
    </r>
    <r>
      <rPr>
        <b/>
        <vertAlign val="superscript"/>
        <sz val="12"/>
        <color theme="1"/>
        <rFont val="Times New Roman"/>
        <family val="1"/>
      </rPr>
      <t xml:space="preserve">adiabatic </t>
    </r>
    <r>
      <rPr>
        <b/>
        <sz val="12"/>
        <color theme="1"/>
        <rFont val="Times New Roman"/>
        <family val="1"/>
      </rPr>
      <t>/ eV</t>
    </r>
  </si>
  <si>
    <r>
      <t>HOMO</t>
    </r>
    <r>
      <rPr>
        <sz val="12"/>
        <color theme="1"/>
        <rFont val="Calibri"/>
        <family val="2"/>
      </rPr>
      <t>←</t>
    </r>
    <r>
      <rPr>
        <sz val="12"/>
        <color theme="1"/>
        <rFont val="Times New Roman"/>
        <family val="1"/>
      </rPr>
      <t>LUMO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</si>
</sst>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00000"/>
    <numFmt numFmtId="167" formatCode="0.0000000"/>
    <numFmt numFmtId="168" formatCode="#,##0.000000"/>
    <numFmt numFmtId="169" formatCode="#,##0.0000000"/>
    <numFmt numFmtId="170" formatCode="#,##0.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sz val="12"/>
      <color theme="1"/>
      <name val="Times New Roman"/>
      <family val="2"/>
    </font>
    <font>
      <b/>
      <sz val="12"/>
      <color theme="1"/>
      <name val="Calibri"/>
      <family val="2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name val="Times New Roman"/>
      <family val="1"/>
    </font>
    <font>
      <i/>
      <vertAlign val="subscript"/>
      <sz val="12"/>
      <color theme="1"/>
      <name val="Times New Roman"/>
      <family val="1"/>
    </font>
    <font>
      <b/>
      <i/>
      <vertAlign val="subscript"/>
      <sz val="12"/>
      <color theme="1"/>
      <name val="Times New Roman"/>
      <family val="1"/>
    </font>
    <font>
      <i/>
      <sz val="12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i/>
      <vertAlign val="subscript"/>
      <sz val="12"/>
      <name val="Times New Roman"/>
      <family val="1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sz val="12"/>
      <color theme="1"/>
      <name val="Calibri"/>
      <family val="2"/>
    </font>
    <font>
      <i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/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center"/>
    </xf>
    <xf numFmtId="0" fontId="14" fillId="0" borderId="0" xfId="0" applyFont="1"/>
    <xf numFmtId="0" fontId="19" fillId="0" borderId="0" xfId="0" applyFont="1"/>
    <xf numFmtId="164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9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0" fontId="18" fillId="0" borderId="0" xfId="0" applyFont="1"/>
    <xf numFmtId="165" fontId="21" fillId="0" borderId="0" xfId="0" applyNumberFormat="1" applyFont="1" applyAlignment="1">
      <alignment horizontal="center"/>
    </xf>
    <xf numFmtId="165" fontId="2" fillId="0" borderId="0" xfId="0" applyNumberFormat="1" applyFont="1"/>
    <xf numFmtId="0" fontId="8" fillId="0" borderId="0" xfId="0" applyFont="1" applyAlignment="1">
      <alignment horizontal="left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4" fontId="2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Font="1"/>
    <xf numFmtId="0" fontId="25" fillId="0" borderId="0" xfId="0" applyFont="1" applyAlignment="1">
      <alignment horizontal="center"/>
    </xf>
    <xf numFmtId="0" fontId="26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4E68-3F66-49E1-B8EA-7B1A9ED457B0}">
  <dimension ref="A1:AB36"/>
  <sheetViews>
    <sheetView zoomScale="90" zoomScaleNormal="90" workbookViewId="0">
      <selection activeCell="B40" sqref="B40"/>
    </sheetView>
  </sheetViews>
  <sheetFormatPr defaultRowHeight="15.75" x14ac:dyDescent="0.25"/>
  <cols>
    <col min="1" max="1" width="14.28515625" style="8" bestFit="1" customWidth="1"/>
    <col min="2" max="2" width="33.85546875" style="3" bestFit="1" customWidth="1"/>
    <col min="3" max="3" width="10.85546875" style="1" hidden="1" customWidth="1"/>
    <col min="4" max="4" width="12.7109375" style="1" bestFit="1" customWidth="1"/>
    <col min="5" max="5" width="13.5703125" style="3" bestFit="1" customWidth="1"/>
    <col min="6" max="6" width="13.85546875" style="1" bestFit="1" customWidth="1"/>
    <col min="7" max="7" width="13.5703125" style="3" bestFit="1" customWidth="1"/>
    <col min="8" max="8" width="12.5703125" style="3" bestFit="1" customWidth="1"/>
    <col min="9" max="9" width="12.5703125" style="1" bestFit="1" customWidth="1"/>
    <col min="10" max="10" width="15.28515625" style="1" bestFit="1" customWidth="1"/>
    <col min="11" max="11" width="13.85546875" style="7" bestFit="1" customWidth="1"/>
    <col min="12" max="12" width="11" style="1" customWidth="1"/>
    <col min="13" max="13" width="11.140625" style="1" bestFit="1" customWidth="1"/>
    <col min="14" max="14" width="13.5703125" customWidth="1"/>
    <col min="15" max="15" width="10.85546875" style="1" customWidth="1"/>
    <col min="16" max="16" width="10.7109375" style="1" bestFit="1" customWidth="1"/>
    <col min="17" max="17" width="10.42578125" style="4" bestFit="1" customWidth="1"/>
    <col min="18" max="18" width="11.5703125" style="4" customWidth="1"/>
    <col min="19" max="19" width="18.85546875" bestFit="1" customWidth="1"/>
    <col min="20" max="20" width="19.85546875" bestFit="1" customWidth="1"/>
    <col min="22" max="22" width="13.140625" bestFit="1" customWidth="1"/>
    <col min="23" max="23" width="12.5703125" bestFit="1" customWidth="1"/>
    <col min="24" max="24" width="12.28515625" bestFit="1" customWidth="1"/>
    <col min="25" max="25" width="12.85546875" bestFit="1" customWidth="1"/>
    <col min="26" max="26" width="12.5703125" style="16" bestFit="1" customWidth="1"/>
    <col min="27" max="27" width="12.28515625" bestFit="1" customWidth="1"/>
    <col min="28" max="28" width="12.85546875" bestFit="1" customWidth="1"/>
  </cols>
  <sheetData>
    <row r="1" spans="1:28" ht="20.25" x14ac:dyDescent="0.35">
      <c r="A1" s="10" t="s">
        <v>0</v>
      </c>
      <c r="B1" s="10" t="s">
        <v>1</v>
      </c>
      <c r="C1" s="10" t="s">
        <v>10</v>
      </c>
      <c r="D1" s="1" t="s">
        <v>12</v>
      </c>
      <c r="E1" s="1" t="s">
        <v>13</v>
      </c>
      <c r="F1" s="1" t="s">
        <v>14</v>
      </c>
      <c r="G1" s="1" t="s">
        <v>15</v>
      </c>
      <c r="H1" s="24" t="s">
        <v>65</v>
      </c>
      <c r="I1" s="24" t="s">
        <v>16</v>
      </c>
      <c r="J1" s="24" t="s">
        <v>17</v>
      </c>
      <c r="K1" s="25" t="s">
        <v>37</v>
      </c>
      <c r="L1" s="2" t="s">
        <v>18</v>
      </c>
      <c r="M1" s="2" t="s">
        <v>42</v>
      </c>
      <c r="N1" s="2" t="s">
        <v>26</v>
      </c>
      <c r="O1" s="2" t="s">
        <v>41</v>
      </c>
      <c r="P1" s="2" t="s">
        <v>51</v>
      </c>
      <c r="Q1" s="2" t="s">
        <v>21</v>
      </c>
      <c r="R1" s="2" t="s">
        <v>27</v>
      </c>
      <c r="S1" s="2" t="s">
        <v>40</v>
      </c>
      <c r="T1" s="2" t="s">
        <v>38</v>
      </c>
      <c r="U1" s="2" t="s">
        <v>39</v>
      </c>
      <c r="V1" s="24" t="s">
        <v>63</v>
      </c>
      <c r="W1" s="24" t="s">
        <v>44</v>
      </c>
      <c r="X1" s="24" t="s">
        <v>45</v>
      </c>
      <c r="Y1" s="24" t="s">
        <v>46</v>
      </c>
      <c r="Z1" s="24" t="s">
        <v>60</v>
      </c>
      <c r="AA1" s="24" t="s">
        <v>61</v>
      </c>
      <c r="AB1" s="24" t="s">
        <v>62</v>
      </c>
    </row>
    <row r="2" spans="1:28" ht="18.75" x14ac:dyDescent="0.35">
      <c r="A2" s="2">
        <v>1</v>
      </c>
      <c r="B2" s="12" t="s">
        <v>2</v>
      </c>
      <c r="C2" s="1" t="s">
        <v>11</v>
      </c>
      <c r="D2" s="17">
        <v>-8.4440000000000008</v>
      </c>
      <c r="E2" s="1">
        <v>0.81899999999999995</v>
      </c>
      <c r="F2" s="17">
        <v>-8.44</v>
      </c>
      <c r="G2" s="1">
        <v>0.81899999999999995</v>
      </c>
      <c r="H2" s="6">
        <f>(E2-D2)</f>
        <v>9.2630000000000017</v>
      </c>
      <c r="I2" s="26">
        <f>D2-F2</f>
        <v>-4.0000000000013358E-3</v>
      </c>
      <c r="J2" s="6">
        <f t="shared" ref="J2:J14" si="0">G2-E2</f>
        <v>0</v>
      </c>
      <c r="K2" s="27" t="s">
        <v>30</v>
      </c>
      <c r="L2" s="9">
        <v>0.63560000000000005</v>
      </c>
      <c r="M2" s="6">
        <v>7.0568999999999997</v>
      </c>
      <c r="N2" s="9">
        <v>0</v>
      </c>
      <c r="O2" s="6">
        <v>5.4747000000000003</v>
      </c>
      <c r="P2" s="6">
        <f>'IP(a)'!F2</f>
        <v>9.0695324086002973</v>
      </c>
      <c r="Q2" s="6">
        <f>EA!F2</f>
        <v>-1.2704839391597582</v>
      </c>
      <c r="R2" s="6">
        <f t="shared" ref="R2:R14" si="1">P2-Q2</f>
        <v>10.340016347760056</v>
      </c>
      <c r="S2" s="6">
        <f t="shared" ref="S2:S14" si="2">R2-H2</f>
        <v>1.0770163477600541</v>
      </c>
      <c r="T2" s="6">
        <f>(ABS((D2)-(-3.8)))-0.3</f>
        <v>4.3440000000000012</v>
      </c>
      <c r="U2" s="6">
        <f t="shared" ref="U2:U14" si="3">1-10^(-N2)</f>
        <v>0</v>
      </c>
      <c r="V2" s="6">
        <f t="shared" ref="V2:V13" si="4">(ABS((D2)-(-3.83)))-0.3</f>
        <v>4.3140000000000009</v>
      </c>
      <c r="W2" s="6">
        <f t="shared" ref="W2:W14" si="5">(-3.8)-D2</f>
        <v>4.644000000000001</v>
      </c>
      <c r="X2" s="6">
        <f>E2-(-3.8)</f>
        <v>4.6189999999999998</v>
      </c>
      <c r="Y2" s="6">
        <f t="shared" ref="Y2:Y14" si="6">ABS(D2-(-5.93))</f>
        <v>2.5140000000000011</v>
      </c>
      <c r="Z2" s="17">
        <f t="shared" ref="Z2:Z14" si="7">(-3.83)-D2</f>
        <v>4.6140000000000008</v>
      </c>
      <c r="AA2" s="28">
        <f t="shared" ref="AA2:AA14" si="8">E2-(-3.83)</f>
        <v>4.649</v>
      </c>
      <c r="AB2" s="11">
        <f t="shared" ref="AB2:AB14" si="9">ABS(D2-(-5.48))</f>
        <v>2.9640000000000004</v>
      </c>
    </row>
    <row r="3" spans="1:28" ht="18.75" x14ac:dyDescent="0.35">
      <c r="A3" s="2">
        <v>2</v>
      </c>
      <c r="B3" s="12" t="s">
        <v>3</v>
      </c>
      <c r="C3" s="1" t="s">
        <v>11</v>
      </c>
      <c r="D3" s="17">
        <v>-7.383</v>
      </c>
      <c r="E3" s="1">
        <v>-0.17399999999999999</v>
      </c>
      <c r="F3" s="1">
        <v>-8.1660000000000004</v>
      </c>
      <c r="G3" s="1">
        <v>0.59499999999999997</v>
      </c>
      <c r="H3" s="6">
        <f t="shared" ref="H3:H13" si="10">(E3-D3)</f>
        <v>7.2089999999999996</v>
      </c>
      <c r="I3" s="6">
        <f t="shared" ref="I3:I13" si="11">D3-F3</f>
        <v>0.78300000000000036</v>
      </c>
      <c r="J3" s="6">
        <f t="shared" si="0"/>
        <v>0.76899999999999991</v>
      </c>
      <c r="K3" s="7" t="s">
        <v>31</v>
      </c>
      <c r="L3" s="9">
        <v>1.3280000000000001</v>
      </c>
      <c r="M3" s="6">
        <v>6.0289000000000001</v>
      </c>
      <c r="N3" s="9">
        <v>0</v>
      </c>
      <c r="O3" s="6">
        <v>4.5972</v>
      </c>
      <c r="P3" s="6">
        <f>'IP(a)'!F3</f>
        <v>7.8162215839811093</v>
      </c>
      <c r="Q3" s="6">
        <f>EA!F3</f>
        <v>-0.23702762084078885</v>
      </c>
      <c r="R3" s="6">
        <f t="shared" si="1"/>
        <v>8.0532492048218973</v>
      </c>
      <c r="S3" s="6">
        <f t="shared" si="2"/>
        <v>0.84424920482189769</v>
      </c>
      <c r="T3" s="6">
        <f t="shared" ref="T3:T13" si="12">(ABS((D3)-(-3.8)))-0.3</f>
        <v>3.2830000000000004</v>
      </c>
      <c r="U3" s="6">
        <f t="shared" si="3"/>
        <v>0</v>
      </c>
      <c r="V3" s="6">
        <f t="shared" si="4"/>
        <v>3.2530000000000001</v>
      </c>
      <c r="W3" s="6">
        <f t="shared" si="5"/>
        <v>3.5830000000000002</v>
      </c>
      <c r="X3" s="6">
        <f t="shared" ref="X3:X14" si="13">E3-(-3.8)</f>
        <v>3.6259999999999999</v>
      </c>
      <c r="Y3" s="6">
        <f t="shared" si="6"/>
        <v>1.4530000000000003</v>
      </c>
      <c r="Z3" s="17">
        <f t="shared" si="7"/>
        <v>3.5529999999999999</v>
      </c>
      <c r="AA3" s="28">
        <f t="shared" si="8"/>
        <v>3.6560000000000001</v>
      </c>
      <c r="AB3" s="11">
        <f t="shared" si="9"/>
        <v>1.9029999999999996</v>
      </c>
    </row>
    <row r="4" spans="1:28" ht="18.75" x14ac:dyDescent="0.35">
      <c r="A4" s="2">
        <v>3</v>
      </c>
      <c r="B4" s="13" t="s">
        <v>4</v>
      </c>
      <c r="C4" s="1" t="s">
        <v>11</v>
      </c>
      <c r="D4" s="17">
        <v>-7.53</v>
      </c>
      <c r="E4" s="1">
        <v>0.85799999999999998</v>
      </c>
      <c r="F4" s="1">
        <v>-8.4309999999999992</v>
      </c>
      <c r="G4" s="1">
        <v>0.92400000000000004</v>
      </c>
      <c r="H4" s="6">
        <f t="shared" si="10"/>
        <v>8.3879999999999999</v>
      </c>
      <c r="I4" s="6">
        <f t="shared" si="11"/>
        <v>0.90099999999999891</v>
      </c>
      <c r="J4" s="6">
        <f t="shared" si="0"/>
        <v>6.6000000000000059E-2</v>
      </c>
      <c r="K4" s="7" t="s">
        <v>32</v>
      </c>
      <c r="L4" s="9">
        <v>0.54769999999999996</v>
      </c>
      <c r="M4" s="6">
        <v>6.8063000000000002</v>
      </c>
      <c r="N4" s="9">
        <v>3.4000000000000002E-2</v>
      </c>
      <c r="O4" s="6">
        <v>5.1750999999999996</v>
      </c>
      <c r="P4" s="6">
        <f>'IP(a)'!F4</f>
        <v>7.8427690258196678</v>
      </c>
      <c r="Q4" s="6">
        <f>EA!F4</f>
        <v>-1.050215819579347</v>
      </c>
      <c r="R4" s="6">
        <f t="shared" si="1"/>
        <v>8.892984845399015</v>
      </c>
      <c r="S4" s="6">
        <f t="shared" si="2"/>
        <v>0.50498484539901511</v>
      </c>
      <c r="T4" s="6">
        <f t="shared" si="12"/>
        <v>3.4300000000000006</v>
      </c>
      <c r="U4" s="6">
        <f t="shared" si="3"/>
        <v>7.5301826061777488E-2</v>
      </c>
      <c r="V4" s="6">
        <f t="shared" si="4"/>
        <v>3.4000000000000004</v>
      </c>
      <c r="W4" s="6">
        <f t="shared" si="5"/>
        <v>3.7300000000000004</v>
      </c>
      <c r="X4" s="6">
        <f t="shared" si="13"/>
        <v>4.6579999999999995</v>
      </c>
      <c r="Y4" s="6">
        <f t="shared" si="6"/>
        <v>1.6000000000000005</v>
      </c>
      <c r="Z4" s="17">
        <f t="shared" si="7"/>
        <v>3.7</v>
      </c>
      <c r="AA4" s="28">
        <f t="shared" si="8"/>
        <v>4.6879999999999997</v>
      </c>
      <c r="AB4" s="11">
        <f t="shared" si="9"/>
        <v>2.0499999999999998</v>
      </c>
    </row>
    <row r="5" spans="1:28" ht="18.75" x14ac:dyDescent="0.35">
      <c r="A5" s="2">
        <v>4</v>
      </c>
      <c r="B5" s="12" t="s">
        <v>47</v>
      </c>
      <c r="C5" s="1" t="s">
        <v>11</v>
      </c>
      <c r="D5" s="17">
        <v>-6.952</v>
      </c>
      <c r="E5" s="1">
        <v>-0.57799999999999996</v>
      </c>
      <c r="F5" s="1">
        <v>-8.2349999999999994</v>
      </c>
      <c r="G5" s="1">
        <v>0.90300000000000002</v>
      </c>
      <c r="H5" s="6">
        <f t="shared" si="10"/>
        <v>6.3739999999999997</v>
      </c>
      <c r="I5" s="6">
        <f t="shared" si="11"/>
        <v>1.2829999999999995</v>
      </c>
      <c r="J5" s="6">
        <f t="shared" si="0"/>
        <v>1.4809999999999999</v>
      </c>
      <c r="K5" s="7" t="s">
        <v>33</v>
      </c>
      <c r="L5" s="9">
        <v>0.9798</v>
      </c>
      <c r="M5" s="6">
        <v>6.1451000000000002</v>
      </c>
      <c r="N5" s="9">
        <v>9.8500000000000004E-2</v>
      </c>
      <c r="O5" s="6">
        <v>3.8887999999999998</v>
      </c>
      <c r="P5" s="6">
        <f>'IP(a)'!F5</f>
        <v>7.4074873079985721</v>
      </c>
      <c r="Q5" s="6">
        <f>EA!F5</f>
        <v>8.855133788040441E-2</v>
      </c>
      <c r="R5" s="6">
        <f t="shared" si="1"/>
        <v>7.3189359701181678</v>
      </c>
      <c r="S5" s="6">
        <f t="shared" si="2"/>
        <v>0.9449359701181681</v>
      </c>
      <c r="T5" s="6">
        <f t="shared" si="12"/>
        <v>2.8520000000000003</v>
      </c>
      <c r="U5" s="6">
        <f t="shared" si="3"/>
        <v>0.20292350940970316</v>
      </c>
      <c r="V5" s="6">
        <f t="shared" si="4"/>
        <v>2.8220000000000001</v>
      </c>
      <c r="W5" s="6">
        <f t="shared" si="5"/>
        <v>3.1520000000000001</v>
      </c>
      <c r="X5" s="6">
        <f t="shared" si="13"/>
        <v>3.222</v>
      </c>
      <c r="Y5" s="6">
        <f t="shared" si="6"/>
        <v>1.0220000000000002</v>
      </c>
      <c r="Z5" s="17">
        <f t="shared" si="7"/>
        <v>3.1219999999999999</v>
      </c>
      <c r="AA5" s="28">
        <f t="shared" si="8"/>
        <v>3.2520000000000002</v>
      </c>
      <c r="AB5" s="11">
        <f t="shared" si="9"/>
        <v>1.4719999999999995</v>
      </c>
    </row>
    <row r="6" spans="1:28" ht="18.75" x14ac:dyDescent="0.35">
      <c r="A6" s="2">
        <v>5</v>
      </c>
      <c r="B6" s="12" t="s">
        <v>48</v>
      </c>
      <c r="C6" s="1" t="s">
        <v>11</v>
      </c>
      <c r="D6" s="17">
        <v>-7.641</v>
      </c>
      <c r="E6" s="1">
        <v>-1.0089999999999999</v>
      </c>
      <c r="F6" s="17">
        <v>-8.52</v>
      </c>
      <c r="G6" s="1">
        <v>0.71699999999999997</v>
      </c>
      <c r="H6" s="6">
        <f t="shared" si="10"/>
        <v>6.6319999999999997</v>
      </c>
      <c r="I6" s="6">
        <f t="shared" si="11"/>
        <v>0.87899999999999956</v>
      </c>
      <c r="J6" s="6">
        <f t="shared" si="0"/>
        <v>1.726</v>
      </c>
      <c r="K6" s="7" t="s">
        <v>33</v>
      </c>
      <c r="L6" s="9">
        <v>0.56520000000000004</v>
      </c>
      <c r="M6" s="6">
        <v>6.3273000000000001</v>
      </c>
      <c r="N6" s="9">
        <v>9.0200000000000002E-2</v>
      </c>
      <c r="O6" s="6">
        <v>4.1029</v>
      </c>
      <c r="P6" s="6">
        <f>'IP(a)'!F6</f>
        <v>8.098003794399963</v>
      </c>
      <c r="Q6" s="6">
        <f>EA!F6</f>
        <v>0.47666481494210439</v>
      </c>
      <c r="R6" s="6">
        <f t="shared" si="1"/>
        <v>7.6213389794578585</v>
      </c>
      <c r="S6" s="6">
        <f t="shared" si="2"/>
        <v>0.98933897945785887</v>
      </c>
      <c r="T6" s="6">
        <f t="shared" si="12"/>
        <v>3.5410000000000004</v>
      </c>
      <c r="U6" s="6">
        <f t="shared" si="3"/>
        <v>0.18754371994416852</v>
      </c>
      <c r="V6" s="6">
        <f t="shared" si="4"/>
        <v>3.5110000000000001</v>
      </c>
      <c r="W6" s="6">
        <f t="shared" si="5"/>
        <v>3.8410000000000002</v>
      </c>
      <c r="X6" s="6">
        <f t="shared" si="13"/>
        <v>2.7909999999999999</v>
      </c>
      <c r="Y6" s="6">
        <f t="shared" si="6"/>
        <v>1.7110000000000003</v>
      </c>
      <c r="Z6" s="17">
        <f t="shared" si="7"/>
        <v>3.8109999999999999</v>
      </c>
      <c r="AA6" s="28">
        <f t="shared" si="8"/>
        <v>2.8210000000000002</v>
      </c>
      <c r="AB6" s="11">
        <f t="shared" si="9"/>
        <v>2.1609999999999996</v>
      </c>
    </row>
    <row r="7" spans="1:28" ht="18.75" x14ac:dyDescent="0.35">
      <c r="A7" s="2">
        <v>6</v>
      </c>
      <c r="B7" s="12" t="s">
        <v>6</v>
      </c>
      <c r="C7" s="1" t="s">
        <v>11</v>
      </c>
      <c r="D7" s="17">
        <v>-8.2520000000000007</v>
      </c>
      <c r="E7" s="1">
        <v>-1.5329999999999999</v>
      </c>
      <c r="F7" s="1">
        <v>-8.827</v>
      </c>
      <c r="G7" s="17">
        <v>0.83</v>
      </c>
      <c r="H7" s="6">
        <f t="shared" si="10"/>
        <v>6.7190000000000012</v>
      </c>
      <c r="I7" s="6">
        <f t="shared" si="11"/>
        <v>0.57499999999999929</v>
      </c>
      <c r="J7" s="6">
        <f t="shared" si="0"/>
        <v>2.363</v>
      </c>
      <c r="K7" s="7" t="s">
        <v>34</v>
      </c>
      <c r="L7" s="9">
        <v>0.37390000000000001</v>
      </c>
      <c r="M7" s="6">
        <v>7.1010999999999997</v>
      </c>
      <c r="N7" s="9">
        <v>6.8199999999999997E-2</v>
      </c>
      <c r="O7" s="6">
        <v>4.1231</v>
      </c>
      <c r="P7" s="6">
        <f>'IP(a)'!F7</f>
        <v>8.7189271252991798</v>
      </c>
      <c r="Q7" s="6">
        <f>EA!F7</f>
        <v>0.95799094270203022</v>
      </c>
      <c r="R7" s="6">
        <f t="shared" si="1"/>
        <v>7.7609361825971499</v>
      </c>
      <c r="S7" s="6">
        <f t="shared" si="2"/>
        <v>1.0419361825971487</v>
      </c>
      <c r="T7" s="6">
        <f t="shared" si="12"/>
        <v>4.152000000000001</v>
      </c>
      <c r="U7" s="6">
        <f t="shared" si="3"/>
        <v>0.14532696923302235</v>
      </c>
      <c r="V7" s="6">
        <f t="shared" si="4"/>
        <v>4.1220000000000008</v>
      </c>
      <c r="W7" s="6">
        <f t="shared" si="5"/>
        <v>4.4520000000000008</v>
      </c>
      <c r="X7" s="6">
        <f t="shared" si="13"/>
        <v>2.2669999999999999</v>
      </c>
      <c r="Y7" s="6">
        <f t="shared" si="6"/>
        <v>2.322000000000001</v>
      </c>
      <c r="Z7" s="17">
        <f t="shared" si="7"/>
        <v>4.4220000000000006</v>
      </c>
      <c r="AA7" s="28">
        <f t="shared" si="8"/>
        <v>2.2970000000000002</v>
      </c>
      <c r="AB7" s="11">
        <f t="shared" si="9"/>
        <v>2.7720000000000002</v>
      </c>
    </row>
    <row r="8" spans="1:28" ht="18.75" x14ac:dyDescent="0.35">
      <c r="A8" s="2">
        <v>7</v>
      </c>
      <c r="B8" s="12" t="s">
        <v>49</v>
      </c>
      <c r="C8" s="1" t="s">
        <v>11</v>
      </c>
      <c r="D8" s="17">
        <v>-6.8739999999999997</v>
      </c>
      <c r="E8" s="1">
        <v>-0.69599999999999995</v>
      </c>
      <c r="F8" s="1">
        <v>-9.1210000000000004</v>
      </c>
      <c r="G8" s="17">
        <v>0.71</v>
      </c>
      <c r="H8" s="6">
        <f t="shared" si="10"/>
        <v>6.1779999999999999</v>
      </c>
      <c r="I8" s="6">
        <f t="shared" si="11"/>
        <v>2.2470000000000008</v>
      </c>
      <c r="J8" s="6">
        <f t="shared" si="0"/>
        <v>1.4059999999999999</v>
      </c>
      <c r="K8" s="7" t="s">
        <v>35</v>
      </c>
      <c r="L8" s="9">
        <v>0.25030000000000002</v>
      </c>
      <c r="M8" s="26">
        <v>3.6421000000000001</v>
      </c>
      <c r="N8" s="9">
        <v>0.25030000000000002</v>
      </c>
      <c r="O8" s="6">
        <v>4.5621999999999998</v>
      </c>
      <c r="P8" s="6">
        <f>'IP(a)'!F8</f>
        <v>7.2790250097402476</v>
      </c>
      <c r="Q8" s="6">
        <f>EA!F8</f>
        <v>0.35546523934183971</v>
      </c>
      <c r="R8" s="6">
        <f t="shared" si="1"/>
        <v>6.9235597703984082</v>
      </c>
      <c r="S8" s="6">
        <f t="shared" si="2"/>
        <v>0.74555977039840826</v>
      </c>
      <c r="T8" s="6">
        <f t="shared" si="12"/>
        <v>2.774</v>
      </c>
      <c r="U8" s="6">
        <f t="shared" si="3"/>
        <v>0.43804699229986754</v>
      </c>
      <c r="V8" s="6">
        <f t="shared" si="4"/>
        <v>2.7439999999999998</v>
      </c>
      <c r="W8" s="6">
        <f t="shared" si="5"/>
        <v>3.0739999999999998</v>
      </c>
      <c r="X8" s="6">
        <f t="shared" si="13"/>
        <v>3.1040000000000001</v>
      </c>
      <c r="Y8" s="6">
        <f t="shared" si="6"/>
        <v>0.94399999999999995</v>
      </c>
      <c r="Z8" s="17">
        <f t="shared" si="7"/>
        <v>3.0439999999999996</v>
      </c>
      <c r="AA8" s="28">
        <f t="shared" si="8"/>
        <v>3.1340000000000003</v>
      </c>
      <c r="AB8" s="11">
        <f t="shared" si="9"/>
        <v>1.3939999999999992</v>
      </c>
    </row>
    <row r="9" spans="1:28" ht="18.75" x14ac:dyDescent="0.35">
      <c r="A9" s="2">
        <v>8</v>
      </c>
      <c r="B9" s="12" t="s">
        <v>5</v>
      </c>
      <c r="C9" s="1" t="s">
        <v>11</v>
      </c>
      <c r="D9" s="17">
        <v>-8.0850000000000009</v>
      </c>
      <c r="E9" s="1">
        <v>-0.14699999999999999</v>
      </c>
      <c r="F9" s="1">
        <v>-8.298</v>
      </c>
      <c r="G9" s="1">
        <v>0.53500000000000003</v>
      </c>
      <c r="H9" s="6">
        <f t="shared" si="10"/>
        <v>7.9380000000000006</v>
      </c>
      <c r="I9" s="6">
        <f t="shared" si="11"/>
        <v>0.21299999999999919</v>
      </c>
      <c r="J9" s="6">
        <f t="shared" si="0"/>
        <v>0.68200000000000005</v>
      </c>
      <c r="K9" s="7" t="s">
        <v>30</v>
      </c>
      <c r="L9" s="9">
        <v>0.41689999999999999</v>
      </c>
      <c r="M9" s="6">
        <v>6.1235999999999997</v>
      </c>
      <c r="N9" s="9">
        <v>0.1144</v>
      </c>
      <c r="O9" s="6">
        <v>5.3414000000000001</v>
      </c>
      <c r="P9" s="6">
        <f>'IP(a)'!F9</f>
        <v>8.5373291262622963</v>
      </c>
      <c r="Q9" s="6">
        <f>EA!F9</f>
        <v>-0.21408024722118485</v>
      </c>
      <c r="R9" s="6">
        <f t="shared" si="1"/>
        <v>8.7514093734834812</v>
      </c>
      <c r="S9" s="6">
        <f t="shared" si="2"/>
        <v>0.81340937348348064</v>
      </c>
      <c r="T9" s="6">
        <f t="shared" si="12"/>
        <v>3.9850000000000012</v>
      </c>
      <c r="U9" s="6">
        <f t="shared" si="3"/>
        <v>0.23157762889997369</v>
      </c>
      <c r="V9" s="6">
        <f t="shared" si="4"/>
        <v>3.955000000000001</v>
      </c>
      <c r="W9" s="6">
        <f t="shared" si="5"/>
        <v>4.285000000000001</v>
      </c>
      <c r="X9" s="6">
        <f t="shared" si="13"/>
        <v>3.653</v>
      </c>
      <c r="Y9" s="6">
        <f t="shared" si="6"/>
        <v>2.1550000000000011</v>
      </c>
      <c r="Z9" s="17">
        <f t="shared" si="7"/>
        <v>4.2550000000000008</v>
      </c>
      <c r="AA9" s="28">
        <f t="shared" si="8"/>
        <v>3.6830000000000003</v>
      </c>
      <c r="AB9" s="11">
        <f t="shared" si="9"/>
        <v>2.6050000000000004</v>
      </c>
    </row>
    <row r="10" spans="1:28" ht="18.75" x14ac:dyDescent="0.35">
      <c r="A10" s="2">
        <v>9</v>
      </c>
      <c r="B10" s="12" t="s">
        <v>50</v>
      </c>
      <c r="C10" s="1" t="s">
        <v>11</v>
      </c>
      <c r="D10" s="17">
        <v>-7.5270000000000001</v>
      </c>
      <c r="E10" s="1">
        <v>0.73699999999999999</v>
      </c>
      <c r="F10" s="1">
        <v>-7.617</v>
      </c>
      <c r="G10" s="1">
        <v>0.83</v>
      </c>
      <c r="H10" s="6">
        <f t="shared" si="10"/>
        <v>8.2639999999999993</v>
      </c>
      <c r="I10" s="6">
        <f t="shared" si="11"/>
        <v>8.9999999999999858E-2</v>
      </c>
      <c r="J10" s="6">
        <f t="shared" si="0"/>
        <v>9.2999999999999972E-2</v>
      </c>
      <c r="K10" s="7" t="s">
        <v>35</v>
      </c>
      <c r="L10" s="9">
        <v>0.19170000000000001</v>
      </c>
      <c r="M10" s="6">
        <v>5.3886000000000003</v>
      </c>
      <c r="N10" s="9">
        <v>9.2299999999999993E-2</v>
      </c>
      <c r="O10" s="6">
        <v>5.5340999999999996</v>
      </c>
      <c r="P10" s="6">
        <f>'IP(a)'!F10</f>
        <v>7.8686089712615583</v>
      </c>
      <c r="Q10" s="6">
        <f>EA!F10</f>
        <v>-0.9799451002210483</v>
      </c>
      <c r="R10" s="6">
        <f t="shared" si="1"/>
        <v>8.8485540714826065</v>
      </c>
      <c r="S10" s="6">
        <f t="shared" si="2"/>
        <v>0.58455407148260718</v>
      </c>
      <c r="T10" s="6">
        <f t="shared" si="12"/>
        <v>3.4270000000000005</v>
      </c>
      <c r="U10" s="6">
        <f t="shared" si="3"/>
        <v>0.19146281147445321</v>
      </c>
      <c r="V10" s="6">
        <f t="shared" si="4"/>
        <v>3.3970000000000002</v>
      </c>
      <c r="W10" s="6">
        <f t="shared" si="5"/>
        <v>3.7270000000000003</v>
      </c>
      <c r="X10" s="6">
        <f t="shared" si="13"/>
        <v>4.5369999999999999</v>
      </c>
      <c r="Y10" s="6">
        <f t="shared" si="6"/>
        <v>1.5970000000000004</v>
      </c>
      <c r="Z10" s="17">
        <f t="shared" si="7"/>
        <v>3.6970000000000001</v>
      </c>
      <c r="AA10" s="28">
        <f t="shared" si="8"/>
        <v>4.5670000000000002</v>
      </c>
      <c r="AB10" s="11">
        <f t="shared" si="9"/>
        <v>2.0469999999999997</v>
      </c>
    </row>
    <row r="11" spans="1:28" ht="18.75" x14ac:dyDescent="0.35">
      <c r="A11" s="2">
        <v>10</v>
      </c>
      <c r="B11" s="12" t="s">
        <v>7</v>
      </c>
      <c r="C11" s="1" t="s">
        <v>11</v>
      </c>
      <c r="D11" s="17">
        <v>-7.8550000000000004</v>
      </c>
      <c r="E11" s="1">
        <v>-1.4550000000000001</v>
      </c>
      <c r="F11" s="1">
        <v>-8.7509999999999994</v>
      </c>
      <c r="G11" s="1">
        <v>0.86299999999999999</v>
      </c>
      <c r="H11" s="6">
        <f t="shared" si="10"/>
        <v>6.4</v>
      </c>
      <c r="I11" s="6">
        <f t="shared" si="11"/>
        <v>0.89599999999999902</v>
      </c>
      <c r="J11" s="6">
        <f t="shared" si="0"/>
        <v>2.3180000000000001</v>
      </c>
      <c r="K11" s="7" t="s">
        <v>36</v>
      </c>
      <c r="L11" s="9">
        <v>0.5494</v>
      </c>
      <c r="M11" s="6">
        <v>6.3711000000000002</v>
      </c>
      <c r="N11" s="9">
        <v>5.1200000000000002E-2</v>
      </c>
      <c r="O11" s="6">
        <v>3.7305000000000001</v>
      </c>
      <c r="P11" s="6">
        <f>'IP(a)'!F11</f>
        <v>8.3073710271425298</v>
      </c>
      <c r="Q11" s="6">
        <f>EA!F11</f>
        <v>0.92409914399943183</v>
      </c>
      <c r="R11" s="6">
        <f t="shared" si="1"/>
        <v>7.3832718831430979</v>
      </c>
      <c r="S11" s="6">
        <f t="shared" si="2"/>
        <v>0.98327188314309755</v>
      </c>
      <c r="T11" s="6">
        <f t="shared" si="12"/>
        <v>3.7550000000000008</v>
      </c>
      <c r="U11" s="6">
        <f t="shared" si="3"/>
        <v>0.11120828011518002</v>
      </c>
      <c r="V11" s="6">
        <f t="shared" si="4"/>
        <v>3.7250000000000005</v>
      </c>
      <c r="W11" s="6">
        <f t="shared" si="5"/>
        <v>4.0550000000000006</v>
      </c>
      <c r="X11" s="6">
        <f t="shared" si="13"/>
        <v>2.3449999999999998</v>
      </c>
      <c r="Y11" s="6">
        <f t="shared" si="6"/>
        <v>1.9250000000000007</v>
      </c>
      <c r="Z11" s="17">
        <f t="shared" si="7"/>
        <v>4.0250000000000004</v>
      </c>
      <c r="AA11" s="28">
        <f t="shared" si="8"/>
        <v>2.375</v>
      </c>
      <c r="AB11" s="11">
        <f t="shared" si="9"/>
        <v>2.375</v>
      </c>
    </row>
    <row r="12" spans="1:28" s="33" customFormat="1" ht="18.75" x14ac:dyDescent="0.35">
      <c r="A12" s="29">
        <v>11</v>
      </c>
      <c r="B12" s="15" t="s">
        <v>8</v>
      </c>
      <c r="C12" s="14" t="s">
        <v>11</v>
      </c>
      <c r="D12" s="30">
        <v>-6.8490000000000002</v>
      </c>
      <c r="E12" s="14">
        <v>-0.77200000000000002</v>
      </c>
      <c r="F12" s="14">
        <v>-8.4220000000000006</v>
      </c>
      <c r="G12" s="14">
        <v>0.501</v>
      </c>
      <c r="H12" s="26">
        <f t="shared" si="10"/>
        <v>6.077</v>
      </c>
      <c r="I12" s="26">
        <f t="shared" si="11"/>
        <v>1.5730000000000004</v>
      </c>
      <c r="J12" s="26">
        <f t="shared" si="0"/>
        <v>1.2730000000000001</v>
      </c>
      <c r="K12" s="31" t="s">
        <v>43</v>
      </c>
      <c r="L12" s="32">
        <v>0.81979999999999997</v>
      </c>
      <c r="M12" s="26">
        <v>3.7382</v>
      </c>
      <c r="N12" s="32">
        <v>0.81979999999999997</v>
      </c>
      <c r="O12" s="26">
        <v>3.7382</v>
      </c>
      <c r="P12" s="26">
        <f>'IP(a)'!F12</f>
        <v>6.9127078640792021</v>
      </c>
      <c r="Q12" s="26">
        <f>EA!F12</f>
        <v>0.63684744218046596</v>
      </c>
      <c r="R12" s="26">
        <f t="shared" si="1"/>
        <v>6.2758604218987362</v>
      </c>
      <c r="S12" s="26">
        <f t="shared" si="2"/>
        <v>0.19886042189873621</v>
      </c>
      <c r="T12" s="6">
        <f t="shared" si="12"/>
        <v>2.7490000000000006</v>
      </c>
      <c r="U12" s="6">
        <f t="shared" si="3"/>
        <v>0.84857415703306049</v>
      </c>
      <c r="V12" s="6">
        <f t="shared" si="4"/>
        <v>2.7190000000000003</v>
      </c>
      <c r="W12" s="6">
        <f t="shared" si="5"/>
        <v>3.0490000000000004</v>
      </c>
      <c r="X12" s="6">
        <f t="shared" si="13"/>
        <v>3.0279999999999996</v>
      </c>
      <c r="Y12" s="6">
        <f t="shared" si="6"/>
        <v>0.91900000000000048</v>
      </c>
      <c r="Z12" s="17">
        <f t="shared" si="7"/>
        <v>3.0190000000000001</v>
      </c>
      <c r="AA12" s="28">
        <f t="shared" si="8"/>
        <v>3.0579999999999998</v>
      </c>
      <c r="AB12" s="11">
        <f t="shared" si="9"/>
        <v>1.3689999999999998</v>
      </c>
    </row>
    <row r="13" spans="1:28" ht="18.75" x14ac:dyDescent="0.35">
      <c r="A13" s="2">
        <v>12</v>
      </c>
      <c r="B13" s="12" t="s">
        <v>9</v>
      </c>
      <c r="C13" s="1" t="s">
        <v>11</v>
      </c>
      <c r="D13" s="17">
        <v>-7.07</v>
      </c>
      <c r="E13" s="1">
        <v>3.7999999999999999E-2</v>
      </c>
      <c r="F13" s="1">
        <v>-7.3040000000000003</v>
      </c>
      <c r="G13" s="1">
        <v>0.67700000000000005</v>
      </c>
      <c r="H13" s="6">
        <f t="shared" si="10"/>
        <v>7.1080000000000005</v>
      </c>
      <c r="I13" s="6">
        <f t="shared" si="11"/>
        <v>0.23399999999999999</v>
      </c>
      <c r="J13" s="6">
        <f t="shared" si="0"/>
        <v>0.63900000000000001</v>
      </c>
      <c r="K13" s="7" t="s">
        <v>32</v>
      </c>
      <c r="L13" s="9">
        <v>0.82789999999999997</v>
      </c>
      <c r="M13" s="6">
        <v>5.8413000000000004</v>
      </c>
      <c r="N13" s="9">
        <v>3.73E-2</v>
      </c>
      <c r="O13" s="6">
        <v>4.3719000000000001</v>
      </c>
      <c r="P13" s="6">
        <f>'IP(a)'!F13</f>
        <v>7.3616714738200928</v>
      </c>
      <c r="Q13" s="6">
        <f>EA!F13</f>
        <v>-0.32781573579833018</v>
      </c>
      <c r="R13" s="6">
        <f t="shared" si="1"/>
        <v>7.6894872096184228</v>
      </c>
      <c r="S13" s="6">
        <f t="shared" si="2"/>
        <v>0.58148720961842226</v>
      </c>
      <c r="T13" s="6">
        <f t="shared" si="12"/>
        <v>2.9700000000000006</v>
      </c>
      <c r="U13" s="6">
        <f t="shared" si="3"/>
        <v>8.2301546150218785E-2</v>
      </c>
      <c r="V13" s="6">
        <f t="shared" si="4"/>
        <v>2.9400000000000004</v>
      </c>
      <c r="W13" s="6">
        <f t="shared" si="5"/>
        <v>3.2700000000000005</v>
      </c>
      <c r="X13" s="6">
        <f t="shared" si="13"/>
        <v>3.8379999999999996</v>
      </c>
      <c r="Y13" s="6">
        <f t="shared" si="6"/>
        <v>1.1400000000000006</v>
      </c>
      <c r="Z13" s="17">
        <f t="shared" si="7"/>
        <v>3.24</v>
      </c>
      <c r="AA13" s="28">
        <f t="shared" si="8"/>
        <v>3.8679999999999999</v>
      </c>
      <c r="AB13" s="11">
        <f t="shared" si="9"/>
        <v>1.5899999999999999</v>
      </c>
    </row>
    <row r="14" spans="1:28" ht="18.75" x14ac:dyDescent="0.35">
      <c r="B14" s="3" t="s">
        <v>11</v>
      </c>
      <c r="D14" s="1">
        <v>-7.4687999999999999</v>
      </c>
      <c r="E14" s="1">
        <v>-1.6169</v>
      </c>
      <c r="F14" s="1">
        <v>-9.2582000000000004</v>
      </c>
      <c r="G14" s="1">
        <v>0.53059999999999996</v>
      </c>
      <c r="H14" s="6">
        <f>(E14-D14)</f>
        <v>5.8518999999999997</v>
      </c>
      <c r="I14" s="6">
        <f>D14-F14</f>
        <v>1.7894000000000005</v>
      </c>
      <c r="J14" s="6">
        <f t="shared" si="0"/>
        <v>2.1475</v>
      </c>
      <c r="K14" s="7" t="s">
        <v>57</v>
      </c>
      <c r="L14" s="1">
        <v>0.34329999999999999</v>
      </c>
      <c r="M14" s="6">
        <v>7.1792999999999996</v>
      </c>
      <c r="N14" s="9">
        <v>0.27489999999999998</v>
      </c>
      <c r="O14" s="6">
        <v>3.5363000000000002</v>
      </c>
      <c r="P14" s="6">
        <f>'IP(a)'!F14</f>
        <v>7.9196249039799014</v>
      </c>
      <c r="Q14" s="6">
        <f>EA!F14</f>
        <v>1.0749836358599232</v>
      </c>
      <c r="R14" s="6">
        <f t="shared" si="1"/>
        <v>6.844641268119978</v>
      </c>
      <c r="S14" s="6">
        <f t="shared" si="2"/>
        <v>0.99274126811997832</v>
      </c>
      <c r="T14" s="6">
        <f>(ABS((D14)-(-3.8)))-0.3</f>
        <v>3.3688000000000002</v>
      </c>
      <c r="U14" s="6">
        <f t="shared" si="3"/>
        <v>0.46899330103371639</v>
      </c>
      <c r="V14" s="6">
        <f>(ABS((D14)-(-3.83)))-0.3</f>
        <v>3.3388</v>
      </c>
      <c r="W14" s="6">
        <f t="shared" si="5"/>
        <v>3.6688000000000001</v>
      </c>
      <c r="X14" s="6">
        <f t="shared" si="13"/>
        <v>2.1830999999999996</v>
      </c>
      <c r="Y14" s="6">
        <f t="shared" si="6"/>
        <v>1.5388000000000002</v>
      </c>
      <c r="Z14" s="17">
        <f t="shared" si="7"/>
        <v>3.6387999999999998</v>
      </c>
      <c r="AA14" s="4">
        <f t="shared" si="8"/>
        <v>2.2130999999999998</v>
      </c>
      <c r="AB14">
        <f t="shared" si="9"/>
        <v>1.9887999999999995</v>
      </c>
    </row>
    <row r="15" spans="1:28" x14ac:dyDescent="0.25">
      <c r="I15" s="1" t="s">
        <v>29</v>
      </c>
      <c r="J15" s="1" t="s">
        <v>28</v>
      </c>
    </row>
    <row r="17" spans="1:28" ht="20.25" x14ac:dyDescent="0.35">
      <c r="A17" s="51" t="s">
        <v>67</v>
      </c>
      <c r="B17" s="51"/>
      <c r="C17" s="10" t="s">
        <v>10</v>
      </c>
      <c r="D17" s="1" t="s">
        <v>12</v>
      </c>
      <c r="E17" s="1" t="s">
        <v>13</v>
      </c>
      <c r="F17" s="1" t="s">
        <v>14</v>
      </c>
      <c r="G17" s="1" t="s">
        <v>15</v>
      </c>
      <c r="H17" s="24" t="s">
        <v>65</v>
      </c>
      <c r="I17" s="24" t="s">
        <v>16</v>
      </c>
      <c r="J17" s="24" t="s">
        <v>17</v>
      </c>
      <c r="K17" s="25" t="s">
        <v>37</v>
      </c>
      <c r="L17" s="2" t="s">
        <v>18</v>
      </c>
      <c r="M17" s="2" t="s">
        <v>42</v>
      </c>
      <c r="N17" s="2" t="s">
        <v>26</v>
      </c>
      <c r="O17" s="2" t="s">
        <v>41</v>
      </c>
      <c r="P17" s="2" t="s">
        <v>51</v>
      </c>
      <c r="Q17" s="2" t="s">
        <v>21</v>
      </c>
      <c r="R17" s="2" t="s">
        <v>27</v>
      </c>
      <c r="S17" s="2" t="s">
        <v>90</v>
      </c>
      <c r="T17" s="2" t="s">
        <v>71</v>
      </c>
      <c r="U17" s="2" t="s">
        <v>39</v>
      </c>
      <c r="V17" s="24" t="s">
        <v>63</v>
      </c>
      <c r="W17" s="24" t="s">
        <v>44</v>
      </c>
      <c r="X17" s="24" t="s">
        <v>45</v>
      </c>
      <c r="Y17" s="24" t="s">
        <v>46</v>
      </c>
      <c r="Z17" s="24" t="s">
        <v>60</v>
      </c>
      <c r="AA17" s="24" t="s">
        <v>61</v>
      </c>
      <c r="AB17" s="24" t="s">
        <v>62</v>
      </c>
    </row>
    <row r="18" spans="1:28" s="3" customFormat="1" ht="18.75" x14ac:dyDescent="0.35">
      <c r="A18" s="43" t="s">
        <v>96</v>
      </c>
      <c r="B18" s="44" t="s">
        <v>64</v>
      </c>
      <c r="C18" s="1"/>
      <c r="D18" s="9">
        <v>-6.8311458319999998</v>
      </c>
      <c r="E18" s="18">
        <v>-1.923028505</v>
      </c>
      <c r="F18" s="18">
        <v>-8.8177950973530006</v>
      </c>
      <c r="G18" s="9">
        <v>-0.17633250015683899</v>
      </c>
      <c r="H18" s="18">
        <f>E18-D18</f>
        <v>4.9081173269999994</v>
      </c>
      <c r="I18" s="9">
        <f>D18-F18</f>
        <v>1.9866492653530008</v>
      </c>
      <c r="J18" s="9">
        <f>G18-E18</f>
        <v>1.746696004843161</v>
      </c>
      <c r="K18" s="7" t="s">
        <v>66</v>
      </c>
      <c r="L18" s="1">
        <v>0.59950000000000003</v>
      </c>
      <c r="M18" s="1">
        <v>4.8287000000000004</v>
      </c>
      <c r="N18" s="1">
        <v>0.55820000000000003</v>
      </c>
      <c r="O18" s="1">
        <v>2.8451</v>
      </c>
      <c r="P18" s="6">
        <f>'IP(a)'!F18</f>
        <v>6.8988926363003618</v>
      </c>
      <c r="Q18" s="6">
        <f>EA!F20</f>
        <v>1.6932837878001943</v>
      </c>
      <c r="R18" s="6">
        <f>P18-Q18</f>
        <v>5.2056088485001677</v>
      </c>
      <c r="S18" s="40">
        <f>R18-O18</f>
        <v>2.3605088485001677</v>
      </c>
      <c r="T18" s="9">
        <f>(ABS((D18)-(-3.8)))-0.3</f>
        <v>2.7311458320000002</v>
      </c>
      <c r="U18" s="9">
        <f>1-10^(-N18)</f>
        <v>0.72343322849498515</v>
      </c>
      <c r="V18" s="9">
        <f>(ABS((D18)-(-3.83)))-0.3</f>
        <v>2.7011458319999999</v>
      </c>
      <c r="W18" s="9">
        <f>(-3.8)-D18</f>
        <v>3.031145832</v>
      </c>
      <c r="X18" s="18">
        <f>E18-(-3.8)</f>
        <v>1.8769714949999998</v>
      </c>
      <c r="Y18" s="9">
        <f>(-5.93)-D18</f>
        <v>0.90114583200000009</v>
      </c>
      <c r="Z18" s="35">
        <f>(-3.83)-D18</f>
        <v>3.0011458319999997</v>
      </c>
      <c r="AA18" s="35">
        <f>E18-(-3.83)</f>
        <v>1.9069714950000001</v>
      </c>
      <c r="AB18" s="9">
        <f>(-5.48)-D18</f>
        <v>1.3511458319999994</v>
      </c>
    </row>
    <row r="19" spans="1:28" ht="18.75" x14ac:dyDescent="0.35">
      <c r="A19" s="43" t="s">
        <v>97</v>
      </c>
      <c r="B19" s="44" t="s">
        <v>70</v>
      </c>
      <c r="D19" s="18">
        <v>-6.681755334</v>
      </c>
      <c r="E19" s="18">
        <v>-1.9856146880000001</v>
      </c>
      <c r="F19" s="18">
        <v>-7.7503463830000001</v>
      </c>
      <c r="G19" s="9">
        <v>-0.58994280450000003</v>
      </c>
      <c r="H19" s="18">
        <f>E19-D19</f>
        <v>4.6961406459999999</v>
      </c>
      <c r="I19" s="9">
        <f>D19-F19</f>
        <v>1.0685910490000001</v>
      </c>
      <c r="J19" s="9">
        <f>G19-E19</f>
        <v>1.3956718834999999</v>
      </c>
      <c r="K19" s="7" t="s">
        <v>35</v>
      </c>
      <c r="L19" s="1">
        <v>0.80610000000000004</v>
      </c>
      <c r="M19" s="1">
        <v>2.7061000000000002</v>
      </c>
      <c r="N19" s="1">
        <v>0.80610000000000004</v>
      </c>
      <c r="O19" s="1">
        <v>2.7061000000000002</v>
      </c>
      <c r="P19" s="6">
        <f>'IP(a)'!F19</f>
        <v>6.6075129650997528</v>
      </c>
      <c r="Q19" s="6">
        <f>EA!F21</f>
        <v>1.8723293575185727</v>
      </c>
      <c r="R19" s="6">
        <f>P19-Q19</f>
        <v>4.7351836075811802</v>
      </c>
      <c r="S19" s="40">
        <f t="shared" ref="S19:S32" si="14">R19-O19</f>
        <v>2.02908360758118</v>
      </c>
      <c r="T19" s="9">
        <f>(ABS((D19)-(-3.8)))-0.3</f>
        <v>2.5817553340000003</v>
      </c>
      <c r="U19" s="9">
        <f>1-10^(-N19)</f>
        <v>0.84372122439699881</v>
      </c>
      <c r="V19" s="9">
        <f>(ABS((D19)-(-3.83)))-0.3</f>
        <v>2.5517553340000001</v>
      </c>
      <c r="W19" s="9">
        <f t="shared" ref="W19:W31" si="15">(-3.8)-D19</f>
        <v>2.8817553340000002</v>
      </c>
      <c r="X19" s="18">
        <f t="shared" ref="X19:X31" si="16">E19-(-3.8)</f>
        <v>1.8143853119999998</v>
      </c>
      <c r="Y19" s="9">
        <f t="shared" ref="Y19:Y31" si="17">(-5.93)-D19</f>
        <v>0.75175533400000027</v>
      </c>
      <c r="Z19" s="35">
        <f t="shared" ref="Z19:Z31" si="18">(-3.83)-D19</f>
        <v>2.8517553339999999</v>
      </c>
      <c r="AA19" s="35">
        <f t="shared" ref="AA19:AA31" si="19">E19-(-3.83)</f>
        <v>1.844385312</v>
      </c>
      <c r="AB19" s="9">
        <f t="shared" ref="AB19:AB31" si="20">(-5.48)-D19</f>
        <v>1.2017553339999996</v>
      </c>
    </row>
    <row r="20" spans="1:28" s="3" customFormat="1" ht="18.75" x14ac:dyDescent="0.35">
      <c r="A20" s="43" t="s">
        <v>98</v>
      </c>
      <c r="B20" s="44" t="s">
        <v>72</v>
      </c>
      <c r="C20" s="1"/>
      <c r="D20" s="18">
        <v>-6.4099136080000001</v>
      </c>
      <c r="E20" s="18">
        <v>-1.580165067</v>
      </c>
      <c r="F20" s="18">
        <v>-8.0472225819999998</v>
      </c>
      <c r="G20" s="9">
        <v>0.1692548083</v>
      </c>
      <c r="H20" s="18">
        <f>E20-D20</f>
        <v>4.8297485409999998</v>
      </c>
      <c r="I20" s="9">
        <f>D20-F20</f>
        <v>1.6373089739999998</v>
      </c>
      <c r="J20" s="9">
        <f>G20-E20</f>
        <v>1.7494198753000001</v>
      </c>
      <c r="K20" s="7" t="s">
        <v>35</v>
      </c>
      <c r="L20" s="1">
        <v>0.81579999999999997</v>
      </c>
      <c r="M20" s="1">
        <v>2.8001999999999998</v>
      </c>
      <c r="N20" s="1">
        <v>0.81579999999999997</v>
      </c>
      <c r="O20" s="1">
        <v>2.8001999999999998</v>
      </c>
      <c r="P20" s="6">
        <f>'IP(a)'!F20</f>
        <v>6.3049085914042822</v>
      </c>
      <c r="Q20" s="6">
        <f>EA!F22</f>
        <v>1.408687918615142</v>
      </c>
      <c r="R20" s="6">
        <f>P20-Q20</f>
        <v>4.8962206727891404</v>
      </c>
      <c r="S20" s="40">
        <f t="shared" si="14"/>
        <v>2.0960206727891406</v>
      </c>
      <c r="T20" s="9">
        <f>(ABS((D20)-(-3.8)))-0.3</f>
        <v>2.3099136080000005</v>
      </c>
      <c r="U20" s="9">
        <f>1-10^(-N20)</f>
        <v>0.84717303095902152</v>
      </c>
      <c r="V20" s="9">
        <f>(ABS((D20)-(-3.83)))-0.3</f>
        <v>2.2799136080000002</v>
      </c>
      <c r="W20" s="9">
        <f t="shared" si="15"/>
        <v>2.6099136080000003</v>
      </c>
      <c r="X20" s="18">
        <f t="shared" si="16"/>
        <v>2.2198349329999996</v>
      </c>
      <c r="Y20" s="9">
        <f t="shared" si="17"/>
        <v>0.47991360800000038</v>
      </c>
      <c r="Z20" s="35">
        <f t="shared" si="18"/>
        <v>2.579913608</v>
      </c>
      <c r="AA20" s="35">
        <f t="shared" si="19"/>
        <v>2.2498349329999998</v>
      </c>
      <c r="AB20" s="9">
        <f t="shared" si="20"/>
        <v>0.92991360799999967</v>
      </c>
    </row>
    <row r="21" spans="1:28" s="3" customFormat="1" ht="18.75" x14ac:dyDescent="0.35">
      <c r="A21" s="43" t="s">
        <v>99</v>
      </c>
      <c r="B21" s="44" t="s">
        <v>73</v>
      </c>
      <c r="C21" s="1"/>
      <c r="D21" s="18">
        <v>-6.4616152380000003</v>
      </c>
      <c r="E21" s="18">
        <v>-2.0109212799999998</v>
      </c>
      <c r="F21" s="18">
        <v>-7.4692527860000002</v>
      </c>
      <c r="G21" s="18">
        <v>-1.0783871469999999</v>
      </c>
      <c r="H21" s="18">
        <f>E21-D21</f>
        <v>4.4506939580000004</v>
      </c>
      <c r="I21" s="9">
        <f>D21-F21</f>
        <v>1.0076375479999999</v>
      </c>
      <c r="J21" s="9">
        <f>G21-E21</f>
        <v>0.93253413299999988</v>
      </c>
      <c r="K21" s="7" t="s">
        <v>35</v>
      </c>
      <c r="L21" s="1">
        <v>0.74739999999999995</v>
      </c>
      <c r="M21" s="1">
        <v>2.4967999999999999</v>
      </c>
      <c r="N21" s="1">
        <v>0.74739999999999995</v>
      </c>
      <c r="O21" s="1">
        <v>2.4967999999999999</v>
      </c>
      <c r="P21" s="6">
        <f>'IP(a)'!F21</f>
        <v>6.3907605584009834</v>
      </c>
      <c r="Q21" s="6">
        <f>EA!F23</f>
        <v>1.9118158200569453</v>
      </c>
      <c r="R21" s="6">
        <f>P21-Q21</f>
        <v>4.4789447383440386</v>
      </c>
      <c r="S21" s="40">
        <f t="shared" si="14"/>
        <v>1.9821447383440387</v>
      </c>
      <c r="T21" s="9">
        <f>(ABS((D21)-(-3.8)))-0.3</f>
        <v>2.3616152380000006</v>
      </c>
      <c r="U21" s="9">
        <f t="shared" ref="U21:U31" si="21">1-10^(-N21)</f>
        <v>0.82110425956478117</v>
      </c>
      <c r="V21" s="9">
        <f>(ABS((D21)-(-3.83)))-0.3</f>
        <v>2.3316152380000004</v>
      </c>
      <c r="W21" s="9">
        <f t="shared" si="15"/>
        <v>2.6616152380000004</v>
      </c>
      <c r="X21" s="18">
        <f t="shared" si="16"/>
        <v>1.78907872</v>
      </c>
      <c r="Y21" s="9">
        <f t="shared" si="17"/>
        <v>0.53161523800000055</v>
      </c>
      <c r="Z21" s="35">
        <f t="shared" si="18"/>
        <v>2.6316152380000002</v>
      </c>
      <c r="AA21" s="35">
        <f t="shared" si="19"/>
        <v>1.8190787200000003</v>
      </c>
      <c r="AB21" s="9">
        <f t="shared" si="20"/>
        <v>0.98161523799999983</v>
      </c>
    </row>
    <row r="22" spans="1:28" s="3" customFormat="1" ht="18.75" x14ac:dyDescent="0.35">
      <c r="A22" s="43" t="s">
        <v>100</v>
      </c>
      <c r="B22" s="44" t="s">
        <v>73</v>
      </c>
      <c r="C22" s="1"/>
      <c r="D22" s="18">
        <v>-6.2025628619999997</v>
      </c>
      <c r="E22" s="9">
        <f>(-0.07667)*27.2114</f>
        <v>-2.0862980380000002</v>
      </c>
      <c r="F22" s="9">
        <f>-0.27799*27.2114</f>
        <v>-7.5644970860000011</v>
      </c>
      <c r="G22" s="9">
        <f>-0.04083*27.2114</f>
        <v>-1.111041462</v>
      </c>
      <c r="H22" s="18">
        <f t="shared" ref="H22:H31" si="22">E22-D22</f>
        <v>4.1162648239999999</v>
      </c>
      <c r="I22" s="9">
        <f t="shared" ref="I22:I31" si="23">D22-F22</f>
        <v>1.3619342240000014</v>
      </c>
      <c r="J22" s="9">
        <f t="shared" ref="J22:J31" si="24">G22-E22</f>
        <v>0.97525657600000026</v>
      </c>
      <c r="K22" s="7" t="s">
        <v>35</v>
      </c>
      <c r="L22" s="1">
        <v>0.87949999999999995</v>
      </c>
      <c r="M22" s="1">
        <v>2.3016999999999999</v>
      </c>
      <c r="N22" s="1">
        <v>0.87949999999999995</v>
      </c>
      <c r="O22" s="1">
        <v>2.3016999999999999</v>
      </c>
      <c r="P22" s="6">
        <f>'IP(a)'!F22</f>
        <v>6.1655181949050881</v>
      </c>
      <c r="Q22" s="6">
        <f>EA!F24</f>
        <v>1.9259330943771882</v>
      </c>
      <c r="R22" s="6">
        <f>P22-Q22</f>
        <v>4.2395851005278997</v>
      </c>
      <c r="S22" s="40">
        <f t="shared" si="14"/>
        <v>1.9378851005278999</v>
      </c>
      <c r="T22" s="9">
        <f>(ABS((D22)-(-3.8)))-0.3</f>
        <v>2.1025628620000001</v>
      </c>
      <c r="U22" s="9">
        <f t="shared" si="21"/>
        <v>0.86802246882928846</v>
      </c>
      <c r="V22" s="9">
        <f>(ABS((D22)-(-3.83)))-0.3</f>
        <v>2.0725628619999998</v>
      </c>
      <c r="W22" s="9">
        <f t="shared" si="15"/>
        <v>2.4025628619999999</v>
      </c>
      <c r="X22" s="18">
        <f t="shared" si="16"/>
        <v>1.7137019619999996</v>
      </c>
      <c r="Y22" s="9">
        <f t="shared" si="17"/>
        <v>0.27256286200000002</v>
      </c>
      <c r="Z22" s="35">
        <f t="shared" si="18"/>
        <v>2.3725628619999997</v>
      </c>
      <c r="AA22" s="35">
        <f t="shared" si="19"/>
        <v>1.7437019619999998</v>
      </c>
      <c r="AB22" s="9">
        <f t="shared" si="20"/>
        <v>0.72256286199999931</v>
      </c>
    </row>
    <row r="23" spans="1:28" s="3" customFormat="1" ht="18.75" x14ac:dyDescent="0.35">
      <c r="A23" s="43" t="s">
        <v>103</v>
      </c>
      <c r="B23" s="44" t="s">
        <v>74</v>
      </c>
      <c r="C23" s="1"/>
      <c r="D23" s="9">
        <f>-0.23378*27.2114</f>
        <v>-6.361481092</v>
      </c>
      <c r="E23" s="9">
        <f>-0.07762*27.2114</f>
        <v>-2.1121488679999998</v>
      </c>
      <c r="F23" s="9">
        <f>-0.29752*27.2114</f>
        <v>-8.0959357280000006</v>
      </c>
      <c r="G23" s="9">
        <f>-0.05267*27.2114</f>
        <v>-1.4332244380000001</v>
      </c>
      <c r="H23" s="18">
        <f t="shared" si="22"/>
        <v>4.2493322239999998</v>
      </c>
      <c r="I23" s="9">
        <f t="shared" si="23"/>
        <v>1.7344546360000006</v>
      </c>
      <c r="J23" s="9">
        <f t="shared" si="24"/>
        <v>0.67892442999999969</v>
      </c>
      <c r="K23" s="7" t="s">
        <v>35</v>
      </c>
      <c r="L23" s="1">
        <v>0.64649999999999996</v>
      </c>
      <c r="M23" s="1">
        <v>2.3637000000000001</v>
      </c>
      <c r="N23" s="1">
        <v>0.64649999999999996</v>
      </c>
      <c r="O23" s="1">
        <v>2.3637000000000001</v>
      </c>
      <c r="P23" s="6">
        <f>'IP(a)'!F23</f>
        <v>6.3957211966211434</v>
      </c>
      <c r="Q23" s="6">
        <f>EA!F25</f>
        <v>2.0143674232406723</v>
      </c>
      <c r="R23" s="6">
        <f t="shared" ref="R23:R31" si="25">P23-Q23</f>
        <v>4.3813537733804715</v>
      </c>
      <c r="S23" s="40">
        <f t="shared" si="14"/>
        <v>2.0176537733804714</v>
      </c>
      <c r="T23" s="9">
        <f t="shared" ref="T23:T31" si="26">(ABS((D23)-(-3.8)))-0.3</f>
        <v>2.2614810920000004</v>
      </c>
      <c r="U23" s="9">
        <f t="shared" si="21"/>
        <v>0.77431640045027739</v>
      </c>
      <c r="V23" s="9">
        <f t="shared" ref="V23:V31" si="27">(ABS((D23)-(-3.83)))-0.3</f>
        <v>2.2314810920000001</v>
      </c>
      <c r="W23" s="9">
        <f t="shared" si="15"/>
        <v>2.5614810920000002</v>
      </c>
      <c r="X23" s="18">
        <f t="shared" si="16"/>
        <v>1.687851132</v>
      </c>
      <c r="Y23" s="9">
        <f t="shared" si="17"/>
        <v>0.43148109200000029</v>
      </c>
      <c r="Z23" s="35">
        <f t="shared" si="18"/>
        <v>2.5314810919999999</v>
      </c>
      <c r="AA23" s="35">
        <f t="shared" si="19"/>
        <v>1.7178511320000003</v>
      </c>
      <c r="AB23" s="9">
        <f t="shared" si="20"/>
        <v>0.88148109199999958</v>
      </c>
    </row>
    <row r="24" spans="1:28" s="3" customFormat="1" ht="18.75" x14ac:dyDescent="0.35">
      <c r="A24" s="43" t="s">
        <v>102</v>
      </c>
      <c r="B24" s="44" t="s">
        <v>74</v>
      </c>
      <c r="C24" s="1"/>
      <c r="D24" s="9">
        <v>-6.9149568950000004</v>
      </c>
      <c r="E24" s="9">
        <v>-2.7309426587700001</v>
      </c>
      <c r="F24" s="9">
        <v>-8.1775651109999998</v>
      </c>
      <c r="G24" s="9">
        <v>-1.5706410829999999</v>
      </c>
      <c r="H24" s="18">
        <f t="shared" si="22"/>
        <v>4.1840142362300003</v>
      </c>
      <c r="I24" s="9">
        <f t="shared" si="23"/>
        <v>1.2626082159999994</v>
      </c>
      <c r="J24" s="9">
        <f t="shared" si="24"/>
        <v>1.1603015757700001</v>
      </c>
      <c r="K24" s="7" t="s">
        <v>35</v>
      </c>
      <c r="L24" s="1">
        <v>0.79679999999999995</v>
      </c>
      <c r="M24" s="1">
        <v>2.3422999999999998</v>
      </c>
      <c r="N24" s="1">
        <v>0.79679999999999995</v>
      </c>
      <c r="O24" s="1">
        <v>2.3422999999999998</v>
      </c>
      <c r="P24" s="6">
        <f>'IP(a)'!F24</f>
        <v>6.861939555100852</v>
      </c>
      <c r="Q24" s="6">
        <f>EA!F26</f>
        <v>2.5385950442380825</v>
      </c>
      <c r="R24" s="6">
        <f t="shared" si="25"/>
        <v>4.3233445108627695</v>
      </c>
      <c r="S24" s="40">
        <f t="shared" si="14"/>
        <v>1.9810445108627697</v>
      </c>
      <c r="T24" s="9">
        <f t="shared" si="26"/>
        <v>2.8149568950000008</v>
      </c>
      <c r="U24" s="9">
        <f t="shared" si="21"/>
        <v>0.84033857540065848</v>
      </c>
      <c r="V24" s="9">
        <f t="shared" si="27"/>
        <v>2.7849568950000005</v>
      </c>
      <c r="W24" s="9">
        <f t="shared" si="15"/>
        <v>3.1149568950000006</v>
      </c>
      <c r="X24" s="18">
        <f t="shared" si="16"/>
        <v>1.0690573412299997</v>
      </c>
      <c r="Y24" s="9">
        <f t="shared" si="17"/>
        <v>0.98495689500000072</v>
      </c>
      <c r="Z24" s="35">
        <f t="shared" si="18"/>
        <v>3.0849568950000004</v>
      </c>
      <c r="AA24" s="35">
        <f t="shared" si="19"/>
        <v>1.09905734123</v>
      </c>
      <c r="AB24" s="9">
        <f t="shared" si="20"/>
        <v>1.434956895</v>
      </c>
    </row>
    <row r="25" spans="1:28" s="3" customFormat="1" ht="18.75" x14ac:dyDescent="0.35">
      <c r="A25" s="43" t="s">
        <v>104</v>
      </c>
      <c r="B25" s="44" t="s">
        <v>75</v>
      </c>
      <c r="C25" s="1"/>
      <c r="D25" s="9">
        <f>-0.24898*27.2114</f>
        <v>-6.7750943720000008</v>
      </c>
      <c r="E25" s="9">
        <f>-0.09487*27.2114</f>
        <v>-2.581545518</v>
      </c>
      <c r="F25" s="9">
        <f>-0.32013*27.2114</f>
        <v>-8.7111854820000012</v>
      </c>
      <c r="G25" s="9">
        <f>-0.07356*27.2114</f>
        <v>-2.0016705840000002</v>
      </c>
      <c r="H25" s="18">
        <f t="shared" si="22"/>
        <v>4.1935488540000012</v>
      </c>
      <c r="I25" s="9">
        <f t="shared" si="23"/>
        <v>1.9360911100000004</v>
      </c>
      <c r="J25" s="9">
        <f t="shared" si="24"/>
        <v>0.57987493399999979</v>
      </c>
      <c r="K25" s="7" t="s">
        <v>35</v>
      </c>
      <c r="L25" s="1">
        <v>0.59809999999999997</v>
      </c>
      <c r="M25" s="1">
        <v>2.3329</v>
      </c>
      <c r="N25" s="1">
        <v>0.59809999999999997</v>
      </c>
      <c r="O25" s="1">
        <v>2.3329</v>
      </c>
      <c r="P25" s="6">
        <f>'IP(a)'!F25</f>
        <v>6.8206244864796712</v>
      </c>
      <c r="Q25" s="6">
        <f>EA!F27</f>
        <v>2.4687733129771035</v>
      </c>
      <c r="R25" s="6">
        <f t="shared" si="25"/>
        <v>4.3518511735025678</v>
      </c>
      <c r="S25" s="40">
        <f t="shared" si="14"/>
        <v>2.0189511735025678</v>
      </c>
      <c r="T25" s="9">
        <f t="shared" si="26"/>
        <v>2.6750943720000011</v>
      </c>
      <c r="U25" s="9">
        <f t="shared" si="21"/>
        <v>0.7477100213549287</v>
      </c>
      <c r="V25" s="9">
        <f t="shared" si="27"/>
        <v>2.6450943720000009</v>
      </c>
      <c r="W25" s="9">
        <f t="shared" si="15"/>
        <v>2.9750943720000009</v>
      </c>
      <c r="X25" s="18">
        <f t="shared" si="16"/>
        <v>1.2184544819999998</v>
      </c>
      <c r="Y25" s="9">
        <f t="shared" si="17"/>
        <v>0.84509437200000104</v>
      </c>
      <c r="Z25" s="35">
        <f t="shared" si="18"/>
        <v>2.9450943720000007</v>
      </c>
      <c r="AA25" s="35">
        <f t="shared" si="19"/>
        <v>1.2484544820000001</v>
      </c>
      <c r="AB25" s="9">
        <f t="shared" si="20"/>
        <v>1.2950943720000003</v>
      </c>
    </row>
    <row r="26" spans="1:28" s="3" customFormat="1" ht="18.75" x14ac:dyDescent="0.35">
      <c r="A26" s="43" t="s">
        <v>105</v>
      </c>
      <c r="B26" s="44" t="s">
        <v>76</v>
      </c>
      <c r="C26" s="1"/>
      <c r="D26" s="9">
        <f>-0.26096*27.2114</f>
        <v>-7.1010869440000013</v>
      </c>
      <c r="E26" s="9">
        <f>-0.04927*27.2114</f>
        <v>-1.3407056780000002</v>
      </c>
      <c r="F26" s="9">
        <f>-0.26468*27.2114</f>
        <v>-7.2023133520000009</v>
      </c>
      <c r="G26" s="9">
        <f>-0.0417*27.2114</f>
        <v>-1.1347153800000001</v>
      </c>
      <c r="H26" s="18">
        <f t="shared" si="22"/>
        <v>5.7603812660000013</v>
      </c>
      <c r="I26" s="9">
        <f t="shared" si="23"/>
        <v>0.1012264079999996</v>
      </c>
      <c r="J26" s="9">
        <f t="shared" si="24"/>
        <v>0.20599029800000013</v>
      </c>
      <c r="K26" s="7" t="s">
        <v>82</v>
      </c>
      <c r="L26" s="1">
        <v>0.58030000000000004</v>
      </c>
      <c r="M26" s="1">
        <v>3.4929000000000001</v>
      </c>
      <c r="N26" s="1">
        <v>8.8300000000000003E-2</v>
      </c>
      <c r="O26" s="1">
        <v>3.4049999999999998</v>
      </c>
      <c r="P26" s="6">
        <f>'IP(a)'!F26</f>
        <v>6.984023501200431</v>
      </c>
      <c r="Q26" s="6">
        <f>EA!F28</f>
        <v>1.327042834054625</v>
      </c>
      <c r="R26" s="6">
        <f>P26-Q26</f>
        <v>5.6569806671458061</v>
      </c>
      <c r="S26" s="40">
        <f t="shared" si="14"/>
        <v>2.2519806671458062</v>
      </c>
      <c r="T26" s="9">
        <f t="shared" si="26"/>
        <v>3.0010869440000016</v>
      </c>
      <c r="U26" s="9">
        <f t="shared" si="21"/>
        <v>0.18398150898026366</v>
      </c>
      <c r="V26" s="9">
        <f t="shared" si="27"/>
        <v>2.9710869440000014</v>
      </c>
      <c r="W26" s="9">
        <f t="shared" si="15"/>
        <v>3.3010869440000015</v>
      </c>
      <c r="X26" s="18">
        <f t="shared" si="16"/>
        <v>2.4592943219999999</v>
      </c>
      <c r="Y26" s="9">
        <f t="shared" si="17"/>
        <v>1.1710869440000016</v>
      </c>
      <c r="Z26" s="35">
        <f t="shared" si="18"/>
        <v>3.2710869440000012</v>
      </c>
      <c r="AA26" s="35">
        <f t="shared" si="19"/>
        <v>2.4892943220000001</v>
      </c>
      <c r="AB26" s="9">
        <f t="shared" si="20"/>
        <v>1.6210869440000009</v>
      </c>
    </row>
    <row r="27" spans="1:28" s="3" customFormat="1" ht="18.75" x14ac:dyDescent="0.35">
      <c r="A27" s="43" t="s">
        <v>106</v>
      </c>
      <c r="B27" s="44" t="s">
        <v>77</v>
      </c>
      <c r="C27" s="1"/>
      <c r="D27" s="9">
        <f>-0.24024*27.2114</f>
        <v>-6.5372667360000003</v>
      </c>
      <c r="E27" s="9">
        <f>-0.07197*27.2114</f>
        <v>-1.9584044580000002</v>
      </c>
      <c r="F27" s="9">
        <f>-0.31089*27.2114</f>
        <v>-8.4597521459999996</v>
      </c>
      <c r="G27" s="9">
        <f>-0.02529*27.2114</f>
        <v>-0.68817630600000002</v>
      </c>
      <c r="H27" s="9">
        <f t="shared" si="22"/>
        <v>4.5788622779999999</v>
      </c>
      <c r="I27" s="9">
        <f t="shared" si="23"/>
        <v>1.9224854099999993</v>
      </c>
      <c r="J27" s="9">
        <f t="shared" si="24"/>
        <v>1.2702281520000001</v>
      </c>
      <c r="K27" s="7" t="s">
        <v>35</v>
      </c>
      <c r="L27" s="1">
        <v>0.67190000000000005</v>
      </c>
      <c r="M27" s="1">
        <v>2.597</v>
      </c>
      <c r="N27" s="1">
        <v>0.67190000000000005</v>
      </c>
      <c r="O27" s="1">
        <v>2.597</v>
      </c>
      <c r="P27" s="6">
        <f>'IP(a)'!F27</f>
        <v>6.5504316113218746</v>
      </c>
      <c r="Q27" s="6">
        <f>EA!F29</f>
        <v>1.8430009105965179</v>
      </c>
      <c r="R27" s="6">
        <f t="shared" si="25"/>
        <v>4.7074307007253564</v>
      </c>
      <c r="S27" s="40">
        <f t="shared" si="14"/>
        <v>2.1104307007253564</v>
      </c>
      <c r="T27" s="9">
        <f t="shared" si="26"/>
        <v>2.4372667360000007</v>
      </c>
      <c r="U27" s="9">
        <f t="shared" si="21"/>
        <v>0.78713708754727663</v>
      </c>
      <c r="V27" s="9">
        <f t="shared" si="27"/>
        <v>2.4072667360000004</v>
      </c>
      <c r="W27" s="9">
        <f t="shared" si="15"/>
        <v>2.7372667360000005</v>
      </c>
      <c r="X27" s="18">
        <f t="shared" si="16"/>
        <v>1.8415955419999996</v>
      </c>
      <c r="Y27" s="9">
        <f t="shared" si="17"/>
        <v>0.60726673600000058</v>
      </c>
      <c r="Z27" s="35">
        <f t="shared" si="18"/>
        <v>2.7072667360000002</v>
      </c>
      <c r="AA27" s="35">
        <f t="shared" si="19"/>
        <v>1.8715955419999999</v>
      </c>
      <c r="AB27" s="9">
        <f t="shared" si="20"/>
        <v>1.0572667359999999</v>
      </c>
    </row>
    <row r="28" spans="1:28" s="3" customFormat="1" ht="18.75" x14ac:dyDescent="0.35">
      <c r="A28" s="43" t="s">
        <v>107</v>
      </c>
      <c r="B28" s="44" t="s">
        <v>78</v>
      </c>
      <c r="C28" s="1"/>
      <c r="D28" s="9">
        <f>-0.22848*27.2114</f>
        <v>-6.2172606720000001</v>
      </c>
      <c r="E28" s="9">
        <f>-0.06003*27.2114</f>
        <v>-1.633500342</v>
      </c>
      <c r="F28" s="9">
        <f>-0.28952*27.2114</f>
        <v>-7.8782445280000006</v>
      </c>
      <c r="G28" s="9">
        <f>-0.00023*27.2114</f>
        <v>-6.2586220000000001E-3</v>
      </c>
      <c r="H28" s="9">
        <f t="shared" si="22"/>
        <v>4.5837603300000005</v>
      </c>
      <c r="I28" s="9">
        <f t="shared" si="23"/>
        <v>1.6609838560000005</v>
      </c>
      <c r="J28" s="9">
        <f t="shared" si="24"/>
        <v>1.62724172</v>
      </c>
      <c r="K28" s="7" t="s">
        <v>35</v>
      </c>
      <c r="L28" s="1">
        <v>0.70350000000000001</v>
      </c>
      <c r="M28" s="1">
        <v>2.6345000000000001</v>
      </c>
      <c r="N28" s="1">
        <v>0.70350000000000001</v>
      </c>
      <c r="O28" s="1">
        <v>2.6345000000000001</v>
      </c>
      <c r="P28" s="6">
        <f>'IP(a)'!F28</f>
        <v>6.1767809933654227</v>
      </c>
      <c r="Q28" s="6">
        <f>EA!F30</f>
        <v>1.4255127272362829</v>
      </c>
      <c r="R28" s="6">
        <f t="shared" si="25"/>
        <v>4.7512682661291397</v>
      </c>
      <c r="S28" s="40">
        <f t="shared" si="14"/>
        <v>2.1167682661291396</v>
      </c>
      <c r="T28" s="9">
        <f t="shared" si="26"/>
        <v>2.1172606720000005</v>
      </c>
      <c r="U28" s="9">
        <f t="shared" si="21"/>
        <v>0.8020752978762421</v>
      </c>
      <c r="V28" s="9">
        <f t="shared" si="27"/>
        <v>2.0872606720000002</v>
      </c>
      <c r="W28" s="9">
        <f t="shared" si="15"/>
        <v>2.4172606720000003</v>
      </c>
      <c r="X28" s="18">
        <f t="shared" si="16"/>
        <v>2.1664996579999998</v>
      </c>
      <c r="Y28" s="9">
        <f t="shared" si="17"/>
        <v>0.28726067200000038</v>
      </c>
      <c r="Z28" s="35">
        <f t="shared" si="18"/>
        <v>2.387260672</v>
      </c>
      <c r="AA28" s="35">
        <f t="shared" si="19"/>
        <v>2.196499658</v>
      </c>
      <c r="AB28" s="9">
        <f t="shared" si="20"/>
        <v>0.73726067199999967</v>
      </c>
    </row>
    <row r="29" spans="1:28" ht="18.75" x14ac:dyDescent="0.35">
      <c r="A29" s="43" t="s">
        <v>108</v>
      </c>
      <c r="B29" s="44" t="s">
        <v>80</v>
      </c>
      <c r="D29" s="9">
        <f>-0.23742*27.2114</f>
        <v>-6.4605305880000001</v>
      </c>
      <c r="E29" s="9">
        <f>-0.09431*27.2114</f>
        <v>-2.5663071340000001</v>
      </c>
      <c r="F29" s="9">
        <f>-0.30901*27.2114</f>
        <v>-8.4085947140000012</v>
      </c>
      <c r="G29" s="9">
        <f>-0.07063*27.2114</f>
        <v>-1.9219411820000001</v>
      </c>
      <c r="H29" s="9">
        <f t="shared" si="22"/>
        <v>3.894223454</v>
      </c>
      <c r="I29" s="9">
        <f t="shared" si="23"/>
        <v>1.9480641260000011</v>
      </c>
      <c r="J29" s="9">
        <f t="shared" si="24"/>
        <v>0.64436595200000002</v>
      </c>
      <c r="K29" s="7" t="s">
        <v>35</v>
      </c>
      <c r="L29" s="1">
        <v>0.69320000000000004</v>
      </c>
      <c r="M29" s="1">
        <v>2.1366999999999998</v>
      </c>
      <c r="N29" s="1">
        <v>0.69320000000000004</v>
      </c>
      <c r="O29" s="1">
        <v>2.1366999999999998</v>
      </c>
      <c r="P29" s="6">
        <f>'IP(a)'!F29</f>
        <v>6.5321373870982562</v>
      </c>
      <c r="Q29" s="6">
        <f>EA!F31</f>
        <v>2.4435646720225899</v>
      </c>
      <c r="R29" s="6">
        <f t="shared" si="25"/>
        <v>4.0885727150756663</v>
      </c>
      <c r="S29" s="40">
        <f t="shared" si="14"/>
        <v>1.9518727150756665</v>
      </c>
      <c r="T29" s="9">
        <f t="shared" si="26"/>
        <v>2.3605305880000005</v>
      </c>
      <c r="U29" s="9">
        <f t="shared" si="21"/>
        <v>0.79732508479010344</v>
      </c>
      <c r="V29" s="9">
        <f t="shared" si="27"/>
        <v>2.3305305880000002</v>
      </c>
      <c r="W29" s="9">
        <f t="shared" si="15"/>
        <v>2.6605305880000003</v>
      </c>
      <c r="X29" s="18">
        <f t="shared" si="16"/>
        <v>1.2336928659999997</v>
      </c>
      <c r="Y29" s="9">
        <f t="shared" si="17"/>
        <v>0.53053058800000041</v>
      </c>
      <c r="Z29" s="35">
        <f t="shared" si="18"/>
        <v>2.6305305880000001</v>
      </c>
      <c r="AA29" s="35">
        <f t="shared" si="19"/>
        <v>1.263692866</v>
      </c>
      <c r="AB29" s="9">
        <f t="shared" si="20"/>
        <v>0.9805305879999997</v>
      </c>
    </row>
    <row r="30" spans="1:28" ht="18.75" x14ac:dyDescent="0.35">
      <c r="A30" s="43" t="s">
        <v>109</v>
      </c>
      <c r="B30" s="44" t="s">
        <v>79</v>
      </c>
      <c r="D30" s="9">
        <f>-0.23892*27.2114</f>
        <v>-6.5013476880000001</v>
      </c>
      <c r="E30" s="9">
        <f>-0.0762*27.2114</f>
        <v>-2.0735086800000002</v>
      </c>
      <c r="F30" s="9">
        <f>-0.26518*27.2114</f>
        <v>-7.2159190520000012</v>
      </c>
      <c r="G30" s="9">
        <f>-0.03509*27.2114</f>
        <v>-0.95484802600000007</v>
      </c>
      <c r="H30" s="9">
        <f t="shared" si="22"/>
        <v>4.4278390079999994</v>
      </c>
      <c r="I30" s="9">
        <f t="shared" si="23"/>
        <v>0.7145713640000011</v>
      </c>
      <c r="J30" s="9">
        <f t="shared" si="24"/>
        <v>1.1186606540000001</v>
      </c>
      <c r="K30" s="7" t="s">
        <v>35</v>
      </c>
      <c r="L30" s="1">
        <v>1.7351000000000001</v>
      </c>
      <c r="M30" s="1">
        <v>2.5347</v>
      </c>
      <c r="N30" s="1">
        <v>1.7351000000000001</v>
      </c>
      <c r="O30" s="1">
        <v>2.5347</v>
      </c>
      <c r="P30" s="6">
        <f>'IP(a)'!F30</f>
        <v>6.1696815390976703</v>
      </c>
      <c r="Q30" s="6">
        <f>EA!F32</f>
        <v>2.0881647400337795</v>
      </c>
      <c r="R30" s="6">
        <f t="shared" si="25"/>
        <v>4.0815167990638912</v>
      </c>
      <c r="S30" s="40">
        <f t="shared" si="14"/>
        <v>1.5468167990638912</v>
      </c>
      <c r="T30" s="9">
        <f t="shared" si="26"/>
        <v>2.4013476880000004</v>
      </c>
      <c r="U30" s="9">
        <f t="shared" si="21"/>
        <v>0.9815965180315388</v>
      </c>
      <c r="V30" s="9">
        <f t="shared" si="27"/>
        <v>2.3713476880000002</v>
      </c>
      <c r="W30" s="9">
        <f t="shared" si="15"/>
        <v>2.7013476880000002</v>
      </c>
      <c r="X30" s="18">
        <f t="shared" si="16"/>
        <v>1.7264913199999996</v>
      </c>
      <c r="Y30" s="9">
        <f t="shared" si="17"/>
        <v>0.57134768800000035</v>
      </c>
      <c r="Z30" s="35">
        <f t="shared" si="18"/>
        <v>2.671347688</v>
      </c>
      <c r="AA30" s="35">
        <f t="shared" si="19"/>
        <v>1.7564913199999999</v>
      </c>
      <c r="AB30" s="9">
        <f t="shared" si="20"/>
        <v>1.0213476879999996</v>
      </c>
    </row>
    <row r="31" spans="1:28" ht="18.75" x14ac:dyDescent="0.35">
      <c r="A31" s="43" t="s">
        <v>110</v>
      </c>
      <c r="B31" s="44" t="s">
        <v>81</v>
      </c>
      <c r="D31" s="9">
        <v>-6.8047507899999999</v>
      </c>
      <c r="E31" s="9">
        <v>-1.425954975</v>
      </c>
      <c r="F31" s="9">
        <v>-7.6793246709999998</v>
      </c>
      <c r="G31" s="9">
        <v>-0.27619554730000001</v>
      </c>
      <c r="H31" s="9">
        <f t="shared" si="22"/>
        <v>5.3787958150000001</v>
      </c>
      <c r="I31" s="9">
        <f t="shared" si="23"/>
        <v>0.87457388099999989</v>
      </c>
      <c r="J31" s="9">
        <f t="shared" si="24"/>
        <v>1.1497594277000001</v>
      </c>
      <c r="K31" s="7" t="s">
        <v>35</v>
      </c>
      <c r="L31" s="1">
        <v>0.62639999999999996</v>
      </c>
      <c r="M31" s="1">
        <v>3.1463000000000001</v>
      </c>
      <c r="N31" s="1">
        <v>0.62639999999999996</v>
      </c>
      <c r="O31" s="1">
        <v>3.1463000000000001</v>
      </c>
      <c r="P31" s="6">
        <f>'IP(a)'!F31</f>
        <v>6.5934201810403765</v>
      </c>
      <c r="Q31" s="6">
        <f>EA!F33</f>
        <v>1.4524465709581962</v>
      </c>
      <c r="R31" s="6">
        <f t="shared" si="25"/>
        <v>5.1409736100821801</v>
      </c>
      <c r="S31" s="40">
        <f t="shared" si="14"/>
        <v>1.99467361008218</v>
      </c>
      <c r="T31" s="9">
        <f t="shared" si="26"/>
        <v>2.7047507900000003</v>
      </c>
      <c r="U31" s="9">
        <f t="shared" si="21"/>
        <v>0.76362583918837068</v>
      </c>
      <c r="V31" s="9">
        <f t="shared" si="27"/>
        <v>2.67475079</v>
      </c>
      <c r="W31" s="9">
        <f t="shared" si="15"/>
        <v>3.0047507900000001</v>
      </c>
      <c r="X31" s="18">
        <f t="shared" si="16"/>
        <v>2.374045025</v>
      </c>
      <c r="Y31" s="9">
        <f t="shared" si="17"/>
        <v>0.87475079000000022</v>
      </c>
      <c r="Z31" s="35">
        <f t="shared" si="18"/>
        <v>2.9747507899999999</v>
      </c>
      <c r="AA31" s="35">
        <f t="shared" si="19"/>
        <v>2.4040450250000003</v>
      </c>
      <c r="AB31" s="9">
        <f t="shared" si="20"/>
        <v>1.3247507899999995</v>
      </c>
    </row>
    <row r="32" spans="1:28" s="1" customFormat="1" ht="18.75" x14ac:dyDescent="0.35">
      <c r="A32" s="45" t="s">
        <v>95</v>
      </c>
      <c r="B32" s="46" t="s">
        <v>11</v>
      </c>
      <c r="D32" s="1">
        <v>-7.4687999999999999</v>
      </c>
      <c r="E32" s="1">
        <v>-1.6169</v>
      </c>
      <c r="F32" s="1">
        <v>-9.2582000000000004</v>
      </c>
      <c r="G32" s="1">
        <v>0.53059999999999996</v>
      </c>
      <c r="H32" s="1">
        <v>5.8518999999999997</v>
      </c>
      <c r="I32" s="1">
        <v>1.7894000000000005</v>
      </c>
      <c r="J32" s="1">
        <v>2.1475</v>
      </c>
      <c r="K32" s="7" t="s">
        <v>57</v>
      </c>
      <c r="L32" s="1">
        <v>0.34329999999999999</v>
      </c>
      <c r="M32" s="1">
        <v>7.1792999999999996</v>
      </c>
      <c r="N32" s="1">
        <v>0.27489999999999998</v>
      </c>
      <c r="O32" s="1">
        <v>3.5363000000000002</v>
      </c>
      <c r="P32" s="6">
        <v>7.9196249039799014</v>
      </c>
      <c r="Q32" s="6">
        <v>1.0749836358599232</v>
      </c>
      <c r="R32" s="6">
        <v>6.844641268119978</v>
      </c>
      <c r="S32" s="40">
        <f t="shared" si="14"/>
        <v>3.3083412681199778</v>
      </c>
      <c r="T32" s="1">
        <v>3.3688000000000002</v>
      </c>
      <c r="U32" s="1">
        <v>0.46899330103371639</v>
      </c>
      <c r="V32" s="1">
        <v>3.3388</v>
      </c>
      <c r="W32" s="1">
        <v>3.6688000000000001</v>
      </c>
      <c r="X32" s="1">
        <v>2.1830999999999996</v>
      </c>
      <c r="Y32" s="1">
        <v>1.5388000000000002</v>
      </c>
      <c r="Z32" s="1">
        <v>3.6387999999999998</v>
      </c>
      <c r="AA32" s="1">
        <v>2.2130999999999998</v>
      </c>
      <c r="AB32" s="1">
        <v>1.9887999999999995</v>
      </c>
    </row>
    <row r="36" spans="5:5" x14ac:dyDescent="0.25">
      <c r="E36" s="35"/>
    </row>
  </sheetData>
  <mergeCells count="1">
    <mergeCell ref="A17:B17"/>
  </mergeCells>
  <phoneticPr fontId="2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1DF4-D18A-411E-BFEE-58E388DFCCE1}">
  <dimension ref="A1:F31"/>
  <sheetViews>
    <sheetView topLeftCell="A15" workbookViewId="0">
      <selection activeCell="A18" sqref="A18:A31"/>
    </sheetView>
  </sheetViews>
  <sheetFormatPr defaultRowHeight="15.75" x14ac:dyDescent="0.25"/>
  <cols>
    <col min="1" max="1" width="13.5703125" style="2" bestFit="1" customWidth="1"/>
    <col min="2" max="2" width="33.85546875" style="2" bestFit="1" customWidth="1"/>
    <col min="3" max="3" width="15.140625" style="1" bestFit="1" customWidth="1"/>
    <col min="4" max="4" width="16.5703125" style="1" customWidth="1"/>
    <col min="5" max="5" width="18.7109375" style="3" customWidth="1"/>
    <col min="6" max="6" width="19" customWidth="1"/>
  </cols>
  <sheetData>
    <row r="1" spans="1:6" ht="18.75" x14ac:dyDescent="0.25">
      <c r="A1" s="2" t="s">
        <v>0</v>
      </c>
      <c r="B1" s="10" t="s">
        <v>1</v>
      </c>
      <c r="C1" s="2" t="s">
        <v>19</v>
      </c>
      <c r="D1" s="2" t="s">
        <v>20</v>
      </c>
      <c r="E1" s="2" t="s">
        <v>58</v>
      </c>
      <c r="F1" s="2" t="s">
        <v>23</v>
      </c>
    </row>
    <row r="2" spans="1:6" x14ac:dyDescent="0.25">
      <c r="A2" s="2">
        <v>1</v>
      </c>
      <c r="B2" s="12" t="s">
        <v>2</v>
      </c>
      <c r="C2" s="1">
        <v>-232.268418</v>
      </c>
      <c r="D2" s="1">
        <v>-231.93511899999999</v>
      </c>
      <c r="E2" s="6">
        <f>D2-C2</f>
        <v>0.33329900000001089</v>
      </c>
      <c r="F2" s="6">
        <f>E2*27.2114</f>
        <v>9.0695324086002973</v>
      </c>
    </row>
    <row r="3" spans="1:6" x14ac:dyDescent="0.25">
      <c r="A3" s="2">
        <v>2</v>
      </c>
      <c r="B3" s="12" t="s">
        <v>3</v>
      </c>
      <c r="C3" s="1">
        <v>-385.91952400000002</v>
      </c>
      <c r="D3" s="1">
        <v>-385.63228329999998</v>
      </c>
      <c r="E3" s="6">
        <f t="shared" ref="E3:E14" si="0">D3-C3</f>
        <v>0.28724070000004076</v>
      </c>
      <c r="F3" s="6">
        <f t="shared" ref="F3:F14" si="1">E3*27.2114</f>
        <v>7.8162215839811093</v>
      </c>
    </row>
    <row r="4" spans="1:6" x14ac:dyDescent="0.25">
      <c r="A4" s="2">
        <v>3</v>
      </c>
      <c r="B4" s="13" t="s">
        <v>4</v>
      </c>
      <c r="C4" s="1">
        <v>-464.75450389999997</v>
      </c>
      <c r="D4" s="1">
        <v>-464.46628759999999</v>
      </c>
      <c r="E4" s="6">
        <f t="shared" si="0"/>
        <v>0.28821629999998777</v>
      </c>
      <c r="F4" s="6">
        <f t="shared" si="1"/>
        <v>7.8427690258196678</v>
      </c>
    </row>
    <row r="5" spans="1:6" x14ac:dyDescent="0.25">
      <c r="A5" s="2">
        <v>4</v>
      </c>
      <c r="B5" s="12" t="s">
        <v>47</v>
      </c>
      <c r="C5" s="1">
        <v>-706.65843059999997</v>
      </c>
      <c r="D5" s="1">
        <v>-706.38621060000003</v>
      </c>
      <c r="E5" s="6">
        <f t="shared" si="0"/>
        <v>0.2722199999999475</v>
      </c>
      <c r="F5" s="6">
        <f t="shared" si="1"/>
        <v>7.4074873079985721</v>
      </c>
    </row>
    <row r="6" spans="1:6" x14ac:dyDescent="0.25">
      <c r="A6" s="2">
        <v>5</v>
      </c>
      <c r="B6" s="12" t="s">
        <v>48</v>
      </c>
      <c r="C6" s="1">
        <v>-722.69764269999996</v>
      </c>
      <c r="D6" s="1">
        <v>-722.40004669999996</v>
      </c>
      <c r="E6" s="6">
        <f t="shared" si="0"/>
        <v>0.29759599999999864</v>
      </c>
      <c r="F6" s="6">
        <f t="shared" si="1"/>
        <v>8.098003794399963</v>
      </c>
    </row>
    <row r="7" spans="1:6" x14ac:dyDescent="0.25">
      <c r="A7" s="2">
        <v>6</v>
      </c>
      <c r="B7" s="12" t="s">
        <v>6</v>
      </c>
      <c r="C7" s="1">
        <v>-738.73728059999996</v>
      </c>
      <c r="D7" s="1">
        <v>-738.41686609999999</v>
      </c>
      <c r="E7" s="6">
        <f t="shared" si="0"/>
        <v>0.32041449999996985</v>
      </c>
      <c r="F7" s="6">
        <f t="shared" si="1"/>
        <v>8.7189271252991798</v>
      </c>
    </row>
    <row r="8" spans="1:6" x14ac:dyDescent="0.25">
      <c r="A8" s="2">
        <v>7</v>
      </c>
      <c r="B8" s="12" t="s">
        <v>49</v>
      </c>
      <c r="C8" s="1">
        <v>-723.88892999999996</v>
      </c>
      <c r="D8" s="1">
        <v>-723.62143089999995</v>
      </c>
      <c r="E8" s="6">
        <f t="shared" si="0"/>
        <v>0.26749910000000909</v>
      </c>
      <c r="F8" s="6">
        <f t="shared" si="1"/>
        <v>7.2790250097402476</v>
      </c>
    </row>
    <row r="9" spans="1:6" x14ac:dyDescent="0.25">
      <c r="A9" s="2">
        <v>8</v>
      </c>
      <c r="B9" s="12" t="s">
        <v>5</v>
      </c>
      <c r="C9" s="1">
        <v>-722.72077360000003</v>
      </c>
      <c r="D9" s="20">
        <v>-722.40703269999995</v>
      </c>
      <c r="E9" s="6">
        <f t="shared" si="0"/>
        <v>0.31374090000008437</v>
      </c>
      <c r="F9" s="6">
        <f t="shared" si="1"/>
        <v>8.5373291262622963</v>
      </c>
    </row>
    <row r="10" spans="1:6" x14ac:dyDescent="0.25">
      <c r="A10" s="2">
        <v>9</v>
      </c>
      <c r="B10" s="12" t="s">
        <v>50</v>
      </c>
      <c r="C10" s="1">
        <v>-780.86441090000005</v>
      </c>
      <c r="D10" s="21">
        <v>-780.575245</v>
      </c>
      <c r="E10" s="6">
        <f t="shared" si="0"/>
        <v>0.28916590000005726</v>
      </c>
      <c r="F10" s="6">
        <f t="shared" si="1"/>
        <v>7.8686089712615583</v>
      </c>
    </row>
    <row r="11" spans="1:6" x14ac:dyDescent="0.25">
      <c r="A11" s="2">
        <v>10</v>
      </c>
      <c r="B11" s="12" t="s">
        <v>7</v>
      </c>
      <c r="C11" s="22">
        <v>-738.72699980000004</v>
      </c>
      <c r="D11" s="1">
        <v>-738.42170969999995</v>
      </c>
      <c r="E11" s="6">
        <f t="shared" si="0"/>
        <v>0.30529010000009293</v>
      </c>
      <c r="F11" s="6">
        <f t="shared" si="1"/>
        <v>8.3073710271425298</v>
      </c>
    </row>
    <row r="12" spans="1:6" x14ac:dyDescent="0.25">
      <c r="A12" s="2">
        <v>11</v>
      </c>
      <c r="B12" s="15" t="s">
        <v>8</v>
      </c>
      <c r="C12" s="22">
        <v>-1015.1615978</v>
      </c>
      <c r="D12" s="1">
        <v>-1014.9075606</v>
      </c>
      <c r="E12" s="6">
        <f t="shared" si="0"/>
        <v>0.25403719999997065</v>
      </c>
      <c r="F12" s="6">
        <f t="shared" si="1"/>
        <v>6.9127078640792021</v>
      </c>
    </row>
    <row r="13" spans="1:6" x14ac:dyDescent="0.25">
      <c r="A13" s="2">
        <v>12</v>
      </c>
      <c r="B13" s="12" t="s">
        <v>9</v>
      </c>
      <c r="C13" s="23">
        <v>-517.50538949999998</v>
      </c>
      <c r="D13" s="20">
        <v>-517.23485319999998</v>
      </c>
      <c r="E13" s="6">
        <f t="shared" si="0"/>
        <v>0.27053630000000339</v>
      </c>
      <c r="F13" s="6">
        <f t="shared" si="1"/>
        <v>7.3616714738200928</v>
      </c>
    </row>
    <row r="14" spans="1:6" x14ac:dyDescent="0.25">
      <c r="A14" s="52" t="s">
        <v>11</v>
      </c>
      <c r="B14" s="52"/>
      <c r="C14" s="1">
        <v>-491.01407979999999</v>
      </c>
      <c r="D14" s="1">
        <v>-490.72303909999999</v>
      </c>
      <c r="E14" s="6">
        <f t="shared" si="0"/>
        <v>0.29104069999999638</v>
      </c>
      <c r="F14" s="6">
        <f t="shared" si="1"/>
        <v>7.9196249039799014</v>
      </c>
    </row>
    <row r="16" spans="1:6" x14ac:dyDescent="0.25">
      <c r="A16" s="52" t="s">
        <v>67</v>
      </c>
      <c r="B16" s="52"/>
      <c r="C16" s="52"/>
      <c r="D16" s="52"/>
      <c r="E16" s="52"/>
      <c r="F16" s="52"/>
    </row>
    <row r="17" spans="1:6" ht="18.75" x14ac:dyDescent="0.25">
      <c r="C17" s="2" t="s">
        <v>19</v>
      </c>
      <c r="D17" s="2" t="s">
        <v>20</v>
      </c>
      <c r="E17" s="2" t="s">
        <v>58</v>
      </c>
      <c r="F17" s="2" t="s">
        <v>59</v>
      </c>
    </row>
    <row r="18" spans="1:6" x14ac:dyDescent="0.25">
      <c r="A18" s="19" t="s">
        <v>96</v>
      </c>
      <c r="B18" s="36" t="s">
        <v>64</v>
      </c>
      <c r="C18" s="9">
        <v>-953.17613070000004</v>
      </c>
      <c r="D18" s="9">
        <v>-952.92260120000003</v>
      </c>
      <c r="E18" s="9">
        <f>D18-C18</f>
        <v>0.25352950000001329</v>
      </c>
      <c r="F18" s="6">
        <f>E18*27.2114</f>
        <v>6.8988926363003618</v>
      </c>
    </row>
    <row r="19" spans="1:6" x14ac:dyDescent="0.25">
      <c r="A19" s="2" t="s">
        <v>97</v>
      </c>
      <c r="B19" s="36" t="s">
        <v>70</v>
      </c>
      <c r="C19" s="9">
        <v>-1260.4793400000001</v>
      </c>
      <c r="D19" s="9">
        <v>-1260.2365185000001</v>
      </c>
      <c r="E19" s="9">
        <f>D19-C19</f>
        <v>0.24282149999999092</v>
      </c>
      <c r="F19" s="6">
        <f>E19*27.2114</f>
        <v>6.6075129650997528</v>
      </c>
    </row>
    <row r="20" spans="1:6" x14ac:dyDescent="0.25">
      <c r="A20" s="2" t="s">
        <v>98</v>
      </c>
      <c r="B20" s="36" t="s">
        <v>72</v>
      </c>
      <c r="C20" s="9">
        <v>-1418.1528496000001</v>
      </c>
      <c r="D20" s="9">
        <v>-1417.9211485999999</v>
      </c>
      <c r="E20" s="9">
        <f>D20-C20</f>
        <v>0.23170100000015736</v>
      </c>
      <c r="F20" s="6">
        <f>E20*27.2114</f>
        <v>6.3049085914042822</v>
      </c>
    </row>
    <row r="21" spans="1:6" x14ac:dyDescent="0.25">
      <c r="A21" s="2" t="s">
        <v>99</v>
      </c>
      <c r="B21" s="36" t="s">
        <v>73</v>
      </c>
      <c r="C21" s="34">
        <v>-1901.9514451</v>
      </c>
      <c r="D21" s="9">
        <v>-1901.7165891</v>
      </c>
      <c r="E21" s="9">
        <f>D21-C21</f>
        <v>0.23485600000003615</v>
      </c>
      <c r="F21" s="6">
        <f>E21*27.2114</f>
        <v>6.3907605584009834</v>
      </c>
    </row>
    <row r="22" spans="1:6" x14ac:dyDescent="0.25">
      <c r="A22" s="2" t="s">
        <v>100</v>
      </c>
      <c r="B22" s="36" t="s">
        <v>73</v>
      </c>
      <c r="C22" s="34">
        <v>-1901.9552387000001</v>
      </c>
      <c r="D22" s="1">
        <v>-1901.7286601999999</v>
      </c>
      <c r="E22" s="9">
        <f>D22-C22</f>
        <v>0.22657850000018698</v>
      </c>
      <c r="F22" s="6">
        <f>E22*27.2114</f>
        <v>6.1655181949050881</v>
      </c>
    </row>
    <row r="23" spans="1:6" x14ac:dyDescent="0.25">
      <c r="A23" s="2" t="s">
        <v>103</v>
      </c>
      <c r="B23" s="36" t="s">
        <v>74</v>
      </c>
      <c r="C23" s="9">
        <v>-1934.0485991</v>
      </c>
      <c r="D23" s="9">
        <v>-1933.8135608</v>
      </c>
      <c r="E23" s="9">
        <f t="shared" ref="E23:E31" si="2">D23-C23</f>
        <v>0.235038300000042</v>
      </c>
      <c r="F23" s="6">
        <f t="shared" ref="F23:F31" si="3">E23*27.2114</f>
        <v>6.3957211966211434</v>
      </c>
    </row>
    <row r="24" spans="1:6" x14ac:dyDescent="0.25">
      <c r="A24" s="2" t="s">
        <v>102</v>
      </c>
      <c r="B24" s="36" t="s">
        <v>74</v>
      </c>
      <c r="C24" s="34">
        <v>-1934.0285214</v>
      </c>
      <c r="D24" s="9">
        <v>-1933.7763499</v>
      </c>
      <c r="E24" s="9">
        <f t="shared" si="2"/>
        <v>0.2521715000000313</v>
      </c>
      <c r="F24" s="6">
        <f t="shared" si="3"/>
        <v>6.861939555100852</v>
      </c>
    </row>
    <row r="25" spans="1:6" x14ac:dyDescent="0.25">
      <c r="A25" s="2" t="s">
        <v>104</v>
      </c>
      <c r="B25" s="36" t="s">
        <v>75</v>
      </c>
      <c r="C25" s="34">
        <v>-1966.124712</v>
      </c>
      <c r="D25" s="9">
        <v>-1965.8740588000001</v>
      </c>
      <c r="E25" s="9">
        <f t="shared" si="2"/>
        <v>0.25065319999998792</v>
      </c>
      <c r="F25" s="6">
        <f t="shared" si="3"/>
        <v>6.8206244864796712</v>
      </c>
    </row>
    <row r="26" spans="1:6" x14ac:dyDescent="0.25">
      <c r="A26" s="2" t="s">
        <v>105</v>
      </c>
      <c r="B26" s="36" t="s">
        <v>76</v>
      </c>
      <c r="C26" s="34">
        <v>-1936.3952690000001</v>
      </c>
      <c r="D26" s="9">
        <v>-1936.1386110000001</v>
      </c>
      <c r="E26" s="37">
        <f t="shared" si="2"/>
        <v>0.25665800000001582</v>
      </c>
      <c r="F26" s="38">
        <f t="shared" si="3"/>
        <v>6.984023501200431</v>
      </c>
    </row>
    <row r="27" spans="1:6" x14ac:dyDescent="0.25">
      <c r="A27" s="2" t="s">
        <v>106</v>
      </c>
      <c r="B27" s="36" t="s">
        <v>77</v>
      </c>
      <c r="C27" s="34">
        <v>-1934.0913272</v>
      </c>
      <c r="D27" s="9">
        <v>-1933.8506034</v>
      </c>
      <c r="E27" s="9">
        <f t="shared" si="2"/>
        <v>0.24072380000006888</v>
      </c>
      <c r="F27" s="6">
        <f t="shared" si="3"/>
        <v>6.5504316113218746</v>
      </c>
    </row>
    <row r="28" spans="1:6" x14ac:dyDescent="0.25">
      <c r="A28" s="2" t="s">
        <v>107</v>
      </c>
      <c r="B28" s="36" t="s">
        <v>78</v>
      </c>
      <c r="C28" s="9">
        <v>-2050.3777383000001</v>
      </c>
      <c r="D28" s="9">
        <v>-2050.1507458999999</v>
      </c>
      <c r="E28" s="9">
        <f t="shared" si="2"/>
        <v>0.22699240000019927</v>
      </c>
      <c r="F28" s="6">
        <f t="shared" si="3"/>
        <v>6.1767809933654227</v>
      </c>
    </row>
    <row r="29" spans="1:6" x14ac:dyDescent="0.25">
      <c r="A29" s="2" t="s">
        <v>108</v>
      </c>
      <c r="B29" s="36" t="s">
        <v>80</v>
      </c>
      <c r="C29" s="34">
        <v>-1966.1080552999999</v>
      </c>
      <c r="D29" s="9">
        <v>-1965.8680038</v>
      </c>
      <c r="E29" s="9">
        <f t="shared" si="2"/>
        <v>0.24005149999993591</v>
      </c>
      <c r="F29" s="6">
        <f t="shared" si="3"/>
        <v>6.5321373870982562</v>
      </c>
    </row>
    <row r="30" spans="1:6" x14ac:dyDescent="0.25">
      <c r="A30" s="2" t="s">
        <v>109</v>
      </c>
      <c r="B30" s="36" t="s">
        <v>79</v>
      </c>
      <c r="C30" s="34">
        <v>-2518.9678177000001</v>
      </c>
      <c r="D30" s="9">
        <v>-2518.7410862000002</v>
      </c>
      <c r="E30" s="9">
        <f t="shared" si="2"/>
        <v>0.22673149999991438</v>
      </c>
      <c r="F30" s="6">
        <f t="shared" si="3"/>
        <v>6.1696815390976703</v>
      </c>
    </row>
    <row r="31" spans="1:6" x14ac:dyDescent="0.25">
      <c r="A31" s="2" t="s">
        <v>110</v>
      </c>
      <c r="B31" s="36" t="s">
        <v>81</v>
      </c>
      <c r="C31" s="9">
        <v>-1523.6158192</v>
      </c>
      <c r="D31" s="1">
        <v>-1523.3735156</v>
      </c>
      <c r="E31" s="9">
        <f t="shared" si="2"/>
        <v>0.24230360000001383</v>
      </c>
      <c r="F31" s="6">
        <f t="shared" si="3"/>
        <v>6.5934201810403765</v>
      </c>
    </row>
  </sheetData>
  <mergeCells count="2">
    <mergeCell ref="A14:B14"/>
    <mergeCell ref="A16:F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C826B-3921-44A2-94D8-10C03186E4C7}">
  <dimension ref="A1:F33"/>
  <sheetViews>
    <sheetView topLeftCell="A18" workbookViewId="0">
      <selection activeCell="A20" sqref="A20:A33"/>
    </sheetView>
  </sheetViews>
  <sheetFormatPr defaultRowHeight="15" x14ac:dyDescent="0.25"/>
  <cols>
    <col min="1" max="1" width="13.5703125" bestFit="1" customWidth="1"/>
    <col min="2" max="2" width="33.85546875" bestFit="1" customWidth="1"/>
    <col min="3" max="3" width="15" customWidth="1"/>
    <col min="4" max="5" width="18.85546875" customWidth="1"/>
    <col min="6" max="6" width="20.140625" customWidth="1"/>
  </cols>
  <sheetData>
    <row r="1" spans="1:6" ht="18.75" x14ac:dyDescent="0.25">
      <c r="A1" s="2" t="s">
        <v>0</v>
      </c>
      <c r="B1" s="2"/>
      <c r="C1" s="2" t="s">
        <v>19</v>
      </c>
      <c r="D1" s="2" t="s">
        <v>22</v>
      </c>
      <c r="E1" s="2" t="s">
        <v>24</v>
      </c>
      <c r="F1" s="2" t="s">
        <v>69</v>
      </c>
    </row>
    <row r="2" spans="1:6" ht="15.75" x14ac:dyDescent="0.25">
      <c r="A2" s="2">
        <v>1</v>
      </c>
      <c r="B2" s="12" t="s">
        <v>2</v>
      </c>
      <c r="C2" s="1">
        <v>-232.268418</v>
      </c>
      <c r="D2" s="1">
        <v>-232.22172860000001</v>
      </c>
      <c r="E2" s="6">
        <f>C2-D2</f>
        <v>-4.668939999999111E-2</v>
      </c>
      <c r="F2" s="6">
        <f>E2*27.2114</f>
        <v>-1.2704839391597582</v>
      </c>
    </row>
    <row r="3" spans="1:6" ht="15.75" x14ac:dyDescent="0.25">
      <c r="A3" s="2">
        <v>2</v>
      </c>
      <c r="B3" s="12" t="s">
        <v>3</v>
      </c>
      <c r="C3" s="1">
        <v>-385.91952400000002</v>
      </c>
      <c r="D3" s="1">
        <v>-385.91081339999999</v>
      </c>
      <c r="E3" s="6">
        <f t="shared" ref="E3:E14" si="0">C3-D3</f>
        <v>-8.7106000000289896E-3</v>
      </c>
      <c r="F3" s="6">
        <f t="shared" ref="F3:F13" si="1">E3*27.2114</f>
        <v>-0.23702762084078885</v>
      </c>
    </row>
    <row r="4" spans="1:6" ht="15.75" x14ac:dyDescent="0.25">
      <c r="A4" s="2">
        <v>3</v>
      </c>
      <c r="B4" s="13" t="s">
        <v>4</v>
      </c>
      <c r="C4" s="1">
        <v>-464.75450389999997</v>
      </c>
      <c r="D4" s="1">
        <v>-464.7159092</v>
      </c>
      <c r="E4" s="6">
        <f t="shared" si="0"/>
        <v>-3.8594699999976001E-2</v>
      </c>
      <c r="F4" s="6">
        <f t="shared" si="1"/>
        <v>-1.050215819579347</v>
      </c>
    </row>
    <row r="5" spans="1:6" ht="15.75" x14ac:dyDescent="0.25">
      <c r="A5" s="2">
        <v>4</v>
      </c>
      <c r="B5" s="12" t="s">
        <v>47</v>
      </c>
      <c r="C5" s="1">
        <v>-706.65843059999997</v>
      </c>
      <c r="D5" s="20">
        <v>-706.66168479999999</v>
      </c>
      <c r="E5" s="6">
        <f t="shared" si="0"/>
        <v>3.2542000000148619E-3</v>
      </c>
      <c r="F5" s="6">
        <f t="shared" si="1"/>
        <v>8.855133788040441E-2</v>
      </c>
    </row>
    <row r="6" spans="1:6" ht="15.75" x14ac:dyDescent="0.25">
      <c r="A6" s="2">
        <v>5</v>
      </c>
      <c r="B6" s="12" t="s">
        <v>48</v>
      </c>
      <c r="C6" s="1">
        <v>-722.69764269999996</v>
      </c>
      <c r="D6" s="1">
        <v>-722.71515980000004</v>
      </c>
      <c r="E6" s="6">
        <f t="shared" si="0"/>
        <v>1.7517100000077335E-2</v>
      </c>
      <c r="F6" s="6">
        <f t="shared" si="1"/>
        <v>0.47666481494210439</v>
      </c>
    </row>
    <row r="7" spans="1:6" ht="15.75" x14ac:dyDescent="0.25">
      <c r="A7" s="2">
        <v>6</v>
      </c>
      <c r="B7" s="12" t="s">
        <v>6</v>
      </c>
      <c r="C7" s="1">
        <v>-738.73728059999996</v>
      </c>
      <c r="D7" s="1">
        <v>-738.77248610000004</v>
      </c>
      <c r="E7" s="6">
        <f t="shared" si="0"/>
        <v>3.5205500000074608E-2</v>
      </c>
      <c r="F7" s="6">
        <f t="shared" si="1"/>
        <v>0.95799094270203022</v>
      </c>
    </row>
    <row r="8" spans="1:6" ht="15.75" x14ac:dyDescent="0.25">
      <c r="A8" s="2">
        <v>7</v>
      </c>
      <c r="B8" s="12" t="s">
        <v>49</v>
      </c>
      <c r="C8" s="1">
        <v>-723.88892999999996</v>
      </c>
      <c r="D8" s="1">
        <v>-723.90199310000003</v>
      </c>
      <c r="E8" s="6">
        <f t="shared" si="0"/>
        <v>1.3063100000067607E-2</v>
      </c>
      <c r="F8" s="6">
        <f t="shared" si="1"/>
        <v>0.35546523934183971</v>
      </c>
    </row>
    <row r="9" spans="1:6" ht="15.75" x14ac:dyDescent="0.25">
      <c r="A9" s="2">
        <v>8</v>
      </c>
      <c r="B9" s="12" t="s">
        <v>5</v>
      </c>
      <c r="C9" s="1">
        <v>-722.72077360000003</v>
      </c>
      <c r="D9" s="1">
        <v>-722.71290629999999</v>
      </c>
      <c r="E9" s="6">
        <f t="shared" si="0"/>
        <v>-7.8673000000435422E-3</v>
      </c>
      <c r="F9" s="6">
        <f t="shared" si="1"/>
        <v>-0.21408024722118485</v>
      </c>
    </row>
    <row r="10" spans="1:6" ht="15.75" x14ac:dyDescent="0.25">
      <c r="A10" s="2">
        <v>9</v>
      </c>
      <c r="B10" s="12" t="s">
        <v>50</v>
      </c>
      <c r="C10" s="1">
        <v>-780.86441090000005</v>
      </c>
      <c r="D10" s="1">
        <v>-780.82839860000001</v>
      </c>
      <c r="E10" s="6">
        <f t="shared" si="0"/>
        <v>-3.6012300000038522E-2</v>
      </c>
      <c r="F10" s="6">
        <f t="shared" si="1"/>
        <v>-0.9799451002210483</v>
      </c>
    </row>
    <row r="11" spans="1:6" ht="15.75" x14ac:dyDescent="0.25">
      <c r="A11" s="2">
        <v>10</v>
      </c>
      <c r="B11" s="12" t="s">
        <v>7</v>
      </c>
      <c r="C11" s="22">
        <v>-738.72699980000004</v>
      </c>
      <c r="D11" s="1">
        <v>-738.76095980000002</v>
      </c>
      <c r="E11" s="6">
        <f t="shared" si="0"/>
        <v>3.3959999999979118E-2</v>
      </c>
      <c r="F11" s="6">
        <f t="shared" si="1"/>
        <v>0.92409914399943183</v>
      </c>
    </row>
    <row r="12" spans="1:6" ht="15.75" x14ac:dyDescent="0.25">
      <c r="A12" s="2">
        <v>11</v>
      </c>
      <c r="B12" s="15" t="s">
        <v>8</v>
      </c>
      <c r="C12" s="22">
        <v>-1015.1615978</v>
      </c>
      <c r="D12" s="1">
        <v>-1015.1850015</v>
      </c>
      <c r="E12" s="6">
        <f t="shared" si="0"/>
        <v>2.3403700000017125E-2</v>
      </c>
      <c r="F12" s="6">
        <f t="shared" si="1"/>
        <v>0.63684744218046596</v>
      </c>
    </row>
    <row r="13" spans="1:6" ht="15.75" x14ac:dyDescent="0.25">
      <c r="A13" s="2">
        <v>12</v>
      </c>
      <c r="B13" s="12" t="s">
        <v>9</v>
      </c>
      <c r="C13" s="23">
        <v>-517.50538949999998</v>
      </c>
      <c r="D13" s="1">
        <v>-517.49334250000004</v>
      </c>
      <c r="E13" s="6">
        <f>C13-D13</f>
        <v>-1.2046999999938635E-2</v>
      </c>
      <c r="F13" s="6">
        <f t="shared" si="1"/>
        <v>-0.32781573579833018</v>
      </c>
    </row>
    <row r="14" spans="1:6" ht="15.75" x14ac:dyDescent="0.25">
      <c r="A14" s="52" t="s">
        <v>11</v>
      </c>
      <c r="B14" s="52"/>
      <c r="C14" s="1">
        <v>-491.01407979999999</v>
      </c>
      <c r="D14" s="1">
        <v>-491.05358469999999</v>
      </c>
      <c r="E14" s="6">
        <f t="shared" si="0"/>
        <v>3.9504899999997178E-2</v>
      </c>
      <c r="F14" s="6">
        <f>E14*27.2114</f>
        <v>1.0749836358599232</v>
      </c>
    </row>
    <row r="18" spans="1:6" ht="15.75" x14ac:dyDescent="0.25">
      <c r="A18" s="52" t="s">
        <v>67</v>
      </c>
      <c r="B18" s="52"/>
      <c r="C18" s="52"/>
      <c r="D18" s="52"/>
      <c r="E18" s="52"/>
      <c r="F18" s="52"/>
    </row>
    <row r="19" spans="1:6" ht="18.75" x14ac:dyDescent="0.25">
      <c r="A19" s="2"/>
      <c r="B19" s="2"/>
      <c r="C19" s="2" t="s">
        <v>19</v>
      </c>
      <c r="D19" s="2" t="s">
        <v>22</v>
      </c>
      <c r="E19" s="2" t="s">
        <v>68</v>
      </c>
      <c r="F19" s="2" t="s">
        <v>69</v>
      </c>
    </row>
    <row r="20" spans="1:6" ht="15.75" x14ac:dyDescent="0.25">
      <c r="A20" s="19" t="s">
        <v>96</v>
      </c>
      <c r="B20" s="36" t="s">
        <v>64</v>
      </c>
      <c r="C20" s="9">
        <v>-953.17613070000004</v>
      </c>
      <c r="D20" s="1">
        <v>-953.23835770000005</v>
      </c>
      <c r="E20" s="17">
        <f>C20-D20</f>
        <v>6.2227000000007138E-2</v>
      </c>
      <c r="F20" s="6">
        <f>E20*27.2114</f>
        <v>1.6932837878001943</v>
      </c>
    </row>
    <row r="21" spans="1:6" s="1" customFormat="1" ht="15.75" x14ac:dyDescent="0.25">
      <c r="A21" s="2" t="s">
        <v>97</v>
      </c>
      <c r="B21" s="36" t="s">
        <v>70</v>
      </c>
      <c r="C21" s="9">
        <v>-1260.4793400000001</v>
      </c>
      <c r="D21" s="1">
        <v>-1260.5481468</v>
      </c>
      <c r="E21" s="17">
        <f>C21-D21</f>
        <v>6.8806799999947543E-2</v>
      </c>
      <c r="F21" s="6">
        <f>E21*27.2114</f>
        <v>1.8723293575185727</v>
      </c>
    </row>
    <row r="22" spans="1:6" s="1" customFormat="1" ht="15.75" x14ac:dyDescent="0.25">
      <c r="A22" s="2" t="s">
        <v>98</v>
      </c>
      <c r="B22" s="36" t="s">
        <v>72</v>
      </c>
      <c r="C22" s="9">
        <v>-1418.1528496000001</v>
      </c>
      <c r="D22" s="1">
        <v>-1418.2046178999999</v>
      </c>
      <c r="E22" s="17">
        <f>C22-D22</f>
        <v>5.1768299999821465E-2</v>
      </c>
      <c r="F22" s="6">
        <f>E22*27.2114</f>
        <v>1.408687918615142</v>
      </c>
    </row>
    <row r="23" spans="1:6" s="1" customFormat="1" ht="15.75" x14ac:dyDescent="0.25">
      <c r="A23" s="2" t="s">
        <v>99</v>
      </c>
      <c r="B23" s="36" t="s">
        <v>73</v>
      </c>
      <c r="C23" s="34">
        <v>-1901.9514451</v>
      </c>
      <c r="D23" s="1">
        <v>-1902.0217029999999</v>
      </c>
      <c r="E23" s="17">
        <f>C23-D23</f>
        <v>7.0257899999887741E-2</v>
      </c>
      <c r="F23" s="6">
        <f>E23*27.2114</f>
        <v>1.9118158200569453</v>
      </c>
    </row>
    <row r="24" spans="1:6" s="1" customFormat="1" ht="15.75" x14ac:dyDescent="0.25">
      <c r="A24" s="2" t="s">
        <v>100</v>
      </c>
      <c r="B24" s="36" t="s">
        <v>73</v>
      </c>
      <c r="C24" s="34">
        <v>-1901.9552387000001</v>
      </c>
      <c r="D24" s="22">
        <v>-1902.0260154</v>
      </c>
      <c r="E24" s="17">
        <f>C24-D24</f>
        <v>7.0776699999896664E-2</v>
      </c>
      <c r="F24" s="6">
        <f>E24*27.2114</f>
        <v>1.9259330943771882</v>
      </c>
    </row>
    <row r="25" spans="1:6" s="1" customFormat="1" ht="15.75" x14ac:dyDescent="0.25">
      <c r="A25" s="2" t="s">
        <v>103</v>
      </c>
      <c r="B25" s="36" t="s">
        <v>74</v>
      </c>
      <c r="C25" s="9">
        <v>-1934.0485991</v>
      </c>
      <c r="D25" s="1">
        <v>-1934.1226257000001</v>
      </c>
      <c r="E25" s="17">
        <f t="shared" ref="E25:E33" si="2">C25-D25</f>
        <v>7.40266000000247E-2</v>
      </c>
      <c r="F25" s="6">
        <f t="shared" ref="F25:F33" si="3">E25*27.2114</f>
        <v>2.0143674232406723</v>
      </c>
    </row>
    <row r="26" spans="1:6" s="1" customFormat="1" ht="15.75" x14ac:dyDescent="0.25">
      <c r="A26" s="2" t="s">
        <v>102</v>
      </c>
      <c r="B26" s="36" t="s">
        <v>74</v>
      </c>
      <c r="C26" s="34">
        <v>-1934.0285214</v>
      </c>
      <c r="D26" s="1">
        <v>-1934.121813</v>
      </c>
      <c r="E26" s="17">
        <f t="shared" si="2"/>
        <v>9.3291599999929531E-2</v>
      </c>
      <c r="F26" s="6">
        <f t="shared" si="3"/>
        <v>2.5385950442380825</v>
      </c>
    </row>
    <row r="27" spans="1:6" s="1" customFormat="1" ht="15.75" x14ac:dyDescent="0.25">
      <c r="A27" s="2" t="s">
        <v>104</v>
      </c>
      <c r="B27" s="36" t="s">
        <v>75</v>
      </c>
      <c r="C27" s="34">
        <v>-1966.124712</v>
      </c>
      <c r="D27" s="1">
        <v>-1966.2154376999999</v>
      </c>
      <c r="E27" s="17">
        <f t="shared" si="2"/>
        <v>9.072569999989355E-2</v>
      </c>
      <c r="F27" s="6">
        <f t="shared" si="3"/>
        <v>2.4687733129771035</v>
      </c>
    </row>
    <row r="28" spans="1:6" s="1" customFormat="1" ht="15.75" x14ac:dyDescent="0.25">
      <c r="A28" s="2" t="s">
        <v>105</v>
      </c>
      <c r="B28" s="36" t="s">
        <v>76</v>
      </c>
      <c r="C28" s="34">
        <v>-1936.3952690000001</v>
      </c>
      <c r="D28" s="1">
        <v>-1936.4440368999999</v>
      </c>
      <c r="E28" s="17">
        <f t="shared" si="2"/>
        <v>4.8767899999802466E-2</v>
      </c>
      <c r="F28" s="6">
        <f t="shared" si="3"/>
        <v>1.327042834054625</v>
      </c>
    </row>
    <row r="29" spans="1:6" s="1" customFormat="1" ht="15.75" x14ac:dyDescent="0.25">
      <c r="A29" s="2" t="s">
        <v>106</v>
      </c>
      <c r="B29" s="36" t="s">
        <v>77</v>
      </c>
      <c r="C29" s="34">
        <v>-1934.0913272</v>
      </c>
      <c r="D29" s="1">
        <v>-1934.1590561999999</v>
      </c>
      <c r="E29" s="17">
        <f t="shared" si="2"/>
        <v>6.772899999987203E-2</v>
      </c>
      <c r="F29" s="6">
        <f t="shared" si="3"/>
        <v>1.8430009105965179</v>
      </c>
    </row>
    <row r="30" spans="1:6" s="1" customFormat="1" ht="15.75" x14ac:dyDescent="0.25">
      <c r="A30" s="2" t="s">
        <v>107</v>
      </c>
      <c r="B30" s="36" t="s">
        <v>78</v>
      </c>
      <c r="C30" s="9">
        <v>-2050.3777383000001</v>
      </c>
      <c r="D30" s="1">
        <v>-2050.4301249</v>
      </c>
      <c r="E30" s="17">
        <f t="shared" si="2"/>
        <v>5.2386599999863392E-2</v>
      </c>
      <c r="F30" s="6">
        <f t="shared" si="3"/>
        <v>1.4255127272362829</v>
      </c>
    </row>
    <row r="31" spans="1:6" ht="15.75" x14ac:dyDescent="0.25">
      <c r="A31" s="2" t="s">
        <v>108</v>
      </c>
      <c r="B31" s="36" t="s">
        <v>80</v>
      </c>
      <c r="C31" s="34">
        <v>-1966.1080552999999</v>
      </c>
      <c r="D31" s="1">
        <v>-1966.1978546</v>
      </c>
      <c r="E31" s="17">
        <f t="shared" si="2"/>
        <v>8.9799300000095172E-2</v>
      </c>
      <c r="F31" s="6">
        <f t="shared" si="3"/>
        <v>2.4435646720225899</v>
      </c>
    </row>
    <row r="32" spans="1:6" ht="15.75" x14ac:dyDescent="0.25">
      <c r="A32" s="2" t="s">
        <v>109</v>
      </c>
      <c r="B32" s="36" t="s">
        <v>79</v>
      </c>
      <c r="C32" s="34">
        <v>-2518.9678177000001</v>
      </c>
      <c r="D32" s="1">
        <v>-2519.0445562999998</v>
      </c>
      <c r="E32" s="17">
        <f t="shared" si="2"/>
        <v>7.6738599999771395E-2</v>
      </c>
      <c r="F32" s="6">
        <f t="shared" si="3"/>
        <v>2.0881647400337795</v>
      </c>
    </row>
    <row r="33" spans="1:6" ht="15.75" x14ac:dyDescent="0.25">
      <c r="A33" s="2" t="s">
        <v>110</v>
      </c>
      <c r="B33" s="36" t="s">
        <v>81</v>
      </c>
      <c r="C33" s="9">
        <v>-1523.6158192</v>
      </c>
      <c r="D33" s="1">
        <v>-1523.6691956</v>
      </c>
      <c r="E33" s="17">
        <f t="shared" si="2"/>
        <v>5.337639999993371E-2</v>
      </c>
      <c r="F33" s="6">
        <f t="shared" si="3"/>
        <v>1.4524465709581962</v>
      </c>
    </row>
  </sheetData>
  <mergeCells count="2">
    <mergeCell ref="A14:B14"/>
    <mergeCell ref="A18:F1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E858-CA53-4352-9B2F-025AFC469003}">
  <dimension ref="A1:I33"/>
  <sheetViews>
    <sheetView topLeftCell="A12" workbookViewId="0">
      <selection activeCell="A20" sqref="A20:A33"/>
    </sheetView>
  </sheetViews>
  <sheetFormatPr defaultRowHeight="15.75" x14ac:dyDescent="0.25"/>
  <cols>
    <col min="1" max="1" width="13.5703125" bestFit="1" customWidth="1"/>
    <col min="2" max="2" width="33.85546875" style="3" bestFit="1" customWidth="1"/>
    <col min="3" max="3" width="12" style="1" bestFit="1" customWidth="1"/>
    <col min="4" max="4" width="14.5703125" style="1" bestFit="1" customWidth="1"/>
    <col min="5" max="5" width="9.140625" style="1"/>
    <col min="6" max="6" width="9.140625" style="3"/>
    <col min="8" max="8" width="10.7109375" bestFit="1" customWidth="1"/>
  </cols>
  <sheetData>
    <row r="1" spans="1:9" ht="18.75" x14ac:dyDescent="0.25">
      <c r="A1" s="10" t="s">
        <v>0</v>
      </c>
      <c r="B1" s="10" t="s">
        <v>1</v>
      </c>
      <c r="C1" s="2" t="s">
        <v>59</v>
      </c>
      <c r="D1" s="2" t="s">
        <v>25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</row>
    <row r="2" spans="1:9" x14ac:dyDescent="0.25">
      <c r="A2" s="2">
        <v>1</v>
      </c>
      <c r="B2" s="12" t="s">
        <v>2</v>
      </c>
      <c r="C2" s="6">
        <v>9.0695324086002973</v>
      </c>
      <c r="D2" s="6">
        <v>-1.2704839391597582</v>
      </c>
      <c r="E2" s="6">
        <f t="shared" ref="E2:E33" si="0">1/2*(C2-D2)</f>
        <v>5.1700081738800279</v>
      </c>
      <c r="F2" s="6">
        <f t="shared" ref="F2:F33" si="1">((C2+3*D2)^2)/(16*(C2-D2))</f>
        <v>0.16711416701914131</v>
      </c>
      <c r="G2" s="6">
        <f t="shared" ref="G2:G33" si="2">((3*C2+D2)^2)/(16*(C2-D2))</f>
        <v>4.0666384017394117</v>
      </c>
      <c r="H2" s="6">
        <f t="shared" ref="H2:H33" si="3">((C2+D2)^2)/(4*(C2-D2))</f>
        <v>1.4706252626442724</v>
      </c>
      <c r="I2" s="6">
        <f t="shared" ref="I2:I33" si="4">(C2+D2)/2</f>
        <v>3.8995242347202694</v>
      </c>
    </row>
    <row r="3" spans="1:9" x14ac:dyDescent="0.25">
      <c r="A3" s="2">
        <v>2</v>
      </c>
      <c r="B3" s="12" t="s">
        <v>3</v>
      </c>
      <c r="C3" s="6">
        <v>7.8162215839811093</v>
      </c>
      <c r="D3" s="6">
        <v>-0.23702762084078885</v>
      </c>
      <c r="E3" s="6">
        <f t="shared" si="0"/>
        <v>4.0266246024109487</v>
      </c>
      <c r="F3" s="6">
        <f t="shared" si="1"/>
        <v>0.39179059103362895</v>
      </c>
      <c r="G3" s="6">
        <f t="shared" si="2"/>
        <v>4.1813875726037892</v>
      </c>
      <c r="H3" s="6">
        <f t="shared" si="3"/>
        <v>1.7832610065173407</v>
      </c>
      <c r="I3" s="6">
        <f t="shared" si="4"/>
        <v>3.7895969815701602</v>
      </c>
    </row>
    <row r="4" spans="1:9" x14ac:dyDescent="0.25">
      <c r="A4" s="2">
        <v>3</v>
      </c>
      <c r="B4" s="13" t="s">
        <v>4</v>
      </c>
      <c r="C4" s="6">
        <v>7.8427690258196678</v>
      </c>
      <c r="D4" s="6">
        <v>-1.050215819579347</v>
      </c>
      <c r="E4" s="6">
        <f t="shared" si="0"/>
        <v>4.4464924226995075</v>
      </c>
      <c r="F4" s="6">
        <f t="shared" si="1"/>
        <v>0.1547287355076219</v>
      </c>
      <c r="G4" s="6">
        <f t="shared" si="2"/>
        <v>3.5510053386277831</v>
      </c>
      <c r="H4" s="6">
        <f t="shared" si="3"/>
        <v>1.2970554842302635</v>
      </c>
      <c r="I4" s="6">
        <f t="shared" si="4"/>
        <v>3.3962766031201603</v>
      </c>
    </row>
    <row r="5" spans="1:9" x14ac:dyDescent="0.25">
      <c r="A5" s="2">
        <v>4</v>
      </c>
      <c r="B5" s="12" t="s">
        <v>47</v>
      </c>
      <c r="C5" s="6">
        <v>7.4074873079985721</v>
      </c>
      <c r="D5" s="6">
        <v>8.855133788040441E-2</v>
      </c>
      <c r="E5" s="6">
        <f t="shared" si="0"/>
        <v>3.6594679850590839</v>
      </c>
      <c r="F5" s="6">
        <f t="shared" si="1"/>
        <v>0.50278054404219419</v>
      </c>
      <c r="G5" s="6">
        <f t="shared" si="2"/>
        <v>4.2507998669816818</v>
      </c>
      <c r="H5" s="6">
        <f t="shared" si="3"/>
        <v>1.9193567073795528</v>
      </c>
      <c r="I5" s="6">
        <f t="shared" si="4"/>
        <v>3.7480193229394883</v>
      </c>
    </row>
    <row r="6" spans="1:9" x14ac:dyDescent="0.25">
      <c r="A6" s="2">
        <v>5</v>
      </c>
      <c r="B6" s="12" t="s">
        <v>48</v>
      </c>
      <c r="C6" s="6">
        <v>8.098003794399963</v>
      </c>
      <c r="D6" s="6">
        <v>0.47666481494210439</v>
      </c>
      <c r="E6" s="6">
        <f t="shared" si="0"/>
        <v>3.8106694897289293</v>
      </c>
      <c r="F6" s="6">
        <f t="shared" si="1"/>
        <v>0.74447835455316558</v>
      </c>
      <c r="G6" s="6">
        <f t="shared" si="2"/>
        <v>5.0318126592241983</v>
      </c>
      <c r="H6" s="6">
        <f t="shared" si="3"/>
        <v>2.4118118206725665</v>
      </c>
      <c r="I6" s="6">
        <f t="shared" si="4"/>
        <v>4.2873343046710337</v>
      </c>
    </row>
    <row r="7" spans="1:9" x14ac:dyDescent="0.25">
      <c r="A7" s="2">
        <v>6</v>
      </c>
      <c r="B7" s="12" t="s">
        <v>6</v>
      </c>
      <c r="C7" s="6">
        <v>8.7189271252991798</v>
      </c>
      <c r="D7" s="6">
        <v>0.95799094270203022</v>
      </c>
      <c r="E7" s="6">
        <f t="shared" si="0"/>
        <v>3.880468091298575</v>
      </c>
      <c r="F7" s="6">
        <f t="shared" si="1"/>
        <v>1.0823060369880639</v>
      </c>
      <c r="G7" s="6">
        <f t="shared" si="2"/>
        <v>5.9207650709886677</v>
      </c>
      <c r="H7" s="6">
        <f t="shared" si="3"/>
        <v>3.016477042576045</v>
      </c>
      <c r="I7" s="6">
        <f t="shared" si="4"/>
        <v>4.8384590340006053</v>
      </c>
    </row>
    <row r="8" spans="1:9" x14ac:dyDescent="0.25">
      <c r="A8" s="2">
        <v>7</v>
      </c>
      <c r="B8" s="12" t="s">
        <v>49</v>
      </c>
      <c r="C8" s="6">
        <v>7.2790250097402476</v>
      </c>
      <c r="D8" s="6">
        <v>0.35546523934183971</v>
      </c>
      <c r="E8" s="6">
        <f t="shared" si="0"/>
        <v>3.4617798851992041</v>
      </c>
      <c r="F8" s="6">
        <f t="shared" si="1"/>
        <v>0.62870518773082307</v>
      </c>
      <c r="G8" s="6">
        <f t="shared" si="2"/>
        <v>4.445950312271866</v>
      </c>
      <c r="H8" s="6">
        <f t="shared" si="3"/>
        <v>2.1046052643514441</v>
      </c>
      <c r="I8" s="6">
        <f t="shared" si="4"/>
        <v>3.8172451245410435</v>
      </c>
    </row>
    <row r="9" spans="1:9" x14ac:dyDescent="0.25">
      <c r="A9" s="2">
        <v>8</v>
      </c>
      <c r="B9" s="12" t="s">
        <v>5</v>
      </c>
      <c r="C9" s="6">
        <v>8.5373291262622963</v>
      </c>
      <c r="D9" s="6">
        <v>-0.21408024722118485</v>
      </c>
      <c r="E9" s="6">
        <f t="shared" si="0"/>
        <v>4.3757046867417406</v>
      </c>
      <c r="F9" s="6">
        <f t="shared" si="1"/>
        <v>0.44515987325918188</v>
      </c>
      <c r="G9" s="6">
        <f t="shared" si="2"/>
        <v>4.6067843127797383</v>
      </c>
      <c r="H9" s="6">
        <f t="shared" si="3"/>
        <v>1.9790090071767423</v>
      </c>
      <c r="I9" s="6">
        <f t="shared" si="4"/>
        <v>4.1616244395205557</v>
      </c>
    </row>
    <row r="10" spans="1:9" x14ac:dyDescent="0.25">
      <c r="A10" s="2">
        <v>9</v>
      </c>
      <c r="B10" s="12" t="s">
        <v>50</v>
      </c>
      <c r="C10" s="6">
        <v>7.8686089712615583</v>
      </c>
      <c r="D10" s="6">
        <v>-0.9799451002210483</v>
      </c>
      <c r="E10" s="6">
        <f t="shared" si="0"/>
        <v>4.4242770357413033</v>
      </c>
      <c r="F10" s="6">
        <f t="shared" si="1"/>
        <v>0.1715874261753382</v>
      </c>
      <c r="G10" s="6">
        <f t="shared" si="2"/>
        <v>3.6159193616955934</v>
      </c>
      <c r="H10" s="6">
        <f t="shared" si="3"/>
        <v>1.3407187644678029</v>
      </c>
      <c r="I10" s="6">
        <f t="shared" si="4"/>
        <v>3.4443319355202551</v>
      </c>
    </row>
    <row r="11" spans="1:9" x14ac:dyDescent="0.25">
      <c r="A11" s="2">
        <v>10</v>
      </c>
      <c r="B11" s="12" t="s">
        <v>7</v>
      </c>
      <c r="C11" s="6">
        <v>8.3073710271425298</v>
      </c>
      <c r="D11" s="6">
        <v>0.92409914399943183</v>
      </c>
      <c r="E11" s="6">
        <f t="shared" si="0"/>
        <v>3.691635941571549</v>
      </c>
      <c r="F11" s="6">
        <f t="shared" si="1"/>
        <v>1.0391654193714728</v>
      </c>
      <c r="G11" s="6">
        <f t="shared" si="2"/>
        <v>5.6549005049424537</v>
      </c>
      <c r="H11" s="6">
        <f t="shared" si="3"/>
        <v>2.8855784694605191</v>
      </c>
      <c r="I11" s="6">
        <f t="shared" si="4"/>
        <v>4.6157350855709804</v>
      </c>
    </row>
    <row r="12" spans="1:9" x14ac:dyDescent="0.25">
      <c r="A12" s="14">
        <v>11</v>
      </c>
      <c r="B12" s="15" t="s">
        <v>8</v>
      </c>
      <c r="C12" s="6">
        <v>6.9127078640792021</v>
      </c>
      <c r="D12" s="6">
        <v>0.63684744218046596</v>
      </c>
      <c r="E12" s="6">
        <f t="shared" si="0"/>
        <v>3.1379302109493681</v>
      </c>
      <c r="F12" s="6">
        <f t="shared" si="1"/>
        <v>0.7752895488903867</v>
      </c>
      <c r="G12" s="6">
        <f t="shared" si="2"/>
        <v>4.5500672020202213</v>
      </c>
      <c r="H12" s="6">
        <f t="shared" si="3"/>
        <v>2.2704370990866329</v>
      </c>
      <c r="I12" s="6">
        <f t="shared" si="4"/>
        <v>3.774777653129834</v>
      </c>
    </row>
    <row r="13" spans="1:9" x14ac:dyDescent="0.25">
      <c r="A13" s="2">
        <v>12</v>
      </c>
      <c r="B13" s="12" t="s">
        <v>9</v>
      </c>
      <c r="C13" s="6">
        <v>7.3616714738200928</v>
      </c>
      <c r="D13" s="6">
        <v>-0.32781573579833018</v>
      </c>
      <c r="E13" s="6">
        <f t="shared" si="0"/>
        <v>3.8447436048092114</v>
      </c>
      <c r="F13" s="6">
        <f t="shared" si="1"/>
        <v>0.33066041729940654</v>
      </c>
      <c r="G13" s="6">
        <f t="shared" si="2"/>
        <v>3.8475882863102879</v>
      </c>
      <c r="H13" s="6">
        <f t="shared" si="3"/>
        <v>1.608531401203696</v>
      </c>
      <c r="I13" s="6">
        <f t="shared" si="4"/>
        <v>3.5169278690108814</v>
      </c>
    </row>
    <row r="14" spans="1:9" x14ac:dyDescent="0.25">
      <c r="B14" s="3" t="s">
        <v>11</v>
      </c>
      <c r="C14" s="6">
        <v>7.9196249039799014</v>
      </c>
      <c r="D14" s="6">
        <v>1.0749836358599232</v>
      </c>
      <c r="E14" s="6">
        <f t="shared" si="0"/>
        <v>3.422320634059989</v>
      </c>
      <c r="F14" s="6">
        <f t="shared" si="1"/>
        <v>1.1341132167701191</v>
      </c>
      <c r="G14" s="6">
        <f t="shared" si="2"/>
        <v>5.6314174866900313</v>
      </c>
      <c r="H14" s="6">
        <f t="shared" si="3"/>
        <v>2.9549752724725762</v>
      </c>
      <c r="I14" s="6">
        <f t="shared" si="4"/>
        <v>4.4973042699199119</v>
      </c>
    </row>
    <row r="15" spans="1:9" x14ac:dyDescent="0.25">
      <c r="E15" s="6"/>
      <c r="F15" s="6"/>
      <c r="G15" s="6"/>
      <c r="H15" s="6"/>
      <c r="I15" s="6"/>
    </row>
    <row r="16" spans="1:9" x14ac:dyDescent="0.25">
      <c r="E16" s="6"/>
      <c r="F16" s="6"/>
      <c r="G16" s="6"/>
      <c r="H16" s="6"/>
      <c r="I16" s="6"/>
    </row>
    <row r="17" spans="1:9" x14ac:dyDescent="0.25">
      <c r="E17" s="6"/>
      <c r="F17" s="6"/>
      <c r="G17" s="6"/>
      <c r="H17" s="6"/>
      <c r="I17" s="6"/>
    </row>
    <row r="18" spans="1:9" x14ac:dyDescent="0.25">
      <c r="E18" s="6"/>
      <c r="F18" s="6"/>
      <c r="G18" s="6"/>
      <c r="H18" s="6"/>
      <c r="I18" s="6"/>
    </row>
    <row r="19" spans="1:9" ht="18.75" x14ac:dyDescent="0.25">
      <c r="C19" s="2" t="s">
        <v>59</v>
      </c>
      <c r="D19" s="2" t="s">
        <v>25</v>
      </c>
      <c r="E19" s="2" t="s">
        <v>52</v>
      </c>
      <c r="F19" s="2" t="s">
        <v>53</v>
      </c>
      <c r="G19" s="2" t="s">
        <v>54</v>
      </c>
      <c r="H19" s="2" t="s">
        <v>55</v>
      </c>
      <c r="I19" s="2" t="s">
        <v>56</v>
      </c>
    </row>
    <row r="20" spans="1:9" x14ac:dyDescent="0.25">
      <c r="A20" s="19" t="s">
        <v>96</v>
      </c>
      <c r="B20" s="36" t="s">
        <v>64</v>
      </c>
      <c r="C20" s="6">
        <f>'IP(a)'!F18</f>
        <v>6.8988926363003618</v>
      </c>
      <c r="D20" s="6">
        <f>EA!F20</f>
        <v>1.6932837878001943</v>
      </c>
      <c r="E20" s="6">
        <f t="shared" si="0"/>
        <v>2.6028044242500838</v>
      </c>
      <c r="F20" s="6">
        <f t="shared" si="1"/>
        <v>1.7227848843718063</v>
      </c>
      <c r="G20" s="6">
        <f t="shared" si="2"/>
        <v>6.0188730964220847</v>
      </c>
      <c r="H20" s="6">
        <f t="shared" si="3"/>
        <v>3.5454784373656842</v>
      </c>
      <c r="I20" s="6">
        <f t="shared" si="4"/>
        <v>4.2960882120502779</v>
      </c>
    </row>
    <row r="21" spans="1:9" x14ac:dyDescent="0.25">
      <c r="A21" s="2" t="s">
        <v>97</v>
      </c>
      <c r="B21" s="36" t="s">
        <v>70</v>
      </c>
      <c r="C21" s="6">
        <f>'IP(a)'!F19</f>
        <v>6.6075129650997528</v>
      </c>
      <c r="D21" s="6">
        <f>EA!F21</f>
        <v>1.8723293575185727</v>
      </c>
      <c r="E21" s="6">
        <f t="shared" si="0"/>
        <v>2.3675918037905901</v>
      </c>
      <c r="F21" s="6">
        <f t="shared" si="1"/>
        <v>1.9724476124376678</v>
      </c>
      <c r="G21" s="6">
        <f t="shared" si="2"/>
        <v>6.2123687737468325</v>
      </c>
      <c r="H21" s="6">
        <f t="shared" si="3"/>
        <v>3.7964592176184242</v>
      </c>
      <c r="I21" s="6">
        <f t="shared" si="4"/>
        <v>4.2399211613091623</v>
      </c>
    </row>
    <row r="22" spans="1:9" x14ac:dyDescent="0.25">
      <c r="A22" s="2" t="s">
        <v>98</v>
      </c>
      <c r="B22" s="36" t="s">
        <v>72</v>
      </c>
      <c r="C22" s="6">
        <f>'IP(a)'!F20</f>
        <v>6.3049085914042822</v>
      </c>
      <c r="D22" s="6">
        <f>EA!F22</f>
        <v>1.408687918615142</v>
      </c>
      <c r="E22" s="6">
        <f t="shared" si="0"/>
        <v>2.4481103363945702</v>
      </c>
      <c r="F22" s="6">
        <f t="shared" si="1"/>
        <v>1.4156502789344623</v>
      </c>
      <c r="G22" s="6">
        <f t="shared" si="2"/>
        <v>5.2724485339441758</v>
      </c>
      <c r="H22" s="6">
        <f t="shared" si="3"/>
        <v>3.0380356143899969</v>
      </c>
      <c r="I22" s="6">
        <f t="shared" si="4"/>
        <v>3.856798255009712</v>
      </c>
    </row>
    <row r="23" spans="1:9" x14ac:dyDescent="0.25">
      <c r="A23" s="2" t="s">
        <v>99</v>
      </c>
      <c r="B23" s="36" t="s">
        <v>73</v>
      </c>
      <c r="C23" s="6">
        <f>'IP(a)'!F21</f>
        <v>6.3907605584009834</v>
      </c>
      <c r="D23" s="6">
        <f>EA!F23</f>
        <v>1.9118158200569453</v>
      </c>
      <c r="E23" s="6">
        <f t="shared" si="0"/>
        <v>2.2394723691720193</v>
      </c>
      <c r="F23" s="6">
        <f t="shared" si="1"/>
        <v>2.0518912587103211</v>
      </c>
      <c r="G23" s="6">
        <f t="shared" si="2"/>
        <v>6.2031794479392834</v>
      </c>
      <c r="H23" s="6">
        <f t="shared" si="3"/>
        <v>3.8476013071782997</v>
      </c>
      <c r="I23" s="6">
        <f t="shared" si="4"/>
        <v>4.1512881892289641</v>
      </c>
    </row>
    <row r="24" spans="1:9" x14ac:dyDescent="0.25">
      <c r="A24" s="2" t="s">
        <v>100</v>
      </c>
      <c r="B24" s="36" t="s">
        <v>73</v>
      </c>
      <c r="C24" s="6">
        <f>'IP(a)'!F22</f>
        <v>6.1655181949050881</v>
      </c>
      <c r="D24" s="6">
        <f>EA!F24</f>
        <v>1.9259330943771882</v>
      </c>
      <c r="E24" s="6">
        <f t="shared" si="0"/>
        <v>2.1197925502639499</v>
      </c>
      <c r="F24" s="6">
        <f t="shared" si="1"/>
        <v>2.1028418612739719</v>
      </c>
      <c r="G24" s="6">
        <f t="shared" si="2"/>
        <v>6.1485675059151088</v>
      </c>
      <c r="H24" s="6">
        <f t="shared" si="3"/>
        <v>3.8607306148115459</v>
      </c>
      <c r="I24" s="6">
        <f t="shared" si="4"/>
        <v>4.0457256446411378</v>
      </c>
    </row>
    <row r="25" spans="1:9" x14ac:dyDescent="0.25">
      <c r="A25" s="2" t="s">
        <v>103</v>
      </c>
      <c r="B25" s="36" t="s">
        <v>74</v>
      </c>
      <c r="C25" s="6">
        <f>'IP(a)'!F23</f>
        <v>6.3957211966211434</v>
      </c>
      <c r="D25" s="6">
        <f>EA!F25</f>
        <v>2.0143674232406723</v>
      </c>
      <c r="E25" s="6">
        <f t="shared" si="0"/>
        <v>2.1906768866902357</v>
      </c>
      <c r="F25" s="6">
        <f t="shared" si="1"/>
        <v>2.20714214757803</v>
      </c>
      <c r="G25" s="6">
        <f t="shared" si="2"/>
        <v>6.4121864575089376</v>
      </c>
      <c r="H25" s="6">
        <f t="shared" si="3"/>
        <v>4.0358296917072041</v>
      </c>
      <c r="I25" s="6">
        <f t="shared" si="4"/>
        <v>4.2050443099309076</v>
      </c>
    </row>
    <row r="26" spans="1:9" x14ac:dyDescent="0.25">
      <c r="A26" s="2" t="s">
        <v>102</v>
      </c>
      <c r="B26" s="36" t="s">
        <v>74</v>
      </c>
      <c r="C26" s="6">
        <f>'IP(a)'!F24</f>
        <v>6.861939555100852</v>
      </c>
      <c r="D26" s="6">
        <f>EA!F26</f>
        <v>2.5385950442380825</v>
      </c>
      <c r="E26" s="6">
        <f t="shared" si="0"/>
        <v>2.1616722554313847</v>
      </c>
      <c r="F26" s="6">
        <f t="shared" si="1"/>
        <v>3.0301267862403996</v>
      </c>
      <c r="G26" s="6">
        <f t="shared" si="2"/>
        <v>7.7303940859098654</v>
      </c>
      <c r="H26" s="6">
        <f t="shared" si="3"/>
        <v>5.1100514041462102</v>
      </c>
      <c r="I26" s="6">
        <f t="shared" si="4"/>
        <v>4.7002672996694672</v>
      </c>
    </row>
    <row r="27" spans="1:9" x14ac:dyDescent="0.25">
      <c r="A27" s="2" t="s">
        <v>104</v>
      </c>
      <c r="B27" s="36" t="s">
        <v>75</v>
      </c>
      <c r="C27" s="6">
        <f>'IP(a)'!F25</f>
        <v>6.8206244864796712</v>
      </c>
      <c r="D27" s="6">
        <f>EA!F27</f>
        <v>2.4687733129771035</v>
      </c>
      <c r="E27" s="6">
        <f t="shared" si="0"/>
        <v>2.1759255867512839</v>
      </c>
      <c r="F27" s="6">
        <f t="shared" si="1"/>
        <v>2.9068943826155</v>
      </c>
      <c r="G27" s="6">
        <f t="shared" si="2"/>
        <v>7.5515932823438856</v>
      </c>
      <c r="H27" s="6">
        <f t="shared" si="3"/>
        <v>4.9572531341357848</v>
      </c>
      <c r="I27" s="6">
        <f t="shared" si="4"/>
        <v>4.6446988997283878</v>
      </c>
    </row>
    <row r="28" spans="1:9" x14ac:dyDescent="0.25">
      <c r="A28" s="2" t="s">
        <v>105</v>
      </c>
      <c r="B28" s="36" t="s">
        <v>76</v>
      </c>
      <c r="C28" s="6">
        <f>'IP(a)'!F26</f>
        <v>6.984023501200431</v>
      </c>
      <c r="D28" s="6">
        <f>EA!F28</f>
        <v>1.327042834054625</v>
      </c>
      <c r="E28" s="6">
        <f t="shared" si="0"/>
        <v>2.828490333572903</v>
      </c>
      <c r="F28" s="6">
        <f t="shared" si="1"/>
        <v>1.3283870576398382</v>
      </c>
      <c r="G28" s="6">
        <f t="shared" si="2"/>
        <v>5.4839202252673642</v>
      </c>
      <c r="H28" s="6">
        <f t="shared" si="3"/>
        <v>3.0525923497569893</v>
      </c>
      <c r="I28" s="6">
        <f t="shared" si="4"/>
        <v>4.155533167627528</v>
      </c>
    </row>
    <row r="29" spans="1:9" x14ac:dyDescent="0.25">
      <c r="A29" s="2" t="s">
        <v>106</v>
      </c>
      <c r="B29" s="36" t="s">
        <v>77</v>
      </c>
      <c r="C29" s="6">
        <f>'IP(a)'!F27</f>
        <v>6.5504316113218746</v>
      </c>
      <c r="D29" s="6">
        <f>EA!F29</f>
        <v>1.8430009105965179</v>
      </c>
      <c r="E29" s="6">
        <f t="shared" si="0"/>
        <v>2.3537153503626782</v>
      </c>
      <c r="F29" s="6">
        <f t="shared" si="1"/>
        <v>1.9372660922424263</v>
      </c>
      <c r="G29" s="6">
        <f t="shared" si="2"/>
        <v>6.1339823532016231</v>
      </c>
      <c r="H29" s="6">
        <f t="shared" si="3"/>
        <v>3.7414098039266896</v>
      </c>
      <c r="I29" s="6">
        <f t="shared" si="4"/>
        <v>4.1967162609591959</v>
      </c>
    </row>
    <row r="30" spans="1:9" x14ac:dyDescent="0.25">
      <c r="A30" s="2" t="s">
        <v>107</v>
      </c>
      <c r="B30" s="36" t="s">
        <v>78</v>
      </c>
      <c r="C30" s="6">
        <f>'IP(a)'!F28</f>
        <v>6.1767809933654227</v>
      </c>
      <c r="D30" s="6">
        <f>EA!F30</f>
        <v>1.4255127272362829</v>
      </c>
      <c r="E30" s="6">
        <f t="shared" si="0"/>
        <v>2.3756341330645698</v>
      </c>
      <c r="F30" s="6">
        <f t="shared" si="1"/>
        <v>1.4374041263223503</v>
      </c>
      <c r="G30" s="6">
        <f t="shared" si="2"/>
        <v>5.2385509866232027</v>
      </c>
      <c r="H30" s="6">
        <f t="shared" si="3"/>
        <v>3.041023289839706</v>
      </c>
      <c r="I30" s="6">
        <f t="shared" si="4"/>
        <v>3.8011468603008529</v>
      </c>
    </row>
    <row r="31" spans="1:9" x14ac:dyDescent="0.25">
      <c r="A31" s="2" t="s">
        <v>108</v>
      </c>
      <c r="B31" s="36" t="s">
        <v>80</v>
      </c>
      <c r="C31" s="6">
        <f>'IP(a)'!F29</f>
        <v>6.5321373870982562</v>
      </c>
      <c r="D31" s="6">
        <f>EA!F31</f>
        <v>2.4435646720225899</v>
      </c>
      <c r="E31" s="6">
        <f t="shared" si="0"/>
        <v>2.0442863575378332</v>
      </c>
      <c r="F31" s="6">
        <f t="shared" si="1"/>
        <v>2.9377320018669639</v>
      </c>
      <c r="G31" s="6">
        <f t="shared" si="2"/>
        <v>7.4255830314273856</v>
      </c>
      <c r="H31" s="6">
        <f t="shared" si="3"/>
        <v>4.9261217219549449</v>
      </c>
      <c r="I31" s="6">
        <f t="shared" si="4"/>
        <v>4.4878510295604226</v>
      </c>
    </row>
    <row r="32" spans="1:9" x14ac:dyDescent="0.25">
      <c r="A32" s="2" t="s">
        <v>109</v>
      </c>
      <c r="B32" s="36" t="s">
        <v>79</v>
      </c>
      <c r="C32" s="6">
        <f>'IP(a)'!F30</f>
        <v>6.1696815390976703</v>
      </c>
      <c r="D32" s="6">
        <f>EA!F32</f>
        <v>2.0881647400337795</v>
      </c>
      <c r="E32" s="6">
        <f t="shared" si="0"/>
        <v>2.0407583995319456</v>
      </c>
      <c r="F32" s="6">
        <f t="shared" si="1"/>
        <v>2.3675133293294337</v>
      </c>
      <c r="G32" s="6">
        <f t="shared" si="2"/>
        <v>6.4964364688951575</v>
      </c>
      <c r="H32" s="6">
        <f t="shared" si="3"/>
        <v>4.1768800991708019</v>
      </c>
      <c r="I32" s="6">
        <f t="shared" si="4"/>
        <v>4.1289231395657247</v>
      </c>
    </row>
    <row r="33" spans="1:9" x14ac:dyDescent="0.25">
      <c r="A33" s="2" t="s">
        <v>110</v>
      </c>
      <c r="B33" s="36" t="s">
        <v>81</v>
      </c>
      <c r="C33" s="6">
        <f>'IP(a)'!F31</f>
        <v>6.5934201810403765</v>
      </c>
      <c r="D33" s="6">
        <f>EA!F33</f>
        <v>1.4524465709581962</v>
      </c>
      <c r="E33" s="6">
        <f t="shared" si="0"/>
        <v>2.5704868050410901</v>
      </c>
      <c r="F33" s="6">
        <f t="shared" si="1"/>
        <v>1.4578846264037177</v>
      </c>
      <c r="G33" s="6">
        <f t="shared" si="2"/>
        <v>5.4808180024030042</v>
      </c>
      <c r="H33" s="6">
        <f t="shared" si="3"/>
        <v>3.1480404637732242</v>
      </c>
      <c r="I33" s="6">
        <f t="shared" si="4"/>
        <v>4.022933375999286</v>
      </c>
    </row>
  </sheetData>
  <sortState xmlns:xlrd2="http://schemas.microsoft.com/office/spreadsheetml/2017/richdata2" ref="A2:I14">
    <sortCondition ref="A2:A1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CD9A-CA3B-4BE6-B4F8-136B61E37A39}">
  <dimension ref="A1:H18"/>
  <sheetViews>
    <sheetView workbookViewId="0">
      <selection activeCell="H1" sqref="H1"/>
    </sheetView>
  </sheetViews>
  <sheetFormatPr defaultRowHeight="15.75" x14ac:dyDescent="0.25"/>
  <cols>
    <col min="1" max="1" width="13.5703125" style="4" bestFit="1" customWidth="1"/>
    <col min="2" max="2" width="33.85546875" bestFit="1" customWidth="1"/>
    <col min="3" max="3" width="9.85546875" style="1" bestFit="1" customWidth="1"/>
    <col min="5" max="5" width="21.7109375" bestFit="1" customWidth="1"/>
    <col min="6" max="6" width="15.7109375" bestFit="1" customWidth="1"/>
    <col min="8" max="8" width="16.5703125" customWidth="1"/>
  </cols>
  <sheetData>
    <row r="1" spans="1:8" s="5" customFormat="1" ht="17.25" x14ac:dyDescent="0.3">
      <c r="A1" s="53" t="s">
        <v>67</v>
      </c>
      <c r="B1" s="53"/>
      <c r="C1" s="2" t="s">
        <v>89</v>
      </c>
      <c r="D1" s="2" t="s">
        <v>83</v>
      </c>
      <c r="E1" s="2" t="s">
        <v>84</v>
      </c>
      <c r="F1" s="2" t="s">
        <v>85</v>
      </c>
      <c r="H1" s="42" t="s">
        <v>94</v>
      </c>
    </row>
    <row r="2" spans="1:8" s="5" customFormat="1" x14ac:dyDescent="0.25">
      <c r="A2" s="10" t="s">
        <v>95</v>
      </c>
      <c r="B2" s="39" t="s">
        <v>11</v>
      </c>
      <c r="C2" s="2"/>
      <c r="D2" s="2"/>
      <c r="E2" s="2"/>
      <c r="F2" s="2"/>
      <c r="H2" s="42"/>
    </row>
    <row r="3" spans="1:8" x14ac:dyDescent="0.25">
      <c r="A3" s="2" t="s">
        <v>96</v>
      </c>
      <c r="B3" s="7" t="s">
        <v>64</v>
      </c>
      <c r="C3" s="1">
        <v>436</v>
      </c>
      <c r="D3" s="1">
        <v>0.5585</v>
      </c>
      <c r="E3" s="1" t="s">
        <v>86</v>
      </c>
      <c r="F3" s="1">
        <v>99</v>
      </c>
      <c r="H3" s="1">
        <v>6</v>
      </c>
    </row>
    <row r="4" spans="1:8" x14ac:dyDescent="0.25">
      <c r="A4" s="2" t="s">
        <v>97</v>
      </c>
      <c r="B4" s="7" t="s">
        <v>70</v>
      </c>
      <c r="C4" s="1">
        <v>458</v>
      </c>
      <c r="D4" s="1">
        <v>0.80610000000000004</v>
      </c>
      <c r="E4" s="1" t="s">
        <v>86</v>
      </c>
      <c r="F4" s="1">
        <v>97</v>
      </c>
      <c r="H4" s="1">
        <v>10</v>
      </c>
    </row>
    <row r="5" spans="1:8" x14ac:dyDescent="0.25">
      <c r="A5" s="2" t="s">
        <v>98</v>
      </c>
      <c r="B5" s="7" t="s">
        <v>72</v>
      </c>
      <c r="C5" s="1">
        <v>443</v>
      </c>
      <c r="D5" s="1">
        <v>0.81579999999999997</v>
      </c>
      <c r="E5" s="1" t="s">
        <v>86</v>
      </c>
      <c r="F5" s="1">
        <v>98</v>
      </c>
      <c r="H5" s="1">
        <v>6</v>
      </c>
    </row>
    <row r="6" spans="1:8" x14ac:dyDescent="0.25">
      <c r="A6" s="2" t="s">
        <v>99</v>
      </c>
      <c r="B6" s="7" t="s">
        <v>73</v>
      </c>
      <c r="C6" s="1">
        <v>496</v>
      </c>
      <c r="D6" s="1">
        <v>0.74739999999999995</v>
      </c>
      <c r="E6" s="1" t="s">
        <v>86</v>
      </c>
      <c r="F6" s="1">
        <v>96</v>
      </c>
      <c r="H6" s="1">
        <v>8</v>
      </c>
    </row>
    <row r="7" spans="1:8" x14ac:dyDescent="0.25">
      <c r="A7" s="2" t="s">
        <v>100</v>
      </c>
      <c r="B7" s="7" t="s">
        <v>73</v>
      </c>
      <c r="C7" s="1">
        <v>538</v>
      </c>
      <c r="D7" s="1">
        <v>0.87949999999999995</v>
      </c>
      <c r="E7" s="1" t="s">
        <v>86</v>
      </c>
      <c r="F7" s="1">
        <v>98</v>
      </c>
      <c r="H7" s="1">
        <v>8</v>
      </c>
    </row>
    <row r="8" spans="1:8" x14ac:dyDescent="0.25">
      <c r="A8" s="2" t="s">
        <v>103</v>
      </c>
      <c r="B8" s="7" t="s">
        <v>74</v>
      </c>
      <c r="C8" s="1">
        <v>525</v>
      </c>
      <c r="D8" s="1">
        <v>0.64649999999999996</v>
      </c>
      <c r="E8" s="1" t="s">
        <v>86</v>
      </c>
      <c r="F8" s="1">
        <v>98</v>
      </c>
      <c r="H8" s="1">
        <v>8</v>
      </c>
    </row>
    <row r="9" spans="1:8" x14ac:dyDescent="0.25">
      <c r="A9" s="2" t="s">
        <v>102</v>
      </c>
      <c r="B9" s="7" t="s">
        <v>74</v>
      </c>
      <c r="C9" s="1">
        <v>529</v>
      </c>
      <c r="D9" s="1">
        <v>0.79679999999999995</v>
      </c>
      <c r="E9" s="1" t="s">
        <v>86</v>
      </c>
      <c r="F9" s="1">
        <v>98</v>
      </c>
      <c r="H9" s="1">
        <v>8</v>
      </c>
    </row>
    <row r="10" spans="1:8" x14ac:dyDescent="0.25">
      <c r="A10" s="2" t="s">
        <v>104</v>
      </c>
      <c r="B10" s="7" t="s">
        <v>75</v>
      </c>
      <c r="C10" s="1">
        <v>532</v>
      </c>
      <c r="D10" s="1">
        <v>0.59809999999999997</v>
      </c>
      <c r="E10" s="1" t="s">
        <v>86</v>
      </c>
      <c r="F10" s="1">
        <v>98</v>
      </c>
      <c r="H10" s="1">
        <v>8</v>
      </c>
    </row>
    <row r="11" spans="1:8" x14ac:dyDescent="0.25">
      <c r="A11" s="53" t="s">
        <v>105</v>
      </c>
      <c r="B11" s="55" t="s">
        <v>76</v>
      </c>
      <c r="C11" s="54">
        <v>355</v>
      </c>
      <c r="D11" s="54">
        <v>0.58030000000000004</v>
      </c>
      <c r="E11" s="1" t="s">
        <v>87</v>
      </c>
      <c r="F11" s="1">
        <v>38</v>
      </c>
      <c r="H11" s="54">
        <v>6</v>
      </c>
    </row>
    <row r="12" spans="1:8" x14ac:dyDescent="0.25">
      <c r="A12" s="53"/>
      <c r="B12" s="55"/>
      <c r="C12" s="54"/>
      <c r="D12" s="54"/>
      <c r="E12" s="1" t="s">
        <v>88</v>
      </c>
      <c r="F12" s="1">
        <v>43</v>
      </c>
      <c r="H12" s="54"/>
    </row>
    <row r="13" spans="1:8" x14ac:dyDescent="0.25">
      <c r="A13" s="53"/>
      <c r="B13" s="55"/>
      <c r="C13" s="54"/>
      <c r="D13" s="54"/>
      <c r="E13" s="1" t="s">
        <v>86</v>
      </c>
      <c r="F13" s="1">
        <v>12</v>
      </c>
      <c r="H13" s="54"/>
    </row>
    <row r="14" spans="1:8" x14ac:dyDescent="0.25">
      <c r="A14" s="2" t="s">
        <v>106</v>
      </c>
      <c r="B14" s="7" t="s">
        <v>77</v>
      </c>
      <c r="C14" s="1">
        <v>478</v>
      </c>
      <c r="D14" s="1">
        <v>0.67190000000000005</v>
      </c>
      <c r="E14" s="1" t="s">
        <v>86</v>
      </c>
      <c r="F14" s="1">
        <v>99</v>
      </c>
      <c r="H14" s="1">
        <v>8</v>
      </c>
    </row>
    <row r="15" spans="1:8" x14ac:dyDescent="0.25">
      <c r="A15" s="2" t="s">
        <v>107</v>
      </c>
      <c r="B15" s="7" t="s">
        <v>78</v>
      </c>
      <c r="C15" s="1">
        <v>471</v>
      </c>
      <c r="D15" s="1">
        <v>0.70350000000000001</v>
      </c>
      <c r="E15" s="1" t="s">
        <v>86</v>
      </c>
      <c r="F15" s="1">
        <v>99</v>
      </c>
      <c r="H15" s="1">
        <v>4</v>
      </c>
    </row>
    <row r="16" spans="1:8" x14ac:dyDescent="0.25">
      <c r="A16" s="2" t="s">
        <v>108</v>
      </c>
      <c r="B16" s="7" t="s">
        <v>80</v>
      </c>
      <c r="C16" s="1">
        <v>580</v>
      </c>
      <c r="D16" s="1">
        <v>0.69320000000000004</v>
      </c>
      <c r="E16" s="1" t="s">
        <v>86</v>
      </c>
      <c r="F16" s="1">
        <v>98</v>
      </c>
      <c r="H16" s="1">
        <v>8</v>
      </c>
    </row>
    <row r="17" spans="1:8" x14ac:dyDescent="0.25">
      <c r="A17" s="2" t="s">
        <v>109</v>
      </c>
      <c r="B17" s="7" t="s">
        <v>79</v>
      </c>
      <c r="C17" s="1">
        <v>488</v>
      </c>
      <c r="D17" s="1">
        <v>1.7351000000000001</v>
      </c>
      <c r="E17" s="1" t="s">
        <v>86</v>
      </c>
      <c r="F17" s="1">
        <v>93</v>
      </c>
      <c r="H17" s="1">
        <v>13</v>
      </c>
    </row>
    <row r="18" spans="1:8" x14ac:dyDescent="0.25">
      <c r="A18" s="2" t="s">
        <v>110</v>
      </c>
      <c r="B18" s="7" t="s">
        <v>81</v>
      </c>
      <c r="D18" s="1"/>
      <c r="E18" s="1"/>
      <c r="F18" s="1"/>
      <c r="H18" s="1">
        <v>12</v>
      </c>
    </row>
  </sheetData>
  <mergeCells count="6">
    <mergeCell ref="A1:B1"/>
    <mergeCell ref="H11:H13"/>
    <mergeCell ref="A11:A13"/>
    <mergeCell ref="B11:B13"/>
    <mergeCell ref="C11:C13"/>
    <mergeCell ref="D11:D13"/>
  </mergeCells>
  <phoneticPr fontId="20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A6AD-D5BD-4C6F-BE0E-3D4C80F5CE36}">
  <dimension ref="A1:L17"/>
  <sheetViews>
    <sheetView tabSelected="1" zoomScale="90" zoomScaleNormal="90" workbookViewId="0">
      <selection activeCell="H12" sqref="H12:K12"/>
    </sheetView>
  </sheetViews>
  <sheetFormatPr defaultRowHeight="15.75" x14ac:dyDescent="0.25"/>
  <cols>
    <col min="1" max="1" width="13.5703125" bestFit="1" customWidth="1"/>
    <col min="2" max="2" width="14.5703125" style="1" bestFit="1" customWidth="1"/>
    <col min="3" max="4" width="14.5703125" style="3" bestFit="1" customWidth="1"/>
    <col min="5" max="5" width="17.5703125" style="3" bestFit="1" customWidth="1"/>
    <col min="6" max="6" width="16.5703125" style="3" bestFit="1" customWidth="1"/>
    <col min="7" max="7" width="25.7109375" style="1" bestFit="1" customWidth="1"/>
    <col min="8" max="11" width="25.7109375" style="1" customWidth="1"/>
  </cols>
  <sheetData>
    <row r="1" spans="1:12" s="50" customFormat="1" x14ac:dyDescent="0.25">
      <c r="A1" s="49" t="s">
        <v>111</v>
      </c>
      <c r="B1" s="56" t="s">
        <v>93</v>
      </c>
      <c r="C1" s="56"/>
      <c r="D1" s="56"/>
      <c r="E1" s="56"/>
      <c r="F1" s="56"/>
      <c r="G1" s="56" t="s">
        <v>92</v>
      </c>
      <c r="H1" s="56"/>
      <c r="I1" s="56"/>
      <c r="J1" s="56"/>
      <c r="K1" s="56"/>
    </row>
    <row r="2" spans="1:12" s="48" customFormat="1" ht="19.5" x14ac:dyDescent="0.3">
      <c r="A2" s="2" t="s">
        <v>91</v>
      </c>
      <c r="B2" s="2" t="s">
        <v>112</v>
      </c>
      <c r="C2" s="2" t="s">
        <v>113</v>
      </c>
      <c r="D2" s="2" t="s">
        <v>114</v>
      </c>
      <c r="E2" s="2" t="s">
        <v>117</v>
      </c>
      <c r="F2" s="2" t="s">
        <v>116</v>
      </c>
      <c r="G2" s="2" t="s">
        <v>115</v>
      </c>
      <c r="H2" s="2" t="s">
        <v>116</v>
      </c>
      <c r="I2" s="2" t="s">
        <v>83</v>
      </c>
      <c r="J2" s="2" t="s">
        <v>84</v>
      </c>
      <c r="K2" s="2" t="s">
        <v>89</v>
      </c>
      <c r="L2" s="42" t="s">
        <v>94</v>
      </c>
    </row>
    <row r="3" spans="1:12" x14ac:dyDescent="0.25">
      <c r="A3" s="10" t="s">
        <v>95</v>
      </c>
      <c r="B3" s="41">
        <v>-491.01407979999999</v>
      </c>
      <c r="C3" s="1">
        <v>-490.89077728699999</v>
      </c>
      <c r="D3" s="1">
        <v>-491.00221140000002</v>
      </c>
      <c r="E3" s="17">
        <f t="shared" ref="E3:E17" si="0">(C3-B3)*27.2114</f>
        <v>3.3552340022481655</v>
      </c>
      <c r="F3" s="17">
        <f t="shared" ref="F3:F17" si="1">(C3-D3)*27.2114</f>
        <v>3.0322782224890115</v>
      </c>
      <c r="G3" s="17">
        <v>3.5363000000000002</v>
      </c>
      <c r="H3" s="17">
        <v>3.0306999999999999</v>
      </c>
      <c r="I3" s="17">
        <v>0.17699999999999999</v>
      </c>
      <c r="J3" s="17" t="s">
        <v>118</v>
      </c>
      <c r="K3" s="47">
        <v>409</v>
      </c>
      <c r="L3" s="4" t="s">
        <v>101</v>
      </c>
    </row>
    <row r="4" spans="1:12" x14ac:dyDescent="0.25">
      <c r="A4" s="2" t="s">
        <v>96</v>
      </c>
      <c r="B4" s="1">
        <v>-953.17613070000004</v>
      </c>
      <c r="C4" s="3">
        <v>-953.08017805600002</v>
      </c>
      <c r="D4" s="3">
        <v>-953.17112640000005</v>
      </c>
      <c r="E4" s="17">
        <f t="shared" si="0"/>
        <v>2.6110057769421933</v>
      </c>
      <c r="F4" s="17">
        <f t="shared" si="1"/>
        <v>2.4748317679223031</v>
      </c>
      <c r="G4" s="17">
        <v>2.8451</v>
      </c>
      <c r="H4" s="17">
        <v>2.5074999999999998</v>
      </c>
      <c r="I4" s="17">
        <v>0.57989999999999997</v>
      </c>
      <c r="J4" s="17" t="s">
        <v>118</v>
      </c>
      <c r="K4" s="47">
        <v>494</v>
      </c>
      <c r="L4" s="1">
        <v>6</v>
      </c>
    </row>
    <row r="5" spans="1:12" x14ac:dyDescent="0.25">
      <c r="A5" s="2" t="s">
        <v>97</v>
      </c>
      <c r="B5" s="1">
        <v>-1260.4793400000001</v>
      </c>
      <c r="C5" s="3">
        <v>-1260.38990534</v>
      </c>
      <c r="D5" s="3">
        <v>-1260.4747682</v>
      </c>
      <c r="E5" s="17">
        <f t="shared" si="0"/>
        <v>2.4336423071254081</v>
      </c>
      <c r="F5" s="17">
        <f t="shared" si="1"/>
        <v>2.3092372286020995</v>
      </c>
      <c r="G5" s="17">
        <v>2.7061000000000002</v>
      </c>
      <c r="H5" s="17">
        <v>2.3839999999999999</v>
      </c>
      <c r="I5" s="17">
        <v>0.84140000000000004</v>
      </c>
      <c r="J5" s="17" t="s">
        <v>118</v>
      </c>
      <c r="K5" s="47">
        <v>520</v>
      </c>
      <c r="L5" s="1">
        <v>10</v>
      </c>
    </row>
    <row r="6" spans="1:12" x14ac:dyDescent="0.25">
      <c r="A6" s="2" t="s">
        <v>98</v>
      </c>
      <c r="B6" s="1">
        <v>-1418.1528496000001</v>
      </c>
      <c r="C6" s="3">
        <v>-1418.0631727800001</v>
      </c>
      <c r="D6" s="3">
        <v>-1418.1483886000001</v>
      </c>
      <c r="E6" s="17">
        <f t="shared" si="0"/>
        <v>2.4402318197486101</v>
      </c>
      <c r="F6" s="17">
        <f t="shared" si="1"/>
        <v>2.3188417643488264</v>
      </c>
      <c r="G6" s="17">
        <v>2.8001999999999998</v>
      </c>
      <c r="H6" s="17">
        <v>2.4937</v>
      </c>
      <c r="I6" s="17">
        <v>0.82730000000000004</v>
      </c>
      <c r="J6" s="17" t="s">
        <v>118</v>
      </c>
      <c r="K6" s="47">
        <v>497</v>
      </c>
      <c r="L6" s="1">
        <v>6</v>
      </c>
    </row>
    <row r="7" spans="1:12" x14ac:dyDescent="0.25">
      <c r="A7" s="2" t="s">
        <v>99</v>
      </c>
      <c r="B7" s="1">
        <v>-1901.9514451</v>
      </c>
      <c r="C7" s="3">
        <v>-1901.87135315</v>
      </c>
      <c r="D7" s="3">
        <v>-1901.9469053</v>
      </c>
      <c r="E7" s="17">
        <f t="shared" si="0"/>
        <v>2.1794140882299011</v>
      </c>
      <c r="F7" s="17">
        <f t="shared" si="1"/>
        <v>2.055879774510581</v>
      </c>
      <c r="G7" s="17">
        <v>2.4967999999999999</v>
      </c>
      <c r="H7" s="17">
        <v>2.1608999999999998</v>
      </c>
      <c r="I7" s="17">
        <v>0.78149999999999997</v>
      </c>
      <c r="J7" s="17" t="s">
        <v>118</v>
      </c>
      <c r="K7" s="47">
        <v>573</v>
      </c>
      <c r="L7" s="1">
        <v>8</v>
      </c>
    </row>
    <row r="8" spans="1:12" x14ac:dyDescent="0.25">
      <c r="A8" s="2" t="s">
        <v>100</v>
      </c>
      <c r="B8" s="1">
        <v>-1901.9552387000001</v>
      </c>
      <c r="C8" s="3">
        <v>-1901.8799397499999</v>
      </c>
      <c r="D8" s="3">
        <v>-1901.9510895999999</v>
      </c>
      <c r="E8" s="17">
        <f t="shared" si="0"/>
        <v>2.0489898480343647</v>
      </c>
      <c r="F8" s="17">
        <f t="shared" si="1"/>
        <v>1.9360870282895488</v>
      </c>
      <c r="G8" s="17">
        <v>2.3016999999999999</v>
      </c>
      <c r="H8" s="17">
        <v>2</v>
      </c>
      <c r="I8" s="17">
        <v>0.87560000000000004</v>
      </c>
      <c r="J8" s="17" t="s">
        <v>118</v>
      </c>
      <c r="K8" s="47">
        <v>619</v>
      </c>
      <c r="L8" s="1">
        <v>8</v>
      </c>
    </row>
    <row r="9" spans="1:12" x14ac:dyDescent="0.25">
      <c r="A9" s="2" t="s">
        <v>103</v>
      </c>
      <c r="B9" s="1">
        <v>-1934.0485991</v>
      </c>
      <c r="C9" s="3">
        <v>-1933.97557901</v>
      </c>
      <c r="D9" s="3">
        <v>-1934.0444752999999</v>
      </c>
      <c r="E9" s="17">
        <f t="shared" si="0"/>
        <v>1.9869788770259995</v>
      </c>
      <c r="F9" s="17">
        <f t="shared" si="1"/>
        <v>1.8747645057028484</v>
      </c>
      <c r="G9" s="17">
        <v>2.3637000000000001</v>
      </c>
      <c r="H9" s="17">
        <v>2.0762</v>
      </c>
      <c r="I9" s="17">
        <v>0.65439999999999998</v>
      </c>
      <c r="J9" s="17" t="s">
        <v>118</v>
      </c>
      <c r="K9" s="47">
        <v>597</v>
      </c>
      <c r="L9" s="1">
        <v>8</v>
      </c>
    </row>
    <row r="10" spans="1:12" x14ac:dyDescent="0.25">
      <c r="A10" s="2" t="s">
        <v>102</v>
      </c>
      <c r="B10" s="1">
        <v>-1934.0285214</v>
      </c>
      <c r="C10" s="3">
        <v>-1933.9518102300001</v>
      </c>
      <c r="D10" s="3">
        <v>-1934.0246854</v>
      </c>
      <c r="E10" s="17">
        <f>(C10-B10)*27.2114</f>
        <v>2.0874183313367265</v>
      </c>
      <c r="F10" s="17">
        <f t="shared" si="1"/>
        <v>1.9830354009342204</v>
      </c>
      <c r="G10" s="17">
        <v>2.3422999999999998</v>
      </c>
      <c r="H10" s="17">
        <v>2.0407999999999999</v>
      </c>
      <c r="I10" s="17">
        <v>0.81759999999999999</v>
      </c>
      <c r="J10" s="17" t="s">
        <v>118</v>
      </c>
      <c r="K10" s="47">
        <v>607</v>
      </c>
      <c r="L10" s="1">
        <v>8</v>
      </c>
    </row>
    <row r="11" spans="1:12" x14ac:dyDescent="0.25">
      <c r="A11" s="2" t="s">
        <v>104</v>
      </c>
      <c r="B11" s="1">
        <v>-1966.124712</v>
      </c>
      <c r="C11" s="3">
        <v>-1966.0599222000001</v>
      </c>
      <c r="D11" s="3">
        <v>-1966.1205147000001</v>
      </c>
      <c r="E11" s="17">
        <f>(C11-B11)*27.2114</f>
        <v>1.7630211637192208</v>
      </c>
      <c r="F11" s="17">
        <f t="shared" si="1"/>
        <v>1.6488067544995724</v>
      </c>
      <c r="G11" s="17">
        <v>2.3329</v>
      </c>
      <c r="H11" s="17">
        <v>2.0470999999999999</v>
      </c>
      <c r="I11" s="17">
        <v>0.59189999999999998</v>
      </c>
      <c r="J11" s="17" t="s">
        <v>118</v>
      </c>
      <c r="K11" s="47">
        <v>605.66999999999996</v>
      </c>
      <c r="L11" s="1">
        <v>8</v>
      </c>
    </row>
    <row r="12" spans="1:12" x14ac:dyDescent="0.25">
      <c r="A12" s="2" t="s">
        <v>105</v>
      </c>
      <c r="B12" s="1">
        <v>-1936.3952690000001</v>
      </c>
      <c r="C12" s="3">
        <v>-1936.3067786199999</v>
      </c>
      <c r="D12" s="3">
        <v>-1936.3776275</v>
      </c>
      <c r="E12" s="17">
        <f>(C12-B12)*27.2114</f>
        <v>2.4079471263365342</v>
      </c>
      <c r="F12" s="17">
        <f t="shared" si="1"/>
        <v>1.9278972132343144</v>
      </c>
      <c r="G12" s="17">
        <v>3.4049999999999998</v>
      </c>
      <c r="H12" s="17">
        <v>2.8096000000000001</v>
      </c>
      <c r="I12" s="17">
        <v>1.24E-2</v>
      </c>
      <c r="J12" s="17" t="s">
        <v>118</v>
      </c>
      <c r="K12" s="47">
        <v>441.29</v>
      </c>
      <c r="L12" s="1">
        <v>6</v>
      </c>
    </row>
    <row r="13" spans="1:12" x14ac:dyDescent="0.25">
      <c r="A13" s="2" t="s">
        <v>106</v>
      </c>
      <c r="B13" s="1">
        <v>-1934.0913272</v>
      </c>
      <c r="C13" s="3">
        <v>-1934.0059963199999</v>
      </c>
      <c r="D13" s="3">
        <v>-1934.0869097</v>
      </c>
      <c r="E13" s="17">
        <f t="shared" si="0"/>
        <v>2.3219727080355015</v>
      </c>
      <c r="F13" s="17">
        <f t="shared" si="1"/>
        <v>2.2017663485342758</v>
      </c>
      <c r="G13" s="17">
        <v>2.597</v>
      </c>
      <c r="H13" s="17">
        <v>2.2810000000000001</v>
      </c>
      <c r="I13" s="17">
        <v>0.7046</v>
      </c>
      <c r="J13" s="17" t="s">
        <v>118</v>
      </c>
      <c r="K13" s="47">
        <v>543</v>
      </c>
      <c r="L13" s="1">
        <v>8</v>
      </c>
    </row>
    <row r="14" spans="1:12" x14ac:dyDescent="0.25">
      <c r="A14" s="2" t="s">
        <v>107</v>
      </c>
      <c r="B14" s="1">
        <v>-2050.3777383000001</v>
      </c>
      <c r="C14" s="3">
        <v>-2050.29343913</v>
      </c>
      <c r="D14" s="3">
        <v>-2050.3735293999998</v>
      </c>
      <c r="E14" s="17">
        <f t="shared" si="0"/>
        <v>2.2938984345413229</v>
      </c>
      <c r="F14" s="17">
        <f t="shared" si="1"/>
        <v>2.1793683730725717</v>
      </c>
      <c r="G14" s="17">
        <v>2.6345000000000001</v>
      </c>
      <c r="H14" s="17">
        <v>2.3443999999999998</v>
      </c>
      <c r="I14" s="17">
        <v>0.71889999999999998</v>
      </c>
      <c r="J14" s="17" t="s">
        <v>118</v>
      </c>
      <c r="K14" s="47">
        <v>528</v>
      </c>
      <c r="L14" s="1">
        <v>4</v>
      </c>
    </row>
    <row r="15" spans="1:12" x14ac:dyDescent="0.25">
      <c r="A15" s="2" t="s">
        <v>108</v>
      </c>
      <c r="B15" s="1">
        <v>-1966.1080552999999</v>
      </c>
      <c r="C15" s="3">
        <v>-1966.0432035900001</v>
      </c>
      <c r="D15" s="3">
        <v>-1966.1045348</v>
      </c>
      <c r="E15" s="17">
        <f t="shared" si="0"/>
        <v>1.7647058214901121</v>
      </c>
      <c r="F15" s="17">
        <f t="shared" si="1"/>
        <v>1.6689080877922258</v>
      </c>
      <c r="G15" s="17">
        <v>2.1366999999999998</v>
      </c>
      <c r="H15" s="17">
        <v>1.8782000000000001</v>
      </c>
      <c r="I15" s="17">
        <v>0.6694</v>
      </c>
      <c r="J15" s="17" t="s">
        <v>118</v>
      </c>
      <c r="K15" s="47">
        <v>660</v>
      </c>
      <c r="L15" s="1">
        <v>8</v>
      </c>
    </row>
    <row r="16" spans="1:12" x14ac:dyDescent="0.25">
      <c r="A16" s="2" t="s">
        <v>109</v>
      </c>
      <c r="B16" s="1">
        <v>-2518.9678177000001</v>
      </c>
      <c r="C16" s="3">
        <v>-2518.88798877</v>
      </c>
      <c r="D16" s="3">
        <v>-2518.9630929999998</v>
      </c>
      <c r="E16" s="17">
        <f t="shared" si="0"/>
        <v>2.1722569458040701</v>
      </c>
      <c r="F16" s="17">
        <f t="shared" si="1"/>
        <v>2.0436912442179636</v>
      </c>
      <c r="G16" s="17">
        <v>2.5347</v>
      </c>
      <c r="H16" s="17">
        <v>2.2035</v>
      </c>
      <c r="I16" s="17">
        <v>1.9315</v>
      </c>
      <c r="J16" s="17" t="s">
        <v>118</v>
      </c>
      <c r="K16" s="47">
        <v>562.66999999999996</v>
      </c>
      <c r="L16" s="1">
        <v>13</v>
      </c>
    </row>
    <row r="17" spans="1:12" x14ac:dyDescent="0.25">
      <c r="A17" s="2" t="s">
        <v>110</v>
      </c>
      <c r="B17" s="1">
        <v>-1523.6158192</v>
      </c>
      <c r="C17" s="3">
        <v>-1523.51602845</v>
      </c>
      <c r="D17" s="3">
        <v>-1523.6117647999999</v>
      </c>
      <c r="E17" s="17">
        <f t="shared" si="0"/>
        <v>2.7154460145503001</v>
      </c>
      <c r="F17" s="17">
        <f t="shared" si="1"/>
        <v>2.6051201143879497</v>
      </c>
      <c r="G17" s="17">
        <v>3.1463000000000001</v>
      </c>
      <c r="H17" s="17">
        <v>2.9706000000000001</v>
      </c>
      <c r="I17" s="17">
        <v>0.55669999999999997</v>
      </c>
      <c r="J17" s="17" t="s">
        <v>118</v>
      </c>
      <c r="K17" s="47">
        <v>417.37</v>
      </c>
      <c r="L17" s="1">
        <v>12</v>
      </c>
    </row>
  </sheetData>
  <mergeCells count="2">
    <mergeCell ref="G1:K1"/>
    <mergeCell ref="B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RESULTS</vt:lpstr>
      <vt:lpstr>IP(a)</vt:lpstr>
      <vt:lpstr>EA</vt:lpstr>
      <vt:lpstr>Molecular Properties</vt:lpstr>
      <vt:lpstr>lambda-max</vt:lpstr>
      <vt:lpstr>Fluorescence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Nathália Magalhães Paixão</dc:creator>
  <cp:lastModifiedBy>Nathália Magalhães Paixão</cp:lastModifiedBy>
  <dcterms:created xsi:type="dcterms:W3CDTF">2023-01-17T12:39:21Z</dcterms:created>
  <dcterms:modified xsi:type="dcterms:W3CDTF">2024-02-05T18:04:07Z</dcterms:modified>
</cp:coreProperties>
</file>