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OS-DOC-IME\TRIAZINA\wb97xd\"/>
    </mc:Choice>
  </mc:AlternateContent>
  <xr:revisionPtr revIDLastSave="0" documentId="13_ncr:1_{9E648346-702E-408A-98D3-612D249B3701}" xr6:coauthVersionLast="47" xr6:coauthVersionMax="47" xr10:uidLastSave="{00000000-0000-0000-0000-000000000000}"/>
  <bookViews>
    <workbookView xWindow="-20610" yWindow="-120" windowWidth="20730" windowHeight="11160" tabRatio="772" xr2:uid="{AE77EB3E-F486-4329-AE31-94A5F757C227}"/>
  </bookViews>
  <sheets>
    <sheet name="RESULTS" sheetId="1" r:id="rId1"/>
    <sheet name="IP(a)" sheetId="6" r:id="rId2"/>
    <sheet name="EA" sheetId="7" r:id="rId3"/>
    <sheet name="Molecular properties" sheetId="20" r:id="rId4"/>
    <sheet name="FF" sheetId="31" r:id="rId5"/>
    <sheet name="PCE(OSC)" sheetId="25" r:id="rId6"/>
    <sheet name="PCE(DSSC)" sheetId="28" r:id="rId7"/>
    <sheet name="Absorption-Emission" sheetId="29" r:id="rId8"/>
    <sheet name="LHE" sheetId="34" r:id="rId9"/>
    <sheet name="Driving-force" sheetId="3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6" l="1"/>
  <c r="I2" i="36"/>
  <c r="K10" i="36"/>
  <c r="H2" i="36"/>
  <c r="F4" i="36"/>
  <c r="E9" i="36"/>
  <c r="F9" i="36"/>
  <c r="K2" i="36"/>
  <c r="D3" i="34"/>
  <c r="K4" i="36"/>
  <c r="K5" i="36"/>
  <c r="K6" i="36"/>
  <c r="K7" i="36"/>
  <c r="K8" i="36"/>
  <c r="K9" i="36"/>
  <c r="I3" i="36"/>
  <c r="I4" i="36"/>
  <c r="I5" i="36"/>
  <c r="I6" i="36"/>
  <c r="I7" i="36"/>
  <c r="I8" i="36"/>
  <c r="I9" i="36"/>
  <c r="I10" i="36"/>
  <c r="E3" i="25"/>
  <c r="E4" i="25"/>
  <c r="E5" i="25"/>
  <c r="E6" i="25"/>
  <c r="L2" i="1"/>
  <c r="H3" i="36"/>
  <c r="H4" i="36"/>
  <c r="H5" i="36"/>
  <c r="H6" i="36"/>
  <c r="H7" i="36"/>
  <c r="H8" i="36"/>
  <c r="H9" i="36"/>
  <c r="H10" i="36"/>
  <c r="G2" i="36"/>
  <c r="E3" i="36"/>
  <c r="E4" i="36"/>
  <c r="E5" i="36"/>
  <c r="E6" i="36"/>
  <c r="E7" i="36"/>
  <c r="E8" i="36"/>
  <c r="F8" i="36" s="1"/>
  <c r="E10" i="36"/>
  <c r="F10" i="36" s="1"/>
  <c r="E2" i="36"/>
  <c r="F2" i="36" s="1"/>
  <c r="F6" i="36"/>
  <c r="F7" i="36"/>
  <c r="F3" i="36"/>
  <c r="F5" i="36"/>
  <c r="C2" i="36"/>
  <c r="C3" i="36"/>
  <c r="C4" i="36"/>
  <c r="C5" i="36"/>
  <c r="C6" i="36"/>
  <c r="C7" i="36"/>
  <c r="C9" i="36"/>
  <c r="C10" i="36"/>
  <c r="G5" i="36"/>
  <c r="M3" i="29"/>
  <c r="M4" i="29"/>
  <c r="M5" i="29"/>
  <c r="M6" i="29"/>
  <c r="M7" i="29"/>
  <c r="M8" i="29"/>
  <c r="M9" i="29"/>
  <c r="M10" i="29"/>
  <c r="M11" i="29"/>
  <c r="M12" i="29"/>
  <c r="J3" i="29"/>
  <c r="L3" i="29"/>
  <c r="K3" i="29"/>
  <c r="K2" i="1" s="1"/>
  <c r="D12" i="31"/>
  <c r="E12" i="31" s="1"/>
  <c r="E12" i="25"/>
  <c r="E10" i="25"/>
  <c r="E3" i="28"/>
  <c r="D4" i="34"/>
  <c r="D5" i="34"/>
  <c r="D6" i="34"/>
  <c r="D7" i="34"/>
  <c r="D8" i="34"/>
  <c r="D9" i="34"/>
  <c r="D10" i="34"/>
  <c r="D2" i="34"/>
  <c r="J10" i="1"/>
  <c r="J11" i="1"/>
  <c r="I10" i="1"/>
  <c r="I11" i="1"/>
  <c r="H11" i="1"/>
  <c r="H10" i="1"/>
  <c r="D12" i="28"/>
  <c r="C12" i="28"/>
  <c r="D11" i="28"/>
  <c r="E11" i="28" s="1"/>
  <c r="I11" i="28" s="1"/>
  <c r="J11" i="28" s="1"/>
  <c r="C11" i="28"/>
  <c r="L11" i="29"/>
  <c r="L12" i="29"/>
  <c r="K11" i="29"/>
  <c r="K10" i="1" s="1"/>
  <c r="L10" i="1" s="1"/>
  <c r="K12" i="29"/>
  <c r="K11" i="1" s="1"/>
  <c r="L11" i="1" s="1"/>
  <c r="J11" i="29"/>
  <c r="E10" i="7"/>
  <c r="F10" i="7" s="1"/>
  <c r="E10" i="6"/>
  <c r="F10" i="6" s="1"/>
  <c r="G12" i="31"/>
  <c r="H12" i="31" s="1"/>
  <c r="F11" i="28" s="1"/>
  <c r="D11" i="25"/>
  <c r="C11" i="25"/>
  <c r="E11" i="25" s="1"/>
  <c r="D10" i="1"/>
  <c r="E10" i="1" s="1"/>
  <c r="C10" i="1"/>
  <c r="L10" i="29"/>
  <c r="K10" i="29"/>
  <c r="K9" i="1" s="1"/>
  <c r="E3" i="6"/>
  <c r="F3" i="6" s="1"/>
  <c r="E2" i="7"/>
  <c r="K9" i="29"/>
  <c r="K8" i="1" s="1"/>
  <c r="E11" i="7"/>
  <c r="F11" i="7" s="1"/>
  <c r="E11" i="6"/>
  <c r="F11" i="6" s="1"/>
  <c r="C11" i="20" s="1"/>
  <c r="G13" i="31"/>
  <c r="H13" i="31" s="1"/>
  <c r="F12" i="28" s="1"/>
  <c r="D13" i="31"/>
  <c r="E13" i="31" s="1"/>
  <c r="J10" i="29"/>
  <c r="J12" i="29"/>
  <c r="D11" i="1"/>
  <c r="D8" i="1"/>
  <c r="C11" i="1"/>
  <c r="C8" i="1"/>
  <c r="E9" i="6"/>
  <c r="F9" i="6" s="1"/>
  <c r="E9" i="7"/>
  <c r="F9" i="7" s="1"/>
  <c r="G5" i="31"/>
  <c r="H5" i="31" s="1"/>
  <c r="G6" i="31"/>
  <c r="H6" i="31" s="1"/>
  <c r="G7" i="31"/>
  <c r="H7" i="31" s="1"/>
  <c r="G8" i="31"/>
  <c r="H8" i="31" s="1"/>
  <c r="G9" i="31"/>
  <c r="H9" i="31" s="1"/>
  <c r="G10" i="31"/>
  <c r="H10" i="31" s="1"/>
  <c r="G11" i="31"/>
  <c r="H11" i="31" s="1"/>
  <c r="G4" i="31"/>
  <c r="H4" i="31" s="1"/>
  <c r="D4" i="31"/>
  <c r="E4" i="31" s="1"/>
  <c r="E10" i="28"/>
  <c r="D11" i="31"/>
  <c r="E11" i="31" s="1"/>
  <c r="E9" i="1"/>
  <c r="G10" i="36" l="1"/>
  <c r="G7" i="36"/>
  <c r="G8" i="36"/>
  <c r="G9" i="36"/>
  <c r="G6" i="36"/>
  <c r="G4" i="36"/>
  <c r="G3" i="36"/>
  <c r="E12" i="28"/>
  <c r="I12" i="28" s="1"/>
  <c r="J12" i="28" s="1"/>
  <c r="D11" i="20"/>
  <c r="D10" i="20"/>
  <c r="I9" i="1"/>
  <c r="J9" i="1" s="1"/>
  <c r="L9" i="1" s="1"/>
  <c r="D9" i="20"/>
  <c r="H9" i="1"/>
  <c r="C9" i="20"/>
  <c r="C10" i="20"/>
  <c r="E11" i="20"/>
  <c r="H11" i="20" s="1"/>
  <c r="I11" i="20"/>
  <c r="E11" i="1"/>
  <c r="F8" i="28"/>
  <c r="F4" i="28"/>
  <c r="F3" i="28"/>
  <c r="I3" i="28" s="1"/>
  <c r="J3" i="28" s="1"/>
  <c r="F7" i="28"/>
  <c r="F6" i="28"/>
  <c r="F10" i="28"/>
  <c r="I10" i="28" s="1"/>
  <c r="J10" i="28" s="1"/>
  <c r="F9" i="28"/>
  <c r="F5" i="28"/>
  <c r="L7" i="29"/>
  <c r="L8" i="29"/>
  <c r="K7" i="29"/>
  <c r="K6" i="1" s="1"/>
  <c r="K8" i="29"/>
  <c r="K7" i="1" s="1"/>
  <c r="L6" i="29"/>
  <c r="K5" i="29"/>
  <c r="K4" i="1" s="1"/>
  <c r="K6" i="29"/>
  <c r="K5" i="1" s="1"/>
  <c r="L5" i="29"/>
  <c r="J8" i="29"/>
  <c r="J9" i="29"/>
  <c r="I9" i="20" l="1"/>
  <c r="E9" i="20"/>
  <c r="G9" i="20" s="1"/>
  <c r="G11" i="20"/>
  <c r="F11" i="20"/>
  <c r="E10" i="20"/>
  <c r="F10" i="20" s="1"/>
  <c r="H10" i="20"/>
  <c r="I10" i="20"/>
  <c r="E4" i="28"/>
  <c r="E5" i="28"/>
  <c r="E6" i="28"/>
  <c r="E7" i="28"/>
  <c r="E8" i="28"/>
  <c r="E9" i="28"/>
  <c r="D5" i="31"/>
  <c r="E5" i="31" s="1"/>
  <c r="D6" i="31"/>
  <c r="E6" i="31" s="1"/>
  <c r="D7" i="31"/>
  <c r="E7" i="31" s="1"/>
  <c r="D8" i="31"/>
  <c r="E8" i="31" s="1"/>
  <c r="D9" i="31"/>
  <c r="E9" i="31" s="1"/>
  <c r="D10" i="31"/>
  <c r="E10" i="31" s="1"/>
  <c r="G10" i="20" l="1"/>
  <c r="H9" i="20"/>
  <c r="F9" i="20"/>
  <c r="I8" i="28"/>
  <c r="J8" i="28" s="1"/>
  <c r="I4" i="28"/>
  <c r="J4" i="28" s="1"/>
  <c r="I7" i="28"/>
  <c r="J7" i="28" s="1"/>
  <c r="I9" i="28"/>
  <c r="J9" i="28" s="1"/>
  <c r="I5" i="28"/>
  <c r="J5" i="28" s="1"/>
  <c r="I6" i="28"/>
  <c r="J6" i="28" s="1"/>
  <c r="D9" i="25" l="1"/>
  <c r="C9" i="25"/>
  <c r="E9" i="25" s="1"/>
  <c r="D8" i="25"/>
  <c r="C8" i="25"/>
  <c r="E8" i="25" s="1"/>
  <c r="D7" i="25"/>
  <c r="C7" i="25"/>
  <c r="E7" i="25" s="1"/>
  <c r="D6" i="25"/>
  <c r="C6" i="25"/>
  <c r="D5" i="25"/>
  <c r="C5" i="25"/>
  <c r="D4" i="25"/>
  <c r="C4" i="25"/>
  <c r="D7" i="1"/>
  <c r="C7" i="1"/>
  <c r="L9" i="29"/>
  <c r="J6" i="29"/>
  <c r="J7" i="29"/>
  <c r="L4" i="29"/>
  <c r="F5" i="7"/>
  <c r="D5" i="20" s="1"/>
  <c r="E6" i="7"/>
  <c r="F6" i="7" s="1"/>
  <c r="E7" i="7"/>
  <c r="F7" i="7" s="1"/>
  <c r="E8" i="7"/>
  <c r="F8" i="7" s="1"/>
  <c r="E5" i="7"/>
  <c r="I3" i="25" l="1"/>
  <c r="I11" i="25"/>
  <c r="J11" i="25" s="1"/>
  <c r="D8" i="20"/>
  <c r="I8" i="1"/>
  <c r="I10" i="25"/>
  <c r="J10" i="25" s="1"/>
  <c r="I12" i="25"/>
  <c r="J12" i="25" s="1"/>
  <c r="E7" i="1"/>
  <c r="J3" i="25"/>
  <c r="E8" i="1"/>
  <c r="D6" i="20"/>
  <c r="I6" i="1"/>
  <c r="I5" i="1"/>
  <c r="I7" i="1"/>
  <c r="D7" i="20"/>
  <c r="J5" i="29"/>
  <c r="J4" i="29"/>
  <c r="E4" i="7"/>
  <c r="F4" i="7" s="1"/>
  <c r="E4" i="6"/>
  <c r="F4" i="6" s="1"/>
  <c r="E5" i="6"/>
  <c r="F5" i="6" s="1"/>
  <c r="E6" i="6"/>
  <c r="F6" i="6" s="1"/>
  <c r="E7" i="6"/>
  <c r="F7" i="6" s="1"/>
  <c r="E8" i="6"/>
  <c r="F8" i="6" s="1"/>
  <c r="D6" i="1"/>
  <c r="C6" i="1"/>
  <c r="D5" i="1"/>
  <c r="C5" i="1"/>
  <c r="D4" i="1"/>
  <c r="C4" i="1"/>
  <c r="K4" i="29"/>
  <c r="K3" i="1" s="1"/>
  <c r="E3" i="7"/>
  <c r="F3" i="7" s="1"/>
  <c r="D3" i="1"/>
  <c r="C3" i="1"/>
  <c r="F2" i="7"/>
  <c r="E2" i="6"/>
  <c r="F2" i="6" s="1"/>
  <c r="E2" i="1"/>
  <c r="I8" i="25" l="1"/>
  <c r="I6" i="25"/>
  <c r="I9" i="25"/>
  <c r="I7" i="25"/>
  <c r="I5" i="25"/>
  <c r="I4" i="25"/>
  <c r="E6" i="1"/>
  <c r="E5" i="1"/>
  <c r="E4" i="1"/>
  <c r="E3" i="1"/>
  <c r="D4" i="20"/>
  <c r="I4" i="1"/>
  <c r="C5" i="20"/>
  <c r="H5" i="1"/>
  <c r="J5" i="1" s="1"/>
  <c r="L5" i="1" s="1"/>
  <c r="C4" i="20"/>
  <c r="H4" i="1"/>
  <c r="C8" i="20"/>
  <c r="I8" i="20" s="1"/>
  <c r="H8" i="1"/>
  <c r="J8" i="1" s="1"/>
  <c r="L8" i="1" s="1"/>
  <c r="I3" i="1"/>
  <c r="D3" i="20"/>
  <c r="H3" i="1"/>
  <c r="J3" i="1" s="1"/>
  <c r="L3" i="1" s="1"/>
  <c r="C3" i="20"/>
  <c r="H6" i="1"/>
  <c r="J6" i="1" s="1"/>
  <c r="L6" i="1" s="1"/>
  <c r="C6" i="20"/>
  <c r="I6" i="20" s="1"/>
  <c r="H7" i="1"/>
  <c r="C7" i="20"/>
  <c r="H2" i="1"/>
  <c r="C2" i="20"/>
  <c r="I2" i="1"/>
  <c r="D2" i="20"/>
  <c r="J7" i="1" l="1"/>
  <c r="L7" i="1" s="1"/>
  <c r="J2" i="1"/>
  <c r="J4" i="1"/>
  <c r="L4" i="1" s="1"/>
  <c r="J7" i="25"/>
  <c r="J8" i="25"/>
  <c r="J5" i="25"/>
  <c r="J9" i="25"/>
  <c r="J6" i="25"/>
  <c r="J4" i="25"/>
  <c r="I5" i="20"/>
  <c r="E5" i="20"/>
  <c r="G5" i="20" s="1"/>
  <c r="H5" i="20"/>
  <c r="E8" i="20"/>
  <c r="H8" i="20" s="1"/>
  <c r="E6" i="20"/>
  <c r="I3" i="20"/>
  <c r="E3" i="20"/>
  <c r="G3" i="20" s="1"/>
  <c r="F3" i="20"/>
  <c r="I4" i="20"/>
  <c r="E4" i="20"/>
  <c r="F4" i="20" s="1"/>
  <c r="E7" i="20"/>
  <c r="G7" i="20" s="1"/>
  <c r="I7" i="20"/>
  <c r="F8" i="20"/>
  <c r="I2" i="20"/>
  <c r="E2" i="20"/>
  <c r="G2" i="20" s="1"/>
  <c r="G8" i="20" l="1"/>
  <c r="H4" i="20"/>
  <c r="H6" i="20"/>
  <c r="G6" i="20"/>
  <c r="F7" i="20"/>
  <c r="G4" i="20"/>
  <c r="H3" i="20"/>
  <c r="H7" i="20"/>
  <c r="F6" i="20"/>
  <c r="F5" i="20"/>
  <c r="F2" i="20"/>
  <c r="H2" i="20"/>
</calcChain>
</file>

<file path=xl/sharedStrings.xml><?xml version="1.0" encoding="utf-8"?>
<sst xmlns="http://schemas.openxmlformats.org/spreadsheetml/2006/main" count="306" uniqueCount="103">
  <si>
    <t>NAME</t>
  </si>
  <si>
    <r>
      <t>E</t>
    </r>
    <r>
      <rPr>
        <b/>
        <vertAlign val="subscript"/>
        <sz val="12"/>
        <color theme="1"/>
        <rFont val="Times New Roman"/>
        <family val="1"/>
      </rPr>
      <t xml:space="preserve">HOMO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</si>
  <si>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LUMO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</si>
  <si>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perscript"/>
        <sz val="12"/>
        <color theme="1"/>
        <rFont val="Times New Roman"/>
        <family val="1"/>
      </rPr>
      <t>0</t>
    </r>
  </si>
  <si>
    <r>
      <t>E</t>
    </r>
    <r>
      <rPr>
        <b/>
        <vertAlign val="superscript"/>
        <sz val="12"/>
        <color theme="1"/>
        <rFont val="Times New Roman"/>
        <family val="1"/>
      </rPr>
      <t>+1</t>
    </r>
  </si>
  <si>
    <t>EA</t>
  </si>
  <si>
    <r>
      <t>E</t>
    </r>
    <r>
      <rPr>
        <b/>
        <vertAlign val="superscript"/>
        <sz val="12"/>
        <color theme="1"/>
        <rFont val="Times New Roman"/>
        <family val="1"/>
      </rPr>
      <t>-1</t>
    </r>
  </si>
  <si>
    <t>IP(v) / eV</t>
  </si>
  <si>
    <t>EA / h</t>
  </si>
  <si>
    <t>EA / eV</t>
  </si>
  <si>
    <r>
      <t>f</t>
    </r>
    <r>
      <rPr>
        <b/>
        <vertAlign val="subscript"/>
        <sz val="12"/>
        <color theme="1"/>
        <rFont val="Times New Roman"/>
        <family val="1"/>
      </rPr>
      <t>osc</t>
    </r>
    <r>
      <rPr>
        <b/>
        <vertAlign val="superscript"/>
        <sz val="12"/>
        <color theme="1"/>
        <rFont val="Times New Roman"/>
        <family val="1"/>
      </rPr>
      <t>S1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</si>
  <si>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fund </t>
    </r>
    <r>
      <rPr>
        <b/>
        <sz val="12"/>
        <color theme="1"/>
        <rFont val="Times New Roman"/>
        <family val="1"/>
      </rPr>
      <t>/ eV</t>
    </r>
  </si>
  <si>
    <r>
      <t>V</t>
    </r>
    <r>
      <rPr>
        <b/>
        <vertAlign val="subscript"/>
        <sz val="12"/>
        <color theme="1"/>
        <rFont val="Times New Roman"/>
        <family val="1"/>
      </rPr>
      <t>OC</t>
    </r>
    <r>
      <rPr>
        <b/>
        <sz val="12"/>
        <color theme="1"/>
        <rFont val="Times New Roman"/>
        <family val="1"/>
      </rPr>
      <t xml:space="preserve"> / V</t>
    </r>
  </si>
  <si>
    <t>LHE</t>
  </si>
  <si>
    <t>IP(a)</t>
  </si>
  <si>
    <t>η / eV</t>
  </si>
  <si>
    <r>
      <t>ω</t>
    </r>
    <r>
      <rPr>
        <b/>
        <vertAlign val="superscript"/>
        <sz val="12"/>
        <color theme="1"/>
        <rFont val="Times New Roman"/>
        <family val="1"/>
      </rPr>
      <t>+</t>
    </r>
    <r>
      <rPr>
        <b/>
        <sz val="12"/>
        <color theme="1"/>
        <rFont val="Times New Roman"/>
        <family val="1"/>
      </rPr>
      <t xml:space="preserve"> / eV</t>
    </r>
  </si>
  <si>
    <r>
      <t>ω</t>
    </r>
    <r>
      <rPr>
        <b/>
        <vertAlign val="superscript"/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/ eV</t>
    </r>
  </si>
  <si>
    <t>ω / eV</t>
  </si>
  <si>
    <t>χ / eV</t>
  </si>
  <si>
    <t>IP(a) / eV</t>
  </si>
  <si>
    <t>Triazine-thiophene</t>
  </si>
  <si>
    <t>IP(v) / h</t>
  </si>
  <si>
    <t>Triazine-carbazole</t>
  </si>
  <si>
    <t>Triazine</t>
  </si>
  <si>
    <r>
      <rPr>
        <b/>
        <sz val="12"/>
        <color theme="1"/>
        <rFont val="Calibri"/>
        <family val="2"/>
      </rPr>
      <t>E</t>
    </r>
    <r>
      <rPr>
        <b/>
        <vertAlign val="subscript"/>
        <sz val="12"/>
        <color theme="1"/>
        <rFont val="Times New Roman"/>
        <family val="1"/>
      </rPr>
      <t>g</t>
    </r>
  </si>
  <si>
    <t>FF</t>
  </si>
  <si>
    <t>Tr</t>
  </si>
  <si>
    <t>Triazine-phenyl-meta-carbazole</t>
  </si>
  <si>
    <t>Triazine-phenyl-para-carbazole</t>
  </si>
  <si>
    <t>Triazine-phenyl-para-thiophene</t>
  </si>
  <si>
    <t>Triazine-phenyl-meta-thiophene</t>
  </si>
  <si>
    <t>Tr-Th</t>
  </si>
  <si>
    <t>Tr-Ph-m-Th</t>
  </si>
  <si>
    <t>Tr-Ph-p-Th</t>
  </si>
  <si>
    <t>Tr-Cz</t>
  </si>
  <si>
    <t>Tr-Ph-m-Cz</t>
  </si>
  <si>
    <t>Tr-Ph-p-Cz</t>
  </si>
  <si>
    <r>
      <t>E</t>
    </r>
    <r>
      <rPr>
        <b/>
        <vertAlign val="subscript"/>
        <sz val="12"/>
        <color theme="1"/>
        <rFont val="Times New Roman"/>
        <family val="1"/>
      </rPr>
      <t xml:space="preserve">b </t>
    </r>
    <r>
      <rPr>
        <b/>
        <sz val="12"/>
        <color theme="1"/>
        <rFont val="Times New Roman"/>
        <family val="1"/>
      </rPr>
      <t>/ eV</t>
    </r>
  </si>
  <si>
    <t>Jsc</t>
  </si>
  <si>
    <t>Hartree</t>
  </si>
  <si>
    <t>eV</t>
  </si>
  <si>
    <r>
      <t>E</t>
    </r>
    <r>
      <rPr>
        <b/>
        <vertAlign val="subscript"/>
        <sz val="12"/>
        <color theme="1"/>
        <rFont val="Times New Roman"/>
        <family val="1"/>
      </rPr>
      <t>S0</t>
    </r>
  </si>
  <si>
    <r>
      <t>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>S0</t>
    </r>
  </si>
  <si>
    <r>
      <t>E</t>
    </r>
    <r>
      <rPr>
        <b/>
        <vertAlign val="subscript"/>
        <sz val="12"/>
        <color theme="1"/>
        <rFont val="Times New Roman"/>
        <family val="1"/>
      </rPr>
      <t>S1</t>
    </r>
  </si>
  <si>
    <r>
      <t>E</t>
    </r>
    <r>
      <rPr>
        <b/>
        <vertAlign val="subscript"/>
        <sz val="12"/>
        <color theme="1"/>
        <rFont val="Times New Roman"/>
        <family val="1"/>
      </rPr>
      <t>S0</t>
    </r>
    <r>
      <rPr>
        <b/>
        <vertAlign val="superscript"/>
        <sz val="12"/>
        <color theme="1"/>
        <rFont val="Times New Roman"/>
        <family val="1"/>
      </rPr>
      <t>S1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</si>
  <si>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adiabatic</t>
    </r>
  </si>
  <si>
    <r>
      <t>ΔE</t>
    </r>
    <r>
      <rPr>
        <b/>
        <vertAlign val="subscript"/>
        <sz val="12"/>
        <color theme="1"/>
        <rFont val="Times New Roman"/>
        <family val="1"/>
      </rPr>
      <t>flu</t>
    </r>
    <r>
      <rPr>
        <b/>
        <vertAlign val="superscript"/>
        <sz val="12"/>
        <color theme="1"/>
        <rFont val="Times New Roman"/>
        <family val="1"/>
      </rPr>
      <t>vertical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</si>
  <si>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vertical</t>
    </r>
  </si>
  <si>
    <t>HOMO PC61BM</t>
  </si>
  <si>
    <r>
      <t>V</t>
    </r>
    <r>
      <rPr>
        <b/>
        <vertAlign val="subscript"/>
        <sz val="12"/>
        <color theme="1"/>
        <rFont val="Times New Roman"/>
        <family val="1"/>
      </rPr>
      <t xml:space="preserve">OC </t>
    </r>
    <r>
      <rPr>
        <b/>
        <vertAlign val="superscript"/>
        <sz val="12"/>
        <color theme="1"/>
        <rFont val="Times New Roman"/>
        <family val="1"/>
      </rPr>
      <t xml:space="preserve">PCBM </t>
    </r>
    <r>
      <rPr>
        <b/>
        <sz val="12"/>
        <color theme="1"/>
        <rFont val="Times New Roman"/>
        <family val="1"/>
      </rPr>
      <t>/ V</t>
    </r>
  </si>
  <si>
    <r>
      <t>eV</t>
    </r>
    <r>
      <rPr>
        <b/>
        <vertAlign val="subscript"/>
        <sz val="12"/>
        <color theme="1"/>
        <rFont val="Times New Roman"/>
        <family val="1"/>
      </rPr>
      <t>OC</t>
    </r>
    <r>
      <rPr>
        <b/>
        <sz val="12"/>
        <color theme="1"/>
        <rFont val="Times New Roman"/>
        <family val="1"/>
      </rPr>
      <t>/K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T</t>
    </r>
  </si>
  <si>
    <r>
      <t>FF</t>
    </r>
    <r>
      <rPr>
        <b/>
        <vertAlign val="subscript"/>
        <sz val="12"/>
        <color theme="1"/>
        <rFont val="Times New Roman"/>
        <family val="1"/>
      </rPr>
      <t>(PCBM)</t>
    </r>
  </si>
  <si>
    <r>
      <t xml:space="preserve">PCE </t>
    </r>
    <r>
      <rPr>
        <b/>
        <vertAlign val="subscript"/>
        <sz val="12"/>
        <color theme="1"/>
        <rFont val="Times New Roman"/>
        <family val="1"/>
      </rPr>
      <t>(PCBM)</t>
    </r>
  </si>
  <si>
    <t>f</t>
  </si>
  <si>
    <t>wB97xD/def2-SVP</t>
  </si>
  <si>
    <t>wb97xD/Def2-TZVP</t>
  </si>
  <si>
    <r>
      <t>E</t>
    </r>
    <r>
      <rPr>
        <b/>
        <vertAlign val="subscript"/>
        <sz val="12"/>
        <color theme="1"/>
        <rFont val="Times New Roman"/>
        <family val="1"/>
      </rPr>
      <t>T1</t>
    </r>
    <r>
      <rPr>
        <b/>
        <vertAlign val="superscript"/>
        <sz val="12"/>
        <color theme="1"/>
        <rFont val="Times New Roman"/>
        <family val="1"/>
      </rPr>
      <t>S0</t>
    </r>
  </si>
  <si>
    <r>
      <t>E</t>
    </r>
    <r>
      <rPr>
        <b/>
        <vertAlign val="subscript"/>
        <sz val="12"/>
        <color theme="1"/>
        <rFont val="Times New Roman"/>
        <family val="1"/>
      </rPr>
      <t>T1</t>
    </r>
  </si>
  <si>
    <t>Experimental</t>
  </si>
  <si>
    <t>LUMO PC61BM</t>
  </si>
  <si>
    <t>Triazine-thiophene-carbazole</t>
  </si>
  <si>
    <t>Tr-Th-Cz</t>
  </si>
  <si>
    <r>
      <t>V</t>
    </r>
    <r>
      <rPr>
        <b/>
        <vertAlign val="subscript"/>
        <sz val="12"/>
        <color theme="1"/>
        <rFont val="Times New Roman"/>
        <family val="1"/>
      </rPr>
      <t xml:space="preserve">OC </t>
    </r>
    <r>
      <rPr>
        <b/>
        <vertAlign val="superscript"/>
        <sz val="12"/>
        <color theme="1"/>
        <rFont val="Times New Roman"/>
        <family val="1"/>
      </rPr>
      <t xml:space="preserve">TiO2 </t>
    </r>
    <r>
      <rPr>
        <b/>
        <sz val="12"/>
        <color theme="1"/>
        <rFont val="Times New Roman"/>
        <family val="1"/>
      </rPr>
      <t>/ V</t>
    </r>
  </si>
  <si>
    <t>Triazine-phenyl-p-thiopnene-carbazole</t>
  </si>
  <si>
    <t>Tr-Ph-p-Th-Cz</t>
  </si>
  <si>
    <r>
      <t>ΔE</t>
    </r>
    <r>
      <rPr>
        <b/>
        <vertAlign val="subscript"/>
        <sz val="12"/>
        <color theme="1"/>
        <rFont val="Times New Roman"/>
        <family val="1"/>
      </rPr>
      <t>ST</t>
    </r>
    <r>
      <rPr>
        <b/>
        <vertAlign val="superscript"/>
        <sz val="12"/>
        <color theme="1"/>
        <rFont val="Times New Roman"/>
        <family val="1"/>
      </rPr>
      <t>vertical</t>
    </r>
  </si>
  <si>
    <r>
      <t>ΔE</t>
    </r>
    <r>
      <rPr>
        <b/>
        <vertAlign val="subscript"/>
        <sz val="12"/>
        <color theme="1"/>
        <rFont val="Times New Roman"/>
        <family val="1"/>
      </rPr>
      <t>ST</t>
    </r>
    <r>
      <rPr>
        <b/>
        <vertAlign val="superscript"/>
        <sz val="12"/>
        <color theme="1"/>
        <rFont val="Times New Roman"/>
        <family val="1"/>
      </rPr>
      <t>vertical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 xml:space="preserve">S0 </t>
    </r>
    <r>
      <rPr>
        <b/>
        <sz val="12"/>
        <color theme="1"/>
        <rFont val="Times New Roman"/>
        <family val="1"/>
      </rPr>
      <t>- E</t>
    </r>
    <r>
      <rPr>
        <b/>
        <vertAlign val="subscript"/>
        <sz val="12"/>
        <color theme="1"/>
        <rFont val="Times New Roman"/>
        <family val="1"/>
      </rPr>
      <t>T1</t>
    </r>
    <r>
      <rPr>
        <b/>
        <vertAlign val="superscript"/>
        <sz val="12"/>
        <color theme="1"/>
        <rFont val="Times New Roman"/>
        <family val="1"/>
      </rPr>
      <t>S0</t>
    </r>
  </si>
  <si>
    <r>
      <t>ΔE</t>
    </r>
    <r>
      <rPr>
        <b/>
        <vertAlign val="subscript"/>
        <sz val="12"/>
        <color theme="1"/>
        <rFont val="Times New Roman"/>
        <family val="1"/>
      </rPr>
      <t>ST</t>
    </r>
    <r>
      <rPr>
        <b/>
        <vertAlign val="superscript"/>
        <sz val="12"/>
        <color theme="1"/>
        <rFont val="Times New Roman"/>
        <family val="1"/>
      </rPr>
      <t>adiabatic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- E</t>
    </r>
    <r>
      <rPr>
        <b/>
        <vertAlign val="subscript"/>
        <sz val="12"/>
        <color theme="1"/>
        <rFont val="Times New Roman"/>
        <family val="1"/>
      </rPr>
      <t>T1</t>
    </r>
  </si>
  <si>
    <t>optimized S1 state energy</t>
  </si>
  <si>
    <t>T1 state energy in ground state geometry</t>
  </si>
  <si>
    <t>energy of the S1 state in the ground state geometry</t>
  </si>
  <si>
    <t>optimized T1 state energy</t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</si>
  <si>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vertical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>S0</t>
    </r>
    <r>
      <rPr>
        <b/>
        <sz val="12"/>
        <color theme="1"/>
        <rFont val="Times New Roman"/>
        <family val="1"/>
      </rPr>
      <t xml:space="preserve"> - E</t>
    </r>
    <r>
      <rPr>
        <b/>
        <vertAlign val="subscript"/>
        <sz val="12"/>
        <color theme="1"/>
        <rFont val="Times New Roman"/>
        <family val="1"/>
      </rPr>
      <t>S0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</si>
  <si>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adiabatic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sz val="12"/>
        <color theme="1"/>
        <rFont val="Times New Roman"/>
        <family val="1"/>
      </rPr>
      <t xml:space="preserve"> - E</t>
    </r>
    <r>
      <rPr>
        <b/>
        <vertAlign val="subscript"/>
        <sz val="12"/>
        <color theme="1"/>
        <rFont val="Times New Roman"/>
        <family val="1"/>
      </rPr>
      <t>S0</t>
    </r>
  </si>
  <si>
    <r>
      <t xml:space="preserve">PCE </t>
    </r>
    <r>
      <rPr>
        <b/>
        <vertAlign val="subscript"/>
        <sz val="12"/>
        <color theme="1"/>
        <rFont val="Times New Roman"/>
        <family val="1"/>
      </rPr>
      <t>(PCBM)</t>
    </r>
    <r>
      <rPr>
        <b/>
        <sz val="12"/>
        <color theme="1"/>
        <rFont val="Times New Roman"/>
        <family val="1"/>
      </rPr>
      <t xml:space="preserve"> / %</t>
    </r>
  </si>
  <si>
    <r>
      <t>PCE</t>
    </r>
    <r>
      <rPr>
        <b/>
        <vertAlign val="subscript"/>
        <sz val="12"/>
        <color theme="1"/>
        <rFont val="Times New Roman"/>
        <family val="1"/>
      </rPr>
      <t>DSSC</t>
    </r>
  </si>
  <si>
    <r>
      <t>PCE</t>
    </r>
    <r>
      <rPr>
        <b/>
        <vertAlign val="subscript"/>
        <sz val="12"/>
        <color theme="1"/>
        <rFont val="Times New Roman"/>
        <family val="1"/>
      </rPr>
      <t>DSSC</t>
    </r>
    <r>
      <rPr>
        <b/>
        <sz val="12"/>
        <color theme="1"/>
        <rFont val="Times New Roman"/>
        <family val="1"/>
      </rPr>
      <t xml:space="preserve"> / %</t>
    </r>
  </si>
  <si>
    <t>OSC</t>
  </si>
  <si>
    <t>DSSC</t>
  </si>
  <si>
    <t>Triazine-phenyl-m-thiopnene-carbazole</t>
  </si>
  <si>
    <t>Tr-Ph-m-Th-Cz</t>
  </si>
  <si>
    <r>
      <t>ΔE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 xml:space="preserve">vert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</si>
  <si>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>opt</t>
    </r>
    <r>
      <rPr>
        <b/>
        <vertAlign val="superscript"/>
        <sz val="12"/>
        <color theme="1"/>
        <rFont val="Times New Roman"/>
        <family val="1"/>
      </rPr>
      <t>adiab</t>
    </r>
  </si>
  <si>
    <r>
      <t>E</t>
    </r>
    <r>
      <rPr>
        <b/>
        <vertAlign val="subscript"/>
        <sz val="12"/>
        <color theme="1"/>
        <rFont val="Times New Roman"/>
        <family val="1"/>
      </rPr>
      <t>opt</t>
    </r>
  </si>
  <si>
    <r>
      <t>E</t>
    </r>
    <r>
      <rPr>
        <b/>
        <vertAlign val="subscript"/>
        <sz val="12"/>
        <color theme="1"/>
        <rFont val="Times New Roman"/>
        <family val="1"/>
      </rPr>
      <t>(λmax )</t>
    </r>
    <r>
      <rPr>
        <b/>
        <sz val="12"/>
        <color theme="1"/>
        <rFont val="Times New Roman"/>
        <family val="1"/>
      </rPr>
      <t xml:space="preserve"> / eV</t>
    </r>
  </si>
  <si>
    <r>
      <t>∆G</t>
    </r>
    <r>
      <rPr>
        <b/>
        <vertAlign val="subscript"/>
        <sz val="12"/>
        <color theme="1"/>
        <rFont val="Times New Roman"/>
        <family val="1"/>
      </rPr>
      <t>inject</t>
    </r>
  </si>
  <si>
    <r>
      <t>∆G</t>
    </r>
    <r>
      <rPr>
        <b/>
        <vertAlign val="subscript"/>
        <sz val="12"/>
        <color theme="1"/>
        <rFont val="Times New Roman"/>
        <family val="1"/>
      </rPr>
      <t>regenerate</t>
    </r>
  </si>
  <si>
    <r>
      <t>∆G</t>
    </r>
    <r>
      <rPr>
        <b/>
        <vertAlign val="subscript"/>
        <sz val="12"/>
        <color theme="1"/>
        <rFont val="Times New Roman"/>
        <family val="1"/>
      </rPr>
      <t>recombination</t>
    </r>
  </si>
  <si>
    <r>
      <t>E</t>
    </r>
    <r>
      <rPr>
        <b/>
        <vertAlign val="superscript"/>
        <sz val="12"/>
        <color theme="1"/>
        <rFont val="Times New Roman"/>
        <family val="1"/>
      </rPr>
      <t>*</t>
    </r>
    <r>
      <rPr>
        <b/>
        <vertAlign val="subscript"/>
        <sz val="12"/>
        <color theme="1"/>
        <rFont val="Times New Roman"/>
        <family val="1"/>
      </rPr>
      <t>dye</t>
    </r>
  </si>
  <si>
    <r>
      <t>E</t>
    </r>
    <r>
      <rPr>
        <b/>
        <i/>
        <vertAlign val="subscript"/>
        <sz val="12"/>
        <color theme="1"/>
        <rFont val="Times New Roman"/>
        <family val="1"/>
      </rPr>
      <t>CS</t>
    </r>
  </si>
  <si>
    <r>
      <t>∆G</t>
    </r>
    <r>
      <rPr>
        <b/>
        <vertAlign val="subscript"/>
        <sz val="12"/>
        <color theme="1"/>
        <rFont val="Times New Roman"/>
        <family val="1"/>
      </rPr>
      <t>separation</t>
    </r>
  </si>
  <si>
    <t>H-2-&gt;LUMO (30%), H-1-&gt;L+1 (20%), HOMO-&gt;LUMO (25%), HOMO-&gt;L+2 (15%)</t>
  </si>
  <si>
    <t>H-2-&gt;LUMO (10%), H-1-&gt;L+1 (10%), H-1-&gt;L+2 (11%), HOMO-&gt;L+1 (34%)</t>
  </si>
  <si>
    <t>H-8-&gt;L+1 (30%), H-6-&gt;LUMO (10%), HOMO-&gt;L+1 (21%)</t>
  </si>
  <si>
    <t>H-2-&gt;L+1 (36%), H-1-&gt;LUMO (24%), HOMO-&gt;L+1 (24%)</t>
  </si>
  <si>
    <t>H-2-&gt;LUMO (23%), H-1-&gt;L+1 (22%), HOMO-&gt;L+1 (11%)</t>
  </si>
  <si>
    <t>H-5-&gt;LUMO (6%), H-4-&gt;LUMO (4%), H-2-&gt;LUMO (2%), H-1-&gt;L+2 (2%), HOMO-&gt;L+2 (6%)</t>
  </si>
  <si>
    <t>H-2-&gt;LUMO (30%), H-1-&gt;L+1 (26%), HOMO-&gt;LUMO (13%)</t>
  </si>
  <si>
    <t>H-2-&gt;L+2 (12%), HOMO-&gt;LUMO (15%), HOMO-&gt;L+1 (17%)</t>
  </si>
  <si>
    <t>H-8-&gt;L+1 (27%), HOMO-&gt;L+1 (13%), HOMO-&gt;L+2 (11%), HOMO-&gt;L+3 (12%)</t>
  </si>
  <si>
    <t xml:space="preserve">Major contributions </t>
  </si>
  <si>
    <r>
      <t>λ</t>
    </r>
    <r>
      <rPr>
        <b/>
        <vertAlign val="subscript"/>
        <sz val="12"/>
        <color theme="1"/>
        <rFont val="Times New Roman"/>
        <family val="1"/>
      </rPr>
      <t xml:space="preserve">max </t>
    </r>
    <r>
      <rPr>
        <b/>
        <sz val="12"/>
        <color theme="1"/>
        <rFont val="Times New Roman"/>
        <family val="1"/>
      </rPr>
      <t>/ nm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</si>
</sst>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#,##0.000"/>
    <numFmt numFmtId="168" formatCode="#,##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0" fillId="0" borderId="0" xfId="0" applyFont="1"/>
    <xf numFmtId="166" fontId="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10" fillId="2" borderId="0" xfId="0" applyFont="1" applyFill="1"/>
    <xf numFmtId="0" fontId="3" fillId="0" borderId="0" xfId="0" applyFont="1"/>
    <xf numFmtId="168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2" fontId="13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4E68-3F66-49E1-B8EA-7B1A9ED457B0}">
  <dimension ref="A1:P16"/>
  <sheetViews>
    <sheetView tabSelected="1" topLeftCell="B1" zoomScaleNormal="100" workbookViewId="0">
      <selection activeCell="I17" sqref="I17"/>
    </sheetView>
  </sheetViews>
  <sheetFormatPr defaultRowHeight="15.75" x14ac:dyDescent="0.25"/>
  <cols>
    <col min="1" max="1" width="37" customWidth="1"/>
    <col min="2" max="2" width="15.42578125" style="1" bestFit="1" customWidth="1"/>
    <col min="3" max="3" width="15.140625" style="1" bestFit="1" customWidth="1"/>
    <col min="4" max="4" width="15.140625" style="3" bestFit="1" customWidth="1"/>
    <col min="5" max="5" width="12.5703125" style="1" bestFit="1" customWidth="1"/>
    <col min="6" max="6" width="13.5703125" customWidth="1"/>
    <col min="7" max="7" width="18.7109375" style="1" bestFit="1" customWidth="1"/>
    <col min="8" max="8" width="10.7109375" style="5" bestFit="1" customWidth="1"/>
    <col min="9" max="9" width="10.42578125" style="5" bestFit="1" customWidth="1"/>
    <col min="10" max="11" width="11.5703125" style="5" customWidth="1"/>
    <col min="12" max="12" width="18.85546875" bestFit="1" customWidth="1"/>
    <col min="13" max="13" width="14.5703125" bestFit="1" customWidth="1"/>
    <col min="14" max="14" width="9.28515625" bestFit="1" customWidth="1"/>
    <col min="15" max="15" width="14.5703125" bestFit="1" customWidth="1"/>
    <col min="16" max="16" width="9.28515625" bestFit="1" customWidth="1"/>
  </cols>
  <sheetData>
    <row r="1" spans="1:16" ht="19.5" x14ac:dyDescent="0.3">
      <c r="B1" s="14" t="s">
        <v>0</v>
      </c>
      <c r="C1" s="1" t="s">
        <v>1</v>
      </c>
      <c r="D1" s="1" t="s">
        <v>2</v>
      </c>
      <c r="E1" s="15" t="s">
        <v>25</v>
      </c>
      <c r="F1" s="2" t="s">
        <v>10</v>
      </c>
      <c r="G1" s="2" t="s">
        <v>82</v>
      </c>
      <c r="H1" s="2" t="s">
        <v>14</v>
      </c>
      <c r="I1" s="2" t="s">
        <v>5</v>
      </c>
      <c r="J1" s="2" t="s">
        <v>11</v>
      </c>
      <c r="K1" s="2" t="s">
        <v>83</v>
      </c>
      <c r="L1" s="2" t="s">
        <v>38</v>
      </c>
      <c r="M1" s="9"/>
      <c r="N1" s="2"/>
      <c r="O1" s="9"/>
      <c r="P1" s="2"/>
    </row>
    <row r="2" spans="1:16" x14ac:dyDescent="0.25">
      <c r="A2" s="11" t="s">
        <v>24</v>
      </c>
      <c r="B2" s="2" t="s">
        <v>27</v>
      </c>
      <c r="C2" s="10">
        <v>-9.8948755530000003</v>
      </c>
      <c r="D2" s="10">
        <v>0.26449465220000001</v>
      </c>
      <c r="E2" s="10">
        <f t="shared" ref="E2:E11" si="0">D2-C2</f>
        <v>10.1593702052</v>
      </c>
      <c r="F2" s="8">
        <v>0</v>
      </c>
      <c r="G2" s="10">
        <v>4.6771000000000003</v>
      </c>
      <c r="H2" s="6">
        <f>'IP(a)'!F2</f>
        <v>9.9812177119188981</v>
      </c>
      <c r="I2" s="6">
        <f>EA!F2</f>
        <v>-0.44246824855903805</v>
      </c>
      <c r="J2" s="10">
        <f>H2-I2</f>
        <v>10.423685960477936</v>
      </c>
      <c r="K2" s="10">
        <f>'Absorption-Emission'!K3</f>
        <v>3.9200293579779664</v>
      </c>
      <c r="L2" s="13">
        <f>J2-K2</f>
        <v>6.5036566024999694</v>
      </c>
      <c r="M2" s="6"/>
      <c r="N2" s="6"/>
      <c r="O2" s="6"/>
      <c r="P2" s="6"/>
    </row>
    <row r="3" spans="1:16" s="1" customFormat="1" x14ac:dyDescent="0.25">
      <c r="A3" s="11" t="s">
        <v>21</v>
      </c>
      <c r="B3" s="2" t="s">
        <v>32</v>
      </c>
      <c r="C3" s="10">
        <f>27.2114*(-0.31556)</f>
        <v>-8.5868293840000014</v>
      </c>
      <c r="D3" s="10">
        <f>27.2114*(-0.0138)</f>
        <v>-0.37551731999999999</v>
      </c>
      <c r="E3" s="10">
        <f t="shared" si="0"/>
        <v>8.2113120640000012</v>
      </c>
      <c r="F3" s="1">
        <v>0.70920000000000005</v>
      </c>
      <c r="G3" s="10">
        <v>4.5316000000000001</v>
      </c>
      <c r="H3" s="6">
        <f>'IP(a)'!F3</f>
        <v>8.3058635155807661</v>
      </c>
      <c r="I3" s="6">
        <f>EA!F3</f>
        <v>0.74694748771689046</v>
      </c>
      <c r="J3" s="10">
        <f t="shared" ref="J3:J11" si="1">H3-I3</f>
        <v>7.5589160278638756</v>
      </c>
      <c r="K3" s="10">
        <f>'Absorption-Emission'!K4</f>
        <v>4.3270275738510495</v>
      </c>
      <c r="L3" s="13">
        <f t="shared" ref="L3:L11" si="2">J3-K3</f>
        <v>3.2318884540128261</v>
      </c>
      <c r="M3" s="6"/>
      <c r="N3" s="6"/>
      <c r="O3" s="6"/>
      <c r="P3" s="6"/>
    </row>
    <row r="4" spans="1:16" x14ac:dyDescent="0.25">
      <c r="A4" s="11" t="s">
        <v>31</v>
      </c>
      <c r="B4" s="2" t="s">
        <v>33</v>
      </c>
      <c r="C4" s="10">
        <f>27.2114*(-0.29621)</f>
        <v>-8.0602887939999999</v>
      </c>
      <c r="D4" s="10">
        <f>27.2114*(-0.01659)</f>
        <v>-0.45143712600000002</v>
      </c>
      <c r="E4" s="10">
        <f t="shared" si="0"/>
        <v>7.6088516679999998</v>
      </c>
      <c r="F4" s="8">
        <v>0</v>
      </c>
      <c r="G4" s="10">
        <v>4.4264999999999999</v>
      </c>
      <c r="H4" s="6">
        <f>'IP(a)'!F4</f>
        <v>7.6209525775775973</v>
      </c>
      <c r="I4" s="6">
        <f>EA!F4</f>
        <v>0.96381962458401949</v>
      </c>
      <c r="J4" s="10">
        <f t="shared" si="1"/>
        <v>6.6571329529935781</v>
      </c>
      <c r="K4" s="10">
        <f>'Absorption-Emission'!K5</f>
        <v>4.1260975077879491</v>
      </c>
      <c r="L4" s="13">
        <f t="shared" si="2"/>
        <v>2.531035445205629</v>
      </c>
      <c r="M4" s="6"/>
      <c r="N4" s="6"/>
      <c r="O4" s="6"/>
      <c r="P4" s="6"/>
    </row>
    <row r="5" spans="1:16" x14ac:dyDescent="0.25">
      <c r="A5" s="11" t="s">
        <v>30</v>
      </c>
      <c r="B5" s="2" t="s">
        <v>34</v>
      </c>
      <c r="C5" s="10">
        <f>27.2114*(-0.29438)</f>
        <v>-8.010491931999999</v>
      </c>
      <c r="D5" s="10">
        <f>27.2114*(-0.0206)</f>
        <v>-0.56055484</v>
      </c>
      <c r="E5" s="10">
        <f t="shared" si="0"/>
        <v>7.449937091999999</v>
      </c>
      <c r="F5" s="8">
        <v>1.5495000000000001</v>
      </c>
      <c r="G5" s="10">
        <v>4.141</v>
      </c>
      <c r="H5" s="6">
        <f>'IP(a)'!F5</f>
        <v>7.8683885589168563</v>
      </c>
      <c r="I5" s="6">
        <f>EA!F5</f>
        <v>1.0461368307194367</v>
      </c>
      <c r="J5" s="10">
        <f t="shared" si="1"/>
        <v>6.8222517281974193</v>
      </c>
      <c r="K5" s="10">
        <f>'Absorption-Emission'!K6</f>
        <v>3.802010278030294</v>
      </c>
      <c r="L5" s="13">
        <f t="shared" si="2"/>
        <v>3.0202414501671253</v>
      </c>
      <c r="M5" s="6"/>
      <c r="N5" s="6"/>
      <c r="O5" s="6"/>
      <c r="P5" s="6"/>
    </row>
    <row r="6" spans="1:16" s="3" customFormat="1" x14ac:dyDescent="0.25">
      <c r="A6" s="11" t="s">
        <v>23</v>
      </c>
      <c r="B6" s="2" t="s">
        <v>35</v>
      </c>
      <c r="C6" s="10">
        <f>27.2114*(-0.29223)</f>
        <v>-7.9519874220000002</v>
      </c>
      <c r="D6" s="10">
        <f>24.2114*(0.00343)</f>
        <v>8.3045101999999996E-2</v>
      </c>
      <c r="E6" s="10">
        <f t="shared" si="0"/>
        <v>8.035032524</v>
      </c>
      <c r="F6" s="1">
        <v>0.4667</v>
      </c>
      <c r="G6" s="10">
        <v>4.4280999999999997</v>
      </c>
      <c r="H6" s="6">
        <f>'IP(a)'!F6</f>
        <v>7.5105259952419967</v>
      </c>
      <c r="I6" s="6">
        <f>EA!F6</f>
        <v>0.7070120370811982</v>
      </c>
      <c r="J6" s="10">
        <f t="shared" si="1"/>
        <v>6.8035139581607984</v>
      </c>
      <c r="K6" s="10">
        <f>'Absorption-Emission'!K7</f>
        <v>4.0175525937608469</v>
      </c>
      <c r="L6" s="13">
        <f t="shared" si="2"/>
        <v>2.7859613643999515</v>
      </c>
      <c r="M6" s="6"/>
      <c r="N6" s="6"/>
      <c r="O6" s="6"/>
      <c r="P6" s="6"/>
    </row>
    <row r="7" spans="1:16" x14ac:dyDescent="0.25">
      <c r="A7" s="11" t="s">
        <v>28</v>
      </c>
      <c r="B7" s="2" t="s">
        <v>36</v>
      </c>
      <c r="C7" s="10">
        <f>(-0.27826)*27.2114</f>
        <v>-7.5718441640000007</v>
      </c>
      <c r="D7" s="10">
        <f>(-0.0252)*27.2114</f>
        <v>-0.68572728000000005</v>
      </c>
      <c r="E7" s="10">
        <f t="shared" si="0"/>
        <v>6.8861168840000007</v>
      </c>
      <c r="F7" s="1">
        <v>1.8E-3</v>
      </c>
      <c r="G7" s="10">
        <v>4.1413000000000002</v>
      </c>
      <c r="H7" s="6">
        <f>'IP(a)'!F7</f>
        <v>7.256534787645986</v>
      </c>
      <c r="I7" s="6">
        <f>EA!F7</f>
        <v>1.2695179344575567</v>
      </c>
      <c r="J7" s="10">
        <f t="shared" si="1"/>
        <v>5.9870168531884289</v>
      </c>
      <c r="K7" s="10">
        <f>'Absorption-Emission'!K8</f>
        <v>3.8035115309681848</v>
      </c>
      <c r="L7" s="13">
        <f t="shared" si="2"/>
        <v>2.1835053222202441</v>
      </c>
      <c r="M7" s="6"/>
      <c r="N7" s="6"/>
      <c r="O7" s="6"/>
      <c r="P7" s="6"/>
    </row>
    <row r="8" spans="1:16" x14ac:dyDescent="0.25">
      <c r="A8" s="11" t="s">
        <v>29</v>
      </c>
      <c r="B8" s="2" t="s">
        <v>37</v>
      </c>
      <c r="C8" s="10">
        <f>(-0.27914)*27.2114</f>
        <v>-7.5957901960000003</v>
      </c>
      <c r="D8" s="10">
        <f>(-0.02474)*27.2114</f>
        <v>-0.67321003600000007</v>
      </c>
      <c r="E8" s="10">
        <f t="shared" si="0"/>
        <v>6.9225801599999999</v>
      </c>
      <c r="F8" s="1">
        <v>0.95809999999999995</v>
      </c>
      <c r="G8" s="10">
        <v>4.0469999999999997</v>
      </c>
      <c r="H8" s="6">
        <f>'IP(a)'!F8</f>
        <v>7.4785770904938742</v>
      </c>
      <c r="I8" s="6">
        <f>EA!F8</f>
        <v>1.2864053293050361</v>
      </c>
      <c r="J8" s="10">
        <f t="shared" si="1"/>
        <v>6.1921717611888383</v>
      </c>
      <c r="K8" s="10">
        <f>'Absorption-Emission'!K9</f>
        <v>3.8692994442795898</v>
      </c>
      <c r="L8" s="13">
        <f t="shared" si="2"/>
        <v>2.3228723169092484</v>
      </c>
      <c r="M8" s="6"/>
      <c r="N8" s="6"/>
      <c r="O8" s="6"/>
      <c r="P8" s="6"/>
    </row>
    <row r="9" spans="1:16" x14ac:dyDescent="0.25">
      <c r="A9" s="11" t="s">
        <v>61</v>
      </c>
      <c r="B9" s="2" t="s">
        <v>62</v>
      </c>
      <c r="C9" s="10">
        <v>-7.6714333689999998</v>
      </c>
      <c r="D9" s="10">
        <v>-0.72436704129999996</v>
      </c>
      <c r="E9" s="10">
        <f t="shared" si="0"/>
        <v>6.9470663277</v>
      </c>
      <c r="F9" s="8">
        <v>0.877</v>
      </c>
      <c r="G9" s="1">
        <v>3.8380000000000001</v>
      </c>
      <c r="H9" s="6">
        <f>'IP(a)'!F9</f>
        <v>7.5298542526568175</v>
      </c>
      <c r="I9" s="6">
        <f>EA!F9</f>
        <v>1.3544229447378864</v>
      </c>
      <c r="J9" s="10">
        <f t="shared" si="1"/>
        <v>6.1754313079189309</v>
      </c>
      <c r="K9" s="10">
        <f>'Absorption-Emission'!K10</f>
        <v>3.559731129090685</v>
      </c>
      <c r="L9" s="13">
        <f t="shared" si="2"/>
        <v>2.6157001788282459</v>
      </c>
      <c r="M9" s="6"/>
      <c r="N9" s="6"/>
      <c r="O9" s="6"/>
      <c r="P9" s="6"/>
    </row>
    <row r="10" spans="1:16" x14ac:dyDescent="0.25">
      <c r="A10" s="11" t="s">
        <v>80</v>
      </c>
      <c r="B10" s="2" t="s">
        <v>81</v>
      </c>
      <c r="C10" s="10">
        <f>(-0.28167)*27.2114</f>
        <v>-7.6646350379999992</v>
      </c>
      <c r="D10" s="10">
        <f>(-0.02471)*27.2114</f>
        <v>-0.67239369400000004</v>
      </c>
      <c r="E10" s="10">
        <f>D10-C10</f>
        <v>6.9922413439999991</v>
      </c>
      <c r="F10" s="8">
        <v>0.27400000000000002</v>
      </c>
      <c r="G10" s="10">
        <v>4.4008000000000003</v>
      </c>
      <c r="H10" s="6">
        <f>'IP(a)'!F10</f>
        <v>7.0421361670397271</v>
      </c>
      <c r="I10" s="6">
        <f>EA!F10</f>
        <v>1.250276753517567</v>
      </c>
      <c r="J10" s="10">
        <f t="shared" si="1"/>
        <v>5.7918594135221602</v>
      </c>
      <c r="K10" s="10">
        <f>'Absorption-Emission'!K11</f>
        <v>3.748290892707276</v>
      </c>
      <c r="L10" s="13">
        <f t="shared" si="2"/>
        <v>2.0435685208148842</v>
      </c>
      <c r="M10" s="6"/>
      <c r="N10" s="6"/>
      <c r="O10" s="6"/>
      <c r="P10" s="6"/>
    </row>
    <row r="11" spans="1:16" x14ac:dyDescent="0.25">
      <c r="A11" s="11" t="s">
        <v>64</v>
      </c>
      <c r="B11" s="2" t="s">
        <v>65</v>
      </c>
      <c r="C11" s="10">
        <f>(-0.28116)*27.2114</f>
        <v>-7.6507572240000012</v>
      </c>
      <c r="D11" s="10">
        <f>(-0.02907)*27.2114</f>
        <v>-0.791035398</v>
      </c>
      <c r="E11" s="10">
        <f t="shared" si="0"/>
        <v>6.8597218260000012</v>
      </c>
      <c r="F11" s="1">
        <v>1.9540999999999999</v>
      </c>
      <c r="G11" s="10">
        <v>4.0091000000000001</v>
      </c>
      <c r="H11" s="6">
        <f>'IP(a)'!F11</f>
        <v>7.0330339537271316</v>
      </c>
      <c r="I11" s="6">
        <f>EA!F11</f>
        <v>1.3530868649960006</v>
      </c>
      <c r="J11" s="10">
        <f t="shared" si="1"/>
        <v>5.6799470887311312</v>
      </c>
      <c r="K11" s="10">
        <f>'Absorption-Emission'!K12</f>
        <v>3.4628871170526021</v>
      </c>
      <c r="L11" s="13">
        <f t="shared" si="2"/>
        <v>2.2170599716785291</v>
      </c>
      <c r="M11" s="6"/>
      <c r="N11" s="6"/>
      <c r="O11" s="22"/>
    </row>
    <row r="12" spans="1:16" x14ac:dyDescent="0.25">
      <c r="H12" s="6"/>
      <c r="I12" s="6"/>
      <c r="J12" s="10"/>
      <c r="K12" s="10"/>
      <c r="L12" s="13"/>
    </row>
    <row r="16" spans="1:16" x14ac:dyDescent="0.25">
      <c r="A16" s="11"/>
    </row>
  </sheetData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1BEE-EEC3-44FC-A888-F545E6F81602}">
  <dimension ref="A1:K11"/>
  <sheetViews>
    <sheetView workbookViewId="0">
      <selection activeCell="J8" sqref="J8"/>
    </sheetView>
  </sheetViews>
  <sheetFormatPr defaultRowHeight="15.75" x14ac:dyDescent="0.25"/>
  <cols>
    <col min="1" max="1" width="50.140625" customWidth="1"/>
    <col min="2" max="2" width="19" customWidth="1"/>
    <col min="3" max="3" width="12.7109375" customWidth="1"/>
    <col min="4" max="5" width="12.85546875" customWidth="1"/>
    <col min="6" max="6" width="10" style="3" customWidth="1"/>
    <col min="7" max="7" width="11.140625" customWidth="1"/>
    <col min="8" max="8" width="14.85546875" customWidth="1"/>
    <col min="11" max="11" width="13.7109375" customWidth="1"/>
  </cols>
  <sheetData>
    <row r="1" spans="1:11" ht="20.25" x14ac:dyDescent="0.35">
      <c r="A1" s="4"/>
      <c r="B1" s="14" t="s">
        <v>0</v>
      </c>
      <c r="C1" s="1" t="s">
        <v>1</v>
      </c>
      <c r="D1" s="2" t="s">
        <v>85</v>
      </c>
      <c r="E1" s="2" t="s">
        <v>89</v>
      </c>
      <c r="F1" s="18" t="s">
        <v>86</v>
      </c>
      <c r="G1" s="18" t="s">
        <v>87</v>
      </c>
      <c r="H1" s="18" t="s">
        <v>88</v>
      </c>
      <c r="I1" s="9" t="s">
        <v>90</v>
      </c>
      <c r="J1" s="2" t="s">
        <v>83</v>
      </c>
      <c r="K1" s="18" t="s">
        <v>91</v>
      </c>
    </row>
    <row r="2" spans="1:11" x14ac:dyDescent="0.25">
      <c r="A2" s="11" t="s">
        <v>21</v>
      </c>
      <c r="B2" s="29" t="s">
        <v>32</v>
      </c>
      <c r="C2" s="30">
        <f>27.2114*(-0.31556)</f>
        <v>-8.5868293840000014</v>
      </c>
      <c r="D2" s="30">
        <v>-4.5316000000000001</v>
      </c>
      <c r="E2" s="30">
        <f>(C2)-D2</f>
        <v>-4.0552293840000013</v>
      </c>
      <c r="F2" s="31">
        <f>E2-(-4)</f>
        <v>-5.5229384000001325E-2</v>
      </c>
      <c r="G2" s="32">
        <f>(-4.8)-C2</f>
        <v>3.7868293840000016</v>
      </c>
      <c r="H2" s="31">
        <f>(-4)-C2</f>
        <v>4.5868293840000014</v>
      </c>
      <c r="I2" s="31">
        <f>(-3.8)-C2</f>
        <v>4.7868293840000016</v>
      </c>
      <c r="J2" s="30">
        <v>4.3270275738510495</v>
      </c>
      <c r="K2" s="31">
        <f>J2-I2</f>
        <v>-0.45980181014895205</v>
      </c>
    </row>
    <row r="3" spans="1:11" x14ac:dyDescent="0.25">
      <c r="A3" s="11" t="s">
        <v>31</v>
      </c>
      <c r="B3" s="29" t="s">
        <v>33</v>
      </c>
      <c r="C3" s="30">
        <f>27.2114*(-0.29621)</f>
        <v>-8.0602887939999999</v>
      </c>
      <c r="D3" s="30">
        <v>-4.4264999999999999</v>
      </c>
      <c r="E3" s="30">
        <f t="shared" ref="E3:E10" si="0">(C3)-D3</f>
        <v>-3.633788794</v>
      </c>
      <c r="F3" s="31">
        <f t="shared" ref="F3:F10" si="1">E3-(-4)</f>
        <v>0.36621120600000001</v>
      </c>
      <c r="G3" s="32">
        <f>(-4.8)-C3</f>
        <v>3.260288794</v>
      </c>
      <c r="H3" s="31">
        <f t="shared" ref="H2:H9" si="2">(-4)-C3</f>
        <v>4.0602887939999999</v>
      </c>
      <c r="I3" s="31">
        <f t="shared" ref="I3:I10" si="3">(-3.8)-C3</f>
        <v>4.260288794</v>
      </c>
      <c r="J3" s="30">
        <v>4.1260975077879491</v>
      </c>
      <c r="K3" s="31">
        <f>J3-I3</f>
        <v>-0.1341912862120509</v>
      </c>
    </row>
    <row r="4" spans="1:11" x14ac:dyDescent="0.25">
      <c r="A4" s="11" t="s">
        <v>30</v>
      </c>
      <c r="B4" s="29" t="s">
        <v>34</v>
      </c>
      <c r="C4" s="30">
        <f>27.2114*(-0.29438)</f>
        <v>-8.010491931999999</v>
      </c>
      <c r="D4" s="30">
        <v>-4.141</v>
      </c>
      <c r="E4" s="30">
        <f t="shared" si="0"/>
        <v>-3.869491931999999</v>
      </c>
      <c r="F4" s="31">
        <f>E4-(-4)</f>
        <v>0.13050806800000103</v>
      </c>
      <c r="G4" s="32">
        <f t="shared" ref="G4:G10" si="4">(-4.8)-C4</f>
        <v>3.2104919319999992</v>
      </c>
      <c r="H4" s="31">
        <f t="shared" si="2"/>
        <v>4.010491931999999</v>
      </c>
      <c r="I4" s="31">
        <f t="shared" si="3"/>
        <v>4.2104919319999992</v>
      </c>
      <c r="J4" s="30">
        <v>3.802010278030294</v>
      </c>
      <c r="K4" s="31">
        <f t="shared" ref="K3:K10" si="5">J4-I4</f>
        <v>-0.40848165396970515</v>
      </c>
    </row>
    <row r="5" spans="1:11" x14ac:dyDescent="0.25">
      <c r="A5" s="11" t="s">
        <v>23</v>
      </c>
      <c r="B5" s="29" t="s">
        <v>35</v>
      </c>
      <c r="C5" s="30">
        <f>27.2114*(-0.29223)</f>
        <v>-7.9519874220000002</v>
      </c>
      <c r="D5" s="30">
        <v>-4.4280999999999997</v>
      </c>
      <c r="E5" s="30">
        <f t="shared" si="0"/>
        <v>-3.5238874220000005</v>
      </c>
      <c r="F5" s="31">
        <f t="shared" si="1"/>
        <v>0.47611257799999951</v>
      </c>
      <c r="G5" s="32">
        <f t="shared" si="4"/>
        <v>3.1519874220000004</v>
      </c>
      <c r="H5" s="31">
        <f t="shared" si="2"/>
        <v>3.9519874220000002</v>
      </c>
      <c r="I5" s="31">
        <f t="shared" si="3"/>
        <v>4.1519874220000004</v>
      </c>
      <c r="J5" s="30">
        <v>4.0175525937608469</v>
      </c>
      <c r="K5" s="31">
        <f t="shared" si="5"/>
        <v>-0.13443482823915343</v>
      </c>
    </row>
    <row r="6" spans="1:11" x14ac:dyDescent="0.25">
      <c r="A6" s="11" t="s">
        <v>28</v>
      </c>
      <c r="B6" s="29" t="s">
        <v>36</v>
      </c>
      <c r="C6" s="30">
        <f>(-0.27826)*27.2114</f>
        <v>-7.5718441640000007</v>
      </c>
      <c r="D6" s="30">
        <v>-4.1413000000000002</v>
      </c>
      <c r="E6" s="30">
        <f t="shared" si="0"/>
        <v>-3.4305441640000005</v>
      </c>
      <c r="F6" s="31">
        <f t="shared" si="1"/>
        <v>0.56945583599999949</v>
      </c>
      <c r="G6" s="32">
        <f t="shared" si="4"/>
        <v>2.7718441640000009</v>
      </c>
      <c r="H6" s="31">
        <f t="shared" si="2"/>
        <v>3.5718441640000007</v>
      </c>
      <c r="I6" s="31">
        <f t="shared" si="3"/>
        <v>3.7718441640000009</v>
      </c>
      <c r="J6" s="30">
        <v>3.8035115309681848</v>
      </c>
      <c r="K6" s="31">
        <f t="shared" si="5"/>
        <v>3.1667366968183952E-2</v>
      </c>
    </row>
    <row r="7" spans="1:11" x14ac:dyDescent="0.25">
      <c r="A7" s="11" t="s">
        <v>29</v>
      </c>
      <c r="B7" s="29" t="s">
        <v>37</v>
      </c>
      <c r="C7" s="30">
        <f>(-0.27914)*27.2114</f>
        <v>-7.5957901960000003</v>
      </c>
      <c r="D7" s="30">
        <v>-4.0469999999999997</v>
      </c>
      <c r="E7" s="30">
        <f t="shared" si="0"/>
        <v>-3.5487901960000006</v>
      </c>
      <c r="F7" s="31">
        <f t="shared" si="1"/>
        <v>0.45120980399999944</v>
      </c>
      <c r="G7" s="32">
        <f t="shared" si="4"/>
        <v>2.7957901960000004</v>
      </c>
      <c r="H7" s="31">
        <f t="shared" si="2"/>
        <v>3.5957901960000003</v>
      </c>
      <c r="I7" s="31">
        <f t="shared" si="3"/>
        <v>3.7957901960000004</v>
      </c>
      <c r="J7" s="30">
        <v>3.8692994442795898</v>
      </c>
      <c r="K7" s="31">
        <f t="shared" si="5"/>
        <v>7.3509248279589379E-2</v>
      </c>
    </row>
    <row r="8" spans="1:11" x14ac:dyDescent="0.25">
      <c r="A8" s="11" t="s">
        <v>61</v>
      </c>
      <c r="B8" s="29" t="s">
        <v>62</v>
      </c>
      <c r="C8" s="30">
        <v>-7.6714333689999998</v>
      </c>
      <c r="D8" s="33">
        <v>-3.8380000000000001</v>
      </c>
      <c r="E8" s="30">
        <f t="shared" si="0"/>
        <v>-3.8334333689999998</v>
      </c>
      <c r="F8" s="31">
        <f t="shared" si="1"/>
        <v>0.16656663100000024</v>
      </c>
      <c r="G8" s="32">
        <f t="shared" si="4"/>
        <v>2.871433369</v>
      </c>
      <c r="H8" s="31">
        <f t="shared" si="2"/>
        <v>3.6714333689999998</v>
      </c>
      <c r="I8" s="31">
        <f t="shared" si="3"/>
        <v>3.871433369</v>
      </c>
      <c r="J8" s="30">
        <v>3.559731129090685</v>
      </c>
      <c r="K8" s="31">
        <f t="shared" si="5"/>
        <v>-0.311702239909315</v>
      </c>
    </row>
    <row r="9" spans="1:11" x14ac:dyDescent="0.25">
      <c r="A9" s="11" t="s">
        <v>80</v>
      </c>
      <c r="B9" s="29" t="s">
        <v>81</v>
      </c>
      <c r="C9" s="30">
        <f>(-0.28167)*27.2114</f>
        <v>-7.6646350379999992</v>
      </c>
      <c r="D9" s="30">
        <v>-4.4008000000000003</v>
      </c>
      <c r="E9" s="30">
        <f>(C9)-D9</f>
        <v>-3.263835037999999</v>
      </c>
      <c r="F9" s="31">
        <f>E9-(-4)</f>
        <v>0.73616496200000103</v>
      </c>
      <c r="G9" s="32">
        <f t="shared" si="4"/>
        <v>2.8646350379999994</v>
      </c>
      <c r="H9" s="31">
        <f t="shared" si="2"/>
        <v>3.6646350379999992</v>
      </c>
      <c r="I9" s="31">
        <f t="shared" si="3"/>
        <v>3.8646350379999994</v>
      </c>
      <c r="J9" s="30">
        <v>3.748290892707276</v>
      </c>
      <c r="K9" s="31">
        <f t="shared" si="5"/>
        <v>-0.11634414529272341</v>
      </c>
    </row>
    <row r="10" spans="1:11" x14ac:dyDescent="0.25">
      <c r="A10" s="11" t="s">
        <v>64</v>
      </c>
      <c r="B10" s="29" t="s">
        <v>65</v>
      </c>
      <c r="C10" s="30">
        <f>(-0.28116)*27.2114</f>
        <v>-7.6507572240000012</v>
      </c>
      <c r="D10" s="30">
        <v>-4.0091000000000001</v>
      </c>
      <c r="E10" s="30">
        <f t="shared" si="0"/>
        <v>-3.6416572240000011</v>
      </c>
      <c r="F10" s="31">
        <f t="shared" si="1"/>
        <v>0.35834277599999886</v>
      </c>
      <c r="G10" s="32">
        <f t="shared" si="4"/>
        <v>2.8507572240000014</v>
      </c>
      <c r="H10" s="31">
        <f>(-4)-C10</f>
        <v>3.6507572240000012</v>
      </c>
      <c r="I10" s="31">
        <f t="shared" si="3"/>
        <v>3.8507572240000014</v>
      </c>
      <c r="J10" s="30">
        <v>3.4628871170526021</v>
      </c>
      <c r="K10" s="31">
        <f>J10-I10</f>
        <v>-0.38787010694739932</v>
      </c>
    </row>
    <row r="11" spans="1:11" x14ac:dyDescent="0.25">
      <c r="I11" s="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1DF4-D18A-411E-BFEE-58E388DFCCE1}">
  <dimension ref="A1:F11"/>
  <sheetViews>
    <sheetView workbookViewId="0">
      <selection activeCell="H3" sqref="H3"/>
    </sheetView>
  </sheetViews>
  <sheetFormatPr defaultRowHeight="15.75" x14ac:dyDescent="0.25"/>
  <cols>
    <col min="1" max="1" width="35.28515625" style="2" bestFit="1" customWidth="1"/>
    <col min="2" max="2" width="14.85546875" style="2" bestFit="1" customWidth="1"/>
    <col min="3" max="4" width="14.5703125" style="1" bestFit="1" customWidth="1"/>
    <col min="5" max="5" width="18.7109375" style="1" customWidth="1"/>
    <col min="6" max="6" width="19" style="1" customWidth="1"/>
  </cols>
  <sheetData>
    <row r="1" spans="1:6" ht="18.75" x14ac:dyDescent="0.25">
      <c r="A1"/>
      <c r="B1" s="14" t="s">
        <v>0</v>
      </c>
      <c r="C1" s="2" t="s">
        <v>3</v>
      </c>
      <c r="D1" s="2" t="s">
        <v>4</v>
      </c>
      <c r="E1" s="2" t="s">
        <v>22</v>
      </c>
      <c r="F1" s="2" t="s">
        <v>7</v>
      </c>
    </row>
    <row r="2" spans="1:6" x14ac:dyDescent="0.25">
      <c r="A2" s="11" t="s">
        <v>24</v>
      </c>
      <c r="B2" s="2" t="s">
        <v>27</v>
      </c>
      <c r="C2" s="1">
        <v>-280.05639159999998</v>
      </c>
      <c r="D2" s="1">
        <v>-279.68958880000002</v>
      </c>
      <c r="E2" s="6">
        <f>D2-C2</f>
        <v>0.36680279999995946</v>
      </c>
      <c r="F2" s="6">
        <f>E2*27.2114</f>
        <v>9.9812177119188981</v>
      </c>
    </row>
    <row r="3" spans="1:6" x14ac:dyDescent="0.25">
      <c r="A3" s="11" t="s">
        <v>21</v>
      </c>
      <c r="B3" s="2" t="s">
        <v>32</v>
      </c>
      <c r="C3" s="1">
        <v>-1934.6690771000001</v>
      </c>
      <c r="D3" s="1">
        <v>-1934.3638424000001</v>
      </c>
      <c r="E3" s="6">
        <f>D3-C3</f>
        <v>0.30523470000002817</v>
      </c>
      <c r="F3" s="6">
        <f>E3*27.2114</f>
        <v>8.3058635155807661</v>
      </c>
    </row>
    <row r="4" spans="1:6" x14ac:dyDescent="0.25">
      <c r="A4" s="11" t="s">
        <v>31</v>
      </c>
      <c r="B4" s="2" t="s">
        <v>33</v>
      </c>
      <c r="C4" s="1">
        <v>-2627.1175957999999</v>
      </c>
      <c r="D4" s="1">
        <v>-2626.8375311</v>
      </c>
      <c r="E4" s="6">
        <f t="shared" ref="E4:E11" si="0">D4-C4</f>
        <v>0.28006469999991168</v>
      </c>
      <c r="F4" s="6">
        <f t="shared" ref="F4:F11" si="1">E4*27.2114</f>
        <v>7.6209525775775973</v>
      </c>
    </row>
    <row r="5" spans="1:6" x14ac:dyDescent="0.25">
      <c r="A5" s="11" t="s">
        <v>30</v>
      </c>
      <c r="B5" s="2" t="s">
        <v>34</v>
      </c>
      <c r="C5" s="1">
        <v>-2627.1189125000001</v>
      </c>
      <c r="D5" s="1">
        <v>-2626.8297547000002</v>
      </c>
      <c r="E5" s="6">
        <f t="shared" si="0"/>
        <v>0.28915779999988445</v>
      </c>
      <c r="F5" s="6">
        <f t="shared" si="1"/>
        <v>7.8683885589168563</v>
      </c>
    </row>
    <row r="6" spans="1:6" x14ac:dyDescent="0.25">
      <c r="A6" s="11" t="s">
        <v>23</v>
      </c>
      <c r="B6" s="2" t="s">
        <v>35</v>
      </c>
      <c r="C6" s="1">
        <v>-1827.3200141</v>
      </c>
      <c r="D6" s="1">
        <v>-1827.0440074999999</v>
      </c>
      <c r="E6" s="6">
        <f t="shared" si="0"/>
        <v>0.27600660000007338</v>
      </c>
      <c r="F6" s="6">
        <f t="shared" si="1"/>
        <v>7.5105259952419967</v>
      </c>
    </row>
    <row r="7" spans="1:6" x14ac:dyDescent="0.25">
      <c r="A7" s="11" t="s">
        <v>28</v>
      </c>
      <c r="B7" s="2" t="s">
        <v>36</v>
      </c>
      <c r="C7" s="1">
        <v>-2519.7571993000001</v>
      </c>
      <c r="D7" s="1">
        <v>-2519.4905266999999</v>
      </c>
      <c r="E7" s="6">
        <f t="shared" si="0"/>
        <v>0.26667260000021997</v>
      </c>
      <c r="F7" s="6">
        <f t="shared" si="1"/>
        <v>7.256534787645986</v>
      </c>
    </row>
    <row r="8" spans="1:6" x14ac:dyDescent="0.25">
      <c r="A8" s="11" t="s">
        <v>29</v>
      </c>
      <c r="B8" s="2" t="s">
        <v>37</v>
      </c>
      <c r="C8" s="1">
        <v>-2519.7566262999999</v>
      </c>
      <c r="D8" s="1">
        <v>-2519.4817938000001</v>
      </c>
      <c r="E8" s="6">
        <f t="shared" si="0"/>
        <v>0.27483249999977488</v>
      </c>
      <c r="F8" s="6">
        <f t="shared" si="1"/>
        <v>7.4785770904938742</v>
      </c>
    </row>
    <row r="9" spans="1:6" x14ac:dyDescent="0.25">
      <c r="A9" s="11" t="s">
        <v>61</v>
      </c>
      <c r="B9" s="2" t="s">
        <v>62</v>
      </c>
      <c r="C9" s="1">
        <v>-3481.8827934999999</v>
      </c>
      <c r="D9" s="1">
        <v>-3481.6060766000001</v>
      </c>
      <c r="E9" s="6">
        <f t="shared" si="0"/>
        <v>0.27671689999988303</v>
      </c>
      <c r="F9" s="6">
        <f t="shared" si="1"/>
        <v>7.5298542526568175</v>
      </c>
    </row>
    <row r="10" spans="1:6" x14ac:dyDescent="0.25">
      <c r="A10" s="11" t="s">
        <v>80</v>
      </c>
      <c r="B10" s="2" t="s">
        <v>81</v>
      </c>
      <c r="C10" s="1">
        <v>-4174.3318904999996</v>
      </c>
      <c r="D10" s="1">
        <v>-4174.0730968999997</v>
      </c>
      <c r="E10" s="6">
        <f>D10-C10</f>
        <v>0.25879359999998996</v>
      </c>
      <c r="F10" s="6">
        <f>E10*27.2114</f>
        <v>7.0421361670397271</v>
      </c>
    </row>
    <row r="11" spans="1:6" x14ac:dyDescent="0.25">
      <c r="A11" s="11" t="s">
        <v>64</v>
      </c>
      <c r="B11" s="2" t="s">
        <v>65</v>
      </c>
      <c r="C11" s="1">
        <v>-4174.3327417999999</v>
      </c>
      <c r="D11" s="1">
        <v>-4174.0742827000004</v>
      </c>
      <c r="E11" s="6">
        <f t="shared" si="0"/>
        <v>0.2584590999995271</v>
      </c>
      <c r="F11" s="6">
        <f t="shared" si="1"/>
        <v>7.0330339537271316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826B-3921-44A2-94D8-10C03186E4C7}">
  <dimension ref="A1:F11"/>
  <sheetViews>
    <sheetView workbookViewId="0">
      <selection activeCell="A10" sqref="A10:XFD10"/>
    </sheetView>
  </sheetViews>
  <sheetFormatPr defaultRowHeight="15.75" x14ac:dyDescent="0.25"/>
  <cols>
    <col min="1" max="1" width="35.28515625" bestFit="1" customWidth="1"/>
    <col min="2" max="2" width="14.85546875" bestFit="1" customWidth="1"/>
    <col min="3" max="3" width="15" customWidth="1"/>
    <col min="4" max="4" width="18.85546875" customWidth="1"/>
    <col min="5" max="5" width="18.85546875" style="1" customWidth="1"/>
    <col min="6" max="6" width="20.140625" style="1" customWidth="1"/>
  </cols>
  <sheetData>
    <row r="1" spans="1:6" ht="18.75" x14ac:dyDescent="0.25">
      <c r="B1" s="14" t="s">
        <v>0</v>
      </c>
      <c r="C1" s="2" t="s">
        <v>3</v>
      </c>
      <c r="D1" s="2" t="s">
        <v>6</v>
      </c>
      <c r="E1" s="2" t="s">
        <v>8</v>
      </c>
      <c r="F1" s="2" t="s">
        <v>9</v>
      </c>
    </row>
    <row r="2" spans="1:6" x14ac:dyDescent="0.25">
      <c r="A2" s="11" t="s">
        <v>24</v>
      </c>
      <c r="B2" s="2" t="s">
        <v>27</v>
      </c>
      <c r="C2" s="1">
        <v>-280.05639159999998</v>
      </c>
      <c r="D2" s="1">
        <v>-280.04013120000002</v>
      </c>
      <c r="E2" s="12">
        <f t="shared" ref="E2:E11" si="0">C2-D2</f>
        <v>-1.6260399999964648E-2</v>
      </c>
      <c r="F2" s="6">
        <f t="shared" ref="F2:F11" si="1">E2*27.2114</f>
        <v>-0.44246824855903805</v>
      </c>
    </row>
    <row r="3" spans="1:6" x14ac:dyDescent="0.25">
      <c r="A3" s="11" t="s">
        <v>21</v>
      </c>
      <c r="B3" s="2" t="s">
        <v>32</v>
      </c>
      <c r="C3" s="1">
        <v>-1934.6690771000001</v>
      </c>
      <c r="D3" s="1">
        <v>-1934.6965269</v>
      </c>
      <c r="E3" s="12">
        <f t="shared" si="0"/>
        <v>2.7449799999885727E-2</v>
      </c>
      <c r="F3" s="6">
        <f t="shared" si="1"/>
        <v>0.74694748771689046</v>
      </c>
    </row>
    <row r="4" spans="1:6" x14ac:dyDescent="0.25">
      <c r="A4" s="11" t="s">
        <v>31</v>
      </c>
      <c r="B4" s="2" t="s">
        <v>33</v>
      </c>
      <c r="C4" s="1">
        <v>-2627.1175957999999</v>
      </c>
      <c r="D4" s="1">
        <v>-2627.1530155</v>
      </c>
      <c r="E4" s="12">
        <f t="shared" si="0"/>
        <v>3.5419700000147714E-2</v>
      </c>
      <c r="F4" s="6">
        <f t="shared" si="1"/>
        <v>0.96381962458401949</v>
      </c>
    </row>
    <row r="5" spans="1:6" x14ac:dyDescent="0.25">
      <c r="A5" s="11" t="s">
        <v>30</v>
      </c>
      <c r="B5" s="2" t="s">
        <v>34</v>
      </c>
      <c r="C5" s="1">
        <v>-2627.1189125000001</v>
      </c>
      <c r="D5" s="1">
        <v>-2627.1573573000001</v>
      </c>
      <c r="E5" s="12">
        <f t="shared" si="0"/>
        <v>3.8444799999979296E-2</v>
      </c>
      <c r="F5" s="6">
        <f t="shared" si="1"/>
        <v>1.0461368307194367</v>
      </c>
    </row>
    <row r="6" spans="1:6" x14ac:dyDescent="0.25">
      <c r="A6" s="11" t="s">
        <v>23</v>
      </c>
      <c r="B6" s="2" t="s">
        <v>35</v>
      </c>
      <c r="C6" s="1">
        <v>-1827.3200141</v>
      </c>
      <c r="D6" s="1">
        <v>-1827.3459963</v>
      </c>
      <c r="E6" s="12">
        <f t="shared" si="0"/>
        <v>2.5982200000044031E-2</v>
      </c>
      <c r="F6" s="6">
        <f t="shared" si="1"/>
        <v>0.7070120370811982</v>
      </c>
    </row>
    <row r="7" spans="1:6" x14ac:dyDescent="0.25">
      <c r="A7" s="11" t="s">
        <v>28</v>
      </c>
      <c r="B7" s="2" t="s">
        <v>36</v>
      </c>
      <c r="C7" s="1">
        <v>-2519.7571993000001</v>
      </c>
      <c r="D7" s="1">
        <v>-2519.8038532</v>
      </c>
      <c r="E7" s="12">
        <f t="shared" si="0"/>
        <v>4.6653899999910209E-2</v>
      </c>
      <c r="F7" s="6">
        <f t="shared" si="1"/>
        <v>1.2695179344575567</v>
      </c>
    </row>
    <row r="8" spans="1:6" x14ac:dyDescent="0.25">
      <c r="A8" s="11" t="s">
        <v>29</v>
      </c>
      <c r="B8" s="2" t="s">
        <v>37</v>
      </c>
      <c r="C8" s="1">
        <v>-2519.7566262999999</v>
      </c>
      <c r="D8" s="1">
        <v>-2519.8039008000001</v>
      </c>
      <c r="E8" s="12">
        <f t="shared" si="0"/>
        <v>4.7274500000185071E-2</v>
      </c>
      <c r="F8" s="6">
        <f t="shared" si="1"/>
        <v>1.2864053293050361</v>
      </c>
    </row>
    <row r="9" spans="1:6" x14ac:dyDescent="0.25">
      <c r="A9" s="11" t="s">
        <v>61</v>
      </c>
      <c r="B9" s="2" t="s">
        <v>62</v>
      </c>
      <c r="C9" s="1">
        <v>-3481.8827934999999</v>
      </c>
      <c r="D9" s="1">
        <v>-3481.9325675999999</v>
      </c>
      <c r="E9" s="12">
        <f t="shared" si="0"/>
        <v>4.9774099999922328E-2</v>
      </c>
      <c r="F9" s="6">
        <f t="shared" si="1"/>
        <v>1.3544229447378864</v>
      </c>
    </row>
    <row r="10" spans="1:6" x14ac:dyDescent="0.25">
      <c r="A10" s="11" t="s">
        <v>80</v>
      </c>
      <c r="B10" s="2" t="s">
        <v>81</v>
      </c>
      <c r="C10" s="1">
        <v>-4174.3318904999996</v>
      </c>
      <c r="D10" s="1">
        <v>-4174.3778372999996</v>
      </c>
      <c r="E10" s="12">
        <f>C10-D10</f>
        <v>4.5946799999910581E-2</v>
      </c>
      <c r="F10" s="6">
        <f>E10*27.2114</f>
        <v>1.250276753517567</v>
      </c>
    </row>
    <row r="11" spans="1:6" x14ac:dyDescent="0.25">
      <c r="A11" s="11" t="s">
        <v>64</v>
      </c>
      <c r="B11" s="2" t="s">
        <v>65</v>
      </c>
      <c r="C11" s="1">
        <v>-4174.3327417999999</v>
      </c>
      <c r="D11" s="1">
        <v>-4174.3824667999997</v>
      </c>
      <c r="E11" s="12">
        <f t="shared" si="0"/>
        <v>4.9724999999853026E-2</v>
      </c>
      <c r="F11" s="6">
        <f t="shared" si="1"/>
        <v>1.3530868649960006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E858-CA53-4352-9B2F-025AFC469003}">
  <dimension ref="A1:I11"/>
  <sheetViews>
    <sheetView workbookViewId="0">
      <selection activeCell="A10" sqref="A10:XFD10"/>
    </sheetView>
  </sheetViews>
  <sheetFormatPr defaultRowHeight="15.75" x14ac:dyDescent="0.25"/>
  <cols>
    <col min="1" max="1" width="35.28515625" bestFit="1" customWidth="1"/>
    <col min="2" max="2" width="14.85546875" style="3" bestFit="1" customWidth="1"/>
    <col min="3" max="3" width="12.140625" style="1" bestFit="1" customWidth="1"/>
    <col min="4" max="4" width="14.7109375" style="1" bestFit="1" customWidth="1"/>
    <col min="5" max="5" width="9.5703125" style="1" bestFit="1" customWidth="1"/>
    <col min="6" max="7" width="9.5703125" style="3" bestFit="1" customWidth="1"/>
    <col min="8" max="8" width="10.85546875" style="3" bestFit="1" customWidth="1"/>
    <col min="9" max="9" width="9.5703125" style="3" bestFit="1" customWidth="1"/>
  </cols>
  <sheetData>
    <row r="1" spans="1:9" ht="18.75" x14ac:dyDescent="0.25">
      <c r="B1" s="14" t="s">
        <v>0</v>
      </c>
      <c r="C1" s="2" t="s">
        <v>20</v>
      </c>
      <c r="D1" s="2" t="s">
        <v>9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11" t="s">
        <v>24</v>
      </c>
      <c r="B2" s="2" t="s">
        <v>27</v>
      </c>
      <c r="C2" s="6">
        <f>'IP(a)'!F2</f>
        <v>9.9812177119188981</v>
      </c>
      <c r="D2" s="6">
        <f>EA!F2</f>
        <v>-0.44246824855903805</v>
      </c>
      <c r="E2" s="6">
        <f>(1/2)*(C2-D2)</f>
        <v>5.2118429802389681</v>
      </c>
      <c r="F2" s="6">
        <f>((C2+3*D2)^2)/(16*E2)</f>
        <v>0.8980565888429346</v>
      </c>
      <c r="G2" s="6">
        <f>((3*C2+D2)^2)/(4*E2)</f>
        <v>41.747224208811176</v>
      </c>
      <c r="H2" s="6">
        <f>((C2+D2)^2)/(4*E2)</f>
        <v>4.3644705754631223</v>
      </c>
      <c r="I2" s="6">
        <f>(C2+D2)/2</f>
        <v>4.76937473167993</v>
      </c>
    </row>
    <row r="3" spans="1:9" x14ac:dyDescent="0.25">
      <c r="A3" s="11" t="s">
        <v>21</v>
      </c>
      <c r="B3" s="2" t="s">
        <v>32</v>
      </c>
      <c r="C3" s="6">
        <f>'IP(a)'!F3</f>
        <v>8.3058635155807661</v>
      </c>
      <c r="D3" s="6">
        <f>EA!F3</f>
        <v>0.74694748771689046</v>
      </c>
      <c r="E3" s="6">
        <f t="shared" ref="E3:E11" si="0">(1/2)*(C3-D3)</f>
        <v>3.7794580139319378</v>
      </c>
      <c r="F3" s="6">
        <f t="shared" ref="F3:F11" si="1">((C3+3*D3)^2)/(16*E3)</f>
        <v>1.8394338320431698</v>
      </c>
      <c r="G3" s="6">
        <f t="shared" ref="G3:G11" si="2">((3*C3+D3)^2)/(4*E3)</f>
        <v>43.568979341363303</v>
      </c>
      <c r="H3" s="6">
        <f t="shared" ref="H3:H11" si="3">((C3+D3)^2)/(4*E3)</f>
        <v>5.4209748302090119</v>
      </c>
      <c r="I3" s="6">
        <f t="shared" ref="I3:I11" si="4">(C3+D3)/2</f>
        <v>4.5264055016488278</v>
      </c>
    </row>
    <row r="4" spans="1:9" x14ac:dyDescent="0.25">
      <c r="A4" s="11" t="s">
        <v>31</v>
      </c>
      <c r="B4" s="2" t="s">
        <v>33</v>
      </c>
      <c r="C4" s="6">
        <f>'IP(a)'!F4</f>
        <v>7.6209525775775973</v>
      </c>
      <c r="D4" s="6">
        <f>EA!F4</f>
        <v>0.96381962458401949</v>
      </c>
      <c r="E4" s="6">
        <f t="shared" si="0"/>
        <v>3.3285664764967891</v>
      </c>
      <c r="F4" s="6">
        <f t="shared" si="1"/>
        <v>2.075044829778268</v>
      </c>
      <c r="G4" s="6">
        <f t="shared" si="2"/>
        <v>42.639268127759536</v>
      </c>
      <c r="H4" s="6">
        <f t="shared" si="3"/>
        <v>5.5352893117348785</v>
      </c>
      <c r="I4" s="6">
        <f t="shared" si="4"/>
        <v>4.2923861010808082</v>
      </c>
    </row>
    <row r="5" spans="1:9" x14ac:dyDescent="0.25">
      <c r="A5" s="11" t="s">
        <v>30</v>
      </c>
      <c r="B5" s="2" t="s">
        <v>34</v>
      </c>
      <c r="C5" s="6">
        <f>'IP(a)'!F5</f>
        <v>7.8683885589168563</v>
      </c>
      <c r="D5" s="6">
        <f>EA!F5</f>
        <v>1.0461368307194367</v>
      </c>
      <c r="E5" s="6">
        <f t="shared" si="0"/>
        <v>3.4111258640987097</v>
      </c>
      <c r="F5" s="6">
        <f t="shared" si="1"/>
        <v>2.2197514504269003</v>
      </c>
      <c r="G5" s="6">
        <f t="shared" si="2"/>
        <v>44.537107360252783</v>
      </c>
      <c r="H5" s="6">
        <f t="shared" si="3"/>
        <v>5.8242326792203682</v>
      </c>
      <c r="I5" s="6">
        <f t="shared" si="4"/>
        <v>4.4572626948181462</v>
      </c>
    </row>
    <row r="6" spans="1:9" x14ac:dyDescent="0.25">
      <c r="A6" s="11" t="s">
        <v>23</v>
      </c>
      <c r="B6" s="2" t="s">
        <v>35</v>
      </c>
      <c r="C6" s="6">
        <f>'IP(a)'!F6</f>
        <v>7.5105259952419967</v>
      </c>
      <c r="D6" s="6">
        <f>EA!F6</f>
        <v>0.7070120370811982</v>
      </c>
      <c r="E6" s="6">
        <f t="shared" si="0"/>
        <v>3.4017569790803992</v>
      </c>
      <c r="F6" s="6">
        <f t="shared" si="1"/>
        <v>1.7043947653663474</v>
      </c>
      <c r="G6" s="6">
        <f t="shared" si="2"/>
        <v>39.687731190758171</v>
      </c>
      <c r="H6" s="6">
        <f t="shared" si="3"/>
        <v>4.9627245367578441</v>
      </c>
      <c r="I6" s="6">
        <f t="shared" si="4"/>
        <v>4.1087690161615971</v>
      </c>
    </row>
    <row r="7" spans="1:9" x14ac:dyDescent="0.25">
      <c r="A7" s="11" t="s">
        <v>28</v>
      </c>
      <c r="B7" s="2" t="s">
        <v>36</v>
      </c>
      <c r="C7" s="6">
        <f>'IP(a)'!F7</f>
        <v>7.256534787645986</v>
      </c>
      <c r="D7" s="6">
        <f>EA!F7</f>
        <v>1.2695179344575567</v>
      </c>
      <c r="E7" s="6">
        <f t="shared" si="0"/>
        <v>2.9935084265942145</v>
      </c>
      <c r="F7" s="6">
        <f t="shared" si="1"/>
        <v>2.5562853030446822</v>
      </c>
      <c r="G7" s="6">
        <f t="shared" si="2"/>
        <v>44.329352100592907</v>
      </c>
      <c r="H7" s="6">
        <f t="shared" si="3"/>
        <v>6.0709345574479014</v>
      </c>
      <c r="I7" s="6">
        <f t="shared" si="4"/>
        <v>4.2630263610517716</v>
      </c>
    </row>
    <row r="8" spans="1:9" x14ac:dyDescent="0.25">
      <c r="A8" s="11" t="s">
        <v>29</v>
      </c>
      <c r="B8" s="2" t="s">
        <v>37</v>
      </c>
      <c r="C8" s="6">
        <f>'IP(a)'!F8</f>
        <v>7.4785770904938742</v>
      </c>
      <c r="D8" s="6">
        <f>EA!F8</f>
        <v>1.2864053293050361</v>
      </c>
      <c r="E8" s="6">
        <f t="shared" si="0"/>
        <v>3.0960858805944191</v>
      </c>
      <c r="F8" s="6">
        <f t="shared" si="1"/>
        <v>2.5949205877676405</v>
      </c>
      <c r="G8" s="6">
        <f t="shared" si="2"/>
        <v>45.439612030266204</v>
      </c>
      <c r="H8" s="6">
        <f t="shared" si="3"/>
        <v>6.2033903275184912</v>
      </c>
      <c r="I8" s="6">
        <f t="shared" si="4"/>
        <v>4.3824912098994551</v>
      </c>
    </row>
    <row r="9" spans="1:9" x14ac:dyDescent="0.25">
      <c r="A9" s="11" t="s">
        <v>61</v>
      </c>
      <c r="B9" s="2" t="s">
        <v>62</v>
      </c>
      <c r="C9" s="6">
        <f>'IP(a)'!F9</f>
        <v>7.5298542526568175</v>
      </c>
      <c r="D9" s="6">
        <f>EA!F9</f>
        <v>1.3544229447378864</v>
      </c>
      <c r="E9" s="6">
        <f t="shared" si="0"/>
        <v>3.0877156539594655</v>
      </c>
      <c r="F9" s="6">
        <f t="shared" si="1"/>
        <v>2.7204679358789012</v>
      </c>
      <c r="G9" s="6">
        <f t="shared" si="2"/>
        <v>46.41898053309442</v>
      </c>
      <c r="H9" s="6">
        <f t="shared" si="3"/>
        <v>6.3906776210863878</v>
      </c>
      <c r="I9" s="6">
        <f t="shared" si="4"/>
        <v>4.4421385986973521</v>
      </c>
    </row>
    <row r="10" spans="1:9" x14ac:dyDescent="0.25">
      <c r="A10" s="11" t="s">
        <v>80</v>
      </c>
      <c r="B10" s="2" t="s">
        <v>81</v>
      </c>
      <c r="C10" s="6">
        <f>'IP(a)'!F10</f>
        <v>7.0421361670397271</v>
      </c>
      <c r="D10" s="6">
        <f>EA!F10</f>
        <v>1.250276753517567</v>
      </c>
      <c r="E10" s="6">
        <f>(1/2)*(C10-D10)</f>
        <v>2.8959297067610801</v>
      </c>
      <c r="F10" s="6">
        <f>((C10+3*D10)^2)/(16*E10)</f>
        <v>2.5140485116742979</v>
      </c>
      <c r="G10" s="6">
        <f>((3*C10+D10)^2)/(4*E10)</f>
        <v>43.225845728926366</v>
      </c>
      <c r="H10" s="6">
        <f>((C10+D10)^2)/(4*E10)</f>
        <v>5.9362725452626739</v>
      </c>
      <c r="I10" s="6">
        <f>(C10+D10)/2</f>
        <v>4.1462064602786466</v>
      </c>
    </row>
    <row r="11" spans="1:9" x14ac:dyDescent="0.25">
      <c r="A11" s="11" t="s">
        <v>64</v>
      </c>
      <c r="B11" s="2" t="s">
        <v>65</v>
      </c>
      <c r="C11" s="6">
        <f>'IP(a)'!F11</f>
        <v>7.0330339537271316</v>
      </c>
      <c r="D11" s="6">
        <f>EA!F11</f>
        <v>1.3530868649960006</v>
      </c>
      <c r="E11" s="6">
        <f t="shared" si="0"/>
        <v>2.8399735443655656</v>
      </c>
      <c r="F11" s="6">
        <f t="shared" si="1"/>
        <v>2.707749659313766</v>
      </c>
      <c r="G11" s="6">
        <f t="shared" si="2"/>
        <v>44.375481912147592</v>
      </c>
      <c r="H11" s="6">
        <f t="shared" si="3"/>
        <v>6.1908166825839395</v>
      </c>
      <c r="I11" s="6">
        <f t="shared" si="4"/>
        <v>4.193060409361566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87C9-9397-4312-A582-9E96BD11F5A6}">
  <dimension ref="A1:K15"/>
  <sheetViews>
    <sheetView workbookViewId="0">
      <selection activeCell="E4" sqref="E4:E13"/>
    </sheetView>
  </sheetViews>
  <sheetFormatPr defaultRowHeight="15.75" x14ac:dyDescent="0.25"/>
  <cols>
    <col min="1" max="1" width="35.28515625" bestFit="1" customWidth="1"/>
    <col min="2" max="2" width="14.85546875" bestFit="1" customWidth="1"/>
    <col min="3" max="3" width="13.5703125" bestFit="1" customWidth="1"/>
    <col min="4" max="4" width="11.28515625" style="3" bestFit="1" customWidth="1"/>
    <col min="5" max="5" width="9.140625" style="1"/>
    <col min="6" max="6" width="12.5703125" bestFit="1" customWidth="1"/>
    <col min="7" max="7" width="13.7109375" bestFit="1" customWidth="1"/>
  </cols>
  <sheetData>
    <row r="1" spans="1:11" x14ac:dyDescent="0.25">
      <c r="C1" s="24" t="s">
        <v>55</v>
      </c>
      <c r="D1" s="24"/>
      <c r="E1" s="24"/>
      <c r="F1" s="24"/>
      <c r="G1" s="24"/>
      <c r="H1" s="24"/>
      <c r="I1" s="3"/>
      <c r="J1" s="3"/>
      <c r="K1" s="3"/>
    </row>
    <row r="2" spans="1:11" x14ac:dyDescent="0.25">
      <c r="C2" s="24" t="s">
        <v>78</v>
      </c>
      <c r="D2" s="24"/>
      <c r="E2" s="24"/>
      <c r="F2" s="24" t="s">
        <v>79</v>
      </c>
      <c r="G2" s="24"/>
      <c r="H2" s="24"/>
      <c r="I2" s="3"/>
      <c r="J2" s="3"/>
      <c r="K2" s="3"/>
    </row>
    <row r="3" spans="1:11" ht="19.5" x14ac:dyDescent="0.3">
      <c r="C3" s="2" t="s">
        <v>50</v>
      </c>
      <c r="D3" s="18" t="s">
        <v>51</v>
      </c>
      <c r="E3" s="2" t="s">
        <v>26</v>
      </c>
      <c r="F3" s="2" t="s">
        <v>63</v>
      </c>
      <c r="G3" s="18" t="s">
        <v>51</v>
      </c>
      <c r="H3" s="2" t="s">
        <v>26</v>
      </c>
    </row>
    <row r="4" spans="1:11" x14ac:dyDescent="0.25">
      <c r="A4" s="11" t="s">
        <v>24</v>
      </c>
      <c r="B4" s="2" t="s">
        <v>27</v>
      </c>
      <c r="C4" s="10">
        <v>5.7948755530000007</v>
      </c>
      <c r="D4" s="10">
        <f>C4*38.90672114</f>
        <v>225.45960718157434</v>
      </c>
      <c r="E4" s="6">
        <f>((D4)-LN(D4+0.72))/(D4+1)</f>
        <v>0.97164470306379314</v>
      </c>
      <c r="F4" s="8">
        <v>4.2644946521999998</v>
      </c>
      <c r="G4" s="10">
        <f>F4*38.90672114</f>
        <v>165.91750423616668</v>
      </c>
      <c r="H4" s="6">
        <f>((G4)-LN(G4+0.72))/(G4+1)</f>
        <v>0.9633602188826873</v>
      </c>
    </row>
    <row r="5" spans="1:11" x14ac:dyDescent="0.25">
      <c r="A5" s="11" t="s">
        <v>21</v>
      </c>
      <c r="B5" s="2" t="s">
        <v>32</v>
      </c>
      <c r="C5" s="10">
        <v>4.4868293840000018</v>
      </c>
      <c r="D5" s="10">
        <f t="shared" ref="D5:D13" si="0">C5*38.90672114</f>
        <v>174.56781964604605</v>
      </c>
      <c r="E5" s="6">
        <f t="shared" ref="E5:E13" si="1">((D5)-LN(D5+0.72))/(D5+1)</f>
        <v>0.96487722340554238</v>
      </c>
      <c r="F5" s="8">
        <v>3.6244826799999998</v>
      </c>
      <c r="G5" s="10">
        <f t="shared" ref="G5:G13" si="2">F5*38.90672114</f>
        <v>141.01673690751986</v>
      </c>
      <c r="H5" s="6">
        <f t="shared" ref="H5:H13" si="3">((G5)-LN(G5+0.72))/(G5+1)</f>
        <v>0.95807556559113571</v>
      </c>
    </row>
    <row r="6" spans="1:11" x14ac:dyDescent="0.25">
      <c r="A6" s="11" t="s">
        <v>31</v>
      </c>
      <c r="B6" s="2" t="s">
        <v>33</v>
      </c>
      <c r="C6" s="10">
        <v>3.9602887940000002</v>
      </c>
      <c r="D6" s="10">
        <f t="shared" si="0"/>
        <v>154.08185174202492</v>
      </c>
      <c r="E6" s="6">
        <f t="shared" si="1"/>
        <v>0.96103898776439145</v>
      </c>
      <c r="F6" s="8">
        <v>3.5485628739999999</v>
      </c>
      <c r="G6" s="10">
        <f t="shared" si="2"/>
        <v>138.06294618647496</v>
      </c>
      <c r="H6" s="6">
        <f t="shared" si="3"/>
        <v>0.95733650596991737</v>
      </c>
    </row>
    <row r="7" spans="1:11" x14ac:dyDescent="0.25">
      <c r="A7" s="11" t="s">
        <v>30</v>
      </c>
      <c r="B7" s="2" t="s">
        <v>34</v>
      </c>
      <c r="C7" s="10">
        <v>3.9104919319999993</v>
      </c>
      <c r="D7" s="10">
        <f t="shared" si="0"/>
        <v>152.14441911854382</v>
      </c>
      <c r="E7" s="6">
        <f t="shared" si="1"/>
        <v>0.96062833099839873</v>
      </c>
      <c r="F7" s="8">
        <v>3.43944516</v>
      </c>
      <c r="G7" s="10">
        <f t="shared" si="2"/>
        <v>133.81753371644268</v>
      </c>
      <c r="H7" s="6">
        <f t="shared" si="3"/>
        <v>0.95622347436192134</v>
      </c>
    </row>
    <row r="8" spans="1:11" x14ac:dyDescent="0.25">
      <c r="A8" s="11" t="s">
        <v>23</v>
      </c>
      <c r="B8" s="2" t="s">
        <v>35</v>
      </c>
      <c r="C8" s="10">
        <v>3.8519874220000005</v>
      </c>
      <c r="D8" s="10">
        <f t="shared" si="0"/>
        <v>149.86820046254152</v>
      </c>
      <c r="E8" s="6">
        <f t="shared" si="1"/>
        <v>0.96013375288050007</v>
      </c>
      <c r="F8" s="8">
        <v>4.0830451019999998</v>
      </c>
      <c r="G8" s="10">
        <f t="shared" si="2"/>
        <v>158.85789718555685</v>
      </c>
      <c r="H8" s="6">
        <f t="shared" si="3"/>
        <v>0.96201293590416614</v>
      </c>
    </row>
    <row r="9" spans="1:11" x14ac:dyDescent="0.25">
      <c r="A9" s="11" t="s">
        <v>28</v>
      </c>
      <c r="B9" s="2" t="s">
        <v>36</v>
      </c>
      <c r="C9" s="10">
        <v>3.4718441640000011</v>
      </c>
      <c r="D9" s="10">
        <f t="shared" si="0"/>
        <v>135.07807273028448</v>
      </c>
      <c r="E9" s="6">
        <f t="shared" si="1"/>
        <v>0.95656045897439479</v>
      </c>
      <c r="F9" s="8">
        <v>3.3142727199999999</v>
      </c>
      <c r="G9" s="10">
        <f t="shared" si="2"/>
        <v>128.94748449894931</v>
      </c>
      <c r="H9" s="6">
        <f t="shared" si="3"/>
        <v>0.9548665879548619</v>
      </c>
    </row>
    <row r="10" spans="1:11" x14ac:dyDescent="0.25">
      <c r="A10" s="11" t="s">
        <v>29</v>
      </c>
      <c r="B10" s="2" t="s">
        <v>37</v>
      </c>
      <c r="C10" s="10">
        <v>3.4957901960000006</v>
      </c>
      <c r="D10" s="10">
        <f t="shared" si="0"/>
        <v>136.00973431971798</v>
      </c>
      <c r="E10" s="6">
        <f t="shared" si="1"/>
        <v>0.95680594328131774</v>
      </c>
      <c r="F10" s="8">
        <v>3.326789964</v>
      </c>
      <c r="G10" s="10">
        <f t="shared" si="2"/>
        <v>129.43448942069864</v>
      </c>
      <c r="H10" s="6">
        <f t="shared" si="3"/>
        <v>0.95500636257239246</v>
      </c>
    </row>
    <row r="11" spans="1:11" x14ac:dyDescent="0.25">
      <c r="A11" s="11" t="s">
        <v>61</v>
      </c>
      <c r="B11" s="2" t="s">
        <v>62</v>
      </c>
      <c r="C11" s="10">
        <v>3.5714333690000002</v>
      </c>
      <c r="D11" s="10">
        <f t="shared" si="0"/>
        <v>138.95276215777375</v>
      </c>
      <c r="E11" s="6">
        <f t="shared" si="1"/>
        <v>0.95756209322442298</v>
      </c>
      <c r="F11" s="8">
        <v>3.2756329587000002</v>
      </c>
      <c r="G11" s="10">
        <f t="shared" si="2"/>
        <v>127.44413808113404</v>
      </c>
      <c r="H11" s="6">
        <f t="shared" si="3"/>
        <v>0.95442912492043963</v>
      </c>
    </row>
    <row r="12" spans="1:11" x14ac:dyDescent="0.25">
      <c r="A12" s="11" t="s">
        <v>80</v>
      </c>
      <c r="B12" s="2" t="s">
        <v>81</v>
      </c>
      <c r="C12" s="8">
        <v>3.5646350379999996</v>
      </c>
      <c r="D12" s="10">
        <f>C12*38.90672114</f>
        <v>138.68826138933929</v>
      </c>
      <c r="E12" s="6">
        <f>((D12)-LN(D12+0.72))/(D12+1)</f>
        <v>0.95749530632403179</v>
      </c>
      <c r="F12" s="8">
        <v>3.3276063059999998</v>
      </c>
      <c r="G12" s="10">
        <f>F12*38.90672114</f>
        <v>129.46625061124752</v>
      </c>
      <c r="H12" s="6">
        <f>((G12)-LN(G12+0.72))/(G12+1)</f>
        <v>0.95501544579814834</v>
      </c>
    </row>
    <row r="13" spans="1:11" x14ac:dyDescent="0.25">
      <c r="A13" s="11" t="s">
        <v>64</v>
      </c>
      <c r="B13" s="2" t="s">
        <v>65</v>
      </c>
      <c r="C13" s="8">
        <v>3.5507572240000016</v>
      </c>
      <c r="D13" s="10">
        <f t="shared" si="0"/>
        <v>138.1483211500086</v>
      </c>
      <c r="E13" s="6">
        <f t="shared" si="1"/>
        <v>0.95735826271394608</v>
      </c>
      <c r="F13" s="8">
        <v>3.208964602</v>
      </c>
      <c r="G13" s="10">
        <f t="shared" si="2"/>
        <v>124.85029091814509</v>
      </c>
      <c r="H13" s="6">
        <f t="shared" si="3"/>
        <v>0.95365234640122842</v>
      </c>
    </row>
    <row r="15" spans="1:11" x14ac:dyDescent="0.25">
      <c r="D15" s="10"/>
      <c r="E15" s="8"/>
    </row>
  </sheetData>
  <mergeCells count="3">
    <mergeCell ref="C1:H1"/>
    <mergeCell ref="C2:E2"/>
    <mergeCell ref="F2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562A-0713-451F-A593-D78313595080}">
  <dimension ref="A1:J18"/>
  <sheetViews>
    <sheetView workbookViewId="0">
      <selection activeCell="J10" sqref="J10"/>
    </sheetView>
  </sheetViews>
  <sheetFormatPr defaultRowHeight="15" x14ac:dyDescent="0.25"/>
  <cols>
    <col min="1" max="1" width="35.28515625" bestFit="1" customWidth="1"/>
    <col min="2" max="2" width="20.5703125" bestFit="1" customWidth="1"/>
    <col min="3" max="3" width="13" bestFit="1" customWidth="1"/>
    <col min="4" max="4" width="11.7109375" bestFit="1" customWidth="1"/>
    <col min="5" max="5" width="13.85546875" bestFit="1" customWidth="1"/>
    <col min="6" max="6" width="14.28515625" bestFit="1" customWidth="1"/>
    <col min="7" max="7" width="14.28515625" customWidth="1"/>
    <col min="8" max="8" width="9.85546875" bestFit="1" customWidth="1"/>
    <col min="9" max="9" width="14.140625" bestFit="1" customWidth="1"/>
    <col min="10" max="10" width="16" bestFit="1" customWidth="1"/>
  </cols>
  <sheetData>
    <row r="1" spans="1:10" ht="15.75" customHeight="1" x14ac:dyDescent="0.25">
      <c r="A1" s="25" t="s">
        <v>56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9.5" x14ac:dyDescent="0.3">
      <c r="B2" s="14" t="s">
        <v>0</v>
      </c>
      <c r="C2" s="1" t="s">
        <v>1</v>
      </c>
      <c r="D2" s="1" t="s">
        <v>2</v>
      </c>
      <c r="E2" s="2" t="s">
        <v>50</v>
      </c>
      <c r="F2" s="2" t="s">
        <v>52</v>
      </c>
      <c r="G2" s="2" t="s">
        <v>84</v>
      </c>
      <c r="H2" s="2" t="s">
        <v>39</v>
      </c>
      <c r="I2" s="2" t="s">
        <v>53</v>
      </c>
      <c r="J2" s="2" t="s">
        <v>75</v>
      </c>
    </row>
    <row r="3" spans="1:10" ht="15.75" x14ac:dyDescent="0.25">
      <c r="A3" s="11" t="s">
        <v>24</v>
      </c>
      <c r="B3" s="2" t="s">
        <v>27</v>
      </c>
      <c r="C3" s="10">
        <v>-9.8948755530000003</v>
      </c>
      <c r="D3" s="10">
        <v>0.26449465220000001</v>
      </c>
      <c r="E3" s="6">
        <f t="shared" ref="E3:E12" si="0">(ABS((C3)-(-3.8)))-0.3</f>
        <v>5.7948755530000007</v>
      </c>
      <c r="F3" s="6">
        <v>0.97164470306379314</v>
      </c>
      <c r="G3" s="6">
        <v>3.9200293579779664</v>
      </c>
      <c r="H3" s="10">
        <v>0.73184444027927198</v>
      </c>
      <c r="I3" s="10">
        <f>(H3*E3*F3)/100</f>
        <v>4.1206941311796898E-2</v>
      </c>
      <c r="J3" s="6">
        <f>I3*100</f>
        <v>4.1206941311796896</v>
      </c>
    </row>
    <row r="4" spans="1:10" ht="15.75" x14ac:dyDescent="0.25">
      <c r="A4" s="11" t="s">
        <v>21</v>
      </c>
      <c r="B4" s="2" t="s">
        <v>32</v>
      </c>
      <c r="C4" s="10">
        <f>27.2114*(-0.31556)</f>
        <v>-8.5868293840000014</v>
      </c>
      <c r="D4" s="10">
        <f>27.2114*(-0.0138)</f>
        <v>-0.37551731999999999</v>
      </c>
      <c r="E4" s="6">
        <f t="shared" si="0"/>
        <v>4.4868293840000018</v>
      </c>
      <c r="F4" s="6">
        <v>0.96487722340554238</v>
      </c>
      <c r="G4" s="6">
        <v>4.3270275738510495</v>
      </c>
      <c r="H4" s="10">
        <v>7.7273845645992995E-12</v>
      </c>
      <c r="I4" s="10">
        <f t="shared" ref="I4:I12" si="1">(H4*E4*F4)/100</f>
        <v>3.3453698318197239E-13</v>
      </c>
      <c r="J4" s="6">
        <f t="shared" ref="J4:J12" si="2">I4*100</f>
        <v>3.3453698318197241E-11</v>
      </c>
    </row>
    <row r="5" spans="1:10" ht="15.75" x14ac:dyDescent="0.25">
      <c r="A5" s="11" t="s">
        <v>31</v>
      </c>
      <c r="B5" s="2" t="s">
        <v>33</v>
      </c>
      <c r="C5" s="10">
        <f>27.2114*(-0.29621)</f>
        <v>-8.0602887939999999</v>
      </c>
      <c r="D5" s="10">
        <f>27.2114*(-0.01659)</f>
        <v>-0.45143712600000002</v>
      </c>
      <c r="E5" s="6">
        <f t="shared" si="0"/>
        <v>3.9602887940000002</v>
      </c>
      <c r="F5" s="6">
        <v>0.96103898776439145</v>
      </c>
      <c r="G5" s="6">
        <v>4.1260975077879491</v>
      </c>
      <c r="H5" s="10">
        <v>5.3826782482457401E-3</v>
      </c>
      <c r="I5" s="10">
        <f t="shared" si="1"/>
        <v>2.0486429995281584E-4</v>
      </c>
      <c r="J5" s="6">
        <f t="shared" si="2"/>
        <v>2.0486429995281583E-2</v>
      </c>
    </row>
    <row r="6" spans="1:10" ht="15.75" x14ac:dyDescent="0.25">
      <c r="A6" s="11" t="s">
        <v>30</v>
      </c>
      <c r="B6" s="2" t="s">
        <v>34</v>
      </c>
      <c r="C6" s="10">
        <f>27.2114*(-0.29438)</f>
        <v>-8.010491931999999</v>
      </c>
      <c r="D6" s="10">
        <f>27.2114*(-0.0206)</f>
        <v>-0.56055484</v>
      </c>
      <c r="E6" s="6">
        <f t="shared" si="0"/>
        <v>3.9104919319999993</v>
      </c>
      <c r="F6" s="6">
        <v>0.96062833099839873</v>
      </c>
      <c r="G6" s="6">
        <v>3.802010278030294</v>
      </c>
      <c r="H6" s="10">
        <v>2.2529208011194699</v>
      </c>
      <c r="I6" s="10">
        <f t="shared" si="1"/>
        <v>8.463163085640503E-2</v>
      </c>
      <c r="J6" s="6">
        <f t="shared" si="2"/>
        <v>8.4631630856405025</v>
      </c>
    </row>
    <row r="7" spans="1:10" ht="15.75" x14ac:dyDescent="0.25">
      <c r="A7" s="11" t="s">
        <v>23</v>
      </c>
      <c r="B7" s="2" t="s">
        <v>35</v>
      </c>
      <c r="C7" s="10">
        <f>27.2114*(-0.29223)</f>
        <v>-7.9519874220000002</v>
      </c>
      <c r="D7" s="10">
        <f>24.2114*(0.00343)</f>
        <v>8.3045101999999996E-2</v>
      </c>
      <c r="E7" s="6">
        <f t="shared" si="0"/>
        <v>3.8519874220000005</v>
      </c>
      <c r="F7" s="6">
        <v>0.96013375288050007</v>
      </c>
      <c r="G7" s="6">
        <v>4.0175525937608469</v>
      </c>
      <c r="H7" s="10">
        <v>0.20698681548051101</v>
      </c>
      <c r="I7" s="10">
        <f t="shared" si="1"/>
        <v>7.6552482795144029E-3</v>
      </c>
      <c r="J7" s="6">
        <f t="shared" si="2"/>
        <v>0.76552482795144028</v>
      </c>
    </row>
    <row r="8" spans="1:10" ht="15.75" x14ac:dyDescent="0.25">
      <c r="A8" s="11" t="s">
        <v>28</v>
      </c>
      <c r="B8" s="2" t="s">
        <v>36</v>
      </c>
      <c r="C8" s="10">
        <f>(-0.27826)*27.2114</f>
        <v>-7.5718441640000007</v>
      </c>
      <c r="D8" s="10">
        <f>(-0.0252)*27.2114</f>
        <v>-0.68572728000000005</v>
      </c>
      <c r="E8" s="6">
        <f t="shared" si="0"/>
        <v>3.4718441640000011</v>
      </c>
      <c r="F8" s="6">
        <v>0.95656045897439479</v>
      </c>
      <c r="G8" s="6">
        <v>3.8035115309681848</v>
      </c>
      <c r="H8" s="10">
        <v>2.0127085421056701</v>
      </c>
      <c r="I8" s="10">
        <f t="shared" si="1"/>
        <v>6.6842631289431187E-2</v>
      </c>
      <c r="J8" s="6">
        <f t="shared" si="2"/>
        <v>6.6842631289431189</v>
      </c>
    </row>
    <row r="9" spans="1:10" ht="15.75" x14ac:dyDescent="0.25">
      <c r="A9" s="11" t="s">
        <v>29</v>
      </c>
      <c r="B9" s="2" t="s">
        <v>37</v>
      </c>
      <c r="C9" s="10">
        <f>(-0.27914)*27.2114</f>
        <v>-7.5957901960000003</v>
      </c>
      <c r="D9" s="10">
        <f>(-0.02474)*27.2114</f>
        <v>-0.67321003600000007</v>
      </c>
      <c r="E9" s="6">
        <f t="shared" si="0"/>
        <v>3.4957901960000006</v>
      </c>
      <c r="F9" s="6">
        <v>0.95680594328131774</v>
      </c>
      <c r="G9" s="6">
        <v>3.8692994442795898</v>
      </c>
      <c r="H9" s="10">
        <v>1.2375085408228901</v>
      </c>
      <c r="I9" s="10">
        <f t="shared" si="1"/>
        <v>4.1392097018299531E-2</v>
      </c>
      <c r="J9" s="6">
        <f t="shared" si="2"/>
        <v>4.1392097018299534</v>
      </c>
    </row>
    <row r="10" spans="1:10" ht="15.75" x14ac:dyDescent="0.25">
      <c r="A10" s="11" t="s">
        <v>61</v>
      </c>
      <c r="B10" s="2" t="s">
        <v>62</v>
      </c>
      <c r="C10" s="10">
        <v>-7.6714333689999998</v>
      </c>
      <c r="D10" s="10">
        <v>-0.72436704129999996</v>
      </c>
      <c r="E10" s="6">
        <f t="shared" si="0"/>
        <v>3.5714333690000002</v>
      </c>
      <c r="F10" s="6">
        <v>0.95756209322442298</v>
      </c>
      <c r="G10" s="6">
        <v>3.559731129090685</v>
      </c>
      <c r="H10" s="10">
        <v>3.2729288568699202</v>
      </c>
      <c r="I10" s="10">
        <f t="shared" si="1"/>
        <v>0.11192988632741646</v>
      </c>
      <c r="J10" s="6">
        <f t="shared" si="2"/>
        <v>11.192988632741645</v>
      </c>
    </row>
    <row r="11" spans="1:10" ht="15.75" x14ac:dyDescent="0.25">
      <c r="A11" s="11" t="s">
        <v>80</v>
      </c>
      <c r="B11" s="2" t="s">
        <v>81</v>
      </c>
      <c r="C11" s="10">
        <f>(-0.28167)*27.2114</f>
        <v>-7.6646350379999992</v>
      </c>
      <c r="D11" s="10">
        <f>(-0.02471)*27.2114</f>
        <v>-0.67239369400000004</v>
      </c>
      <c r="E11" s="6">
        <f t="shared" si="0"/>
        <v>3.5646350379999996</v>
      </c>
      <c r="F11" s="6">
        <v>0.95749530632403179</v>
      </c>
      <c r="G11" s="6">
        <v>3.748290892707276</v>
      </c>
      <c r="H11" s="10">
        <v>2.4664887499139998</v>
      </c>
      <c r="I11" s="10">
        <f t="shared" si="1"/>
        <v>8.418425332058567E-2</v>
      </c>
      <c r="J11" s="6">
        <f t="shared" si="2"/>
        <v>8.4184253320585665</v>
      </c>
    </row>
    <row r="12" spans="1:10" ht="15.75" x14ac:dyDescent="0.25">
      <c r="A12" s="11" t="s">
        <v>64</v>
      </c>
      <c r="B12" s="2" t="s">
        <v>65</v>
      </c>
      <c r="C12" s="10">
        <v>-7.6507572240000012</v>
      </c>
      <c r="D12" s="10">
        <v>-0.791035398</v>
      </c>
      <c r="E12" s="6">
        <f t="shared" si="0"/>
        <v>3.5507572240000016</v>
      </c>
      <c r="F12" s="6">
        <v>0.95735826271394608</v>
      </c>
      <c r="G12" s="6">
        <v>3.4628871170526021</v>
      </c>
      <c r="H12" s="10">
        <v>3.1132177300414501</v>
      </c>
      <c r="I12" s="10">
        <f t="shared" si="1"/>
        <v>0.10582906626478954</v>
      </c>
      <c r="J12" s="6">
        <f t="shared" si="2"/>
        <v>10.582906626478954</v>
      </c>
    </row>
    <row r="14" spans="1:10" ht="15.75" x14ac:dyDescent="0.25">
      <c r="E14" s="6"/>
      <c r="I14" s="10"/>
      <c r="J14" s="10"/>
    </row>
    <row r="15" spans="1:10" ht="15.75" x14ac:dyDescent="0.25">
      <c r="B15" s="2" t="s">
        <v>59</v>
      </c>
      <c r="E15" s="6"/>
      <c r="I15" s="10"/>
      <c r="J15" s="10"/>
    </row>
    <row r="16" spans="1:10" ht="15.75" x14ac:dyDescent="0.25">
      <c r="A16" s="17" t="s">
        <v>60</v>
      </c>
      <c r="B16" s="21">
        <v>-3.8</v>
      </c>
      <c r="E16" s="6"/>
      <c r="I16" s="10"/>
      <c r="J16" s="10"/>
    </row>
    <row r="17" spans="1:10" ht="15.75" x14ac:dyDescent="0.25">
      <c r="A17" s="3" t="s">
        <v>49</v>
      </c>
      <c r="B17" s="21">
        <v>-5.93</v>
      </c>
      <c r="E17" s="6"/>
      <c r="I17" s="10"/>
      <c r="J17" s="10"/>
    </row>
    <row r="18" spans="1:10" ht="15.75" x14ac:dyDescent="0.25">
      <c r="E18" s="6"/>
      <c r="I18" s="10"/>
      <c r="J18" s="10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F18A-B57A-499D-915F-E1667DBFEDF8}">
  <dimension ref="A1:K12"/>
  <sheetViews>
    <sheetView topLeftCell="A2" workbookViewId="0">
      <selection activeCell="A10" sqref="A10:XFD10"/>
    </sheetView>
  </sheetViews>
  <sheetFormatPr defaultRowHeight="15" x14ac:dyDescent="0.25"/>
  <cols>
    <col min="1" max="1" width="35.28515625" bestFit="1" customWidth="1"/>
    <col min="2" max="2" width="14.85546875" bestFit="1" customWidth="1"/>
    <col min="3" max="3" width="12.140625" bestFit="1" customWidth="1"/>
    <col min="4" max="4" width="11.5703125" bestFit="1" customWidth="1"/>
    <col min="9" max="9" width="9.7109375" bestFit="1" customWidth="1"/>
    <col min="10" max="10" width="13.85546875" bestFit="1" customWidth="1"/>
  </cols>
  <sheetData>
    <row r="1" spans="1:11" x14ac:dyDescent="0.25">
      <c r="A1" s="25" t="s">
        <v>56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7.25" x14ac:dyDescent="0.3">
      <c r="B2" s="14" t="s">
        <v>0</v>
      </c>
      <c r="C2" s="1" t="s">
        <v>1</v>
      </c>
      <c r="D2" s="1" t="s">
        <v>2</v>
      </c>
      <c r="E2" s="2" t="s">
        <v>12</v>
      </c>
      <c r="F2" s="2" t="s">
        <v>26</v>
      </c>
      <c r="G2" s="2" t="s">
        <v>84</v>
      </c>
      <c r="H2" s="2" t="s">
        <v>39</v>
      </c>
      <c r="I2" s="2" t="s">
        <v>76</v>
      </c>
      <c r="J2" s="2" t="s">
        <v>77</v>
      </c>
    </row>
    <row r="3" spans="1:11" ht="15.75" x14ac:dyDescent="0.25">
      <c r="A3" s="11" t="s">
        <v>24</v>
      </c>
      <c r="B3" s="2" t="s">
        <v>27</v>
      </c>
      <c r="C3" s="6">
        <v>-9.8948755530000003</v>
      </c>
      <c r="D3" s="6">
        <v>0.26449465220000001</v>
      </c>
      <c r="E3" s="6">
        <f t="shared" ref="E3:E12" si="0">ABS(D3-(-4))</f>
        <v>4.2644946521999998</v>
      </c>
      <c r="F3" s="6">
        <f>FF!H4</f>
        <v>0.9633602188826873</v>
      </c>
      <c r="G3" s="6">
        <v>3.9200293579779664</v>
      </c>
      <c r="H3" s="10">
        <v>0.73184444027927198</v>
      </c>
      <c r="I3" s="10">
        <f>(E3*F3*H3)/100</f>
        <v>3.0065958977800206E-2</v>
      </c>
      <c r="J3" s="6">
        <f>I3*100</f>
        <v>3.0065958977800205</v>
      </c>
    </row>
    <row r="4" spans="1:11" ht="15.75" x14ac:dyDescent="0.25">
      <c r="A4" s="11" t="s">
        <v>21</v>
      </c>
      <c r="B4" s="2" t="s">
        <v>32</v>
      </c>
      <c r="C4" s="6">
        <v>-8.5868293840000014</v>
      </c>
      <c r="D4" s="6">
        <v>-0.37551731999999999</v>
      </c>
      <c r="E4" s="6">
        <f t="shared" si="0"/>
        <v>3.6244826799999998</v>
      </c>
      <c r="F4" s="6">
        <f>FF!H5</f>
        <v>0.95807556559113571</v>
      </c>
      <c r="G4" s="6">
        <v>4.3270275738510495</v>
      </c>
      <c r="H4" s="10">
        <v>7.7273845645992995E-12</v>
      </c>
      <c r="I4" s="10">
        <f t="shared" ref="I4:I12" si="1">(E4*F4*H4)/100</f>
        <v>2.6833561536224751E-13</v>
      </c>
      <c r="J4" s="6">
        <f t="shared" ref="J4:J12" si="2">I4*100</f>
        <v>2.683356153622475E-11</v>
      </c>
    </row>
    <row r="5" spans="1:11" ht="15.75" x14ac:dyDescent="0.25">
      <c r="A5" s="11" t="s">
        <v>31</v>
      </c>
      <c r="B5" s="2" t="s">
        <v>33</v>
      </c>
      <c r="C5" s="6">
        <v>-8.0602887939999999</v>
      </c>
      <c r="D5" s="6">
        <v>-0.45143712600000002</v>
      </c>
      <c r="E5" s="6">
        <f t="shared" si="0"/>
        <v>3.5485628739999999</v>
      </c>
      <c r="F5" s="6">
        <f>FF!H6</f>
        <v>0.95733650596991737</v>
      </c>
      <c r="G5" s="6">
        <v>4.1260975077879491</v>
      </c>
      <c r="H5" s="10">
        <v>5.3826782482457401E-3</v>
      </c>
      <c r="I5" s="10">
        <f t="shared" si="1"/>
        <v>1.8285866513925914E-4</v>
      </c>
      <c r="J5" s="6">
        <f t="shared" si="2"/>
        <v>1.8285866513925914E-2</v>
      </c>
    </row>
    <row r="6" spans="1:11" ht="15.75" x14ac:dyDescent="0.25">
      <c r="A6" s="11" t="s">
        <v>30</v>
      </c>
      <c r="B6" s="2" t="s">
        <v>34</v>
      </c>
      <c r="C6" s="6">
        <v>-8.010491931999999</v>
      </c>
      <c r="D6" s="6">
        <v>-0.56055484</v>
      </c>
      <c r="E6" s="6">
        <f t="shared" si="0"/>
        <v>3.43944516</v>
      </c>
      <c r="F6" s="6">
        <f>FF!H7</f>
        <v>0.95622347436192134</v>
      </c>
      <c r="G6" s="6">
        <v>3.802010278030294</v>
      </c>
      <c r="H6" s="10">
        <v>2.2529208011194699</v>
      </c>
      <c r="I6" s="10">
        <f t="shared" si="1"/>
        <v>7.4095821108687301E-2</v>
      </c>
      <c r="J6" s="6">
        <f t="shared" si="2"/>
        <v>7.4095821108687305</v>
      </c>
    </row>
    <row r="7" spans="1:11" ht="15.75" x14ac:dyDescent="0.25">
      <c r="A7" s="11" t="s">
        <v>23</v>
      </c>
      <c r="B7" s="2" t="s">
        <v>35</v>
      </c>
      <c r="C7" s="6">
        <v>-7.9519874220000002</v>
      </c>
      <c r="D7" s="6">
        <v>8.3045101999999996E-2</v>
      </c>
      <c r="E7" s="6">
        <f t="shared" si="0"/>
        <v>4.0830451019999998</v>
      </c>
      <c r="F7" s="6">
        <f>FF!H8</f>
        <v>0.96201293590416614</v>
      </c>
      <c r="G7" s="6">
        <v>4.0175525937608469</v>
      </c>
      <c r="H7" s="10">
        <v>0.20698681548051101</v>
      </c>
      <c r="I7" s="10">
        <f t="shared" si="1"/>
        <v>8.1303224861229133E-3</v>
      </c>
      <c r="J7" s="6">
        <f t="shared" si="2"/>
        <v>0.81303224861229129</v>
      </c>
    </row>
    <row r="8" spans="1:11" ht="15.75" x14ac:dyDescent="0.25">
      <c r="A8" s="11" t="s">
        <v>28</v>
      </c>
      <c r="B8" s="2" t="s">
        <v>36</v>
      </c>
      <c r="C8" s="6">
        <v>-7.5718441640000007</v>
      </c>
      <c r="D8" s="6">
        <v>-0.68572728000000005</v>
      </c>
      <c r="E8" s="6">
        <f t="shared" si="0"/>
        <v>3.3142727199999999</v>
      </c>
      <c r="F8" s="6">
        <f>FF!H9</f>
        <v>0.9548665879548619</v>
      </c>
      <c r="G8" s="6">
        <v>3.8035115309681848</v>
      </c>
      <c r="H8" s="10">
        <v>2.0127085421056701</v>
      </c>
      <c r="I8" s="10">
        <f t="shared" si="1"/>
        <v>6.3695951417012592E-2</v>
      </c>
      <c r="J8" s="6">
        <f t="shared" si="2"/>
        <v>6.3695951417012591</v>
      </c>
    </row>
    <row r="9" spans="1:11" ht="15.75" x14ac:dyDescent="0.25">
      <c r="A9" s="11" t="s">
        <v>29</v>
      </c>
      <c r="B9" s="2" t="s">
        <v>37</v>
      </c>
      <c r="C9" s="6">
        <v>-7.5957901960000003</v>
      </c>
      <c r="D9" s="6">
        <v>-0.67321003600000007</v>
      </c>
      <c r="E9" s="6">
        <f t="shared" si="0"/>
        <v>3.326789964</v>
      </c>
      <c r="F9" s="6">
        <f>FF!H10</f>
        <v>0.95500636257239246</v>
      </c>
      <c r="G9" s="6">
        <v>3.8692994442795898</v>
      </c>
      <c r="H9" s="10">
        <v>1.2375085408228901</v>
      </c>
      <c r="I9" s="10">
        <f t="shared" si="1"/>
        <v>3.9316952935165343E-2</v>
      </c>
      <c r="J9" s="6">
        <f t="shared" si="2"/>
        <v>3.9316952935165341</v>
      </c>
    </row>
    <row r="10" spans="1:11" ht="15.75" x14ac:dyDescent="0.25">
      <c r="A10" s="11" t="s">
        <v>61</v>
      </c>
      <c r="B10" s="2" t="s">
        <v>62</v>
      </c>
      <c r="C10" s="19">
        <v>-7.6714333689999998</v>
      </c>
      <c r="D10" s="6">
        <v>-0.72436704129999996</v>
      </c>
      <c r="E10" s="6">
        <f t="shared" si="0"/>
        <v>3.2756329587000002</v>
      </c>
      <c r="F10" s="6">
        <f>FF!H11</f>
        <v>0.95442912492043963</v>
      </c>
      <c r="G10" s="6">
        <v>3.559731129090685</v>
      </c>
      <c r="H10" s="10">
        <v>3.2729288568699202</v>
      </c>
      <c r="I10" s="10">
        <f t="shared" si="1"/>
        <v>0.10232352219042105</v>
      </c>
      <c r="J10" s="6">
        <f t="shared" si="2"/>
        <v>10.232352219042106</v>
      </c>
    </row>
    <row r="11" spans="1:11" ht="15.75" x14ac:dyDescent="0.25">
      <c r="A11" s="11" t="s">
        <v>80</v>
      </c>
      <c r="B11" s="2" t="s">
        <v>81</v>
      </c>
      <c r="C11" s="8">
        <f>(-0.28167)*27.2114</f>
        <v>-7.6646350379999992</v>
      </c>
      <c r="D11" s="8">
        <f>(-0.02471)*27.2114</f>
        <v>-0.67239369400000004</v>
      </c>
      <c r="E11" s="6">
        <f t="shared" si="0"/>
        <v>3.3276063059999998</v>
      </c>
      <c r="F11" s="6">
        <f>FF!H12</f>
        <v>0.95501544579814834</v>
      </c>
      <c r="G11" s="6">
        <v>3.748290892707276</v>
      </c>
      <c r="H11" s="10">
        <v>2.4664887499139998</v>
      </c>
      <c r="I11" s="10">
        <f t="shared" si="1"/>
        <v>7.8382926310293866E-2</v>
      </c>
      <c r="J11" s="6">
        <f t="shared" si="2"/>
        <v>7.8382926310293861</v>
      </c>
    </row>
    <row r="12" spans="1:11" ht="15.75" x14ac:dyDescent="0.25">
      <c r="A12" s="11" t="s">
        <v>64</v>
      </c>
      <c r="B12" s="2" t="s">
        <v>65</v>
      </c>
      <c r="C12" s="8">
        <f>(-0.28116)*27.2114</f>
        <v>-7.6507572240000012</v>
      </c>
      <c r="D12" s="8">
        <f>(-0.02907)*27.2114</f>
        <v>-0.791035398</v>
      </c>
      <c r="E12" s="6">
        <f t="shared" si="0"/>
        <v>3.208964602</v>
      </c>
      <c r="F12" s="6">
        <f>FF!H13</f>
        <v>0.95365234640122842</v>
      </c>
      <c r="G12" s="6">
        <v>3.4628871170526021</v>
      </c>
      <c r="H12" s="10">
        <v>3.1132177300414501</v>
      </c>
      <c r="I12" s="10">
        <f t="shared" si="1"/>
        <v>9.5271829104043387E-2</v>
      </c>
      <c r="J12" s="6">
        <f t="shared" si="2"/>
        <v>9.5271829104043384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D894-281C-4D8E-A207-BE79A4F95C6D}">
  <dimension ref="A1:M22"/>
  <sheetViews>
    <sheetView topLeftCell="B1" workbookViewId="0">
      <selection activeCell="B1" sqref="B1:M12"/>
    </sheetView>
  </sheetViews>
  <sheetFormatPr defaultRowHeight="15.75" x14ac:dyDescent="0.25"/>
  <cols>
    <col min="1" max="1" width="35.28515625" bestFit="1" customWidth="1"/>
    <col min="2" max="2" width="19.5703125" customWidth="1"/>
    <col min="3" max="4" width="15.140625" style="1" bestFit="1" customWidth="1"/>
    <col min="5" max="5" width="15.140625" style="1" customWidth="1"/>
    <col min="6" max="6" width="15.140625" style="1" bestFit="1" customWidth="1"/>
    <col min="7" max="7" width="15.140625" style="1" customWidth="1"/>
    <col min="8" max="8" width="15.140625" style="1" bestFit="1" customWidth="1"/>
    <col min="9" max="9" width="15.140625" style="1" customWidth="1"/>
    <col min="10" max="10" width="11.85546875" style="1" bestFit="1" customWidth="1"/>
    <col min="11" max="11" width="13.42578125" style="1" bestFit="1" customWidth="1"/>
    <col min="12" max="12" width="13.7109375" style="1" bestFit="1" customWidth="1"/>
    <col min="13" max="13" width="11.28515625" style="1" bestFit="1" customWidth="1"/>
  </cols>
  <sheetData>
    <row r="1" spans="1:13" s="16" customFormat="1" x14ac:dyDescent="0.25">
      <c r="C1" s="27" t="s">
        <v>40</v>
      </c>
      <c r="D1" s="27"/>
      <c r="E1" s="27"/>
      <c r="F1" s="27"/>
      <c r="G1" s="27"/>
      <c r="H1" s="27"/>
      <c r="I1" s="7"/>
      <c r="J1" s="27" t="s">
        <v>41</v>
      </c>
      <c r="K1" s="27"/>
      <c r="L1" s="27"/>
      <c r="M1" s="7"/>
    </row>
    <row r="2" spans="1:13" s="4" customFormat="1" ht="19.5" x14ac:dyDescent="0.3">
      <c r="B2" s="14" t="s">
        <v>0</v>
      </c>
      <c r="C2" s="2" t="s">
        <v>42</v>
      </c>
      <c r="D2" s="2" t="s">
        <v>43</v>
      </c>
      <c r="E2" s="9" t="s">
        <v>54</v>
      </c>
      <c r="F2" s="2" t="s">
        <v>44</v>
      </c>
      <c r="G2" s="9" t="s">
        <v>54</v>
      </c>
      <c r="H2" s="2" t="s">
        <v>45</v>
      </c>
      <c r="I2" s="2" t="s">
        <v>57</v>
      </c>
      <c r="J2" s="2" t="s">
        <v>48</v>
      </c>
      <c r="K2" s="2" t="s">
        <v>46</v>
      </c>
      <c r="L2" s="2" t="s">
        <v>47</v>
      </c>
      <c r="M2" s="2" t="s">
        <v>66</v>
      </c>
    </row>
    <row r="3" spans="1:13" x14ac:dyDescent="0.25">
      <c r="A3" s="11" t="s">
        <v>24</v>
      </c>
      <c r="B3" s="2" t="s">
        <v>27</v>
      </c>
      <c r="C3" s="8">
        <v>-280.05639159999998</v>
      </c>
      <c r="D3" s="8">
        <v>-279.88451267400001</v>
      </c>
      <c r="E3" s="10">
        <v>0</v>
      </c>
      <c r="F3" s="8">
        <v>-279.91233325100001</v>
      </c>
      <c r="G3" s="8">
        <v>0</v>
      </c>
      <c r="H3" s="8">
        <v>-280.02366110000003</v>
      </c>
      <c r="I3" s="8">
        <v>-279.92263617999998</v>
      </c>
      <c r="J3" s="10">
        <f t="shared" ref="J3:J12" si="0">(D3-C3)*27.2114</f>
        <v>4.6770662069557654</v>
      </c>
      <c r="K3" s="10">
        <f t="shared" ref="K3:K10" si="1">(F3-C3)*27.2114</f>
        <v>3.9200293579779664</v>
      </c>
      <c r="L3" s="10">
        <f t="shared" ref="L3:L12" si="2">(F3-H3)*27.2114</f>
        <v>3.0293866302791388</v>
      </c>
      <c r="M3" s="6">
        <f t="shared" ref="M3:M12" si="3">(D3-I3)*27.2114</f>
        <v>1.0373939711677664</v>
      </c>
    </row>
    <row r="4" spans="1:13" x14ac:dyDescent="0.25">
      <c r="A4" s="11" t="s">
        <v>21</v>
      </c>
      <c r="B4" s="2" t="s">
        <v>32</v>
      </c>
      <c r="C4" s="8">
        <v>-1934.6690771000001</v>
      </c>
      <c r="D4" s="8">
        <v>-1934.50254786</v>
      </c>
      <c r="E4" s="10">
        <v>0.70920000000000005</v>
      </c>
      <c r="F4" s="8">
        <v>-1934.5100618500001</v>
      </c>
      <c r="G4" s="1">
        <v>0.60240000000000005</v>
      </c>
      <c r="H4" s="8">
        <v>-1934.6596798999999</v>
      </c>
      <c r="I4" s="8">
        <v>-1934.5671463599999</v>
      </c>
      <c r="J4" s="10">
        <f t="shared" si="0"/>
        <v>4.5314937613372335</v>
      </c>
      <c r="K4" s="10">
        <f t="shared" si="1"/>
        <v>4.3270275738510495</v>
      </c>
      <c r="L4" s="10">
        <f t="shared" si="2"/>
        <v>4.0713166057657695</v>
      </c>
      <c r="M4" s="6">
        <f t="shared" si="3"/>
        <v>1.7578156228965864</v>
      </c>
    </row>
    <row r="5" spans="1:13" x14ac:dyDescent="0.25">
      <c r="A5" s="11" t="s">
        <v>31</v>
      </c>
      <c r="B5" s="2" t="s">
        <v>33</v>
      </c>
      <c r="C5" s="8">
        <v>-2627.1175957999999</v>
      </c>
      <c r="D5" s="8">
        <v>-2626.9549531299999</v>
      </c>
      <c r="E5" s="10">
        <v>1E-4</v>
      </c>
      <c r="F5" s="8">
        <v>-2626.9659645900001</v>
      </c>
      <c r="G5" s="1">
        <v>7.9399999999999998E-2</v>
      </c>
      <c r="H5" s="8">
        <v>-2627.1075799999999</v>
      </c>
      <c r="I5" s="8">
        <v>-2627.0138838399998</v>
      </c>
      <c r="J5" s="10">
        <f t="shared" si="0"/>
        <v>4.4257347504371385</v>
      </c>
      <c r="K5" s="10">
        <f t="shared" si="1"/>
        <v>4.1260975077879491</v>
      </c>
      <c r="L5" s="10">
        <f t="shared" si="2"/>
        <v>3.8535535676674262</v>
      </c>
      <c r="M5" s="6">
        <f t="shared" si="3"/>
        <v>1.6035871220916391</v>
      </c>
    </row>
    <row r="6" spans="1:13" x14ac:dyDescent="0.25">
      <c r="A6" s="11" t="s">
        <v>30</v>
      </c>
      <c r="B6" s="2" t="s">
        <v>34</v>
      </c>
      <c r="C6" s="8">
        <v>-2627.1189125000001</v>
      </c>
      <c r="D6" s="8">
        <v>-2626.9667030099999</v>
      </c>
      <c r="E6" s="10">
        <v>1.5495000000000001</v>
      </c>
      <c r="F6" s="8">
        <v>-2626.9791912699998</v>
      </c>
      <c r="G6" s="1">
        <v>1.3873</v>
      </c>
      <c r="H6" s="8">
        <v>-2627.1086704999998</v>
      </c>
      <c r="I6" s="8">
        <v>-2627.0216444900002</v>
      </c>
      <c r="J6" s="10">
        <f t="shared" si="0"/>
        <v>4.1418333161895937</v>
      </c>
      <c r="K6" s="10">
        <f t="shared" si="1"/>
        <v>3.802010278030294</v>
      </c>
      <c r="L6" s="10">
        <f t="shared" si="2"/>
        <v>3.5233111192224187</v>
      </c>
      <c r="M6" s="6">
        <f t="shared" si="3"/>
        <v>1.4950345888788665</v>
      </c>
    </row>
    <row r="7" spans="1:13" x14ac:dyDescent="0.25">
      <c r="A7" s="11" t="s">
        <v>23</v>
      </c>
      <c r="B7" s="2" t="s">
        <v>35</v>
      </c>
      <c r="C7" s="8">
        <v>-1827.3200141</v>
      </c>
      <c r="D7" s="8">
        <v>-1827.15728537</v>
      </c>
      <c r="E7" s="10">
        <v>0.4667</v>
      </c>
      <c r="F7" s="8">
        <v>-1827.1723718400001</v>
      </c>
      <c r="G7" s="1">
        <v>1E-3</v>
      </c>
      <c r="H7" s="8">
        <v>-1827.2775704999999</v>
      </c>
      <c r="I7" s="8">
        <v>-1827.20427477</v>
      </c>
      <c r="J7" s="10">
        <f t="shared" si="0"/>
        <v>4.4280765635227128</v>
      </c>
      <c r="K7" s="10">
        <f t="shared" si="1"/>
        <v>4.0175525937608469</v>
      </c>
      <c r="L7" s="10">
        <f t="shared" si="2"/>
        <v>2.8626028167189519</v>
      </c>
      <c r="M7" s="6">
        <f t="shared" si="3"/>
        <v>1.2786473591608025</v>
      </c>
    </row>
    <row r="8" spans="1:13" x14ac:dyDescent="0.25">
      <c r="A8" s="11" t="s">
        <v>28</v>
      </c>
      <c r="B8" s="2" t="s">
        <v>36</v>
      </c>
      <c r="C8" s="8">
        <v>-2519.7571993000001</v>
      </c>
      <c r="D8" s="8">
        <v>-2519.6050048400002</v>
      </c>
      <c r="E8" s="10">
        <v>1.8E-3</v>
      </c>
      <c r="F8" s="10">
        <v>-2519.6174228999998</v>
      </c>
      <c r="G8" s="8">
        <v>1E-4</v>
      </c>
      <c r="H8" s="10">
        <v>-2519.728537</v>
      </c>
      <c r="I8" s="8">
        <v>-2519.6443403500002</v>
      </c>
      <c r="J8" s="10">
        <f t="shared" si="0"/>
        <v>4.14142432884179</v>
      </c>
      <c r="K8" s="10">
        <f t="shared" si="1"/>
        <v>3.8035115309681848</v>
      </c>
      <c r="L8" s="10">
        <f t="shared" si="2"/>
        <v>3.023570220743335</v>
      </c>
      <c r="M8" s="6">
        <f t="shared" si="3"/>
        <v>1.0703742968140217</v>
      </c>
    </row>
    <row r="9" spans="1:13" x14ac:dyDescent="0.25">
      <c r="A9" s="11" t="s">
        <v>29</v>
      </c>
      <c r="B9" s="2" t="s">
        <v>37</v>
      </c>
      <c r="C9" s="8">
        <v>-2519.7566262999999</v>
      </c>
      <c r="D9" s="8">
        <v>-2519.60789183</v>
      </c>
      <c r="E9" s="10">
        <v>0.95809999999999995</v>
      </c>
      <c r="F9" s="10">
        <v>-2519.61443224</v>
      </c>
      <c r="G9" s="10">
        <v>0.99909999999999999</v>
      </c>
      <c r="H9" s="10">
        <v>-2519.7494436000002</v>
      </c>
      <c r="I9" s="10">
        <v>-2519.6475334100001</v>
      </c>
      <c r="J9" s="10">
        <f t="shared" si="0"/>
        <v>4.0472731569555096</v>
      </c>
      <c r="K9" s="10">
        <f t="shared" si="1"/>
        <v>3.8692994442795898</v>
      </c>
      <c r="L9" s="10">
        <f t="shared" si="2"/>
        <v>3.6738481215076746</v>
      </c>
      <c r="M9" s="6">
        <f t="shared" si="3"/>
        <v>1.0787028900141649</v>
      </c>
    </row>
    <row r="10" spans="1:13" x14ac:dyDescent="0.25">
      <c r="A10" s="11" t="s">
        <v>61</v>
      </c>
      <c r="B10" s="2" t="s">
        <v>62</v>
      </c>
      <c r="C10" s="1">
        <v>-3481.8827934999999</v>
      </c>
      <c r="D10" s="1">
        <v>-3481.74175079</v>
      </c>
      <c r="E10" s="10">
        <v>0.877</v>
      </c>
      <c r="F10" s="10">
        <v>-3481.7519758600001</v>
      </c>
      <c r="G10" s="1">
        <v>0.95760000000000001</v>
      </c>
      <c r="H10" s="10">
        <v>-3481.8734764999999</v>
      </c>
      <c r="I10" s="10">
        <v>-3481.7872558200002</v>
      </c>
      <c r="J10" s="10">
        <f t="shared" si="0"/>
        <v>3.8379695988930518</v>
      </c>
      <c r="K10" s="10">
        <f t="shared" si="1"/>
        <v>3.559731129090685</v>
      </c>
      <c r="L10" s="10">
        <f t="shared" si="2"/>
        <v>3.3062025152904124</v>
      </c>
      <c r="M10" s="6">
        <f t="shared" si="3"/>
        <v>1.2382555733470559</v>
      </c>
    </row>
    <row r="11" spans="1:13" x14ac:dyDescent="0.25">
      <c r="A11" s="11" t="s">
        <v>80</v>
      </c>
      <c r="B11" s="2" t="s">
        <v>81</v>
      </c>
      <c r="C11" s="1">
        <v>-4174.3318904999996</v>
      </c>
      <c r="D11" s="1">
        <v>-4174.1701703799999</v>
      </c>
      <c r="E11" s="10">
        <v>0.27400000000000002</v>
      </c>
      <c r="F11" s="10">
        <v>-4174.1941434199998</v>
      </c>
      <c r="G11" s="1">
        <v>0.8962</v>
      </c>
      <c r="H11" s="10">
        <v>-4174.3167222000002</v>
      </c>
      <c r="I11" s="10">
        <v>-4174.2294742200002</v>
      </c>
      <c r="J11" s="10">
        <f t="shared" si="0"/>
        <v>4.4006308733598321</v>
      </c>
      <c r="K11" s="10">
        <f t="shared" ref="K11:K12" si="4">(F11-C11)*27.2114</f>
        <v>3.748290892707276</v>
      </c>
      <c r="L11" s="10">
        <f t="shared" si="2"/>
        <v>3.3355402141019939</v>
      </c>
      <c r="M11" s="6">
        <f t="shared" si="3"/>
        <v>1.6137405117817551</v>
      </c>
    </row>
    <row r="12" spans="1:13" x14ac:dyDescent="0.25">
      <c r="A12" s="11" t="s">
        <v>64</v>
      </c>
      <c r="B12" s="2" t="s">
        <v>65</v>
      </c>
      <c r="C12" s="1">
        <v>-4174.3327417999999</v>
      </c>
      <c r="D12" s="1">
        <v>-4174.18536098</v>
      </c>
      <c r="E12" s="10">
        <v>1.9540999999999999</v>
      </c>
      <c r="F12" s="10">
        <v>-4174.2054831100004</v>
      </c>
      <c r="G12" s="1">
        <v>1.6609</v>
      </c>
      <c r="H12" s="20">
        <v>-4174.3200770000003</v>
      </c>
      <c r="I12" s="10">
        <v>-4174.2365744099998</v>
      </c>
      <c r="J12" s="10">
        <f t="shared" si="0"/>
        <v>4.0104384453439996</v>
      </c>
      <c r="K12" s="10">
        <f t="shared" si="4"/>
        <v>3.4628871170526021</v>
      </c>
      <c r="L12" s="10">
        <f t="shared" si="2"/>
        <v>3.1182601783439239</v>
      </c>
      <c r="M12" s="6">
        <f t="shared" si="3"/>
        <v>1.3935891290947677</v>
      </c>
    </row>
    <row r="15" spans="1:13" ht="19.5" x14ac:dyDescent="0.3">
      <c r="A15" s="2" t="s">
        <v>43</v>
      </c>
      <c r="B15" t="s">
        <v>71</v>
      </c>
      <c r="C15"/>
      <c r="D15"/>
    </row>
    <row r="16" spans="1:13" ht="19.5" x14ac:dyDescent="0.3">
      <c r="A16" s="2" t="s">
        <v>57</v>
      </c>
      <c r="B16" s="26" t="s">
        <v>70</v>
      </c>
      <c r="C16" s="26"/>
      <c r="D16" s="26"/>
    </row>
    <row r="17" spans="1:4" ht="17.25" x14ac:dyDescent="0.3">
      <c r="A17" s="2" t="s">
        <v>44</v>
      </c>
      <c r="B17" s="26" t="s">
        <v>69</v>
      </c>
      <c r="C17" s="26"/>
      <c r="D17" s="26"/>
    </row>
    <row r="18" spans="1:4" ht="17.25" x14ac:dyDescent="0.3">
      <c r="A18" s="2" t="s">
        <v>58</v>
      </c>
      <c r="B18" s="26" t="s">
        <v>72</v>
      </c>
      <c r="C18" s="26"/>
      <c r="D18" s="26"/>
    </row>
    <row r="19" spans="1:4" ht="19.5" x14ac:dyDescent="0.3">
      <c r="A19" s="2" t="s">
        <v>73</v>
      </c>
    </row>
    <row r="20" spans="1:4" ht="19.5" x14ac:dyDescent="0.3">
      <c r="A20" s="2" t="s">
        <v>74</v>
      </c>
    </row>
    <row r="21" spans="1:4" ht="19.5" x14ac:dyDescent="0.3">
      <c r="A21" s="2" t="s">
        <v>67</v>
      </c>
    </row>
    <row r="22" spans="1:4" ht="19.5" x14ac:dyDescent="0.3">
      <c r="A22" s="2" t="s">
        <v>68</v>
      </c>
    </row>
  </sheetData>
  <mergeCells count="5">
    <mergeCell ref="B18:D18"/>
    <mergeCell ref="C1:H1"/>
    <mergeCell ref="J1:L1"/>
    <mergeCell ref="B16:D16"/>
    <mergeCell ref="B17:D1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A56D-9DD8-43C2-9204-09E6ECE96295}">
  <dimension ref="A1:G10"/>
  <sheetViews>
    <sheetView workbookViewId="0">
      <selection activeCell="A8" sqref="A8"/>
    </sheetView>
  </sheetViews>
  <sheetFormatPr defaultRowHeight="15.75" x14ac:dyDescent="0.25"/>
  <cols>
    <col min="1" max="1" width="35.7109375" bestFit="1" customWidth="1"/>
    <col min="2" max="2" width="15.42578125" bestFit="1" customWidth="1"/>
    <col min="5" max="5" width="9.7109375" style="1" bestFit="1" customWidth="1"/>
    <col min="6" max="6" width="77.42578125" bestFit="1" customWidth="1"/>
  </cols>
  <sheetData>
    <row r="1" spans="1:7" s="4" customFormat="1" ht="17.25" x14ac:dyDescent="0.3">
      <c r="A1" s="18"/>
      <c r="B1" s="18"/>
      <c r="C1" s="9" t="s">
        <v>54</v>
      </c>
      <c r="D1" s="2" t="s">
        <v>13</v>
      </c>
      <c r="E1" s="2" t="s">
        <v>102</v>
      </c>
      <c r="F1" s="23" t="s">
        <v>101</v>
      </c>
    </row>
    <row r="2" spans="1:7" x14ac:dyDescent="0.25">
      <c r="A2" s="11" t="s">
        <v>21</v>
      </c>
      <c r="B2" s="2" t="s">
        <v>32</v>
      </c>
      <c r="C2" s="8">
        <v>0.70920000000000005</v>
      </c>
      <c r="D2" s="6">
        <f t="shared" ref="D2:D10" si="0">(1-10^(-C2))</f>
        <v>0.80465603436017441</v>
      </c>
      <c r="E2" s="1">
        <v>273</v>
      </c>
      <c r="F2" s="34" t="s">
        <v>95</v>
      </c>
      <c r="G2" s="28"/>
    </row>
    <row r="3" spans="1:7" x14ac:dyDescent="0.25">
      <c r="A3" s="11" t="s">
        <v>31</v>
      </c>
      <c r="B3" s="2" t="s">
        <v>33</v>
      </c>
      <c r="C3" s="8">
        <v>1E-4</v>
      </c>
      <c r="D3" s="6">
        <f t="shared" si="0"/>
        <v>2.3023200184335568E-4</v>
      </c>
      <c r="E3" s="1">
        <v>280</v>
      </c>
      <c r="F3" s="34" t="s">
        <v>96</v>
      </c>
      <c r="G3" s="28"/>
    </row>
    <row r="4" spans="1:7" x14ac:dyDescent="0.25">
      <c r="A4" s="11" t="s">
        <v>30</v>
      </c>
      <c r="B4" s="2" t="s">
        <v>34</v>
      </c>
      <c r="C4" s="8">
        <v>1.5495000000000001</v>
      </c>
      <c r="D4" s="6">
        <f t="shared" si="0"/>
        <v>0.97178370416909199</v>
      </c>
      <c r="E4" s="1">
        <v>299</v>
      </c>
      <c r="F4" s="34" t="s">
        <v>92</v>
      </c>
      <c r="G4" s="28"/>
    </row>
    <row r="5" spans="1:7" x14ac:dyDescent="0.25">
      <c r="A5" s="11" t="s">
        <v>23</v>
      </c>
      <c r="B5" s="2" t="s">
        <v>35</v>
      </c>
      <c r="C5" s="8">
        <v>0.4667</v>
      </c>
      <c r="D5" s="6">
        <f t="shared" si="0"/>
        <v>0.65857131924203127</v>
      </c>
      <c r="E5" s="1">
        <v>279</v>
      </c>
      <c r="F5" s="34" t="s">
        <v>97</v>
      </c>
      <c r="G5" s="28"/>
    </row>
    <row r="6" spans="1:7" x14ac:dyDescent="0.25">
      <c r="A6" s="11" t="s">
        <v>28</v>
      </c>
      <c r="B6" s="2" t="s">
        <v>36</v>
      </c>
      <c r="C6" s="1">
        <v>1.8E-3</v>
      </c>
      <c r="D6" s="6">
        <f t="shared" si="0"/>
        <v>4.1360759464106334E-3</v>
      </c>
      <c r="E6" s="1">
        <v>299</v>
      </c>
      <c r="F6" s="34" t="s">
        <v>98</v>
      </c>
      <c r="G6" s="28"/>
    </row>
    <row r="7" spans="1:7" x14ac:dyDescent="0.25">
      <c r="A7" s="11" t="s">
        <v>29</v>
      </c>
      <c r="B7" s="2" t="s">
        <v>37</v>
      </c>
      <c r="C7" s="8">
        <v>0.95809999999999995</v>
      </c>
      <c r="D7" s="6">
        <f t="shared" si="0"/>
        <v>0.88987143000589297</v>
      </c>
      <c r="E7" s="1">
        <v>306</v>
      </c>
      <c r="F7" s="34" t="s">
        <v>99</v>
      </c>
      <c r="G7" s="28"/>
    </row>
    <row r="8" spans="1:7" x14ac:dyDescent="0.25">
      <c r="A8" s="11" t="s">
        <v>61</v>
      </c>
      <c r="B8" s="2" t="s">
        <v>62</v>
      </c>
      <c r="C8" s="8">
        <v>0.877</v>
      </c>
      <c r="D8" s="6">
        <f t="shared" si="0"/>
        <v>0.86726055422702608</v>
      </c>
      <c r="E8" s="1">
        <v>323</v>
      </c>
      <c r="F8" s="34" t="s">
        <v>93</v>
      </c>
      <c r="G8" s="28"/>
    </row>
    <row r="9" spans="1:7" x14ac:dyDescent="0.25">
      <c r="A9" s="11" t="s">
        <v>80</v>
      </c>
      <c r="B9" s="2" t="s">
        <v>81</v>
      </c>
      <c r="C9" s="8">
        <v>0.27400000000000002</v>
      </c>
      <c r="D9" s="6">
        <f t="shared" si="0"/>
        <v>0.46789174073320583</v>
      </c>
      <c r="E9" s="1">
        <v>281</v>
      </c>
      <c r="F9" s="34" t="s">
        <v>100</v>
      </c>
      <c r="G9" s="28"/>
    </row>
    <row r="10" spans="1:7" x14ac:dyDescent="0.25">
      <c r="A10" s="11" t="s">
        <v>64</v>
      </c>
      <c r="B10" s="2" t="s">
        <v>65</v>
      </c>
      <c r="C10" s="8">
        <v>1.9540999999999999</v>
      </c>
      <c r="D10" s="6">
        <f t="shared" si="0"/>
        <v>0.98888524228939489</v>
      </c>
      <c r="E10" s="1">
        <v>309</v>
      </c>
      <c r="F10" s="34" t="s">
        <v>94</v>
      </c>
      <c r="G10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RESULTS</vt:lpstr>
      <vt:lpstr>IP(a)</vt:lpstr>
      <vt:lpstr>EA</vt:lpstr>
      <vt:lpstr>Molecular properties</vt:lpstr>
      <vt:lpstr>FF</vt:lpstr>
      <vt:lpstr>PCE(OSC)</vt:lpstr>
      <vt:lpstr>PCE(DSSC)</vt:lpstr>
      <vt:lpstr>Absorption-Emission</vt:lpstr>
      <vt:lpstr>LHE</vt:lpstr>
      <vt:lpstr>Driving-force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Nathália Magalhães Paixão</dc:creator>
  <cp:lastModifiedBy>Nathália Magalhães Paixão</cp:lastModifiedBy>
  <dcterms:created xsi:type="dcterms:W3CDTF">2023-01-17T12:39:21Z</dcterms:created>
  <dcterms:modified xsi:type="dcterms:W3CDTF">2024-08-13T19:23:38Z</dcterms:modified>
</cp:coreProperties>
</file>