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TRIAZINAS\"/>
    </mc:Choice>
  </mc:AlternateContent>
  <xr:revisionPtr revIDLastSave="0" documentId="13_ncr:1_{69AE1620-1B3A-473B-BF25-74CF123814F7}" xr6:coauthVersionLast="47" xr6:coauthVersionMax="47" xr10:uidLastSave="{00000000-0000-0000-0000-000000000000}"/>
  <bookViews>
    <workbookView xWindow="-20610" yWindow="-120" windowWidth="20730" windowHeight="11160" tabRatio="772" firstSheet="4" activeTab="11" xr2:uid="{AE77EB3E-F486-4329-AE31-94A5F757C227}"/>
  </bookViews>
  <sheets>
    <sheet name="RESULTS" sheetId="1" r:id="rId1"/>
    <sheet name="IP(a)" sheetId="6" r:id="rId2"/>
    <sheet name="EA" sheetId="7" r:id="rId3"/>
    <sheet name="Molecular properties" sheetId="20" r:id="rId4"/>
    <sheet name="FF" sheetId="31" r:id="rId5"/>
    <sheet name="PCE(OSC)" sheetId="25" r:id="rId6"/>
    <sheet name="PCE(DSSC)" sheetId="28" r:id="rId7"/>
    <sheet name="Absorption-Emission" sheetId="29" r:id="rId8"/>
    <sheet name="LHE-wb97xD" sheetId="42" r:id="rId9"/>
    <sheet name="LHE-B3LYP" sheetId="34" r:id="rId10"/>
    <sheet name="Driving-force" sheetId="36" r:id="rId11"/>
    <sheet name="Functional" sheetId="3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8" l="1"/>
  <c r="E6" i="38"/>
  <c r="E7" i="38"/>
  <c r="E8" i="38"/>
  <c r="E3" i="38"/>
  <c r="E4" i="38"/>
  <c r="N4" i="38"/>
  <c r="N5" i="38"/>
  <c r="N6" i="38"/>
  <c r="N7" i="38"/>
  <c r="N8" i="38"/>
  <c r="N9" i="38"/>
  <c r="N3" i="38"/>
  <c r="C5" i="38"/>
  <c r="C6" i="38"/>
  <c r="C7" i="38"/>
  <c r="C8" i="38"/>
  <c r="C3" i="38"/>
  <c r="C4" i="38"/>
  <c r="P4" i="38"/>
  <c r="P5" i="38"/>
  <c r="P6" i="38"/>
  <c r="P7" i="38"/>
  <c r="P8" i="38"/>
  <c r="P9" i="38"/>
  <c r="P3" i="38"/>
  <c r="O6" i="38"/>
  <c r="J30" i="25"/>
  <c r="J31" i="25"/>
  <c r="E27" i="7"/>
  <c r="D10" i="42"/>
  <c r="D9" i="42"/>
  <c r="D8" i="42"/>
  <c r="D7" i="42"/>
  <c r="D6" i="42"/>
  <c r="D5" i="42"/>
  <c r="D4" i="42"/>
  <c r="D3" i="42"/>
  <c r="D2" i="42"/>
  <c r="E28" i="6"/>
  <c r="J28" i="29"/>
  <c r="K20" i="1" s="1"/>
  <c r="L33" i="29"/>
  <c r="I37" i="29"/>
  <c r="I36" i="29"/>
  <c r="K33" i="29"/>
  <c r="K34" i="29"/>
  <c r="K35" i="29"/>
  <c r="K36" i="29"/>
  <c r="K37" i="29"/>
  <c r="J33" i="29"/>
  <c r="J21" i="36" s="1"/>
  <c r="J34" i="29"/>
  <c r="K26" i="1" s="1"/>
  <c r="J35" i="29"/>
  <c r="J23" i="36" s="1"/>
  <c r="J36" i="29"/>
  <c r="K28" i="1" s="1"/>
  <c r="J37" i="29"/>
  <c r="K29" i="1" s="1"/>
  <c r="L29" i="29"/>
  <c r="L30" i="29"/>
  <c r="L31" i="29"/>
  <c r="L32" i="29"/>
  <c r="L34" i="29"/>
  <c r="L35" i="29"/>
  <c r="L36" i="29"/>
  <c r="L37" i="29"/>
  <c r="L28" i="29"/>
  <c r="M3" i="29"/>
  <c r="J25" i="36" l="1"/>
  <c r="J24" i="36"/>
  <c r="K27" i="1"/>
  <c r="J22" i="36"/>
  <c r="K25" i="1"/>
  <c r="C25" i="36"/>
  <c r="G25" i="36" s="1"/>
  <c r="C24" i="36"/>
  <c r="I24" i="36" s="1"/>
  <c r="K24" i="36" s="1"/>
  <c r="C23" i="36"/>
  <c r="G23" i="36" s="1"/>
  <c r="C22" i="36"/>
  <c r="G22" i="36" s="1"/>
  <c r="C21" i="36"/>
  <c r="G21" i="36" s="1"/>
  <c r="C20" i="36"/>
  <c r="G20" i="36" s="1"/>
  <c r="C19" i="36"/>
  <c r="G19" i="36" s="1"/>
  <c r="C18" i="36"/>
  <c r="G18" i="36" s="1"/>
  <c r="C17" i="36"/>
  <c r="I17" i="36" s="1"/>
  <c r="I18" i="36"/>
  <c r="G17" i="36"/>
  <c r="G31" i="31"/>
  <c r="H31" i="31" s="1"/>
  <c r="D31" i="31"/>
  <c r="E31" i="31" s="1"/>
  <c r="G30" i="31"/>
  <c r="H30" i="31" s="1"/>
  <c r="D30" i="31"/>
  <c r="E30" i="31" s="1"/>
  <c r="G29" i="31"/>
  <c r="H29" i="31" s="1"/>
  <c r="D29" i="31"/>
  <c r="E29" i="31" s="1"/>
  <c r="G28" i="31"/>
  <c r="H28" i="31" s="1"/>
  <c r="D28" i="31"/>
  <c r="E28" i="31" s="1"/>
  <c r="G27" i="31"/>
  <c r="H27" i="31" s="1"/>
  <c r="D27" i="31"/>
  <c r="E27" i="31" s="1"/>
  <c r="G26" i="31"/>
  <c r="H26" i="31" s="1"/>
  <c r="D26" i="31"/>
  <c r="E26" i="31" s="1"/>
  <c r="G25" i="31"/>
  <c r="H25" i="31" s="1"/>
  <c r="D25" i="31"/>
  <c r="E25" i="31" s="1"/>
  <c r="G24" i="31"/>
  <c r="H24" i="31" s="1"/>
  <c r="D24" i="31"/>
  <c r="E24" i="31" s="1"/>
  <c r="G23" i="31"/>
  <c r="H23" i="31" s="1"/>
  <c r="D23" i="31"/>
  <c r="E23" i="31" s="1"/>
  <c r="G22" i="31"/>
  <c r="H22" i="31" s="1"/>
  <c r="D22" i="31"/>
  <c r="E22" i="31" s="1"/>
  <c r="E20" i="28"/>
  <c r="E29" i="28"/>
  <c r="E28" i="28"/>
  <c r="E27" i="28"/>
  <c r="E26" i="28"/>
  <c r="E25" i="28"/>
  <c r="E24" i="28"/>
  <c r="E23" i="28"/>
  <c r="E22" i="28"/>
  <c r="E21" i="28"/>
  <c r="D31" i="25"/>
  <c r="C31" i="25"/>
  <c r="E31" i="25" s="1"/>
  <c r="I31" i="25" s="1"/>
  <c r="D30" i="25"/>
  <c r="C30" i="25"/>
  <c r="E30" i="25" s="1"/>
  <c r="I30" i="25" s="1"/>
  <c r="D29" i="25"/>
  <c r="C29" i="25"/>
  <c r="E29" i="25" s="1"/>
  <c r="I29" i="25" s="1"/>
  <c r="J29" i="25" s="1"/>
  <c r="D28" i="25"/>
  <c r="C28" i="25"/>
  <c r="E28" i="25" s="1"/>
  <c r="I28" i="25" s="1"/>
  <c r="J28" i="25" s="1"/>
  <c r="D27" i="25"/>
  <c r="C27" i="25"/>
  <c r="D26" i="25"/>
  <c r="C26" i="25"/>
  <c r="E26" i="25" s="1"/>
  <c r="I26" i="25" s="1"/>
  <c r="J26" i="25" s="1"/>
  <c r="D25" i="25"/>
  <c r="C25" i="25"/>
  <c r="E25" i="25" s="1"/>
  <c r="I25" i="25" s="1"/>
  <c r="J25" i="25" s="1"/>
  <c r="D24" i="25"/>
  <c r="C24" i="25"/>
  <c r="E24" i="25" s="1"/>
  <c r="I24" i="25" s="1"/>
  <c r="J24" i="25" s="1"/>
  <c r="D23" i="25"/>
  <c r="C23" i="25"/>
  <c r="E23" i="25" s="1"/>
  <c r="I23" i="25" s="1"/>
  <c r="J23" i="25" s="1"/>
  <c r="D22" i="25"/>
  <c r="C22" i="25"/>
  <c r="E22" i="25" s="1"/>
  <c r="I22" i="25" s="1"/>
  <c r="J22" i="25" s="1"/>
  <c r="E27" i="25"/>
  <c r="I27" i="25" s="1"/>
  <c r="J27" i="25" s="1"/>
  <c r="K31" i="29"/>
  <c r="K30" i="29"/>
  <c r="K32" i="29"/>
  <c r="J30" i="29"/>
  <c r="J31" i="29"/>
  <c r="J32" i="29"/>
  <c r="J20" i="36" s="1"/>
  <c r="D24" i="36"/>
  <c r="I32" i="29"/>
  <c r="D20" i="36" s="1"/>
  <c r="I33" i="29"/>
  <c r="D21" i="36" s="1"/>
  <c r="I34" i="29"/>
  <c r="D22" i="36" s="1"/>
  <c r="I35" i="29"/>
  <c r="D23" i="36" s="1"/>
  <c r="D25" i="36"/>
  <c r="I31" i="29"/>
  <c r="D19" i="36" s="1"/>
  <c r="I30" i="29"/>
  <c r="D18" i="36" s="1"/>
  <c r="D28" i="1"/>
  <c r="C28" i="1"/>
  <c r="D23" i="1"/>
  <c r="C23" i="1"/>
  <c r="D22" i="1"/>
  <c r="C22" i="1"/>
  <c r="N22" i="1" s="1"/>
  <c r="K28" i="29"/>
  <c r="G22" i="25"/>
  <c r="I28" i="29"/>
  <c r="E20" i="6"/>
  <c r="F20" i="6" s="1"/>
  <c r="E19" i="7"/>
  <c r="F19" i="7" s="1"/>
  <c r="K22" i="1"/>
  <c r="E21" i="7"/>
  <c r="F21" i="7" s="1"/>
  <c r="I22" i="1" s="1"/>
  <c r="E22" i="7"/>
  <c r="F22" i="7" s="1"/>
  <c r="I23" i="1" s="1"/>
  <c r="E23" i="7"/>
  <c r="F23" i="7" s="1"/>
  <c r="E24" i="7"/>
  <c r="F24" i="7" s="1"/>
  <c r="I25" i="1" s="1"/>
  <c r="E25" i="7"/>
  <c r="F25" i="7" s="1"/>
  <c r="I26" i="1" s="1"/>
  <c r="E26" i="7"/>
  <c r="F26" i="7" s="1"/>
  <c r="I27" i="1" s="1"/>
  <c r="F27" i="7"/>
  <c r="I28" i="1" s="1"/>
  <c r="E28" i="7"/>
  <c r="F28" i="7" s="1"/>
  <c r="I29" i="1" s="1"/>
  <c r="D29" i="1"/>
  <c r="C29" i="1"/>
  <c r="N29" i="1" s="1"/>
  <c r="K29" i="29"/>
  <c r="L3" i="29"/>
  <c r="J29" i="29"/>
  <c r="K21" i="1" s="1"/>
  <c r="I29" i="29"/>
  <c r="D17" i="36" s="1"/>
  <c r="J3" i="29"/>
  <c r="K3" i="29"/>
  <c r="K4" i="29"/>
  <c r="J4" i="29"/>
  <c r="F26" i="6"/>
  <c r="H26" i="1" s="1"/>
  <c r="E22" i="6"/>
  <c r="F22" i="6" s="1"/>
  <c r="H22" i="1" s="1"/>
  <c r="E23" i="6"/>
  <c r="F23" i="6" s="1"/>
  <c r="H23" i="1" s="1"/>
  <c r="E24" i="6"/>
  <c r="F24" i="6" s="1"/>
  <c r="C24" i="20" s="1"/>
  <c r="E25" i="6"/>
  <c r="F25" i="6" s="1"/>
  <c r="H25" i="1" s="1"/>
  <c r="E26" i="6"/>
  <c r="E27" i="6"/>
  <c r="F27" i="6" s="1"/>
  <c r="F28" i="6"/>
  <c r="H28" i="1" s="1"/>
  <c r="E29" i="6"/>
  <c r="F29" i="6" s="1"/>
  <c r="H29" i="1" s="1"/>
  <c r="D20" i="1"/>
  <c r="C20" i="1"/>
  <c r="D21" i="1"/>
  <c r="E21" i="1" s="1"/>
  <c r="C21" i="1"/>
  <c r="N21" i="1" s="1"/>
  <c r="E21" i="6"/>
  <c r="F21" i="6" s="1"/>
  <c r="E20" i="7"/>
  <c r="F20" i="7" s="1"/>
  <c r="E11" i="7"/>
  <c r="D27" i="1"/>
  <c r="C27" i="1"/>
  <c r="N27" i="1" s="1"/>
  <c r="C26" i="1"/>
  <c r="N26" i="1" s="1"/>
  <c r="D26" i="1"/>
  <c r="D25" i="1"/>
  <c r="C25" i="1"/>
  <c r="N25" i="1" s="1"/>
  <c r="D24" i="1"/>
  <c r="C24" i="1"/>
  <c r="N24" i="1" s="1"/>
  <c r="E22" i="1" l="1"/>
  <c r="K23" i="1"/>
  <c r="J19" i="36"/>
  <c r="G22" i="28"/>
  <c r="J18" i="36"/>
  <c r="K18" i="36" s="1"/>
  <c r="I20" i="36"/>
  <c r="K20" i="36" s="1"/>
  <c r="H23" i="36"/>
  <c r="G24" i="36"/>
  <c r="D20" i="20"/>
  <c r="I20" i="20" s="1"/>
  <c r="I20" i="1"/>
  <c r="I25" i="36"/>
  <c r="K25" i="36" s="1"/>
  <c r="C20" i="20"/>
  <c r="H20" i="1"/>
  <c r="G23" i="25"/>
  <c r="J17" i="36"/>
  <c r="K17" i="36" s="1"/>
  <c r="G24" i="25"/>
  <c r="H24" i="1"/>
  <c r="J24" i="1" s="1"/>
  <c r="L24" i="1" s="1"/>
  <c r="C27" i="20"/>
  <c r="H27" i="1"/>
  <c r="J27" i="1" s="1"/>
  <c r="L27" i="1" s="1"/>
  <c r="D21" i="20"/>
  <c r="I21" i="1"/>
  <c r="H21" i="1"/>
  <c r="C21" i="20"/>
  <c r="I24" i="1"/>
  <c r="D24" i="20"/>
  <c r="E24" i="20" s="1"/>
  <c r="G24" i="20" s="1"/>
  <c r="E20" i="1"/>
  <c r="N20" i="1"/>
  <c r="M20" i="1"/>
  <c r="O20" i="1"/>
  <c r="O25" i="1"/>
  <c r="M25" i="1"/>
  <c r="N28" i="1"/>
  <c r="E25" i="1"/>
  <c r="O28" i="1"/>
  <c r="M28" i="1"/>
  <c r="M21" i="1"/>
  <c r="O21" i="1"/>
  <c r="M29" i="1"/>
  <c r="O29" i="1"/>
  <c r="G31" i="25"/>
  <c r="E29" i="1"/>
  <c r="G30" i="25"/>
  <c r="G24" i="28"/>
  <c r="C26" i="20"/>
  <c r="E26" i="20" s="1"/>
  <c r="G26" i="20" s="1"/>
  <c r="G29" i="25"/>
  <c r="G23" i="28"/>
  <c r="C25" i="20"/>
  <c r="D23" i="20"/>
  <c r="G28" i="25"/>
  <c r="D22" i="20"/>
  <c r="G27" i="25"/>
  <c r="G21" i="28"/>
  <c r="C23" i="20"/>
  <c r="G26" i="25"/>
  <c r="C22" i="20"/>
  <c r="E22" i="20" s="1"/>
  <c r="F22" i="20" s="1"/>
  <c r="G25" i="25"/>
  <c r="G20" i="28"/>
  <c r="G29" i="28"/>
  <c r="D29" i="20"/>
  <c r="M24" i="1"/>
  <c r="O24" i="1"/>
  <c r="O22" i="1"/>
  <c r="M22" i="1"/>
  <c r="G28" i="28"/>
  <c r="D28" i="20"/>
  <c r="I21" i="36"/>
  <c r="K21" i="36" s="1"/>
  <c r="O27" i="1"/>
  <c r="M27" i="1"/>
  <c r="G27" i="28"/>
  <c r="C29" i="20"/>
  <c r="D27" i="20"/>
  <c r="E27" i="1"/>
  <c r="E24" i="1"/>
  <c r="E23" i="1"/>
  <c r="N23" i="1"/>
  <c r="O23" i="1"/>
  <c r="M23" i="1"/>
  <c r="M26" i="1"/>
  <c r="O26" i="1"/>
  <c r="G26" i="28"/>
  <c r="C28" i="20"/>
  <c r="D26" i="20"/>
  <c r="E26" i="1"/>
  <c r="G25" i="28"/>
  <c r="D25" i="20"/>
  <c r="I22" i="36"/>
  <c r="K22" i="36" s="1"/>
  <c r="H20" i="36"/>
  <c r="E20" i="36"/>
  <c r="F20" i="36" s="1"/>
  <c r="I23" i="36"/>
  <c r="K23" i="36" s="1"/>
  <c r="E23" i="36"/>
  <c r="F23" i="36" s="1"/>
  <c r="H19" i="36"/>
  <c r="H18" i="36"/>
  <c r="E19" i="36"/>
  <c r="F19" i="36" s="1"/>
  <c r="I19" i="36"/>
  <c r="H22" i="36"/>
  <c r="H25" i="36"/>
  <c r="H17" i="36"/>
  <c r="E18" i="36"/>
  <c r="F18" i="36" s="1"/>
  <c r="H21" i="36"/>
  <c r="E22" i="36"/>
  <c r="F22" i="36" s="1"/>
  <c r="H24" i="36"/>
  <c r="E25" i="36"/>
  <c r="F25" i="36" s="1"/>
  <c r="E17" i="36"/>
  <c r="F17" i="36" s="1"/>
  <c r="E21" i="36"/>
  <c r="F21" i="36" s="1"/>
  <c r="E24" i="36"/>
  <c r="F24" i="36" s="1"/>
  <c r="E27" i="20"/>
  <c r="G27" i="20" s="1"/>
  <c r="I27" i="20"/>
  <c r="I21" i="28"/>
  <c r="J21" i="28" s="1"/>
  <c r="I25" i="28"/>
  <c r="J25" i="28" s="1"/>
  <c r="I29" i="28"/>
  <c r="J29" i="28" s="1"/>
  <c r="I23" i="28"/>
  <c r="J23" i="28" s="1"/>
  <c r="I27" i="28"/>
  <c r="J27" i="28" s="1"/>
  <c r="I22" i="28"/>
  <c r="J22" i="28" s="1"/>
  <c r="I24" i="28"/>
  <c r="J24" i="28" s="1"/>
  <c r="I26" i="28"/>
  <c r="J26" i="28" s="1"/>
  <c r="I28" i="28"/>
  <c r="J28" i="28" s="1"/>
  <c r="I20" i="28"/>
  <c r="J20" i="28" s="1"/>
  <c r="J29" i="1"/>
  <c r="L29" i="1" s="1"/>
  <c r="J28" i="1"/>
  <c r="L28" i="1" s="1"/>
  <c r="K24" i="1"/>
  <c r="J26" i="1"/>
  <c r="L26" i="1" s="1"/>
  <c r="J23" i="1"/>
  <c r="L23" i="1" s="1"/>
  <c r="E28" i="1"/>
  <c r="J22" i="1"/>
  <c r="L22" i="1" s="1"/>
  <c r="J25" i="1"/>
  <c r="L25" i="1" s="1"/>
  <c r="E23" i="20" l="1"/>
  <c r="H23" i="20" s="1"/>
  <c r="F27" i="20"/>
  <c r="K19" i="36"/>
  <c r="E20" i="20"/>
  <c r="G20" i="20" s="1"/>
  <c r="J20" i="1"/>
  <c r="L20" i="1" s="1"/>
  <c r="I21" i="20"/>
  <c r="E29" i="20"/>
  <c r="F29" i="20" s="1"/>
  <c r="E28" i="20"/>
  <c r="H28" i="20" s="1"/>
  <c r="I26" i="20"/>
  <c r="I22" i="20"/>
  <c r="H24" i="20"/>
  <c r="J21" i="1"/>
  <c r="L21" i="1" s="1"/>
  <c r="E21" i="20"/>
  <c r="E25" i="20"/>
  <c r="H25" i="20" s="1"/>
  <c r="I28" i="20"/>
  <c r="I24" i="20"/>
  <c r="F24" i="20"/>
  <c r="I23" i="20"/>
  <c r="I29" i="20"/>
  <c r="I25" i="20"/>
  <c r="G22" i="20"/>
  <c r="H29" i="20"/>
  <c r="G28" i="20"/>
  <c r="H27" i="20"/>
  <c r="H22" i="20"/>
  <c r="F20" i="20"/>
  <c r="H20" i="20"/>
  <c r="F26" i="20"/>
  <c r="G23" i="20"/>
  <c r="H26" i="20"/>
  <c r="F23" i="20"/>
  <c r="O8" i="38"/>
  <c r="M8" i="38"/>
  <c r="O7" i="38"/>
  <c r="M7" i="38"/>
  <c r="M6" i="38"/>
  <c r="O5" i="38"/>
  <c r="M5" i="38"/>
  <c r="O4" i="38"/>
  <c r="M4" i="38"/>
  <c r="Q9" i="38"/>
  <c r="O3" i="38"/>
  <c r="M3" i="38"/>
  <c r="D8" i="38"/>
  <c r="B8" i="38"/>
  <c r="D5" i="38"/>
  <c r="B5" i="38"/>
  <c r="D6" i="38"/>
  <c r="B6" i="38"/>
  <c r="D7" i="38"/>
  <c r="B7" i="38"/>
  <c r="D4" i="38"/>
  <c r="B4" i="38"/>
  <c r="D3" i="38"/>
  <c r="B3" i="38"/>
  <c r="D3" i="34"/>
  <c r="I9" i="36"/>
  <c r="K9" i="36" s="1"/>
  <c r="E3" i="25"/>
  <c r="H9" i="36"/>
  <c r="E9" i="36"/>
  <c r="F9" i="36" s="1"/>
  <c r="C3" i="36"/>
  <c r="I3" i="36" s="1"/>
  <c r="K3" i="36" s="1"/>
  <c r="C4" i="36"/>
  <c r="E4" i="36" s="1"/>
  <c r="F4" i="36" s="1"/>
  <c r="C5" i="36"/>
  <c r="I5" i="36" s="1"/>
  <c r="K5" i="36" s="1"/>
  <c r="C6" i="36"/>
  <c r="E6" i="36" s="1"/>
  <c r="F6" i="36" s="1"/>
  <c r="C7" i="36"/>
  <c r="H7" i="36" s="1"/>
  <c r="C8" i="36"/>
  <c r="E8" i="36" s="1"/>
  <c r="F8" i="36" s="1"/>
  <c r="C10" i="36"/>
  <c r="E10" i="36" s="1"/>
  <c r="F10" i="36" s="1"/>
  <c r="C11" i="36"/>
  <c r="E11" i="36" s="1"/>
  <c r="F11" i="36" s="1"/>
  <c r="M4" i="29"/>
  <c r="M5" i="29"/>
  <c r="M6" i="29"/>
  <c r="M7" i="29"/>
  <c r="M8" i="29"/>
  <c r="M9" i="29"/>
  <c r="M10" i="29"/>
  <c r="M11" i="29"/>
  <c r="M12" i="29"/>
  <c r="K3" i="1"/>
  <c r="D12" i="31"/>
  <c r="E12" i="31" s="1"/>
  <c r="E12" i="25"/>
  <c r="E10" i="25"/>
  <c r="E3" i="28"/>
  <c r="D4" i="34"/>
  <c r="D5" i="34"/>
  <c r="D6" i="34"/>
  <c r="D7" i="34"/>
  <c r="D8" i="34"/>
  <c r="D9" i="34"/>
  <c r="D10" i="34"/>
  <c r="D2" i="34"/>
  <c r="D12" i="28"/>
  <c r="C12" i="28"/>
  <c r="D11" i="28"/>
  <c r="E11" i="28" s="1"/>
  <c r="C11" i="28"/>
  <c r="L11" i="29"/>
  <c r="L12" i="29"/>
  <c r="K11" i="29"/>
  <c r="K11" i="1" s="1"/>
  <c r="K12" i="29"/>
  <c r="K12" i="1" s="1"/>
  <c r="J11" i="29"/>
  <c r="E10" i="7"/>
  <c r="F10" i="7" s="1"/>
  <c r="I11" i="1" s="1"/>
  <c r="E11" i="6"/>
  <c r="F11" i="6" s="1"/>
  <c r="H11" i="1" s="1"/>
  <c r="G12" i="31"/>
  <c r="H12" i="31" s="1"/>
  <c r="F11" i="28" s="1"/>
  <c r="D11" i="25"/>
  <c r="C11" i="25"/>
  <c r="E11" i="25" s="1"/>
  <c r="D11" i="1"/>
  <c r="C11" i="1"/>
  <c r="L10" i="29"/>
  <c r="K10" i="29"/>
  <c r="K10" i="1" s="1"/>
  <c r="E4" i="6"/>
  <c r="F4" i="6" s="1"/>
  <c r="E2" i="7"/>
  <c r="K9" i="29"/>
  <c r="K9" i="1" s="1"/>
  <c r="F11" i="7"/>
  <c r="I12" i="1" s="1"/>
  <c r="E12" i="6"/>
  <c r="F12" i="6" s="1"/>
  <c r="C12" i="20" s="1"/>
  <c r="G13" i="31"/>
  <c r="H13" i="31" s="1"/>
  <c r="F12" i="28" s="1"/>
  <c r="D13" i="31"/>
  <c r="E13" i="31" s="1"/>
  <c r="J10" i="29"/>
  <c r="J12" i="29"/>
  <c r="D12" i="1"/>
  <c r="D9" i="1"/>
  <c r="C12" i="1"/>
  <c r="C9" i="1"/>
  <c r="E10" i="6"/>
  <c r="F10" i="6" s="1"/>
  <c r="E9" i="7"/>
  <c r="F9" i="7" s="1"/>
  <c r="G5" i="31"/>
  <c r="H5" i="31" s="1"/>
  <c r="G6" i="31"/>
  <c r="H6" i="31" s="1"/>
  <c r="G7" i="31"/>
  <c r="H7" i="31" s="1"/>
  <c r="G8" i="31"/>
  <c r="H8" i="31" s="1"/>
  <c r="G9" i="31"/>
  <c r="H9" i="31" s="1"/>
  <c r="G10" i="31"/>
  <c r="H10" i="31" s="1"/>
  <c r="G11" i="31"/>
  <c r="H11" i="31" s="1"/>
  <c r="G4" i="31"/>
  <c r="H4" i="31" s="1"/>
  <c r="D4" i="31"/>
  <c r="E4" i="31" s="1"/>
  <c r="E10" i="28"/>
  <c r="D11" i="31"/>
  <c r="E11" i="31" s="1"/>
  <c r="E10" i="1"/>
  <c r="F28" i="20" l="1"/>
  <c r="G29" i="20"/>
  <c r="J11" i="1"/>
  <c r="F25" i="20"/>
  <c r="H21" i="20"/>
  <c r="F21" i="20"/>
  <c r="G21" i="20"/>
  <c r="H10" i="36"/>
  <c r="E11" i="1"/>
  <c r="G25" i="20"/>
  <c r="G3" i="36"/>
  <c r="H6" i="36"/>
  <c r="I11" i="36"/>
  <c r="K11" i="36" s="1"/>
  <c r="I6" i="36"/>
  <c r="K6" i="36" s="1"/>
  <c r="H4" i="36"/>
  <c r="E5" i="36"/>
  <c r="F5" i="36" s="1"/>
  <c r="H11" i="36"/>
  <c r="H5" i="36"/>
  <c r="I10" i="36"/>
  <c r="K10" i="36" s="1"/>
  <c r="I7" i="36"/>
  <c r="K7" i="36" s="1"/>
  <c r="H3" i="36"/>
  <c r="F6" i="38"/>
  <c r="Q5" i="38"/>
  <c r="F8" i="38"/>
  <c r="F4" i="38"/>
  <c r="F3" i="38"/>
  <c r="Q8" i="38"/>
  <c r="Q3" i="38"/>
  <c r="F7" i="38"/>
  <c r="Q6" i="38"/>
  <c r="Q7" i="38"/>
  <c r="Q4" i="38"/>
  <c r="F5" i="38"/>
  <c r="E7" i="36"/>
  <c r="F7" i="36" s="1"/>
  <c r="G6" i="36"/>
  <c r="L11" i="1"/>
  <c r="E3" i="36"/>
  <c r="F3" i="36" s="1"/>
  <c r="H8" i="36"/>
  <c r="I11" i="28"/>
  <c r="J11" i="28" s="1"/>
  <c r="I8" i="36"/>
  <c r="K8" i="36" s="1"/>
  <c r="H12" i="1"/>
  <c r="J12" i="1" s="1"/>
  <c r="L12" i="1" s="1"/>
  <c r="I4" i="36"/>
  <c r="K4" i="36" s="1"/>
  <c r="G11" i="36"/>
  <c r="G8" i="36"/>
  <c r="G9" i="36"/>
  <c r="G10" i="36"/>
  <c r="G7" i="36"/>
  <c r="G5" i="36"/>
  <c r="G4" i="36"/>
  <c r="E12" i="28"/>
  <c r="I12" i="28" s="1"/>
  <c r="J12" i="28" s="1"/>
  <c r="D12" i="20"/>
  <c r="E12" i="20" s="1"/>
  <c r="H12" i="20" s="1"/>
  <c r="D11" i="20"/>
  <c r="I10" i="1"/>
  <c r="D10" i="20"/>
  <c r="H10" i="1"/>
  <c r="C10" i="20"/>
  <c r="C11" i="20"/>
  <c r="E12" i="1"/>
  <c r="F8" i="28"/>
  <c r="F4" i="28"/>
  <c r="F3" i="28"/>
  <c r="I3" i="28" s="1"/>
  <c r="J3" i="28" s="1"/>
  <c r="F7" i="28"/>
  <c r="F6" i="28"/>
  <c r="F10" i="28"/>
  <c r="I10" i="28" s="1"/>
  <c r="J10" i="28" s="1"/>
  <c r="F9" i="28"/>
  <c r="F5" i="28"/>
  <c r="L7" i="29"/>
  <c r="L8" i="29"/>
  <c r="K7" i="29"/>
  <c r="K7" i="1" s="1"/>
  <c r="K8" i="29"/>
  <c r="K8" i="1" s="1"/>
  <c r="L6" i="29"/>
  <c r="K5" i="29"/>
  <c r="K5" i="1" s="1"/>
  <c r="K6" i="29"/>
  <c r="K6" i="1" s="1"/>
  <c r="L5" i="29"/>
  <c r="J8" i="29"/>
  <c r="J9" i="29"/>
  <c r="J10" i="1" l="1"/>
  <c r="L10" i="1" s="1"/>
  <c r="I12" i="20"/>
  <c r="I10" i="20"/>
  <c r="E10" i="20"/>
  <c r="G10" i="20" s="1"/>
  <c r="G12" i="20"/>
  <c r="F12" i="20"/>
  <c r="E11" i="20"/>
  <c r="F11" i="20" s="1"/>
  <c r="I11" i="20"/>
  <c r="E4" i="28"/>
  <c r="E5" i="28"/>
  <c r="E6" i="28"/>
  <c r="E7" i="28"/>
  <c r="E8" i="28"/>
  <c r="E9" i="28"/>
  <c r="D5" i="31"/>
  <c r="E5" i="31" s="1"/>
  <c r="D6" i="31"/>
  <c r="E6" i="31" s="1"/>
  <c r="D7" i="31"/>
  <c r="E7" i="31" s="1"/>
  <c r="D8" i="31"/>
  <c r="E8" i="31" s="1"/>
  <c r="D9" i="31"/>
  <c r="E9" i="31" s="1"/>
  <c r="D10" i="31"/>
  <c r="E10" i="31" s="1"/>
  <c r="H11" i="20" l="1"/>
  <c r="G11" i="20"/>
  <c r="H10" i="20"/>
  <c r="F10" i="20"/>
  <c r="I8" i="28"/>
  <c r="J8" i="28" s="1"/>
  <c r="I4" i="28"/>
  <c r="J4" i="28" s="1"/>
  <c r="I7" i="28"/>
  <c r="J7" i="28" s="1"/>
  <c r="I9" i="28"/>
  <c r="J9" i="28" s="1"/>
  <c r="I5" i="28"/>
  <c r="J5" i="28" s="1"/>
  <c r="I6" i="28"/>
  <c r="J6" i="28" s="1"/>
  <c r="D9" i="25" l="1"/>
  <c r="C9" i="25"/>
  <c r="E9" i="25" s="1"/>
  <c r="D8" i="25"/>
  <c r="C8" i="25"/>
  <c r="E8" i="25" s="1"/>
  <c r="D7" i="25"/>
  <c r="C7" i="25"/>
  <c r="E7" i="25" s="1"/>
  <c r="D6" i="25"/>
  <c r="C6" i="25"/>
  <c r="E6" i="25" s="1"/>
  <c r="D5" i="25"/>
  <c r="C5" i="25"/>
  <c r="E5" i="25" s="1"/>
  <c r="D4" i="25"/>
  <c r="C4" i="25"/>
  <c r="E4" i="25" s="1"/>
  <c r="D8" i="1"/>
  <c r="C8" i="1"/>
  <c r="L9" i="29"/>
  <c r="J6" i="29"/>
  <c r="J7" i="29"/>
  <c r="L4" i="29"/>
  <c r="E6" i="7"/>
  <c r="F6" i="7" s="1"/>
  <c r="E7" i="7"/>
  <c r="F7" i="7" s="1"/>
  <c r="E8" i="7"/>
  <c r="F8" i="7" s="1"/>
  <c r="E5" i="7"/>
  <c r="F5" i="7" s="1"/>
  <c r="D6" i="20" s="1"/>
  <c r="I3" i="25" l="1"/>
  <c r="I11" i="25"/>
  <c r="J11" i="25" s="1"/>
  <c r="D9" i="20"/>
  <c r="I9" i="1"/>
  <c r="I10" i="25"/>
  <c r="J10" i="25" s="1"/>
  <c r="I12" i="25"/>
  <c r="J12" i="25" s="1"/>
  <c r="E8" i="1"/>
  <c r="J3" i="25"/>
  <c r="E9" i="1"/>
  <c r="D7" i="20"/>
  <c r="I7" i="1"/>
  <c r="I6" i="1"/>
  <c r="I8" i="1"/>
  <c r="D8" i="20"/>
  <c r="J5" i="29"/>
  <c r="E4" i="7"/>
  <c r="F4" i="7" s="1"/>
  <c r="E5" i="6"/>
  <c r="F5" i="6" s="1"/>
  <c r="E6" i="6"/>
  <c r="F6" i="6" s="1"/>
  <c r="E7" i="6"/>
  <c r="F7" i="6" s="1"/>
  <c r="E8" i="6"/>
  <c r="F8" i="6" s="1"/>
  <c r="E9" i="6"/>
  <c r="F9" i="6" s="1"/>
  <c r="D7" i="1"/>
  <c r="C7" i="1"/>
  <c r="D6" i="1"/>
  <c r="C6" i="1"/>
  <c r="D5" i="1"/>
  <c r="C5" i="1"/>
  <c r="K4" i="1"/>
  <c r="E3" i="7"/>
  <c r="F3" i="7" s="1"/>
  <c r="D4" i="1"/>
  <c r="C4" i="1"/>
  <c r="F2" i="7"/>
  <c r="E3" i="6"/>
  <c r="F3" i="6" s="1"/>
  <c r="E3" i="1"/>
  <c r="I8" i="25" l="1"/>
  <c r="I6" i="25"/>
  <c r="I9" i="25"/>
  <c r="I7" i="25"/>
  <c r="I5" i="25"/>
  <c r="I4" i="25"/>
  <c r="E7" i="1"/>
  <c r="E6" i="1"/>
  <c r="E5" i="1"/>
  <c r="E4" i="1"/>
  <c r="D5" i="20"/>
  <c r="I5" i="1"/>
  <c r="C6" i="20"/>
  <c r="H6" i="1"/>
  <c r="J6" i="1" s="1"/>
  <c r="L6" i="1" s="1"/>
  <c r="C5" i="20"/>
  <c r="H5" i="1"/>
  <c r="C9" i="20"/>
  <c r="I9" i="20" s="1"/>
  <c r="H9" i="1"/>
  <c r="J9" i="1" s="1"/>
  <c r="L9" i="1" s="1"/>
  <c r="I4" i="1"/>
  <c r="D4" i="20"/>
  <c r="H4" i="1"/>
  <c r="C4" i="20"/>
  <c r="H7" i="1"/>
  <c r="J7" i="1" s="1"/>
  <c r="L7" i="1" s="1"/>
  <c r="C7" i="20"/>
  <c r="I7" i="20" s="1"/>
  <c r="H8" i="1"/>
  <c r="C8" i="20"/>
  <c r="H3" i="1"/>
  <c r="C3" i="20"/>
  <c r="I3" i="1"/>
  <c r="D3" i="20"/>
  <c r="J3" i="1" l="1"/>
  <c r="L3" i="1" s="1"/>
  <c r="J4" i="1"/>
  <c r="L4" i="1" s="1"/>
  <c r="J8" i="1"/>
  <c r="L8" i="1" s="1"/>
  <c r="J5" i="1"/>
  <c r="L5" i="1" s="1"/>
  <c r="J7" i="25"/>
  <c r="J8" i="25"/>
  <c r="J5" i="25"/>
  <c r="J9" i="25"/>
  <c r="J6" i="25"/>
  <c r="J4" i="25"/>
  <c r="I6" i="20"/>
  <c r="E6" i="20"/>
  <c r="G6" i="20" s="1"/>
  <c r="E9" i="20"/>
  <c r="H9" i="20" s="1"/>
  <c r="E7" i="20"/>
  <c r="I4" i="20"/>
  <c r="E4" i="20"/>
  <c r="G4" i="20" s="1"/>
  <c r="I5" i="20"/>
  <c r="E5" i="20"/>
  <c r="F5" i="20" s="1"/>
  <c r="E8" i="20"/>
  <c r="G8" i="20" s="1"/>
  <c r="I8" i="20"/>
  <c r="I3" i="20"/>
  <c r="E3" i="20"/>
  <c r="G3" i="20" s="1"/>
  <c r="F4" i="20" l="1"/>
  <c r="F9" i="20"/>
  <c r="H6" i="20"/>
  <c r="G9" i="20"/>
  <c r="H5" i="20"/>
  <c r="H7" i="20"/>
  <c r="G7" i="20"/>
  <c r="F8" i="20"/>
  <c r="G5" i="20"/>
  <c r="H4" i="20"/>
  <c r="H8" i="20"/>
  <c r="F7" i="20"/>
  <c r="F6" i="20"/>
  <c r="F3" i="20"/>
  <c r="H3" i="20"/>
</calcChain>
</file>

<file path=xl/sharedStrings.xml><?xml version="1.0" encoding="utf-8"?>
<sst xmlns="http://schemas.openxmlformats.org/spreadsheetml/2006/main" count="639" uniqueCount="118">
  <si>
    <t>NAME</t>
  </si>
  <si>
    <r>
      <t>E</t>
    </r>
    <r>
      <rPr>
        <b/>
        <vertAlign val="subscript"/>
        <sz val="12"/>
        <color theme="1"/>
        <rFont val="Times New Roman"/>
        <family val="1"/>
      </rPr>
      <t xml:space="preserve">HOMO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</si>
  <si>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LUMO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</si>
  <si>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perscript"/>
        <sz val="12"/>
        <color theme="1"/>
        <rFont val="Times New Roman"/>
        <family val="1"/>
      </rPr>
      <t>0</t>
    </r>
  </si>
  <si>
    <r>
      <t>E</t>
    </r>
    <r>
      <rPr>
        <b/>
        <vertAlign val="superscript"/>
        <sz val="12"/>
        <color theme="1"/>
        <rFont val="Times New Roman"/>
        <family val="1"/>
      </rPr>
      <t>+1</t>
    </r>
  </si>
  <si>
    <t>EA</t>
  </si>
  <si>
    <r>
      <t>E</t>
    </r>
    <r>
      <rPr>
        <b/>
        <vertAlign val="superscript"/>
        <sz val="12"/>
        <color theme="1"/>
        <rFont val="Times New Roman"/>
        <family val="1"/>
      </rPr>
      <t>-1</t>
    </r>
  </si>
  <si>
    <t>IP(v) / eV</t>
  </si>
  <si>
    <t>EA / h</t>
  </si>
  <si>
    <t>EA / eV</t>
  </si>
  <si>
    <r>
      <t>f</t>
    </r>
    <r>
      <rPr>
        <b/>
        <vertAlign val="subscript"/>
        <sz val="12"/>
        <color theme="1"/>
        <rFont val="Times New Roman"/>
        <family val="1"/>
      </rPr>
      <t>osc</t>
    </r>
    <r>
      <rPr>
        <b/>
        <vertAlign val="superscript"/>
        <sz val="12"/>
        <color theme="1"/>
        <rFont val="Times New Roman"/>
        <family val="1"/>
      </rPr>
      <t>S1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</si>
  <si>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fund </t>
    </r>
    <r>
      <rPr>
        <b/>
        <sz val="12"/>
        <color theme="1"/>
        <rFont val="Times New Roman"/>
        <family val="1"/>
      </rPr>
      <t>/ eV</t>
    </r>
  </si>
  <si>
    <r>
      <t>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1"/>
      </rPr>
      <t xml:space="preserve"> / V</t>
    </r>
  </si>
  <si>
    <t>LHE</t>
  </si>
  <si>
    <t>IP(a)</t>
  </si>
  <si>
    <t>η / eV</t>
  </si>
  <si>
    <r>
      <t>ω</t>
    </r>
    <r>
      <rPr>
        <b/>
        <vertAlign val="superscript"/>
        <sz val="12"/>
        <color theme="1"/>
        <rFont val="Times New Roman"/>
        <family val="1"/>
      </rPr>
      <t>+</t>
    </r>
    <r>
      <rPr>
        <b/>
        <sz val="12"/>
        <color theme="1"/>
        <rFont val="Times New Roman"/>
        <family val="1"/>
      </rPr>
      <t xml:space="preserve"> / eV</t>
    </r>
  </si>
  <si>
    <r>
      <t>ω</t>
    </r>
    <r>
      <rPr>
        <b/>
        <vertAlign val="superscript"/>
        <sz val="12"/>
        <color theme="1"/>
        <rFont val="Times New Roman"/>
        <family val="1"/>
      </rPr>
      <t>-</t>
    </r>
    <r>
      <rPr>
        <b/>
        <sz val="12"/>
        <color theme="1"/>
        <rFont val="Times New Roman"/>
        <family val="1"/>
      </rPr>
      <t xml:space="preserve"> / eV</t>
    </r>
  </si>
  <si>
    <t>ω / eV</t>
  </si>
  <si>
    <t>χ / eV</t>
  </si>
  <si>
    <t>IP(a) / eV</t>
  </si>
  <si>
    <t>Triazine-thiophene</t>
  </si>
  <si>
    <t>IP(v) / h</t>
  </si>
  <si>
    <t>Triazine-carbazole</t>
  </si>
  <si>
    <t>Triazine</t>
  </si>
  <si>
    <r>
      <rPr>
        <b/>
        <sz val="12"/>
        <color theme="1"/>
        <rFont val="Calibri"/>
        <family val="2"/>
      </rPr>
      <t>E</t>
    </r>
    <r>
      <rPr>
        <b/>
        <vertAlign val="subscript"/>
        <sz val="12"/>
        <color theme="1"/>
        <rFont val="Times New Roman"/>
        <family val="1"/>
      </rPr>
      <t>g</t>
    </r>
  </si>
  <si>
    <t>FF</t>
  </si>
  <si>
    <t>Tr</t>
  </si>
  <si>
    <t>Triazine-phenyl-meta-carbazole</t>
  </si>
  <si>
    <t>Triazine-phenyl-para-carbazole</t>
  </si>
  <si>
    <t>Triazine-phenyl-para-thiophene</t>
  </si>
  <si>
    <t>Triazine-phenyl-meta-thiophene</t>
  </si>
  <si>
    <t>Tr-Th</t>
  </si>
  <si>
    <t>Tr-Ph-m-Th</t>
  </si>
  <si>
    <t>Tr-Ph-p-Th</t>
  </si>
  <si>
    <t>Tr-Cz</t>
  </si>
  <si>
    <t>Tr-Ph-m-Cz</t>
  </si>
  <si>
    <t>Tr-Ph-p-Cz</t>
  </si>
  <si>
    <r>
      <t>E</t>
    </r>
    <r>
      <rPr>
        <b/>
        <vertAlign val="subscript"/>
        <sz val="12"/>
        <color theme="1"/>
        <rFont val="Times New Roman"/>
        <family val="1"/>
      </rPr>
      <t xml:space="preserve">b </t>
    </r>
    <r>
      <rPr>
        <b/>
        <sz val="12"/>
        <color theme="1"/>
        <rFont val="Times New Roman"/>
        <family val="1"/>
      </rPr>
      <t>/ eV</t>
    </r>
  </si>
  <si>
    <t>Jsc</t>
  </si>
  <si>
    <t>Hartree</t>
  </si>
  <si>
    <t>eV</t>
  </si>
  <si>
    <r>
      <t>E</t>
    </r>
    <r>
      <rPr>
        <b/>
        <vertAlign val="subscript"/>
        <sz val="12"/>
        <color theme="1"/>
        <rFont val="Times New Roman"/>
        <family val="1"/>
      </rPr>
      <t>S0</t>
    </r>
  </si>
  <si>
    <r>
      <t>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>S0</t>
    </r>
  </si>
  <si>
    <r>
      <t>E</t>
    </r>
    <r>
      <rPr>
        <b/>
        <vertAlign val="subscript"/>
        <sz val="12"/>
        <color theme="1"/>
        <rFont val="Times New Roman"/>
        <family val="1"/>
      </rPr>
      <t>S1</t>
    </r>
  </si>
  <si>
    <r>
      <t>E</t>
    </r>
    <r>
      <rPr>
        <b/>
        <vertAlign val="subscript"/>
        <sz val="12"/>
        <color theme="1"/>
        <rFont val="Times New Roman"/>
        <family val="1"/>
      </rPr>
      <t>S0</t>
    </r>
    <r>
      <rPr>
        <b/>
        <vertAlign val="superscript"/>
        <sz val="12"/>
        <color theme="1"/>
        <rFont val="Times New Roman"/>
        <family val="1"/>
      </rPr>
      <t>S1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</si>
  <si>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adiabatic</t>
    </r>
  </si>
  <si>
    <r>
      <t>ΔE</t>
    </r>
    <r>
      <rPr>
        <b/>
        <vertAlign val="subscript"/>
        <sz val="12"/>
        <color theme="1"/>
        <rFont val="Times New Roman"/>
        <family val="1"/>
      </rPr>
      <t>flu</t>
    </r>
    <r>
      <rPr>
        <b/>
        <vertAlign val="superscript"/>
        <sz val="12"/>
        <color theme="1"/>
        <rFont val="Times New Roman"/>
        <family val="1"/>
      </rPr>
      <t>vertical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</si>
  <si>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vertical</t>
    </r>
  </si>
  <si>
    <t>HOMO PC61BM</t>
  </si>
  <si>
    <r>
      <t>V</t>
    </r>
    <r>
      <rPr>
        <b/>
        <vertAlign val="subscript"/>
        <sz val="12"/>
        <color theme="1"/>
        <rFont val="Times New Roman"/>
        <family val="1"/>
      </rPr>
      <t xml:space="preserve">OC </t>
    </r>
    <r>
      <rPr>
        <b/>
        <vertAlign val="superscript"/>
        <sz val="12"/>
        <color theme="1"/>
        <rFont val="Times New Roman"/>
        <family val="1"/>
      </rPr>
      <t xml:space="preserve">PCBM </t>
    </r>
    <r>
      <rPr>
        <b/>
        <sz val="12"/>
        <color theme="1"/>
        <rFont val="Times New Roman"/>
        <family val="1"/>
      </rPr>
      <t>/ V</t>
    </r>
  </si>
  <si>
    <r>
      <t>eV</t>
    </r>
    <r>
      <rPr>
        <b/>
        <vertAlign val="subscript"/>
        <sz val="12"/>
        <color theme="1"/>
        <rFont val="Times New Roman"/>
        <family val="1"/>
      </rPr>
      <t>OC</t>
    </r>
    <r>
      <rPr>
        <b/>
        <sz val="12"/>
        <color theme="1"/>
        <rFont val="Times New Roman"/>
        <family val="1"/>
      </rPr>
      <t>/K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T</t>
    </r>
  </si>
  <si>
    <r>
      <t>FF</t>
    </r>
    <r>
      <rPr>
        <b/>
        <vertAlign val="subscript"/>
        <sz val="12"/>
        <color theme="1"/>
        <rFont val="Times New Roman"/>
        <family val="1"/>
      </rPr>
      <t>(PCBM)</t>
    </r>
  </si>
  <si>
    <r>
      <t xml:space="preserve">PCE </t>
    </r>
    <r>
      <rPr>
        <b/>
        <vertAlign val="subscript"/>
        <sz val="12"/>
        <color theme="1"/>
        <rFont val="Times New Roman"/>
        <family val="1"/>
      </rPr>
      <t>(PCBM)</t>
    </r>
  </si>
  <si>
    <t>f</t>
  </si>
  <si>
    <t>wB97xD/def2-SVP</t>
  </si>
  <si>
    <r>
      <t>E</t>
    </r>
    <r>
      <rPr>
        <b/>
        <vertAlign val="subscript"/>
        <sz val="12"/>
        <color theme="1"/>
        <rFont val="Times New Roman"/>
        <family val="1"/>
      </rPr>
      <t>T1</t>
    </r>
    <r>
      <rPr>
        <b/>
        <vertAlign val="superscript"/>
        <sz val="12"/>
        <color theme="1"/>
        <rFont val="Times New Roman"/>
        <family val="1"/>
      </rPr>
      <t>S0</t>
    </r>
  </si>
  <si>
    <r>
      <t>E</t>
    </r>
    <r>
      <rPr>
        <b/>
        <vertAlign val="subscript"/>
        <sz val="12"/>
        <color theme="1"/>
        <rFont val="Times New Roman"/>
        <family val="1"/>
      </rPr>
      <t>T1</t>
    </r>
  </si>
  <si>
    <t>Experimental</t>
  </si>
  <si>
    <t>LUMO PC61BM</t>
  </si>
  <si>
    <t>Triazine-thiophene-carbazole</t>
  </si>
  <si>
    <t>Tr-Th-Cz</t>
  </si>
  <si>
    <r>
      <t>V</t>
    </r>
    <r>
      <rPr>
        <b/>
        <vertAlign val="subscript"/>
        <sz val="12"/>
        <color theme="1"/>
        <rFont val="Times New Roman"/>
        <family val="1"/>
      </rPr>
      <t xml:space="preserve">OC </t>
    </r>
    <r>
      <rPr>
        <b/>
        <vertAlign val="superscript"/>
        <sz val="12"/>
        <color theme="1"/>
        <rFont val="Times New Roman"/>
        <family val="1"/>
      </rPr>
      <t xml:space="preserve">TiO2 </t>
    </r>
    <r>
      <rPr>
        <b/>
        <sz val="12"/>
        <color theme="1"/>
        <rFont val="Times New Roman"/>
        <family val="1"/>
      </rPr>
      <t>/ V</t>
    </r>
  </si>
  <si>
    <t>Triazine-phenyl-p-thiopnene-carbazole</t>
  </si>
  <si>
    <t>Tr-Ph-p-Th-Cz</t>
  </si>
  <si>
    <r>
      <t>ΔE</t>
    </r>
    <r>
      <rPr>
        <b/>
        <vertAlign val="subscript"/>
        <sz val="12"/>
        <color theme="1"/>
        <rFont val="Times New Roman"/>
        <family val="1"/>
      </rPr>
      <t>ST</t>
    </r>
    <r>
      <rPr>
        <b/>
        <vertAlign val="superscript"/>
        <sz val="12"/>
        <color theme="1"/>
        <rFont val="Times New Roman"/>
        <family val="1"/>
      </rPr>
      <t>vertical</t>
    </r>
  </si>
  <si>
    <r>
      <t>ΔE</t>
    </r>
    <r>
      <rPr>
        <b/>
        <vertAlign val="subscript"/>
        <sz val="12"/>
        <color theme="1"/>
        <rFont val="Times New Roman"/>
        <family val="1"/>
      </rPr>
      <t>ST</t>
    </r>
    <r>
      <rPr>
        <b/>
        <vertAlign val="superscript"/>
        <sz val="12"/>
        <color theme="1"/>
        <rFont val="Times New Roman"/>
        <family val="1"/>
      </rPr>
      <t>vertical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 xml:space="preserve">S0 </t>
    </r>
    <r>
      <rPr>
        <b/>
        <sz val="12"/>
        <color theme="1"/>
        <rFont val="Times New Roman"/>
        <family val="1"/>
      </rPr>
      <t>- E</t>
    </r>
    <r>
      <rPr>
        <b/>
        <vertAlign val="subscript"/>
        <sz val="12"/>
        <color theme="1"/>
        <rFont val="Times New Roman"/>
        <family val="1"/>
      </rPr>
      <t>T1</t>
    </r>
    <r>
      <rPr>
        <b/>
        <vertAlign val="superscript"/>
        <sz val="12"/>
        <color theme="1"/>
        <rFont val="Times New Roman"/>
        <family val="1"/>
      </rPr>
      <t>S0</t>
    </r>
  </si>
  <si>
    <r>
      <t>ΔE</t>
    </r>
    <r>
      <rPr>
        <b/>
        <vertAlign val="subscript"/>
        <sz val="12"/>
        <color theme="1"/>
        <rFont val="Times New Roman"/>
        <family val="1"/>
      </rPr>
      <t>ST</t>
    </r>
    <r>
      <rPr>
        <b/>
        <vertAlign val="superscript"/>
        <sz val="12"/>
        <color theme="1"/>
        <rFont val="Times New Roman"/>
        <family val="1"/>
      </rPr>
      <t>adiabatic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- E</t>
    </r>
    <r>
      <rPr>
        <b/>
        <vertAlign val="subscript"/>
        <sz val="12"/>
        <color theme="1"/>
        <rFont val="Times New Roman"/>
        <family val="1"/>
      </rPr>
      <t>T1</t>
    </r>
  </si>
  <si>
    <t>optimized S1 state energy</t>
  </si>
  <si>
    <t>T1 state energy in ground state geometry</t>
  </si>
  <si>
    <t>energy of the S1 state in the ground state geometry</t>
  </si>
  <si>
    <t>optimized T1 state energy</t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</si>
  <si>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vertical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>S0</t>
    </r>
    <r>
      <rPr>
        <b/>
        <sz val="12"/>
        <color theme="1"/>
        <rFont val="Times New Roman"/>
        <family val="1"/>
      </rPr>
      <t xml:space="preserve"> - E</t>
    </r>
    <r>
      <rPr>
        <b/>
        <vertAlign val="subscript"/>
        <sz val="12"/>
        <color theme="1"/>
        <rFont val="Times New Roman"/>
        <family val="1"/>
      </rPr>
      <t>S0</t>
    </r>
  </si>
  <si>
    <r>
      <t>ΔE</t>
    </r>
    <r>
      <rPr>
        <b/>
        <vertAlign val="subscript"/>
        <sz val="12"/>
        <color theme="1"/>
        <rFont val="Times New Roman"/>
        <family val="1"/>
      </rPr>
      <t>abs</t>
    </r>
    <r>
      <rPr>
        <b/>
        <vertAlign val="superscript"/>
        <sz val="12"/>
        <color theme="1"/>
        <rFont val="Times New Roman"/>
        <family val="1"/>
      </rPr>
      <t>adiabatic</t>
    </r>
    <r>
      <rPr>
        <b/>
        <sz val="12"/>
        <color theme="1"/>
        <rFont val="Times New Roman"/>
        <family val="1"/>
      </rPr>
      <t xml:space="preserve"> = 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sz val="12"/>
        <color theme="1"/>
        <rFont val="Times New Roman"/>
        <family val="1"/>
      </rPr>
      <t xml:space="preserve"> - E</t>
    </r>
    <r>
      <rPr>
        <b/>
        <vertAlign val="subscript"/>
        <sz val="12"/>
        <color theme="1"/>
        <rFont val="Times New Roman"/>
        <family val="1"/>
      </rPr>
      <t>S0</t>
    </r>
  </si>
  <si>
    <r>
      <t xml:space="preserve">PCE </t>
    </r>
    <r>
      <rPr>
        <b/>
        <vertAlign val="subscript"/>
        <sz val="12"/>
        <color theme="1"/>
        <rFont val="Times New Roman"/>
        <family val="1"/>
      </rPr>
      <t>(PCBM)</t>
    </r>
    <r>
      <rPr>
        <b/>
        <sz val="12"/>
        <color theme="1"/>
        <rFont val="Times New Roman"/>
        <family val="1"/>
      </rPr>
      <t xml:space="preserve"> / %</t>
    </r>
  </si>
  <si>
    <r>
      <t>PCE</t>
    </r>
    <r>
      <rPr>
        <b/>
        <vertAlign val="subscript"/>
        <sz val="12"/>
        <color theme="1"/>
        <rFont val="Times New Roman"/>
        <family val="1"/>
      </rPr>
      <t>DSSC</t>
    </r>
  </si>
  <si>
    <r>
      <t>PCE</t>
    </r>
    <r>
      <rPr>
        <b/>
        <vertAlign val="subscript"/>
        <sz val="12"/>
        <color theme="1"/>
        <rFont val="Times New Roman"/>
        <family val="1"/>
      </rPr>
      <t>DSSC</t>
    </r>
    <r>
      <rPr>
        <b/>
        <sz val="12"/>
        <color theme="1"/>
        <rFont val="Times New Roman"/>
        <family val="1"/>
      </rPr>
      <t xml:space="preserve"> / %</t>
    </r>
  </si>
  <si>
    <t>OSC</t>
  </si>
  <si>
    <t>DSSC</t>
  </si>
  <si>
    <t>Triazine-phenyl-m-thiopnene-carbazole</t>
  </si>
  <si>
    <t>Tr-Ph-m-Th-Cz</t>
  </si>
  <si>
    <r>
      <t>ΔE</t>
    </r>
    <r>
      <rPr>
        <b/>
        <vertAlign val="subscript"/>
        <sz val="12"/>
        <color theme="1"/>
        <rFont val="Times New Roman"/>
        <family val="1"/>
      </rPr>
      <t>S1</t>
    </r>
    <r>
      <rPr>
        <b/>
        <vertAlign val="superscript"/>
        <sz val="12"/>
        <color theme="1"/>
        <rFont val="Times New Roman"/>
        <family val="1"/>
      </rPr>
      <t xml:space="preserve">vert </t>
    </r>
    <r>
      <rPr>
        <b/>
        <sz val="12"/>
        <color theme="1"/>
        <rFont val="Times New Roman"/>
        <family val="1"/>
      </rPr>
      <t>/ eV</t>
    </r>
  </si>
  <si>
    <r>
      <t>E</t>
    </r>
    <r>
      <rPr>
        <b/>
        <vertAlign val="subscript"/>
        <sz val="12"/>
        <color theme="1"/>
        <rFont val="Times New Roman"/>
        <family val="1"/>
      </rPr>
      <t>opt</t>
    </r>
    <r>
      <rPr>
        <b/>
        <vertAlign val="superscript"/>
        <sz val="12"/>
        <color theme="1"/>
        <rFont val="Times New Roman"/>
        <family val="1"/>
      </rPr>
      <t>adiab</t>
    </r>
  </si>
  <si>
    <r>
      <t>E</t>
    </r>
    <r>
      <rPr>
        <b/>
        <vertAlign val="subscript"/>
        <sz val="12"/>
        <color theme="1"/>
        <rFont val="Times New Roman"/>
        <family val="1"/>
      </rPr>
      <t>opt</t>
    </r>
  </si>
  <si>
    <r>
      <t>E</t>
    </r>
    <r>
      <rPr>
        <b/>
        <vertAlign val="subscript"/>
        <sz val="12"/>
        <color theme="1"/>
        <rFont val="Times New Roman"/>
        <family val="1"/>
      </rPr>
      <t>(λmax )</t>
    </r>
    <r>
      <rPr>
        <b/>
        <sz val="12"/>
        <color theme="1"/>
        <rFont val="Times New Roman"/>
        <family val="1"/>
      </rPr>
      <t xml:space="preserve"> / eV</t>
    </r>
  </si>
  <si>
    <r>
      <t>∆G</t>
    </r>
    <r>
      <rPr>
        <b/>
        <vertAlign val="subscript"/>
        <sz val="12"/>
        <color theme="1"/>
        <rFont val="Times New Roman"/>
        <family val="1"/>
      </rPr>
      <t>inject</t>
    </r>
  </si>
  <si>
    <r>
      <t>∆G</t>
    </r>
    <r>
      <rPr>
        <b/>
        <vertAlign val="subscript"/>
        <sz val="12"/>
        <color theme="1"/>
        <rFont val="Times New Roman"/>
        <family val="1"/>
      </rPr>
      <t>regenerate</t>
    </r>
  </si>
  <si>
    <r>
      <t>∆G</t>
    </r>
    <r>
      <rPr>
        <b/>
        <vertAlign val="subscript"/>
        <sz val="12"/>
        <color theme="1"/>
        <rFont val="Times New Roman"/>
        <family val="1"/>
      </rPr>
      <t>recombination</t>
    </r>
  </si>
  <si>
    <r>
      <t>E</t>
    </r>
    <r>
      <rPr>
        <b/>
        <vertAlign val="superscript"/>
        <sz val="12"/>
        <color theme="1"/>
        <rFont val="Times New Roman"/>
        <family val="1"/>
      </rPr>
      <t>*</t>
    </r>
    <r>
      <rPr>
        <b/>
        <vertAlign val="subscript"/>
        <sz val="12"/>
        <color theme="1"/>
        <rFont val="Times New Roman"/>
        <family val="1"/>
      </rPr>
      <t>dye</t>
    </r>
  </si>
  <si>
    <r>
      <t>E</t>
    </r>
    <r>
      <rPr>
        <b/>
        <i/>
        <vertAlign val="subscript"/>
        <sz val="12"/>
        <color theme="1"/>
        <rFont val="Times New Roman"/>
        <family val="1"/>
      </rPr>
      <t>CS</t>
    </r>
  </si>
  <si>
    <r>
      <t>∆G</t>
    </r>
    <r>
      <rPr>
        <b/>
        <vertAlign val="subscript"/>
        <sz val="12"/>
        <color theme="1"/>
        <rFont val="Times New Roman"/>
        <family val="1"/>
      </rPr>
      <t>separation</t>
    </r>
  </si>
  <si>
    <t>H-2-&gt;LUMO (30%), H-1-&gt;L+1 (20%), HOMO-&gt;LUMO (25%), HOMO-&gt;L+2 (15%)</t>
  </si>
  <si>
    <t>H-2-&gt;LUMO (10%), H-1-&gt;L+1 (10%), H-1-&gt;L+2 (11%), HOMO-&gt;L+1 (34%)</t>
  </si>
  <si>
    <t>H-8-&gt;L+1 (30%), H-6-&gt;LUMO (10%), HOMO-&gt;L+1 (21%)</t>
  </si>
  <si>
    <t>H-2-&gt;L+1 (36%), H-1-&gt;LUMO (24%), HOMO-&gt;L+1 (24%)</t>
  </si>
  <si>
    <t>H-2-&gt;LUMO (23%), H-1-&gt;L+1 (22%), HOMO-&gt;L+1 (11%)</t>
  </si>
  <si>
    <t>H-5-&gt;LUMO (6%), H-4-&gt;LUMO (4%), H-2-&gt;LUMO (2%), H-1-&gt;L+2 (2%), HOMO-&gt;L+2 (6%)</t>
  </si>
  <si>
    <t>H-2-&gt;LUMO (30%), H-1-&gt;L+1 (26%), HOMO-&gt;LUMO (13%)</t>
  </si>
  <si>
    <t>H-2-&gt;L+2 (12%), HOMO-&gt;LUMO (15%), HOMO-&gt;L+1 (17%)</t>
  </si>
  <si>
    <t>H-8-&gt;L+1 (27%), HOMO-&gt;L+1 (13%), HOMO-&gt;L+2 (11%), HOMO-&gt;L+3 (12%)</t>
  </si>
  <si>
    <t xml:space="preserve">Major contributions </t>
  </si>
  <si>
    <r>
      <t>λ</t>
    </r>
    <r>
      <rPr>
        <b/>
        <vertAlign val="subscript"/>
        <sz val="12"/>
        <color theme="1"/>
        <rFont val="Times New Roman"/>
        <family val="1"/>
      </rPr>
      <t xml:space="preserve">max </t>
    </r>
    <r>
      <rPr>
        <b/>
        <sz val="12"/>
        <color theme="1"/>
        <rFont val="Times New Roman"/>
        <family val="1"/>
      </rPr>
      <t>/ nm</t>
    </r>
  </si>
  <si>
    <t>wb97xD</t>
  </si>
  <si>
    <t>PBE</t>
  </si>
  <si>
    <t>M06-2X</t>
  </si>
  <si>
    <t>B3LYP</t>
  </si>
  <si>
    <t>CAM-B3LYP</t>
  </si>
  <si>
    <t>λ / nm</t>
  </si>
  <si>
    <t>LC-wPBE</t>
  </si>
  <si>
    <t>exp</t>
  </si>
  <si>
    <t>B3LYP/defs-SVP</t>
  </si>
  <si>
    <t>wb97xD/Def2-SVP</t>
  </si>
  <si>
    <t>B3LYP/Def2-SVP</t>
  </si>
  <si>
    <t>B3LYP/def2-SVP</t>
  </si>
  <si>
    <r>
      <t>∆E</t>
    </r>
    <r>
      <rPr>
        <b/>
        <vertAlign val="subscript"/>
        <sz val="12"/>
        <color theme="1"/>
        <rFont val="Times New Roman"/>
        <family val="1"/>
      </rPr>
      <t>LL</t>
    </r>
    <r>
      <rPr>
        <b/>
        <vertAlign val="superscript"/>
        <sz val="12"/>
        <color theme="1"/>
        <rFont val="Times New Roman"/>
        <family val="1"/>
      </rPr>
      <t xml:space="preserve">D-PCBM </t>
    </r>
    <r>
      <rPr>
        <b/>
        <sz val="12"/>
        <color theme="1"/>
        <rFont val="Times New Roman"/>
        <family val="1"/>
      </rPr>
      <t>/ eV</t>
    </r>
  </si>
  <si>
    <r>
      <t>∆E</t>
    </r>
    <r>
      <rPr>
        <b/>
        <vertAlign val="subscript"/>
        <sz val="12"/>
        <color theme="1"/>
        <rFont val="Times New Roman"/>
        <family val="1"/>
      </rPr>
      <t>H-CB</t>
    </r>
    <r>
      <rPr>
        <b/>
        <vertAlign val="superscript"/>
        <sz val="12"/>
        <color theme="1"/>
        <rFont val="Times New Roman"/>
        <family val="1"/>
      </rPr>
      <t xml:space="preserve">D-TiO2 </t>
    </r>
    <r>
      <rPr>
        <b/>
        <sz val="12"/>
        <color theme="1"/>
        <rFont val="Times New Roman"/>
        <family val="1"/>
      </rPr>
      <t>/ eV</t>
    </r>
  </si>
  <si>
    <r>
      <t>∆E</t>
    </r>
    <r>
      <rPr>
        <b/>
        <vertAlign val="subscript"/>
        <sz val="12"/>
        <color theme="1"/>
        <rFont val="Times New Roman"/>
        <family val="1"/>
      </rPr>
      <t>H-Redox pot</t>
    </r>
    <r>
      <rPr>
        <b/>
        <vertAlign val="superscript"/>
        <sz val="12"/>
        <color theme="1"/>
        <rFont val="Times New Roman"/>
        <family val="1"/>
      </rPr>
      <t xml:space="preserve">D-I-/I3- </t>
    </r>
    <r>
      <rPr>
        <b/>
        <sz val="12"/>
        <color theme="1"/>
        <rFont val="Times New Roman"/>
        <family val="1"/>
      </rPr>
      <t>/ eV</t>
    </r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</si>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</sst>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"/>
    <numFmt numFmtId="166" formatCode="0.00000"/>
    <numFmt numFmtId="167" formatCode="#,##0.000"/>
    <numFmt numFmtId="168" formatCode="#,##0.0000"/>
    <numFmt numFmtId="169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Times New Roman"/>
      <family val="2"/>
    </font>
    <font>
      <b/>
      <sz val="12"/>
      <color theme="1"/>
      <name val="Calibri"/>
      <family val="2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0" fillId="0" borderId="0" xfId="0" applyFont="1"/>
    <xf numFmtId="166" fontId="2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/>
    <xf numFmtId="0" fontId="10" fillId="2" borderId="0" xfId="0" applyFont="1" applyFill="1"/>
    <xf numFmtId="0" fontId="3" fillId="0" borderId="0" xfId="0" applyFont="1"/>
    <xf numFmtId="168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7" fontId="2" fillId="0" borderId="0" xfId="0" applyNumberFormat="1" applyFont="1" applyAlignment="1">
      <alignment horizontal="center"/>
    </xf>
    <xf numFmtId="2" fontId="13" fillId="0" borderId="0" xfId="0" applyNumberFormat="1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F4E68-3F66-49E1-B8EA-7B1A9ED457B0}">
  <dimension ref="A1:P29"/>
  <sheetViews>
    <sheetView topLeftCell="B10" zoomScaleNormal="100" workbookViewId="0">
      <selection activeCell="L22" sqref="L22"/>
    </sheetView>
  </sheetViews>
  <sheetFormatPr defaultRowHeight="15.75" x14ac:dyDescent="0.25"/>
  <cols>
    <col min="1" max="1" width="37" customWidth="1"/>
    <col min="2" max="2" width="15.42578125" style="1" bestFit="1" customWidth="1"/>
    <col min="3" max="3" width="15.140625" style="1" bestFit="1" customWidth="1"/>
    <col min="4" max="4" width="15.140625" style="3" bestFit="1" customWidth="1"/>
    <col min="5" max="5" width="12.5703125" style="1" bestFit="1" customWidth="1"/>
    <col min="6" max="6" width="13.5703125" customWidth="1"/>
    <col min="7" max="7" width="18.7109375" style="1" bestFit="1" customWidth="1"/>
    <col min="8" max="8" width="10.7109375" style="5" bestFit="1" customWidth="1"/>
    <col min="9" max="9" width="10.42578125" style="5" bestFit="1" customWidth="1"/>
    <col min="10" max="11" width="11.5703125" style="5" customWidth="1"/>
    <col min="12" max="12" width="18.85546875" bestFit="1" customWidth="1"/>
    <col min="13" max="13" width="16.85546875" bestFit="1" customWidth="1"/>
    <col min="14" max="14" width="23.140625" bestFit="1" customWidth="1"/>
    <col min="15" max="15" width="18.140625" bestFit="1" customWidth="1"/>
    <col min="16" max="16" width="9.28515625" bestFit="1" customWidth="1"/>
  </cols>
  <sheetData>
    <row r="1" spans="1:16" x14ac:dyDescent="0.25">
      <c r="B1" s="30" t="s">
        <v>102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6" ht="19.5" x14ac:dyDescent="0.3">
      <c r="B2" s="14" t="s">
        <v>0</v>
      </c>
      <c r="C2" s="1" t="s">
        <v>1</v>
      </c>
      <c r="D2" s="1" t="s">
        <v>2</v>
      </c>
      <c r="E2" s="15" t="s">
        <v>25</v>
      </c>
      <c r="F2" s="2" t="s">
        <v>10</v>
      </c>
      <c r="G2" s="2" t="s">
        <v>81</v>
      </c>
      <c r="H2" s="2" t="s">
        <v>14</v>
      </c>
      <c r="I2" s="2" t="s">
        <v>5</v>
      </c>
      <c r="J2" s="2" t="s">
        <v>11</v>
      </c>
      <c r="K2" s="2" t="s">
        <v>82</v>
      </c>
      <c r="L2" s="2" t="s">
        <v>38</v>
      </c>
      <c r="M2" s="9"/>
      <c r="N2" s="2"/>
      <c r="O2" s="9"/>
      <c r="P2" s="2"/>
    </row>
    <row r="3" spans="1:16" x14ac:dyDescent="0.25">
      <c r="A3" s="11" t="s">
        <v>24</v>
      </c>
      <c r="B3" s="2" t="s">
        <v>27</v>
      </c>
      <c r="C3" s="10">
        <v>-9.8948755530000003</v>
      </c>
      <c r="D3" s="10">
        <v>0.26449465220000001</v>
      </c>
      <c r="E3" s="10">
        <f t="shared" ref="E3:E12" si="0">D3-C3</f>
        <v>10.1593702052</v>
      </c>
      <c r="F3" s="8">
        <v>0</v>
      </c>
      <c r="G3" s="10">
        <v>4.6771000000000003</v>
      </c>
      <c r="H3" s="6">
        <f>'IP(a)'!F3</f>
        <v>9.9812177119188981</v>
      </c>
      <c r="I3" s="6">
        <f>EA!F2</f>
        <v>-0.44246824855903805</v>
      </c>
      <c r="J3" s="10">
        <f>H3-I3</f>
        <v>10.423685960477936</v>
      </c>
      <c r="K3" s="10">
        <f>'Absorption-Emission'!K3</f>
        <v>3.9200293579779664</v>
      </c>
      <c r="L3" s="13">
        <f>J3-K3</f>
        <v>6.5036566024999694</v>
      </c>
      <c r="M3" s="6"/>
      <c r="N3" s="6"/>
      <c r="O3" s="6"/>
      <c r="P3" s="6"/>
    </row>
    <row r="4" spans="1:16" s="1" customFormat="1" x14ac:dyDescent="0.25">
      <c r="A4" s="11" t="s">
        <v>21</v>
      </c>
      <c r="B4" s="2" t="s">
        <v>32</v>
      </c>
      <c r="C4" s="10">
        <f>27.2114*(-0.31556)</f>
        <v>-8.5868293840000014</v>
      </c>
      <c r="D4" s="10">
        <f>27.2114*(-0.0138)</f>
        <v>-0.37551731999999999</v>
      </c>
      <c r="E4" s="10">
        <f t="shared" si="0"/>
        <v>8.2113120640000012</v>
      </c>
      <c r="F4" s="1">
        <v>0.70920000000000005</v>
      </c>
      <c r="G4" s="10">
        <v>4.5316000000000001</v>
      </c>
      <c r="H4" s="6">
        <f>'IP(a)'!F4</f>
        <v>8.3058635155807661</v>
      </c>
      <c r="I4" s="6">
        <f>EA!F3</f>
        <v>0.74694748771689046</v>
      </c>
      <c r="J4" s="10">
        <f t="shared" ref="J4:J12" si="1">H4-I4</f>
        <v>7.5589160278638756</v>
      </c>
      <c r="K4" s="10">
        <f>'Absorption-Emission'!K4</f>
        <v>4.3270275738510495</v>
      </c>
      <c r="L4" s="13">
        <f t="shared" ref="L4:L12" si="2">J4-K4</f>
        <v>3.2318884540128261</v>
      </c>
      <c r="M4" s="6"/>
      <c r="N4" s="6"/>
      <c r="O4" s="6"/>
      <c r="P4" s="6"/>
    </row>
    <row r="5" spans="1:16" x14ac:dyDescent="0.25">
      <c r="A5" s="11" t="s">
        <v>31</v>
      </c>
      <c r="B5" s="2" t="s">
        <v>33</v>
      </c>
      <c r="C5" s="10">
        <f>27.2114*(-0.29621)</f>
        <v>-8.0602887939999999</v>
      </c>
      <c r="D5" s="10">
        <f>27.2114*(-0.01659)</f>
        <v>-0.45143712600000002</v>
      </c>
      <c r="E5" s="10">
        <f t="shared" si="0"/>
        <v>7.6088516679999998</v>
      </c>
      <c r="F5" s="8">
        <v>0</v>
      </c>
      <c r="G5" s="10">
        <v>4.4264999999999999</v>
      </c>
      <c r="H5" s="6">
        <f>'IP(a)'!F5</f>
        <v>7.6209525775775973</v>
      </c>
      <c r="I5" s="6">
        <f>EA!F4</f>
        <v>0.96381962458401949</v>
      </c>
      <c r="J5" s="10">
        <f t="shared" si="1"/>
        <v>6.6571329529935781</v>
      </c>
      <c r="K5" s="10">
        <f>'Absorption-Emission'!K5</f>
        <v>4.1260975077879491</v>
      </c>
      <c r="L5" s="13">
        <f t="shared" si="2"/>
        <v>2.531035445205629</v>
      </c>
      <c r="M5" s="6"/>
      <c r="N5" s="6"/>
      <c r="O5" s="6"/>
      <c r="P5" s="6"/>
    </row>
    <row r="6" spans="1:16" x14ac:dyDescent="0.25">
      <c r="A6" s="11" t="s">
        <v>30</v>
      </c>
      <c r="B6" s="2" t="s">
        <v>34</v>
      </c>
      <c r="C6" s="10">
        <f>27.2114*(-0.29438)</f>
        <v>-8.010491931999999</v>
      </c>
      <c r="D6" s="10">
        <f>27.2114*(-0.0206)</f>
        <v>-0.56055484</v>
      </c>
      <c r="E6" s="10">
        <f t="shared" si="0"/>
        <v>7.449937091999999</v>
      </c>
      <c r="F6" s="8">
        <v>1.5495000000000001</v>
      </c>
      <c r="G6" s="10">
        <v>4.141</v>
      </c>
      <c r="H6" s="6">
        <f>'IP(a)'!F6</f>
        <v>7.8683885589168563</v>
      </c>
      <c r="I6" s="6">
        <f>EA!F5</f>
        <v>1.0461368307194367</v>
      </c>
      <c r="J6" s="10">
        <f t="shared" si="1"/>
        <v>6.8222517281974193</v>
      </c>
      <c r="K6" s="10">
        <f>'Absorption-Emission'!K6</f>
        <v>3.802010278030294</v>
      </c>
      <c r="L6" s="13">
        <f t="shared" si="2"/>
        <v>3.0202414501671253</v>
      </c>
      <c r="M6" s="6"/>
      <c r="N6" s="6"/>
      <c r="O6" s="6"/>
      <c r="P6" s="6"/>
    </row>
    <row r="7" spans="1:16" s="3" customFormat="1" x14ac:dyDescent="0.25">
      <c r="A7" s="11" t="s">
        <v>23</v>
      </c>
      <c r="B7" s="2" t="s">
        <v>35</v>
      </c>
      <c r="C7" s="10">
        <f>27.2114*(-0.29223)</f>
        <v>-7.9519874220000002</v>
      </c>
      <c r="D7" s="10">
        <f>24.2114*(0.00343)</f>
        <v>8.3045101999999996E-2</v>
      </c>
      <c r="E7" s="10">
        <f t="shared" si="0"/>
        <v>8.035032524</v>
      </c>
      <c r="F7" s="1">
        <v>0.4667</v>
      </c>
      <c r="G7" s="10">
        <v>4.4280999999999997</v>
      </c>
      <c r="H7" s="6">
        <f>'IP(a)'!F7</f>
        <v>7.5105259952419967</v>
      </c>
      <c r="I7" s="6">
        <f>EA!F6</f>
        <v>0.7070120370811982</v>
      </c>
      <c r="J7" s="10">
        <f t="shared" si="1"/>
        <v>6.8035139581607984</v>
      </c>
      <c r="K7" s="10">
        <f>'Absorption-Emission'!K7</f>
        <v>4.0175525937608469</v>
      </c>
      <c r="L7" s="13">
        <f t="shared" si="2"/>
        <v>2.7859613643999515</v>
      </c>
      <c r="M7" s="6"/>
      <c r="N7" s="6"/>
      <c r="O7" s="6"/>
      <c r="P7" s="6"/>
    </row>
    <row r="8" spans="1:16" x14ac:dyDescent="0.25">
      <c r="A8" s="11" t="s">
        <v>28</v>
      </c>
      <c r="B8" s="2" t="s">
        <v>36</v>
      </c>
      <c r="C8" s="10">
        <f>(-0.27826)*27.2114</f>
        <v>-7.5718441640000007</v>
      </c>
      <c r="D8" s="10">
        <f>(-0.0252)*27.2114</f>
        <v>-0.68572728000000005</v>
      </c>
      <c r="E8" s="10">
        <f t="shared" si="0"/>
        <v>6.8861168840000007</v>
      </c>
      <c r="F8" s="1">
        <v>1.8E-3</v>
      </c>
      <c r="G8" s="10">
        <v>4.1413000000000002</v>
      </c>
      <c r="H8" s="6">
        <f>'IP(a)'!F8</f>
        <v>7.256534787645986</v>
      </c>
      <c r="I8" s="6">
        <f>EA!F7</f>
        <v>1.2695179344575567</v>
      </c>
      <c r="J8" s="10">
        <f t="shared" si="1"/>
        <v>5.9870168531884289</v>
      </c>
      <c r="K8" s="10">
        <f>'Absorption-Emission'!K8</f>
        <v>3.8035115309681848</v>
      </c>
      <c r="L8" s="13">
        <f t="shared" si="2"/>
        <v>2.1835053222202441</v>
      </c>
      <c r="M8" s="6"/>
      <c r="N8" s="6"/>
      <c r="O8" s="6"/>
      <c r="P8" s="6"/>
    </row>
    <row r="9" spans="1:16" x14ac:dyDescent="0.25">
      <c r="A9" s="11" t="s">
        <v>29</v>
      </c>
      <c r="B9" s="2" t="s">
        <v>37</v>
      </c>
      <c r="C9" s="10">
        <f>(-0.27914)*27.2114</f>
        <v>-7.5957901960000003</v>
      </c>
      <c r="D9" s="10">
        <f>(-0.02474)*27.2114</f>
        <v>-0.67321003600000007</v>
      </c>
      <c r="E9" s="10">
        <f t="shared" si="0"/>
        <v>6.9225801599999999</v>
      </c>
      <c r="F9" s="1">
        <v>0.95809999999999995</v>
      </c>
      <c r="G9" s="10">
        <v>4.0469999999999997</v>
      </c>
      <c r="H9" s="6">
        <f>'IP(a)'!F9</f>
        <v>7.4785770904938742</v>
      </c>
      <c r="I9" s="6">
        <f>EA!F8</f>
        <v>1.2864053293050361</v>
      </c>
      <c r="J9" s="10">
        <f t="shared" si="1"/>
        <v>6.1921717611888383</v>
      </c>
      <c r="K9" s="10">
        <f>'Absorption-Emission'!K9</f>
        <v>3.8692994442795898</v>
      </c>
      <c r="L9" s="13">
        <f t="shared" si="2"/>
        <v>2.3228723169092484</v>
      </c>
      <c r="M9" s="6"/>
      <c r="N9" s="6"/>
      <c r="O9" s="6"/>
      <c r="P9" s="6"/>
    </row>
    <row r="10" spans="1:16" x14ac:dyDescent="0.25">
      <c r="A10" s="11" t="s">
        <v>60</v>
      </c>
      <c r="B10" s="2" t="s">
        <v>61</v>
      </c>
      <c r="C10" s="10">
        <v>-7.6714333689999998</v>
      </c>
      <c r="D10" s="10">
        <v>-0.72436704129999996</v>
      </c>
      <c r="E10" s="10">
        <f t="shared" si="0"/>
        <v>6.9470663277</v>
      </c>
      <c r="F10" s="8">
        <v>0.877</v>
      </c>
      <c r="G10" s="1">
        <v>3.8380000000000001</v>
      </c>
      <c r="H10" s="6">
        <f>'IP(a)'!F10</f>
        <v>7.5298542526568175</v>
      </c>
      <c r="I10" s="6">
        <f>EA!F9</f>
        <v>1.3544229447378864</v>
      </c>
      <c r="J10" s="10">
        <f t="shared" si="1"/>
        <v>6.1754313079189309</v>
      </c>
      <c r="K10" s="10">
        <f>'Absorption-Emission'!K10</f>
        <v>3.559731129090685</v>
      </c>
      <c r="L10" s="13">
        <f t="shared" si="2"/>
        <v>2.6157001788282459</v>
      </c>
      <c r="M10" s="6"/>
      <c r="N10" s="6"/>
      <c r="O10" s="6"/>
      <c r="P10" s="6"/>
    </row>
    <row r="11" spans="1:16" x14ac:dyDescent="0.25">
      <c r="A11" s="11" t="s">
        <v>79</v>
      </c>
      <c r="B11" s="2" t="s">
        <v>80</v>
      </c>
      <c r="C11" s="10">
        <f>(-0.28167)*27.2114</f>
        <v>-7.6646350379999992</v>
      </c>
      <c r="D11" s="10">
        <f>(-0.02471)*27.2114</f>
        <v>-0.67239369400000004</v>
      </c>
      <c r="E11" s="10">
        <f>D11-C11</f>
        <v>6.9922413439999991</v>
      </c>
      <c r="F11" s="8">
        <v>0.27400000000000002</v>
      </c>
      <c r="G11" s="10">
        <v>4.4008000000000003</v>
      </c>
      <c r="H11" s="6">
        <f>'IP(a)'!F11</f>
        <v>7.0421361670397271</v>
      </c>
      <c r="I11" s="6">
        <f>EA!F10</f>
        <v>1.250276753517567</v>
      </c>
      <c r="J11" s="10">
        <f t="shared" si="1"/>
        <v>5.7918594135221602</v>
      </c>
      <c r="K11" s="10">
        <f>'Absorption-Emission'!K11</f>
        <v>3.748290892707276</v>
      </c>
      <c r="L11" s="13">
        <f t="shared" si="2"/>
        <v>2.0435685208148842</v>
      </c>
      <c r="M11" s="6"/>
      <c r="N11" s="6"/>
      <c r="O11" s="6"/>
      <c r="P11" s="6"/>
    </row>
    <row r="12" spans="1:16" x14ac:dyDescent="0.25">
      <c r="A12" s="11" t="s">
        <v>63</v>
      </c>
      <c r="B12" s="2" t="s">
        <v>64</v>
      </c>
      <c r="C12" s="10">
        <f>(-0.28116)*27.2114</f>
        <v>-7.6507572240000012</v>
      </c>
      <c r="D12" s="10">
        <f>(-0.02907)*27.2114</f>
        <v>-0.791035398</v>
      </c>
      <c r="E12" s="10">
        <f t="shared" si="0"/>
        <v>6.8597218260000012</v>
      </c>
      <c r="F12" s="1">
        <v>1.9540999999999999</v>
      </c>
      <c r="G12" s="10">
        <v>4.0091000000000001</v>
      </c>
      <c r="H12" s="6">
        <f>'IP(a)'!F12</f>
        <v>7.0330339537271316</v>
      </c>
      <c r="I12" s="6">
        <f>EA!F11</f>
        <v>1.3530868649960006</v>
      </c>
      <c r="J12" s="10">
        <f t="shared" si="1"/>
        <v>5.6799470887311312</v>
      </c>
      <c r="K12" s="10">
        <f>'Absorption-Emission'!K12</f>
        <v>3.4628871170526021</v>
      </c>
      <c r="L12" s="13">
        <f t="shared" si="2"/>
        <v>2.2170599716785291</v>
      </c>
      <c r="M12" s="6"/>
      <c r="N12" s="6"/>
      <c r="O12" s="22"/>
    </row>
    <row r="13" spans="1:16" x14ac:dyDescent="0.25">
      <c r="H13" s="6"/>
      <c r="I13" s="6"/>
      <c r="J13" s="10"/>
      <c r="K13" s="10"/>
      <c r="L13" s="13"/>
    </row>
    <row r="17" spans="1:15" x14ac:dyDescent="0.25">
      <c r="A17" s="11"/>
    </row>
    <row r="18" spans="1:15" x14ac:dyDescent="0.25">
      <c r="B18" s="30" t="s">
        <v>105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</row>
    <row r="19" spans="1:15" ht="19.5" x14ac:dyDescent="0.3">
      <c r="B19" s="14" t="s">
        <v>0</v>
      </c>
      <c r="C19" s="1" t="s">
        <v>1</v>
      </c>
      <c r="D19" s="1" t="s">
        <v>2</v>
      </c>
      <c r="E19" s="15" t="s">
        <v>25</v>
      </c>
      <c r="F19" s="2" t="s">
        <v>10</v>
      </c>
      <c r="G19" s="2" t="s">
        <v>81</v>
      </c>
      <c r="H19" s="2" t="s">
        <v>14</v>
      </c>
      <c r="I19" s="2" t="s">
        <v>5</v>
      </c>
      <c r="J19" s="2" t="s">
        <v>11</v>
      </c>
      <c r="K19" s="2" t="s">
        <v>82</v>
      </c>
      <c r="L19" s="2" t="s">
        <v>38</v>
      </c>
      <c r="M19" s="2" t="s">
        <v>114</v>
      </c>
      <c r="N19" s="2" t="s">
        <v>116</v>
      </c>
      <c r="O19" s="2" t="s">
        <v>115</v>
      </c>
    </row>
    <row r="20" spans="1:15" x14ac:dyDescent="0.25">
      <c r="A20" s="11" t="s">
        <v>24</v>
      </c>
      <c r="B20" s="2" t="s">
        <v>27</v>
      </c>
      <c r="C20" s="10">
        <f>(-0.28099)*27.2114</f>
        <v>-7.646131286000001</v>
      </c>
      <c r="D20" s="10">
        <f>(-0.06419)*27.2114</f>
        <v>-1.7466997660000001</v>
      </c>
      <c r="E20" s="10">
        <f t="shared" ref="E20:E23" si="3">D20-C20</f>
        <v>5.8994315200000012</v>
      </c>
      <c r="F20" s="10">
        <v>0</v>
      </c>
      <c r="G20" s="10">
        <v>4.3963000000000001</v>
      </c>
      <c r="H20" s="6">
        <f>'IP(a)'!F20</f>
        <v>9.7923025674194513</v>
      </c>
      <c r="I20" s="6">
        <f>EA!F19</f>
        <v>-0.43085170189959671</v>
      </c>
      <c r="J20" s="6">
        <f>H20-I20</f>
        <v>10.223154269319048</v>
      </c>
      <c r="K20" s="10">
        <f>'Absorption-Emission'!J28</f>
        <v>4.3962714187671974</v>
      </c>
      <c r="L20" s="10">
        <f>J20-K20</f>
        <v>5.8268828505518506</v>
      </c>
      <c r="M20" s="28">
        <f>(ABS(-3.8)) - (ABS(D20))</f>
        <v>2.0533002339999999</v>
      </c>
      <c r="N20" s="6">
        <f>C20-(-4.8)</f>
        <v>-2.8461312860000012</v>
      </c>
      <c r="O20" s="6">
        <f>(ABS(-4))-(ABS(D20))</f>
        <v>2.2533002340000001</v>
      </c>
    </row>
    <row r="21" spans="1:15" x14ac:dyDescent="0.25">
      <c r="A21" s="11" t="s">
        <v>21</v>
      </c>
      <c r="B21" s="2" t="s">
        <v>32</v>
      </c>
      <c r="C21" s="10">
        <f>(-0.24034)*27.2114</f>
        <v>-6.5399878760000005</v>
      </c>
      <c r="D21" s="10">
        <f>(-0.0766)*27.2114</f>
        <v>-2.0843932400000003</v>
      </c>
      <c r="E21" s="10">
        <f t="shared" si="3"/>
        <v>4.4555946360000007</v>
      </c>
      <c r="F21" s="10">
        <v>0</v>
      </c>
      <c r="G21" s="10">
        <v>3.7248999999999999</v>
      </c>
      <c r="H21" s="6">
        <f>'IP(a)'!F21</f>
        <v>7.7955708525212755</v>
      </c>
      <c r="I21" s="6">
        <f>EA!F20</f>
        <v>0.81469571029877375</v>
      </c>
      <c r="J21" s="6">
        <f>H21-I21</f>
        <v>6.9808751422225015</v>
      </c>
      <c r="K21" s="10">
        <f>'Absorption-Emission'!J29</f>
        <v>3.4538288283696295</v>
      </c>
      <c r="L21" s="10">
        <f t="shared" ref="L21:L29" si="4">J21-K21</f>
        <v>3.527046313852872</v>
      </c>
      <c r="M21" s="28">
        <f t="shared" ref="M21:M29" si="5">(ABS(-3.8)) - (ABS(D21))</f>
        <v>1.7156067599999996</v>
      </c>
      <c r="N21" s="6">
        <f t="shared" ref="N21:N29" si="6">C21-(-4.8)</f>
        <v>-1.7399878760000007</v>
      </c>
      <c r="O21" s="6">
        <f t="shared" ref="O21:O29" si="7">(ABS(-4))-(ABS(D21))</f>
        <v>1.9156067599999997</v>
      </c>
    </row>
    <row r="22" spans="1:15" x14ac:dyDescent="0.25">
      <c r="A22" s="11" t="s">
        <v>31</v>
      </c>
      <c r="B22" s="2" t="s">
        <v>33</v>
      </c>
      <c r="C22" s="10">
        <f>(-0.22199)*27.2114</f>
        <v>-6.0406586860000004</v>
      </c>
      <c r="D22" s="10">
        <f>(-0.07955)*27.2114</f>
        <v>-2.16466687</v>
      </c>
      <c r="E22" s="10">
        <f t="shared" si="3"/>
        <v>3.8759918160000004</v>
      </c>
      <c r="F22" s="10">
        <v>1E-4</v>
      </c>
      <c r="G22" s="10">
        <v>3.4037999999999999</v>
      </c>
      <c r="H22" s="6">
        <f>'IP(a)'!F22</f>
        <v>6.9400172251127428</v>
      </c>
      <c r="I22" s="6">
        <f>EA!F21</f>
        <v>1.0928615256704703</v>
      </c>
      <c r="J22" s="6">
        <f t="shared" ref="J22:J29" si="8">H22-I22</f>
        <v>5.847155699442272</v>
      </c>
      <c r="K22" s="10">
        <f>'Absorption-Emission'!J30</f>
        <v>3.0131994727040472</v>
      </c>
      <c r="L22" s="10">
        <f t="shared" si="4"/>
        <v>2.8339562267382248</v>
      </c>
      <c r="M22" s="28">
        <f t="shared" si="5"/>
        <v>1.6353331299999998</v>
      </c>
      <c r="N22" s="6">
        <f t="shared" si="6"/>
        <v>-1.2406586860000006</v>
      </c>
      <c r="O22" s="6">
        <f t="shared" si="7"/>
        <v>1.83533313</v>
      </c>
    </row>
    <row r="23" spans="1:15" x14ac:dyDescent="0.25">
      <c r="A23" s="11" t="s">
        <v>30</v>
      </c>
      <c r="B23" s="2" t="s">
        <v>34</v>
      </c>
      <c r="C23" s="10">
        <f>(-0.22065)*27.2114</f>
        <v>-6.0041954100000003</v>
      </c>
      <c r="D23" s="10">
        <f>(-0.08172)*27.2114</f>
        <v>-2.223715608</v>
      </c>
      <c r="E23" s="10">
        <f t="shared" si="3"/>
        <v>3.7804798020000003</v>
      </c>
      <c r="F23" s="10">
        <v>1E-4</v>
      </c>
      <c r="G23" s="10">
        <v>3.3285</v>
      </c>
      <c r="H23" s="6">
        <f>'IP(a)'!F23</f>
        <v>6.8684131471609033</v>
      </c>
      <c r="I23" s="6">
        <f>EA!F22</f>
        <v>1.2520400522504389</v>
      </c>
      <c r="J23" s="6">
        <f t="shared" si="8"/>
        <v>5.6163730949104647</v>
      </c>
      <c r="K23" s="10">
        <f>'Absorption-Emission'!J31</f>
        <v>3.0340583368668197</v>
      </c>
      <c r="L23" s="10">
        <f t="shared" si="4"/>
        <v>2.582314758043645</v>
      </c>
      <c r="M23" s="28">
        <f t="shared" si="5"/>
        <v>1.5762843919999998</v>
      </c>
      <c r="N23" s="6">
        <f t="shared" si="6"/>
        <v>-1.2041954100000005</v>
      </c>
      <c r="O23" s="6">
        <f t="shared" si="7"/>
        <v>1.776284392</v>
      </c>
    </row>
    <row r="24" spans="1:15" x14ac:dyDescent="0.25">
      <c r="A24" s="11" t="s">
        <v>23</v>
      </c>
      <c r="B24" s="2" t="s">
        <v>35</v>
      </c>
      <c r="C24" s="10">
        <f>(-0.22177)*27.2114</f>
        <v>-6.0346721780000001</v>
      </c>
      <c r="D24" s="10">
        <f>(-0.06224)*27.2114</f>
        <v>-1.693637536</v>
      </c>
      <c r="E24" s="10">
        <f>D24-C24</f>
        <v>4.3410346420000003</v>
      </c>
      <c r="F24" s="10">
        <v>0.31440000000000001</v>
      </c>
      <c r="G24" s="10">
        <v>3.7092999999999998</v>
      </c>
      <c r="H24" s="6">
        <f>'IP(a)'!F24</f>
        <v>7.0792225840998286</v>
      </c>
      <c r="I24" s="6">
        <f>EA!F23</f>
        <v>0.79761783566105593</v>
      </c>
      <c r="J24" s="6">
        <f t="shared" si="8"/>
        <v>6.2816047484387729</v>
      </c>
      <c r="K24" s="10">
        <f>'Absorption-Emission'!J32</f>
        <v>3.0351307223768038</v>
      </c>
      <c r="L24" s="10">
        <f t="shared" si="4"/>
        <v>3.2464740260619691</v>
      </c>
      <c r="M24" s="28">
        <f t="shared" si="5"/>
        <v>2.106362464</v>
      </c>
      <c r="N24" s="6">
        <f t="shared" si="6"/>
        <v>-1.2346721780000003</v>
      </c>
      <c r="O24" s="6">
        <f t="shared" si="7"/>
        <v>2.3063624640000002</v>
      </c>
    </row>
    <row r="25" spans="1:15" x14ac:dyDescent="0.25">
      <c r="A25" s="11" t="s">
        <v>28</v>
      </c>
      <c r="B25" s="2" t="s">
        <v>36</v>
      </c>
      <c r="C25" s="10">
        <f>(-0.20931)*27.2114</f>
        <v>-5.6956181340000001</v>
      </c>
      <c r="D25" s="10">
        <f>(-0.08944)*27.2114</f>
        <v>-2.433787616</v>
      </c>
      <c r="E25" s="10">
        <f>D25-C25</f>
        <v>3.261830518</v>
      </c>
      <c r="F25" s="10">
        <v>2.0000000000000001E-4</v>
      </c>
      <c r="G25" s="10">
        <v>2.7892999999999999</v>
      </c>
      <c r="H25" s="6">
        <f>'IP(a)'!F25</f>
        <v>6.5010211512072118</v>
      </c>
      <c r="I25" s="6">
        <f>EA!F24</f>
        <v>1.4019993564977984</v>
      </c>
      <c r="J25" s="6">
        <f t="shared" si="8"/>
        <v>5.0990217947094134</v>
      </c>
      <c r="K25" s="10">
        <f>'Absorption-Emission'!J33</f>
        <v>2.5555844666380243</v>
      </c>
      <c r="L25" s="10">
        <f t="shared" si="4"/>
        <v>2.5434373280713891</v>
      </c>
      <c r="M25" s="28">
        <f t="shared" si="5"/>
        <v>1.3662123839999998</v>
      </c>
      <c r="N25" s="6">
        <f t="shared" si="6"/>
        <v>-0.89561813400000023</v>
      </c>
      <c r="O25" s="6">
        <f t="shared" si="7"/>
        <v>1.566212384</v>
      </c>
    </row>
    <row r="26" spans="1:15" x14ac:dyDescent="0.25">
      <c r="A26" s="11" t="s">
        <v>29</v>
      </c>
      <c r="B26" s="2" t="s">
        <v>37</v>
      </c>
      <c r="C26" s="10">
        <f>(-0.21045)*27.2114</f>
        <v>-5.7266391300000006</v>
      </c>
      <c r="D26" s="10">
        <f>(-0.08672)*27.2114</f>
        <v>-2.3597726080000001</v>
      </c>
      <c r="E26" s="10">
        <f>D26-C26</f>
        <v>3.3668665220000005</v>
      </c>
      <c r="F26" s="10">
        <v>0.44400000000000001</v>
      </c>
      <c r="G26" s="10">
        <v>2.9186999999999999</v>
      </c>
      <c r="H26" s="6">
        <f>'IP(a)'!F26</f>
        <v>6.4950482489021839</v>
      </c>
      <c r="I26" s="6">
        <f>EA!F25</f>
        <v>1.4081926711382484</v>
      </c>
      <c r="J26" s="6">
        <f t="shared" si="8"/>
        <v>5.0868555777639353</v>
      </c>
      <c r="K26" s="10">
        <f>'Absorption-Emission'!J34</f>
        <v>2.6157400964445428</v>
      </c>
      <c r="L26" s="10">
        <f t="shared" si="4"/>
        <v>2.4711154813193925</v>
      </c>
      <c r="M26" s="28">
        <f t="shared" si="5"/>
        <v>1.4402273919999997</v>
      </c>
      <c r="N26" s="6">
        <f t="shared" si="6"/>
        <v>-0.92663913000000075</v>
      </c>
      <c r="O26" s="6">
        <f t="shared" si="7"/>
        <v>1.6402273919999999</v>
      </c>
    </row>
    <row r="27" spans="1:15" x14ac:dyDescent="0.25">
      <c r="A27" s="11" t="s">
        <v>60</v>
      </c>
      <c r="B27" s="2" t="s">
        <v>61</v>
      </c>
      <c r="C27" s="10">
        <f>(-0.2119)*27.2114</f>
        <v>-5.7660956600000004</v>
      </c>
      <c r="D27" s="10">
        <f>(-0.0869)*27.2114</f>
        <v>-2.3646706600000003</v>
      </c>
      <c r="E27" s="10">
        <f>D27-C27</f>
        <v>3.4014250000000001</v>
      </c>
      <c r="F27" s="10">
        <v>0.45739999999999997</v>
      </c>
      <c r="G27" s="10">
        <v>2.9091999999999998</v>
      </c>
      <c r="H27" s="6">
        <f>'IP(a)'!F27</f>
        <v>6.529144133099626</v>
      </c>
      <c r="I27" s="6">
        <f>EA!F26</f>
        <v>1.4194228159236151</v>
      </c>
      <c r="J27" s="6">
        <f t="shared" si="8"/>
        <v>5.1097213171760112</v>
      </c>
      <c r="K27" s="10">
        <f>'Absorption-Emission'!J35</f>
        <v>2.7056343560316538</v>
      </c>
      <c r="L27" s="10">
        <f t="shared" si="4"/>
        <v>2.4040869611443574</v>
      </c>
      <c r="M27" s="28">
        <f t="shared" si="5"/>
        <v>1.4353293399999996</v>
      </c>
      <c r="N27" s="6">
        <f t="shared" si="6"/>
        <v>-0.96609566000000058</v>
      </c>
      <c r="O27" s="6">
        <f t="shared" si="7"/>
        <v>1.6353293399999997</v>
      </c>
    </row>
    <row r="28" spans="1:15" x14ac:dyDescent="0.25">
      <c r="A28" s="11" t="s">
        <v>79</v>
      </c>
      <c r="B28" s="2" t="s">
        <v>80</v>
      </c>
      <c r="C28" s="10">
        <f>( -0.21187)*27.2114</f>
        <v>-5.7652793180000002</v>
      </c>
      <c r="D28" s="10">
        <f>( -0.08668)*27.2114</f>
        <v>-2.3586841519999999</v>
      </c>
      <c r="E28" s="10">
        <f t="shared" ref="E28:E29" si="9">D28-C28</f>
        <v>3.4065951660000002</v>
      </c>
      <c r="F28" s="10">
        <v>3.5999999999999999E-3</v>
      </c>
      <c r="G28" s="10">
        <v>3.0872000000000002</v>
      </c>
      <c r="H28" s="6">
        <f>'IP(a)'!F28</f>
        <v>6.3147618393463194</v>
      </c>
      <c r="I28" s="6">
        <f>EA!F27</f>
        <v>1.402127250086447</v>
      </c>
      <c r="J28" s="6">
        <f t="shared" si="8"/>
        <v>4.9126345892598726</v>
      </c>
      <c r="K28" s="10">
        <f>'Absorption-Emission'!J36</f>
        <v>2.7253141675602572</v>
      </c>
      <c r="L28" s="10">
        <f t="shared" si="4"/>
        <v>2.1873204216996154</v>
      </c>
      <c r="M28" s="28">
        <f t="shared" si="5"/>
        <v>1.4413158479999999</v>
      </c>
      <c r="N28" s="6">
        <f t="shared" si="6"/>
        <v>-0.96527931800000033</v>
      </c>
      <c r="O28" s="6">
        <f t="shared" si="7"/>
        <v>1.6413158480000001</v>
      </c>
    </row>
    <row r="29" spans="1:15" x14ac:dyDescent="0.25">
      <c r="A29" s="11" t="s">
        <v>63</v>
      </c>
      <c r="B29" s="2" t="s">
        <v>64</v>
      </c>
      <c r="C29" s="10">
        <f>(-0.21004)*27.2114</f>
        <v>-5.7154824560000002</v>
      </c>
      <c r="D29" s="10">
        <f>(-0.08966)*27.2117</f>
        <v>-2.4398010220000002</v>
      </c>
      <c r="E29" s="10">
        <f t="shared" si="9"/>
        <v>3.275681434</v>
      </c>
      <c r="F29" s="10">
        <v>0.63739999999999997</v>
      </c>
      <c r="G29" s="10">
        <v>2.8995000000000002</v>
      </c>
      <c r="H29" s="6">
        <f>'IP(a)'!F29</f>
        <v>6.2718685095229363</v>
      </c>
      <c r="I29" s="6">
        <f>EA!F28</f>
        <v>1.5892219519032658</v>
      </c>
      <c r="J29" s="6">
        <f t="shared" si="8"/>
        <v>4.6826465576196705</v>
      </c>
      <c r="K29" s="10">
        <f>'Absorption-Emission'!J37</f>
        <v>2.7656365158125427</v>
      </c>
      <c r="L29" s="10">
        <f t="shared" si="4"/>
        <v>1.9170100418071279</v>
      </c>
      <c r="M29" s="28">
        <f t="shared" si="5"/>
        <v>1.3601989779999997</v>
      </c>
      <c r="N29" s="6">
        <f t="shared" si="6"/>
        <v>-0.91548245600000033</v>
      </c>
      <c r="O29" s="6">
        <f t="shared" si="7"/>
        <v>1.5601989779999998</v>
      </c>
    </row>
  </sheetData>
  <mergeCells count="2">
    <mergeCell ref="B1:L1"/>
    <mergeCell ref="B18:L18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A56D-9DD8-43C2-9204-09E6ECE96295}">
  <dimension ref="A1:G10"/>
  <sheetViews>
    <sheetView workbookViewId="0">
      <selection activeCell="A2" sqref="A2:XFD2"/>
    </sheetView>
  </sheetViews>
  <sheetFormatPr defaultRowHeight="15.75" x14ac:dyDescent="0.25"/>
  <cols>
    <col min="1" max="1" width="35.7109375" bestFit="1" customWidth="1"/>
    <col min="2" max="2" width="15.42578125" bestFit="1" customWidth="1"/>
    <col min="5" max="5" width="9.7109375" style="1" bestFit="1" customWidth="1"/>
    <col min="6" max="6" width="77.42578125" bestFit="1" customWidth="1"/>
  </cols>
  <sheetData>
    <row r="1" spans="1:7" s="4" customFormat="1" ht="17.25" x14ac:dyDescent="0.3">
      <c r="A1" s="18"/>
      <c r="B1" s="18"/>
      <c r="C1" s="9" t="s">
        <v>54</v>
      </c>
      <c r="D1" s="2" t="s">
        <v>13</v>
      </c>
      <c r="E1" s="2" t="s">
        <v>101</v>
      </c>
      <c r="F1" s="23" t="s">
        <v>100</v>
      </c>
    </row>
    <row r="2" spans="1:7" x14ac:dyDescent="0.25">
      <c r="A2" s="11" t="s">
        <v>21</v>
      </c>
      <c r="B2" s="2" t="s">
        <v>32</v>
      </c>
      <c r="C2" s="8">
        <v>0.58389999999999997</v>
      </c>
      <c r="D2" s="6">
        <f t="shared" ref="D2:D10" si="0">(1-10^(-C2))</f>
        <v>0.73932462918765707</v>
      </c>
      <c r="E2" s="1">
        <v>299</v>
      </c>
      <c r="F2" t="s">
        <v>94</v>
      </c>
      <c r="G2" s="24"/>
    </row>
    <row r="3" spans="1:7" x14ac:dyDescent="0.25">
      <c r="A3" s="11" t="s">
        <v>31</v>
      </c>
      <c r="B3" s="2" t="s">
        <v>33</v>
      </c>
      <c r="C3" s="8">
        <v>3.15E-2</v>
      </c>
      <c r="D3" s="6">
        <f t="shared" si="0"/>
        <v>6.9963485246039792E-2</v>
      </c>
      <c r="E3" s="1">
        <v>359</v>
      </c>
      <c r="F3" t="s">
        <v>95</v>
      </c>
      <c r="G3" s="24"/>
    </row>
    <row r="4" spans="1:7" x14ac:dyDescent="0.25">
      <c r="A4" s="11" t="s">
        <v>30</v>
      </c>
      <c r="B4" s="2" t="s">
        <v>34</v>
      </c>
      <c r="C4" s="8">
        <v>1.0573999999999999</v>
      </c>
      <c r="D4" s="6">
        <f t="shared" si="0"/>
        <v>0.91238065545959457</v>
      </c>
      <c r="E4" s="1">
        <v>364</v>
      </c>
      <c r="F4" t="s">
        <v>91</v>
      </c>
      <c r="G4" s="24"/>
    </row>
    <row r="5" spans="1:7" x14ac:dyDescent="0.25">
      <c r="A5" s="11" t="s">
        <v>23</v>
      </c>
      <c r="B5" s="2" t="s">
        <v>35</v>
      </c>
      <c r="C5" s="8">
        <v>0.46039999999999998</v>
      </c>
      <c r="D5" s="6">
        <f t="shared" si="0"/>
        <v>0.65358235896475114</v>
      </c>
      <c r="E5" s="1">
        <v>425</v>
      </c>
      <c r="F5" t="s">
        <v>96</v>
      </c>
      <c r="G5" s="24"/>
    </row>
    <row r="6" spans="1:7" x14ac:dyDescent="0.25">
      <c r="A6" s="11" t="s">
        <v>28</v>
      </c>
      <c r="B6" s="2" t="s">
        <v>36</v>
      </c>
      <c r="C6" s="1">
        <v>7.4000000000000003E-3</v>
      </c>
      <c r="D6" s="6">
        <f t="shared" si="0"/>
        <v>1.6894784718230693E-2</v>
      </c>
      <c r="E6" s="1">
        <v>429</v>
      </c>
      <c r="F6" t="s">
        <v>97</v>
      </c>
      <c r="G6" s="24"/>
    </row>
    <row r="7" spans="1:7" x14ac:dyDescent="0.25">
      <c r="A7" s="11" t="s">
        <v>29</v>
      </c>
      <c r="B7" s="2" t="s">
        <v>37</v>
      </c>
      <c r="C7" s="8">
        <v>0.44490000000000002</v>
      </c>
      <c r="D7" s="6">
        <f t="shared" si="0"/>
        <v>0.64099541100980062</v>
      </c>
      <c r="E7" s="1">
        <v>424</v>
      </c>
      <c r="F7" t="s">
        <v>98</v>
      </c>
      <c r="G7" s="24"/>
    </row>
    <row r="8" spans="1:7" x14ac:dyDescent="0.25">
      <c r="A8" s="11" t="s">
        <v>60</v>
      </c>
      <c r="B8" s="2" t="s">
        <v>61</v>
      </c>
      <c r="C8" s="8">
        <v>0.45739999999999997</v>
      </c>
      <c r="D8" s="6">
        <f t="shared" si="0"/>
        <v>0.65118110659267159</v>
      </c>
      <c r="E8" s="1">
        <v>426</v>
      </c>
      <c r="F8" t="s">
        <v>92</v>
      </c>
      <c r="G8" s="24"/>
    </row>
    <row r="9" spans="1:7" x14ac:dyDescent="0.25">
      <c r="A9" s="11" t="s">
        <v>79</v>
      </c>
      <c r="B9" s="2" t="s">
        <v>80</v>
      </c>
      <c r="C9" s="8">
        <v>1.3599999999999999E-2</v>
      </c>
      <c r="D9" s="6">
        <f t="shared" si="0"/>
        <v>3.0829916052709017E-2</v>
      </c>
      <c r="E9" s="1">
        <v>400</v>
      </c>
      <c r="F9" t="s">
        <v>99</v>
      </c>
      <c r="G9" s="24"/>
    </row>
    <row r="10" spans="1:7" x14ac:dyDescent="0.25">
      <c r="A10" s="11" t="s">
        <v>63</v>
      </c>
      <c r="B10" s="2" t="s">
        <v>64</v>
      </c>
      <c r="C10" s="8">
        <v>0.63739999999999997</v>
      </c>
      <c r="D10" s="6">
        <f t="shared" si="0"/>
        <v>0.76953764258451818</v>
      </c>
      <c r="E10" s="1">
        <v>427</v>
      </c>
      <c r="F10" t="s">
        <v>93</v>
      </c>
      <c r="G10" s="24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EE-EEC3-44FC-A888-F545E6F81602}">
  <dimension ref="A1:K25"/>
  <sheetViews>
    <sheetView topLeftCell="B10" workbookViewId="0">
      <selection activeCell="K24" sqref="K24"/>
    </sheetView>
  </sheetViews>
  <sheetFormatPr defaultRowHeight="15.75" x14ac:dyDescent="0.25"/>
  <cols>
    <col min="1" max="1" width="50.140625" customWidth="1"/>
    <col min="2" max="2" width="19" customWidth="1"/>
    <col min="3" max="3" width="12.7109375" customWidth="1"/>
    <col min="4" max="4" width="12.85546875" customWidth="1"/>
    <col min="5" max="5" width="11" customWidth="1"/>
    <col min="6" max="6" width="10" style="3" customWidth="1"/>
    <col min="7" max="7" width="11.140625" customWidth="1"/>
    <col min="8" max="8" width="14.85546875" customWidth="1"/>
    <col min="11" max="11" width="13.7109375" customWidth="1"/>
  </cols>
  <sheetData>
    <row r="1" spans="1:11" ht="15.75" customHeight="1" x14ac:dyDescent="0.25">
      <c r="A1" s="32" t="s">
        <v>111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20.25" x14ac:dyDescent="0.35">
      <c r="A2" s="4"/>
      <c r="B2" s="14" t="s">
        <v>0</v>
      </c>
      <c r="C2" s="1" t="s">
        <v>1</v>
      </c>
      <c r="D2" s="2" t="s">
        <v>84</v>
      </c>
      <c r="E2" s="2" t="s">
        <v>88</v>
      </c>
      <c r="F2" s="18" t="s">
        <v>85</v>
      </c>
      <c r="G2" s="18" t="s">
        <v>86</v>
      </c>
      <c r="H2" s="18" t="s">
        <v>87</v>
      </c>
      <c r="I2" s="9" t="s">
        <v>89</v>
      </c>
      <c r="J2" s="2" t="s">
        <v>82</v>
      </c>
      <c r="K2" s="18" t="s">
        <v>90</v>
      </c>
    </row>
    <row r="3" spans="1:11" x14ac:dyDescent="0.25">
      <c r="A3" s="11" t="s">
        <v>21</v>
      </c>
      <c r="B3" s="2" t="s">
        <v>32</v>
      </c>
      <c r="C3" s="10">
        <f>27.2114*(-0.31556)</f>
        <v>-8.5868293840000014</v>
      </c>
      <c r="D3" s="10">
        <v>-4.5316000000000001</v>
      </c>
      <c r="E3" s="10">
        <f>(C3)-D3</f>
        <v>-4.0552293840000013</v>
      </c>
      <c r="F3" s="6">
        <f>E3-(-4)</f>
        <v>-5.5229384000001325E-2</v>
      </c>
      <c r="G3" s="25">
        <f>(-4.8)-C3</f>
        <v>3.7868293840000016</v>
      </c>
      <c r="H3" s="6">
        <f>(-4)-C3</f>
        <v>4.5868293840000014</v>
      </c>
      <c r="I3" s="6">
        <f>(-3.8)-C3</f>
        <v>4.7868293840000016</v>
      </c>
      <c r="J3" s="10">
        <v>4.3270275738510495</v>
      </c>
      <c r="K3" s="6">
        <f>J3-I3</f>
        <v>-0.45980181014895205</v>
      </c>
    </row>
    <row r="4" spans="1:11" x14ac:dyDescent="0.25">
      <c r="A4" s="11" t="s">
        <v>31</v>
      </c>
      <c r="B4" s="2" t="s">
        <v>33</v>
      </c>
      <c r="C4" s="10">
        <f>27.2114*(-0.29621)</f>
        <v>-8.0602887939999999</v>
      </c>
      <c r="D4" s="10">
        <v>-4.4264999999999999</v>
      </c>
      <c r="E4" s="10">
        <f t="shared" ref="E4:E11" si="0">(C4)-D4</f>
        <v>-3.633788794</v>
      </c>
      <c r="F4" s="6">
        <f t="shared" ref="F4:F11" si="1">E4-(-4)</f>
        <v>0.36621120600000001</v>
      </c>
      <c r="G4" s="25">
        <f>(-4.8)-C4</f>
        <v>3.260288794</v>
      </c>
      <c r="H4" s="6">
        <f t="shared" ref="H4:H10" si="2">(-4)-C4</f>
        <v>4.0602887939999999</v>
      </c>
      <c r="I4" s="6">
        <f t="shared" ref="I4:I11" si="3">(-3.8)-C4</f>
        <v>4.260288794</v>
      </c>
      <c r="J4" s="10">
        <v>4.1260975077879491</v>
      </c>
      <c r="K4" s="6">
        <f>J4-I4</f>
        <v>-0.1341912862120509</v>
      </c>
    </row>
    <row r="5" spans="1:11" x14ac:dyDescent="0.25">
      <c r="A5" s="11" t="s">
        <v>30</v>
      </c>
      <c r="B5" s="2" t="s">
        <v>34</v>
      </c>
      <c r="C5" s="10">
        <f>27.2114*(-0.29438)</f>
        <v>-8.010491931999999</v>
      </c>
      <c r="D5" s="10">
        <v>-4.141</v>
      </c>
      <c r="E5" s="10">
        <f t="shared" si="0"/>
        <v>-3.869491931999999</v>
      </c>
      <c r="F5" s="6">
        <f>E5-(-4)</f>
        <v>0.13050806800000103</v>
      </c>
      <c r="G5" s="25">
        <f t="shared" ref="G5:G11" si="4">(-4.8)-C5</f>
        <v>3.2104919319999992</v>
      </c>
      <c r="H5" s="6">
        <f t="shared" si="2"/>
        <v>4.010491931999999</v>
      </c>
      <c r="I5" s="6">
        <f t="shared" si="3"/>
        <v>4.2104919319999992</v>
      </c>
      <c r="J5" s="10">
        <v>3.802010278030294</v>
      </c>
      <c r="K5" s="6">
        <f t="shared" ref="K5:K10" si="5">J5-I5</f>
        <v>-0.40848165396970515</v>
      </c>
    </row>
    <row r="6" spans="1:11" x14ac:dyDescent="0.25">
      <c r="A6" s="11" t="s">
        <v>23</v>
      </c>
      <c r="B6" s="2" t="s">
        <v>35</v>
      </c>
      <c r="C6" s="10">
        <f>27.2114*(-0.29223)</f>
        <v>-7.9519874220000002</v>
      </c>
      <c r="D6" s="10">
        <v>-4.4280999999999997</v>
      </c>
      <c r="E6" s="10">
        <f t="shared" si="0"/>
        <v>-3.5238874220000005</v>
      </c>
      <c r="F6" s="6">
        <f t="shared" si="1"/>
        <v>0.47611257799999951</v>
      </c>
      <c r="G6" s="25">
        <f t="shared" si="4"/>
        <v>3.1519874220000004</v>
      </c>
      <c r="H6" s="6">
        <f t="shared" si="2"/>
        <v>3.9519874220000002</v>
      </c>
      <c r="I6" s="6">
        <f t="shared" si="3"/>
        <v>4.1519874220000004</v>
      </c>
      <c r="J6" s="10">
        <v>4.0175525937608469</v>
      </c>
      <c r="K6" s="6">
        <f t="shared" si="5"/>
        <v>-0.13443482823915343</v>
      </c>
    </row>
    <row r="7" spans="1:11" x14ac:dyDescent="0.25">
      <c r="A7" s="11" t="s">
        <v>28</v>
      </c>
      <c r="B7" s="2" t="s">
        <v>36</v>
      </c>
      <c r="C7" s="10">
        <f>(-0.27826)*27.2114</f>
        <v>-7.5718441640000007</v>
      </c>
      <c r="D7" s="10">
        <v>-4.1413000000000002</v>
      </c>
      <c r="E7" s="10">
        <f t="shared" si="0"/>
        <v>-3.4305441640000005</v>
      </c>
      <c r="F7" s="6">
        <f t="shared" si="1"/>
        <v>0.56945583599999949</v>
      </c>
      <c r="G7" s="25">
        <f t="shared" si="4"/>
        <v>2.7718441640000009</v>
      </c>
      <c r="H7" s="6">
        <f t="shared" si="2"/>
        <v>3.5718441640000007</v>
      </c>
      <c r="I7" s="6">
        <f t="shared" si="3"/>
        <v>3.7718441640000009</v>
      </c>
      <c r="J7" s="10">
        <v>3.8035115309681848</v>
      </c>
      <c r="K7" s="6">
        <f t="shared" si="5"/>
        <v>3.1667366968183952E-2</v>
      </c>
    </row>
    <row r="8" spans="1:11" x14ac:dyDescent="0.25">
      <c r="A8" s="11" t="s">
        <v>29</v>
      </c>
      <c r="B8" s="2" t="s">
        <v>37</v>
      </c>
      <c r="C8" s="10">
        <f>(-0.27914)*27.2114</f>
        <v>-7.5957901960000003</v>
      </c>
      <c r="D8" s="10">
        <v>-4.0469999999999997</v>
      </c>
      <c r="E8" s="10">
        <f t="shared" si="0"/>
        <v>-3.5487901960000006</v>
      </c>
      <c r="F8" s="6">
        <f t="shared" si="1"/>
        <v>0.45120980399999944</v>
      </c>
      <c r="G8" s="25">
        <f t="shared" si="4"/>
        <v>2.7957901960000004</v>
      </c>
      <c r="H8" s="6">
        <f t="shared" si="2"/>
        <v>3.5957901960000003</v>
      </c>
      <c r="I8" s="6">
        <f t="shared" si="3"/>
        <v>3.7957901960000004</v>
      </c>
      <c r="J8" s="10">
        <v>3.8692994442795898</v>
      </c>
      <c r="K8" s="6">
        <f t="shared" si="5"/>
        <v>7.3509248279589379E-2</v>
      </c>
    </row>
    <row r="9" spans="1:11" x14ac:dyDescent="0.25">
      <c r="A9" s="11" t="s">
        <v>60</v>
      </c>
      <c r="B9" s="2" t="s">
        <v>61</v>
      </c>
      <c r="C9" s="10">
        <v>-7.6714333689999998</v>
      </c>
      <c r="D9" s="1">
        <v>-3.8380000000000001</v>
      </c>
      <c r="E9" s="10">
        <f t="shared" si="0"/>
        <v>-3.8334333689999998</v>
      </c>
      <c r="F9" s="6">
        <f t="shared" si="1"/>
        <v>0.16656663100000024</v>
      </c>
      <c r="G9" s="25">
        <f t="shared" si="4"/>
        <v>2.871433369</v>
      </c>
      <c r="H9" s="6">
        <f t="shared" si="2"/>
        <v>3.6714333689999998</v>
      </c>
      <c r="I9" s="6">
        <f t="shared" si="3"/>
        <v>3.871433369</v>
      </c>
      <c r="J9" s="10">
        <v>3.559731129090685</v>
      </c>
      <c r="K9" s="6">
        <f t="shared" si="5"/>
        <v>-0.311702239909315</v>
      </c>
    </row>
    <row r="10" spans="1:11" x14ac:dyDescent="0.25">
      <c r="A10" s="11" t="s">
        <v>79</v>
      </c>
      <c r="B10" s="2" t="s">
        <v>80</v>
      </c>
      <c r="C10" s="10">
        <f>(-0.28167)*27.2114</f>
        <v>-7.6646350379999992</v>
      </c>
      <c r="D10" s="10">
        <v>-4.4008000000000003</v>
      </c>
      <c r="E10" s="10">
        <f>(C10)-D10</f>
        <v>-3.263835037999999</v>
      </c>
      <c r="F10" s="6">
        <f>E10-(-4)</f>
        <v>0.73616496200000103</v>
      </c>
      <c r="G10" s="25">
        <f t="shared" si="4"/>
        <v>2.8646350379999994</v>
      </c>
      <c r="H10" s="6">
        <f t="shared" si="2"/>
        <v>3.6646350379999992</v>
      </c>
      <c r="I10" s="6">
        <f t="shared" si="3"/>
        <v>3.8646350379999994</v>
      </c>
      <c r="J10" s="10">
        <v>3.748290892707276</v>
      </c>
      <c r="K10" s="6">
        <f t="shared" si="5"/>
        <v>-0.11634414529272341</v>
      </c>
    </row>
    <row r="11" spans="1:11" x14ac:dyDescent="0.25">
      <c r="A11" s="11" t="s">
        <v>63</v>
      </c>
      <c r="B11" s="2" t="s">
        <v>64</v>
      </c>
      <c r="C11" s="10">
        <f>(-0.28116)*27.2114</f>
        <v>-7.6507572240000012</v>
      </c>
      <c r="D11" s="10">
        <v>-4.0091000000000001</v>
      </c>
      <c r="E11" s="10">
        <f t="shared" si="0"/>
        <v>-3.6416572240000011</v>
      </c>
      <c r="F11" s="6">
        <f t="shared" si="1"/>
        <v>0.35834277599999886</v>
      </c>
      <c r="G11" s="25">
        <f t="shared" si="4"/>
        <v>2.8507572240000014</v>
      </c>
      <c r="H11" s="6">
        <f>(-4)-C11</f>
        <v>3.6507572240000012</v>
      </c>
      <c r="I11" s="6">
        <f t="shared" si="3"/>
        <v>3.8507572240000014</v>
      </c>
      <c r="J11" s="10">
        <v>3.4628871170526021</v>
      </c>
      <c r="K11" s="6">
        <f>J11-I11</f>
        <v>-0.38787010694739932</v>
      </c>
    </row>
    <row r="12" spans="1:11" x14ac:dyDescent="0.25">
      <c r="I12" s="6"/>
    </row>
    <row r="15" spans="1:11" ht="15.75" customHeight="1" x14ac:dyDescent="0.25">
      <c r="A15" s="32" t="s">
        <v>105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</row>
    <row r="16" spans="1:11" ht="20.25" x14ac:dyDescent="0.35">
      <c r="A16" s="4"/>
      <c r="B16" s="14" t="s">
        <v>0</v>
      </c>
      <c r="C16" s="1" t="s">
        <v>1</v>
      </c>
      <c r="D16" s="2" t="s">
        <v>84</v>
      </c>
      <c r="E16" s="2" t="s">
        <v>88</v>
      </c>
      <c r="F16" s="18" t="s">
        <v>85</v>
      </c>
      <c r="G16" s="18" t="s">
        <v>86</v>
      </c>
      <c r="H16" s="18" t="s">
        <v>87</v>
      </c>
      <c r="I16" s="9" t="s">
        <v>89</v>
      </c>
      <c r="J16" s="2" t="s">
        <v>82</v>
      </c>
      <c r="K16" s="18" t="s">
        <v>90</v>
      </c>
    </row>
    <row r="17" spans="1:11" x14ac:dyDescent="0.25">
      <c r="A17" s="11" t="s">
        <v>21</v>
      </c>
      <c r="B17" s="2" t="s">
        <v>32</v>
      </c>
      <c r="C17" s="10">
        <f>(-0.24034)*27.2114</f>
        <v>-6.5399878760000005</v>
      </c>
      <c r="D17" s="10">
        <f>-'Absorption-Emission'!I29</f>
        <v>-3.7248828300929913</v>
      </c>
      <c r="E17" s="10">
        <f>(C17)-D17</f>
        <v>-2.8151050459070093</v>
      </c>
      <c r="F17" s="6">
        <f>E17-(-4)</f>
        <v>1.1848949540929907</v>
      </c>
      <c r="G17" s="25">
        <f>(-4.8)-C17</f>
        <v>1.7399878760000007</v>
      </c>
      <c r="H17" s="6">
        <f>(-4)-C17</f>
        <v>2.5399878760000005</v>
      </c>
      <c r="I17" s="6">
        <f>(-3.8)-C17</f>
        <v>2.7399878760000007</v>
      </c>
      <c r="J17" s="10">
        <f>'Absorption-Emission'!J29</f>
        <v>3.4538288283696295</v>
      </c>
      <c r="K17" s="6">
        <f>J17-I17</f>
        <v>0.71384095236962875</v>
      </c>
    </row>
    <row r="18" spans="1:11" x14ac:dyDescent="0.25">
      <c r="A18" s="11" t="s">
        <v>31</v>
      </c>
      <c r="B18" s="2" t="s">
        <v>33</v>
      </c>
      <c r="C18" s="10">
        <f>(-0.22199)*27.2114</f>
        <v>-6.0406586860000004</v>
      </c>
      <c r="D18" s="10">
        <f>-'Absorption-Emission'!I30</f>
        <v>-3.4037913033402534</v>
      </c>
      <c r="E18" s="10">
        <f t="shared" ref="E18:E23" si="6">(C18)-D18</f>
        <v>-2.6368673826597471</v>
      </c>
      <c r="F18" s="6">
        <f t="shared" ref="F18" si="7">E18-(-4)</f>
        <v>1.3631326173402529</v>
      </c>
      <c r="G18" s="25">
        <f>(-4.8)-C18</f>
        <v>1.2406586860000006</v>
      </c>
      <c r="H18" s="6">
        <f t="shared" ref="H18:H24" si="8">(-4)-C18</f>
        <v>2.0406586860000004</v>
      </c>
      <c r="I18" s="6">
        <f t="shared" ref="I18:I25" si="9">(-3.8)-C18</f>
        <v>2.2406586860000006</v>
      </c>
      <c r="J18" s="10">
        <f>'Absorption-Emission'!J30</f>
        <v>3.0131994727040472</v>
      </c>
      <c r="K18" s="6">
        <f>J18-I18</f>
        <v>0.77254078670404658</v>
      </c>
    </row>
    <row r="19" spans="1:11" x14ac:dyDescent="0.25">
      <c r="A19" s="11" t="s">
        <v>30</v>
      </c>
      <c r="B19" s="2" t="s">
        <v>34</v>
      </c>
      <c r="C19" s="10">
        <f>(-0.22065)*27.2114</f>
        <v>-6.0041954100000003</v>
      </c>
      <c r="D19" s="10">
        <f>-'Absorption-Emission'!I31</f>
        <v>-3.3288478423670669</v>
      </c>
      <c r="E19" s="10">
        <f t="shared" si="6"/>
        <v>-2.6753475676329335</v>
      </c>
      <c r="F19" s="6">
        <f>E19-(-4)</f>
        <v>1.3246524323670665</v>
      </c>
      <c r="G19" s="25">
        <f t="shared" ref="G19:G25" si="10">(-4.8)-C19</f>
        <v>1.2041954100000005</v>
      </c>
      <c r="H19" s="6">
        <f t="shared" si="8"/>
        <v>2.0041954100000003</v>
      </c>
      <c r="I19" s="6">
        <f t="shared" si="9"/>
        <v>2.2041954100000005</v>
      </c>
      <c r="J19" s="10">
        <f>'Absorption-Emission'!J31</f>
        <v>3.0340583368668197</v>
      </c>
      <c r="K19" s="6">
        <f t="shared" ref="K19:K24" si="11">J19-I19</f>
        <v>0.82986292686681917</v>
      </c>
    </row>
    <row r="20" spans="1:11" x14ac:dyDescent="0.25">
      <c r="A20" s="11" t="s">
        <v>23</v>
      </c>
      <c r="B20" s="2" t="s">
        <v>35</v>
      </c>
      <c r="C20" s="10">
        <f>(-0.22177)*27.2114</f>
        <v>-6.0346721780000001</v>
      </c>
      <c r="D20" s="10">
        <f>-'Absorption-Emission'!I32</f>
        <v>-3.7093467533711117</v>
      </c>
      <c r="E20" s="10">
        <f t="shared" si="6"/>
        <v>-2.3253254246288884</v>
      </c>
      <c r="F20" s="6">
        <f t="shared" ref="F20:F23" si="12">E20-(-4)</f>
        <v>1.6746745753711116</v>
      </c>
      <c r="G20" s="25">
        <f t="shared" si="10"/>
        <v>1.2346721780000003</v>
      </c>
      <c r="H20" s="6">
        <f t="shared" si="8"/>
        <v>2.0346721780000001</v>
      </c>
      <c r="I20" s="6">
        <f t="shared" si="9"/>
        <v>2.2346721780000003</v>
      </c>
      <c r="J20" s="10">
        <f>'Absorption-Emission'!J32</f>
        <v>3.0351307223768038</v>
      </c>
      <c r="K20" s="6">
        <f t="shared" si="11"/>
        <v>0.80045854437680353</v>
      </c>
    </row>
    <row r="21" spans="1:11" x14ac:dyDescent="0.25">
      <c r="A21" s="11" t="s">
        <v>28</v>
      </c>
      <c r="B21" s="2" t="s">
        <v>36</v>
      </c>
      <c r="C21" s="10">
        <f>(-0.20931)*27.2114</f>
        <v>-5.6956181340000001</v>
      </c>
      <c r="D21" s="10">
        <f>-'Absorption-Emission'!I33</f>
        <v>-2.7892887743896146</v>
      </c>
      <c r="E21" s="10">
        <f t="shared" si="6"/>
        <v>-2.9063293596103854</v>
      </c>
      <c r="F21" s="6">
        <f t="shared" si="12"/>
        <v>1.0936706403896146</v>
      </c>
      <c r="G21" s="25">
        <f t="shared" si="10"/>
        <v>0.89561813400000023</v>
      </c>
      <c r="H21" s="6">
        <f t="shared" si="8"/>
        <v>1.6956181340000001</v>
      </c>
      <c r="I21" s="6">
        <f t="shared" si="9"/>
        <v>1.8956181340000002</v>
      </c>
      <c r="J21" s="10">
        <f>'Absorption-Emission'!J33</f>
        <v>2.5555844666380243</v>
      </c>
      <c r="K21" s="6">
        <f t="shared" si="11"/>
        <v>0.65996633263802407</v>
      </c>
    </row>
    <row r="22" spans="1:11" x14ac:dyDescent="0.25">
      <c r="A22" s="11" t="s">
        <v>29</v>
      </c>
      <c r="B22" s="2" t="s">
        <v>37</v>
      </c>
      <c r="C22" s="10">
        <f>(-0.21045)*27.2114</f>
        <v>-5.7266391300000006</v>
      </c>
      <c r="D22" s="10">
        <f>-'Absorption-Emission'!I34</f>
        <v>-2.9186800698446249</v>
      </c>
      <c r="E22" s="10">
        <f t="shared" si="6"/>
        <v>-2.8079590601553757</v>
      </c>
      <c r="F22" s="6">
        <f t="shared" si="12"/>
        <v>1.1920409398446243</v>
      </c>
      <c r="G22" s="25">
        <f t="shared" si="10"/>
        <v>0.92663913000000075</v>
      </c>
      <c r="H22" s="6">
        <f t="shared" si="8"/>
        <v>1.7266391300000006</v>
      </c>
      <c r="I22" s="6">
        <f t="shared" si="9"/>
        <v>1.9266391300000008</v>
      </c>
      <c r="J22" s="10">
        <f>'Absorption-Emission'!J34</f>
        <v>2.6157400964445428</v>
      </c>
      <c r="K22" s="6">
        <f t="shared" si="11"/>
        <v>0.689100966444542</v>
      </c>
    </row>
    <row r="23" spans="1:11" x14ac:dyDescent="0.25">
      <c r="A23" s="11" t="s">
        <v>60</v>
      </c>
      <c r="B23" s="2" t="s">
        <v>61</v>
      </c>
      <c r="C23" s="10">
        <f>(-0.2119)*27.2114</f>
        <v>-5.7660956600000004</v>
      </c>
      <c r="D23" s="10">
        <f>-'Absorption-Emission'!I35</f>
        <v>-2.9091813864443421</v>
      </c>
      <c r="E23" s="10">
        <f t="shared" si="6"/>
        <v>-2.8569142735556583</v>
      </c>
      <c r="F23" s="6">
        <f t="shared" si="12"/>
        <v>1.1430857264443417</v>
      </c>
      <c r="G23" s="25">
        <f t="shared" si="10"/>
        <v>0.96609566000000058</v>
      </c>
      <c r="H23" s="6">
        <f t="shared" si="8"/>
        <v>1.7660956600000004</v>
      </c>
      <c r="I23" s="6">
        <f t="shared" si="9"/>
        <v>1.9660956600000006</v>
      </c>
      <c r="J23" s="10">
        <f>'Absorption-Emission'!J35</f>
        <v>2.7056343560316538</v>
      </c>
      <c r="K23" s="6">
        <f t="shared" si="11"/>
        <v>0.73953869603165323</v>
      </c>
    </row>
    <row r="24" spans="1:11" x14ac:dyDescent="0.25">
      <c r="A24" s="11" t="s">
        <v>79</v>
      </c>
      <c r="B24" s="2" t="s">
        <v>80</v>
      </c>
      <c r="C24" s="10">
        <f>( -0.21187)*27.2114</f>
        <v>-5.7652793180000002</v>
      </c>
      <c r="D24" s="10">
        <f>-'Absorption-Emission'!I36</f>
        <v>-3.1762604610955956</v>
      </c>
      <c r="E24" s="10">
        <f>(C24)-D24</f>
        <v>-2.5890188569044046</v>
      </c>
      <c r="F24" s="6">
        <f>E24-(-4)</f>
        <v>1.4109811430955954</v>
      </c>
      <c r="G24" s="25">
        <f t="shared" si="10"/>
        <v>0.96527931800000033</v>
      </c>
      <c r="H24" s="6">
        <f t="shared" si="8"/>
        <v>1.7652793180000002</v>
      </c>
      <c r="I24" s="6">
        <f t="shared" si="9"/>
        <v>1.9652793180000003</v>
      </c>
      <c r="J24" s="10">
        <f>'Absorption-Emission'!J36</f>
        <v>2.7253141675602572</v>
      </c>
      <c r="K24" s="6">
        <f t="shared" si="11"/>
        <v>0.76003484956025691</v>
      </c>
    </row>
    <row r="25" spans="1:11" x14ac:dyDescent="0.25">
      <c r="A25" s="11" t="s">
        <v>63</v>
      </c>
      <c r="B25" s="2" t="s">
        <v>64</v>
      </c>
      <c r="C25" s="10">
        <f>(-0.21004)*27.2114</f>
        <v>-5.7154824560000002</v>
      </c>
      <c r="D25" s="10">
        <f>-'Absorption-Emission'!I37</f>
        <v>-2.8994715425857898</v>
      </c>
      <c r="E25" s="10">
        <f t="shared" ref="E25" si="13">(C25)-D25</f>
        <v>-2.8160109134142104</v>
      </c>
      <c r="F25" s="6">
        <f t="shared" ref="F25" si="14">E25-(-4)</f>
        <v>1.1839890865857896</v>
      </c>
      <c r="G25" s="25">
        <f t="shared" si="10"/>
        <v>0.91548245600000033</v>
      </c>
      <c r="H25" s="6">
        <f>(-4)-C25</f>
        <v>1.7154824560000002</v>
      </c>
      <c r="I25" s="6">
        <f t="shared" si="9"/>
        <v>1.9154824560000003</v>
      </c>
      <c r="J25" s="10">
        <f>'Absorption-Emission'!J37</f>
        <v>2.7656365158125427</v>
      </c>
      <c r="K25" s="6">
        <f>J25-I25</f>
        <v>0.85015405981254233</v>
      </c>
    </row>
  </sheetData>
  <mergeCells count="2">
    <mergeCell ref="A1:K1"/>
    <mergeCell ref="A15:K1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6F738-73B5-4159-B2AD-4ABFA460AC9A}">
  <dimension ref="A1:S9"/>
  <sheetViews>
    <sheetView tabSelected="1" workbookViewId="0">
      <selection activeCell="E4" sqref="E3:E8"/>
    </sheetView>
  </sheetViews>
  <sheetFormatPr defaultRowHeight="15.75" x14ac:dyDescent="0.25"/>
  <cols>
    <col min="1" max="1" width="17.28515625" customWidth="1"/>
    <col min="2" max="3" width="13.42578125" style="3" customWidth="1"/>
    <col min="4" max="5" width="12.5703125" customWidth="1"/>
    <col min="6" max="6" width="9.28515625" customWidth="1"/>
    <col min="7" max="7" width="12.85546875" style="1" bestFit="1" customWidth="1"/>
    <col min="8" max="8" width="9.140625" style="1"/>
    <col min="12" max="12" width="18" customWidth="1"/>
    <col min="13" max="14" width="15.28515625" customWidth="1"/>
    <col min="15" max="16" width="15.140625" customWidth="1"/>
    <col min="18" max="18" width="11.7109375" customWidth="1"/>
  </cols>
  <sheetData>
    <row r="1" spans="1:19" ht="15.75" customHeight="1" x14ac:dyDescent="0.3">
      <c r="A1" s="35" t="s">
        <v>32</v>
      </c>
      <c r="B1" s="35"/>
      <c r="C1" s="35"/>
      <c r="D1" s="35"/>
      <c r="E1" s="35"/>
      <c r="F1" s="35"/>
      <c r="G1" s="35"/>
      <c r="H1" s="35"/>
      <c r="L1" s="35" t="s">
        <v>35</v>
      </c>
      <c r="M1" s="35"/>
      <c r="N1" s="35"/>
      <c r="O1" s="35"/>
      <c r="P1" s="35"/>
      <c r="Q1" s="35"/>
      <c r="R1" s="35"/>
      <c r="S1" s="35"/>
    </row>
    <row r="2" spans="1:19" ht="19.5" x14ac:dyDescent="0.3">
      <c r="A2" s="14" t="s">
        <v>0</v>
      </c>
      <c r="B2" s="1" t="s">
        <v>1</v>
      </c>
      <c r="C2" s="1" t="s">
        <v>117</v>
      </c>
      <c r="D2" s="1" t="s">
        <v>2</v>
      </c>
      <c r="E2" s="1" t="s">
        <v>117</v>
      </c>
      <c r="F2" s="15" t="s">
        <v>25</v>
      </c>
      <c r="G2" s="2" t="s">
        <v>81</v>
      </c>
      <c r="H2" s="26" t="s">
        <v>107</v>
      </c>
      <c r="L2" s="14" t="s">
        <v>0</v>
      </c>
      <c r="M2" s="1" t="s">
        <v>1</v>
      </c>
      <c r="N2" s="1" t="s">
        <v>117</v>
      </c>
      <c r="O2" s="1" t="s">
        <v>2</v>
      </c>
      <c r="P2" s="1" t="s">
        <v>117</v>
      </c>
      <c r="Q2" s="15" t="s">
        <v>25</v>
      </c>
      <c r="R2" s="2" t="s">
        <v>81</v>
      </c>
      <c r="S2" s="26" t="s">
        <v>107</v>
      </c>
    </row>
    <row r="3" spans="1:19" x14ac:dyDescent="0.25">
      <c r="A3" s="2" t="s">
        <v>102</v>
      </c>
      <c r="B3" s="10">
        <f>27.2114*(-0.31556)</f>
        <v>-8.5868293840000014</v>
      </c>
      <c r="C3" s="36">
        <f>ABS(((B3)-(-6))/(-6)*100)</f>
        <v>43.11382306666669</v>
      </c>
      <c r="D3" s="10">
        <f>27.2114*(-0.0138)</f>
        <v>-0.37551731999999999</v>
      </c>
      <c r="E3" s="36">
        <f>ABS((D3-(-2))/(-2.6)*100)</f>
        <v>62.480103076923079</v>
      </c>
      <c r="F3" s="36">
        <f>D3-B3</f>
        <v>8.2113120640000012</v>
      </c>
      <c r="G3" s="10">
        <v>4.5316000000000001</v>
      </c>
      <c r="H3" s="6">
        <v>273.60000000000002</v>
      </c>
      <c r="L3" s="2" t="s">
        <v>102</v>
      </c>
      <c r="M3" s="10">
        <f>27.2114*(-0.29223)</f>
        <v>-7.9519874220000002</v>
      </c>
      <c r="N3" s="36">
        <f>ABS(((M3-(-6))/(-6))*100)</f>
        <v>32.533123700000004</v>
      </c>
      <c r="O3" s="10">
        <f>24.2114*(0.00343)</f>
        <v>8.3045101999999996E-2</v>
      </c>
      <c r="P3" s="36">
        <f>ABS((O3-(-2.6))/(-2.6))*100</f>
        <v>103.19404238461539</v>
      </c>
      <c r="Q3" s="10">
        <f t="shared" ref="Q3:Q9" si="0">O3-M3</f>
        <v>8.035032524</v>
      </c>
      <c r="R3" s="10">
        <v>4.4280999999999997</v>
      </c>
      <c r="S3" s="6">
        <v>280</v>
      </c>
    </row>
    <row r="4" spans="1:19" x14ac:dyDescent="0.25">
      <c r="A4" s="2" t="s">
        <v>103</v>
      </c>
      <c r="B4" s="10">
        <f>(-0.211478)*27.2114</f>
        <v>-5.7546124492000006</v>
      </c>
      <c r="C4" s="36">
        <f>ABS(((B4)-(-6))/(-6)*100)</f>
        <v>4.0897925133333235</v>
      </c>
      <c r="D4" s="10">
        <f>(-0.09784)*27.2114</f>
        <v>-2.6623633760000001</v>
      </c>
      <c r="E4" s="36">
        <f>ABS((D4-(-2))/(-2.6)*100)</f>
        <v>25.475514461538463</v>
      </c>
      <c r="F4" s="36">
        <f>D4-B4</f>
        <v>3.0922490732000005</v>
      </c>
      <c r="G4" s="10">
        <v>3.1958000000000002</v>
      </c>
      <c r="H4" s="1">
        <v>387.96</v>
      </c>
      <c r="L4" s="2" t="s">
        <v>103</v>
      </c>
      <c r="M4" s="10">
        <f>(-0.19682)*27.2114</f>
        <v>-5.3557477479999998</v>
      </c>
      <c r="N4" s="36">
        <f t="shared" ref="N4:N9" si="1">ABS(((M4-(-6))/(-6))*100)</f>
        <v>10.737537533333336</v>
      </c>
      <c r="O4" s="10">
        <f>(-0.0854)*27.2114</f>
        <v>-2.3238535600000003</v>
      </c>
      <c r="P4" s="36">
        <f t="shared" ref="P4:P9" si="2">ABS((O4-(-2.6))/(-2.6))*100</f>
        <v>10.621016923076914</v>
      </c>
      <c r="Q4" s="10">
        <f t="shared" si="0"/>
        <v>3.0318941879999994</v>
      </c>
      <c r="R4" s="10">
        <v>3.1063999999999998</v>
      </c>
      <c r="S4" s="1">
        <v>399.13</v>
      </c>
    </row>
    <row r="5" spans="1:19" x14ac:dyDescent="0.25">
      <c r="A5" s="2" t="s">
        <v>104</v>
      </c>
      <c r="B5" s="10">
        <f>(-0.29058)*27.2114</f>
        <v>-7.9070886120000008</v>
      </c>
      <c r="C5" s="36">
        <f t="shared" ref="C5:C8" si="3">ABS(((B5)-(-6))/(-6)*100)</f>
        <v>31.784810200000013</v>
      </c>
      <c r="D5" s="10">
        <f>(-0.04537)*27.2114</f>
        <v>-1.234581218</v>
      </c>
      <c r="E5" s="36">
        <f t="shared" ref="E5:E8" si="4">ABS((D5-(-2))/(-2.6)*100)</f>
        <v>29.439183923076921</v>
      </c>
      <c r="F5" s="36">
        <f t="shared" ref="F5:F8" si="5">D5-B5</f>
        <v>6.672507394000001</v>
      </c>
      <c r="G5" s="10">
        <v>4.5358999999999998</v>
      </c>
      <c r="H5" s="1">
        <v>273.33999999999997</v>
      </c>
      <c r="L5" s="2" t="s">
        <v>104</v>
      </c>
      <c r="M5" s="10">
        <f>(-0.26817)*27.2114</f>
        <v>-7.2972811380000007</v>
      </c>
      <c r="N5" s="36">
        <f t="shared" si="1"/>
        <v>21.621352300000009</v>
      </c>
      <c r="O5" s="10">
        <f>(-0.02904)*27.2114</f>
        <v>-0.79021905599999998</v>
      </c>
      <c r="P5" s="36">
        <f t="shared" si="2"/>
        <v>69.606959384615379</v>
      </c>
      <c r="Q5" s="10">
        <f t="shared" si="0"/>
        <v>6.5070620820000009</v>
      </c>
      <c r="R5" s="10">
        <v>4.3497000000000003</v>
      </c>
      <c r="S5" s="1">
        <v>285.04000000000002</v>
      </c>
    </row>
    <row r="6" spans="1:19" x14ac:dyDescent="0.25">
      <c r="A6" s="2" t="s">
        <v>105</v>
      </c>
      <c r="B6" s="10">
        <f>(-0.24109)*27.2114</f>
        <v>-6.5603964260000005</v>
      </c>
      <c r="C6" s="36">
        <f t="shared" si="3"/>
        <v>9.3399404333333429</v>
      </c>
      <c r="D6" s="10">
        <f>(-0.07494)*27.2114</f>
        <v>-2.0392223160000005</v>
      </c>
      <c r="E6" s="36">
        <f t="shared" si="4"/>
        <v>1.5085506153846338</v>
      </c>
      <c r="F6" s="36">
        <f t="shared" si="5"/>
        <v>4.5211741100000005</v>
      </c>
      <c r="G6" s="10">
        <v>3.7884000000000002</v>
      </c>
      <c r="H6" s="1">
        <v>327.27</v>
      </c>
      <c r="L6" s="2" t="s">
        <v>105</v>
      </c>
      <c r="M6" s="10">
        <f>(-0.22176)*27.2114</f>
        <v>-6.0344000640000006</v>
      </c>
      <c r="N6" s="36">
        <f t="shared" si="1"/>
        <v>0.57333440000001024</v>
      </c>
      <c r="O6" s="10">
        <f>(-0.05977)*27.2114</f>
        <v>-1.626425378</v>
      </c>
      <c r="P6" s="36">
        <f t="shared" si="2"/>
        <v>37.445177769230767</v>
      </c>
      <c r="Q6" s="10">
        <f t="shared" si="0"/>
        <v>4.4079746860000011</v>
      </c>
      <c r="R6" s="10">
        <v>3.7787000000000002</v>
      </c>
      <c r="S6" s="1">
        <v>328.11</v>
      </c>
    </row>
    <row r="7" spans="1:19" x14ac:dyDescent="0.25">
      <c r="A7" s="2" t="s">
        <v>106</v>
      </c>
      <c r="B7" s="10">
        <f>(-0.2926)*27.2114</f>
        <v>-7.9620556400000009</v>
      </c>
      <c r="C7" s="36">
        <f t="shared" si="3"/>
        <v>32.700927333333347</v>
      </c>
      <c r="D7" s="10">
        <f>(-0.03307)*27.2114</f>
        <v>-0.8998809980000001</v>
      </c>
      <c r="E7" s="36">
        <f t="shared" si="4"/>
        <v>42.312269307692304</v>
      </c>
      <c r="F7" s="36">
        <f t="shared" si="5"/>
        <v>7.0621746420000004</v>
      </c>
      <c r="G7" s="10">
        <v>4.5034000000000001</v>
      </c>
      <c r="H7" s="1">
        <v>275.31</v>
      </c>
      <c r="L7" s="2" t="s">
        <v>106</v>
      </c>
      <c r="M7" s="10">
        <f>(-0.27007)*27.2114</f>
        <v>-7.3489827979999998</v>
      </c>
      <c r="N7" s="36">
        <f t="shared" si="1"/>
        <v>22.483046633333327</v>
      </c>
      <c r="O7" s="10">
        <f>(-0.01608)*27.2114</f>
        <v>-0.43755931200000003</v>
      </c>
      <c r="P7" s="36">
        <f t="shared" si="2"/>
        <v>83.170795692307692</v>
      </c>
      <c r="Q7" s="10">
        <f t="shared" si="0"/>
        <v>6.9114234859999994</v>
      </c>
      <c r="R7" s="10">
        <v>4.3776000000000002</v>
      </c>
      <c r="S7" s="1">
        <v>283.22000000000003</v>
      </c>
    </row>
    <row r="8" spans="1:19" s="3" customFormat="1" x14ac:dyDescent="0.25">
      <c r="A8" s="2" t="s">
        <v>108</v>
      </c>
      <c r="B8" s="10">
        <f>(-0.34375)*27.2114</f>
        <v>-9.3539187500000001</v>
      </c>
      <c r="C8" s="36">
        <f t="shared" si="3"/>
        <v>55.89864583333334</v>
      </c>
      <c r="D8" s="10">
        <f>(-0.00414)*27.2114</f>
        <v>-0.112655196</v>
      </c>
      <c r="E8" s="36">
        <f t="shared" si="4"/>
        <v>72.590184769230774</v>
      </c>
      <c r="F8" s="36">
        <f t="shared" si="5"/>
        <v>9.2412635539999997</v>
      </c>
      <c r="G8" s="10">
        <v>4.7401999999999997</v>
      </c>
      <c r="H8" s="1">
        <v>261.56</v>
      </c>
      <c r="L8" s="2" t="s">
        <v>108</v>
      </c>
      <c r="M8" s="10">
        <f>(-0.31633)*27.2114</f>
        <v>-8.6077821620000012</v>
      </c>
      <c r="N8" s="36">
        <f t="shared" si="1"/>
        <v>43.463036033333353</v>
      </c>
      <c r="O8" s="10">
        <f>(0.01468)*27.2114</f>
        <v>0.39946335200000005</v>
      </c>
      <c r="P8" s="36">
        <f t="shared" si="2"/>
        <v>115.36397507692308</v>
      </c>
      <c r="Q8" s="10">
        <f t="shared" si="0"/>
        <v>9.007245514000001</v>
      </c>
      <c r="R8" s="10">
        <v>4.6806999999999999</v>
      </c>
      <c r="S8" s="1">
        <v>264.89</v>
      </c>
    </row>
    <row r="9" spans="1:19" x14ac:dyDescent="0.25">
      <c r="A9" s="2"/>
      <c r="H9" s="6"/>
      <c r="L9" s="2" t="s">
        <v>109</v>
      </c>
      <c r="M9" s="10">
        <v>-6</v>
      </c>
      <c r="N9" s="36">
        <f t="shared" si="1"/>
        <v>0</v>
      </c>
      <c r="O9" s="10">
        <v>-2.6</v>
      </c>
      <c r="P9" s="36">
        <f t="shared" si="2"/>
        <v>0</v>
      </c>
      <c r="Q9" s="10">
        <f t="shared" si="0"/>
        <v>3.4</v>
      </c>
      <c r="R9" s="10">
        <v>3.4</v>
      </c>
      <c r="S9" s="6">
        <v>289.33300000000003</v>
      </c>
    </row>
  </sheetData>
  <mergeCells count="2">
    <mergeCell ref="A1:H1"/>
    <mergeCell ref="L1:S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1DF4-D18A-411E-BFEE-58E388DFCCE1}">
  <dimension ref="A1:F29"/>
  <sheetViews>
    <sheetView topLeftCell="A12" workbookViewId="0">
      <selection activeCell="C28" sqref="C28"/>
    </sheetView>
  </sheetViews>
  <sheetFormatPr defaultRowHeight="15.75" x14ac:dyDescent="0.25"/>
  <cols>
    <col min="1" max="1" width="35.28515625" style="2" bestFit="1" customWidth="1"/>
    <col min="2" max="2" width="14.85546875" style="2" bestFit="1" customWidth="1"/>
    <col min="3" max="4" width="14.5703125" style="1" bestFit="1" customWidth="1"/>
    <col min="5" max="5" width="18.7109375" style="1" customWidth="1"/>
    <col min="6" max="6" width="19" style="1" customWidth="1"/>
  </cols>
  <sheetData>
    <row r="1" spans="1:6" x14ac:dyDescent="0.25">
      <c r="A1" s="31" t="s">
        <v>102</v>
      </c>
      <c r="B1" s="31"/>
      <c r="C1" s="31"/>
      <c r="D1" s="31"/>
      <c r="E1" s="31"/>
      <c r="F1" s="31"/>
    </row>
    <row r="2" spans="1:6" ht="18.75" x14ac:dyDescent="0.25">
      <c r="A2"/>
      <c r="B2" s="14" t="s">
        <v>0</v>
      </c>
      <c r="C2" s="2" t="s">
        <v>3</v>
      </c>
      <c r="D2" s="2" t="s">
        <v>4</v>
      </c>
      <c r="E2" s="2" t="s">
        <v>22</v>
      </c>
      <c r="F2" s="2" t="s">
        <v>7</v>
      </c>
    </row>
    <row r="3" spans="1:6" x14ac:dyDescent="0.25">
      <c r="A3" s="11" t="s">
        <v>24</v>
      </c>
      <c r="B3" s="2" t="s">
        <v>27</v>
      </c>
      <c r="C3" s="1">
        <v>-280.05639159999998</v>
      </c>
      <c r="D3" s="1">
        <v>-279.68958880000002</v>
      </c>
      <c r="E3" s="6">
        <f>D3-C3</f>
        <v>0.36680279999995946</v>
      </c>
      <c r="F3" s="6">
        <f>E3*27.2114</f>
        <v>9.9812177119188981</v>
      </c>
    </row>
    <row r="4" spans="1:6" x14ac:dyDescent="0.25">
      <c r="A4" s="11" t="s">
        <v>21</v>
      </c>
      <c r="B4" s="2" t="s">
        <v>32</v>
      </c>
      <c r="C4" s="1">
        <v>-1934.6690771000001</v>
      </c>
      <c r="D4" s="1">
        <v>-1934.3638424000001</v>
      </c>
      <c r="E4" s="6">
        <f>D4-C4</f>
        <v>0.30523470000002817</v>
      </c>
      <c r="F4" s="6">
        <f>E4*27.2114</f>
        <v>8.3058635155807661</v>
      </c>
    </row>
    <row r="5" spans="1:6" x14ac:dyDescent="0.25">
      <c r="A5" s="11" t="s">
        <v>31</v>
      </c>
      <c r="B5" s="2" t="s">
        <v>33</v>
      </c>
      <c r="C5" s="1">
        <v>-2627.1175957999999</v>
      </c>
      <c r="D5" s="1">
        <v>-2626.8375311</v>
      </c>
      <c r="E5" s="6">
        <f t="shared" ref="E5:E12" si="0">D5-C5</f>
        <v>0.28006469999991168</v>
      </c>
      <c r="F5" s="6">
        <f t="shared" ref="F5:F12" si="1">E5*27.2114</f>
        <v>7.6209525775775973</v>
      </c>
    </row>
    <row r="6" spans="1:6" x14ac:dyDescent="0.25">
      <c r="A6" s="11" t="s">
        <v>30</v>
      </c>
      <c r="B6" s="2" t="s">
        <v>34</v>
      </c>
      <c r="C6" s="1">
        <v>-2627.1189125000001</v>
      </c>
      <c r="D6" s="1">
        <v>-2626.8297547000002</v>
      </c>
      <c r="E6" s="6">
        <f t="shared" si="0"/>
        <v>0.28915779999988445</v>
      </c>
      <c r="F6" s="6">
        <f t="shared" si="1"/>
        <v>7.8683885589168563</v>
      </c>
    </row>
    <row r="7" spans="1:6" x14ac:dyDescent="0.25">
      <c r="A7" s="11" t="s">
        <v>23</v>
      </c>
      <c r="B7" s="2" t="s">
        <v>35</v>
      </c>
      <c r="C7" s="1">
        <v>-1827.3200141</v>
      </c>
      <c r="D7" s="1">
        <v>-1827.0440074999999</v>
      </c>
      <c r="E7" s="6">
        <f t="shared" si="0"/>
        <v>0.27600660000007338</v>
      </c>
      <c r="F7" s="6">
        <f t="shared" si="1"/>
        <v>7.5105259952419967</v>
      </c>
    </row>
    <row r="8" spans="1:6" x14ac:dyDescent="0.25">
      <c r="A8" s="11" t="s">
        <v>28</v>
      </c>
      <c r="B8" s="2" t="s">
        <v>36</v>
      </c>
      <c r="C8" s="1">
        <v>-2519.7571993000001</v>
      </c>
      <c r="D8" s="1">
        <v>-2519.4905266999999</v>
      </c>
      <c r="E8" s="6">
        <f t="shared" si="0"/>
        <v>0.26667260000021997</v>
      </c>
      <c r="F8" s="6">
        <f t="shared" si="1"/>
        <v>7.256534787645986</v>
      </c>
    </row>
    <row r="9" spans="1:6" x14ac:dyDescent="0.25">
      <c r="A9" s="11" t="s">
        <v>29</v>
      </c>
      <c r="B9" s="2" t="s">
        <v>37</v>
      </c>
      <c r="C9" s="1">
        <v>-2519.7566262999999</v>
      </c>
      <c r="D9" s="1">
        <v>-2519.4817938000001</v>
      </c>
      <c r="E9" s="6">
        <f t="shared" si="0"/>
        <v>0.27483249999977488</v>
      </c>
      <c r="F9" s="6">
        <f t="shared" si="1"/>
        <v>7.4785770904938742</v>
      </c>
    </row>
    <row r="10" spans="1:6" x14ac:dyDescent="0.25">
      <c r="A10" s="11" t="s">
        <v>60</v>
      </c>
      <c r="B10" s="2" t="s">
        <v>61</v>
      </c>
      <c r="C10" s="1">
        <v>-3481.8827934999999</v>
      </c>
      <c r="D10" s="1">
        <v>-3481.6060766000001</v>
      </c>
      <c r="E10" s="6">
        <f t="shared" si="0"/>
        <v>0.27671689999988303</v>
      </c>
      <c r="F10" s="6">
        <f t="shared" si="1"/>
        <v>7.5298542526568175</v>
      </c>
    </row>
    <row r="11" spans="1:6" x14ac:dyDescent="0.25">
      <c r="A11" s="11" t="s">
        <v>79</v>
      </c>
      <c r="B11" s="2" t="s">
        <v>80</v>
      </c>
      <c r="C11" s="1">
        <v>-4174.3318904999996</v>
      </c>
      <c r="D11" s="1">
        <v>-4174.0730968999997</v>
      </c>
      <c r="E11" s="6">
        <f>D11-C11</f>
        <v>0.25879359999998996</v>
      </c>
      <c r="F11" s="6">
        <f>E11*27.2114</f>
        <v>7.0421361670397271</v>
      </c>
    </row>
    <row r="12" spans="1:6" x14ac:dyDescent="0.25">
      <c r="A12" s="11" t="s">
        <v>63</v>
      </c>
      <c r="B12" s="2" t="s">
        <v>64</v>
      </c>
      <c r="C12" s="1">
        <v>-4174.3327417999999</v>
      </c>
      <c r="D12" s="1">
        <v>-4174.0742827000004</v>
      </c>
      <c r="E12" s="6">
        <f t="shared" si="0"/>
        <v>0.2584590999995271</v>
      </c>
      <c r="F12" s="6">
        <f t="shared" si="1"/>
        <v>7.0330339537271316</v>
      </c>
    </row>
    <row r="18" spans="1:6" x14ac:dyDescent="0.25">
      <c r="A18" s="31" t="s">
        <v>105</v>
      </c>
      <c r="B18" s="31"/>
      <c r="C18" s="31"/>
      <c r="D18" s="31"/>
      <c r="E18" s="31"/>
      <c r="F18" s="31"/>
    </row>
    <row r="19" spans="1:6" ht="18.75" x14ac:dyDescent="0.25">
      <c r="A19"/>
      <c r="B19" s="14" t="s">
        <v>0</v>
      </c>
      <c r="C19" s="2" t="s">
        <v>3</v>
      </c>
      <c r="D19" s="2" t="s">
        <v>4</v>
      </c>
      <c r="E19" s="2" t="s">
        <v>22</v>
      </c>
      <c r="F19" s="2" t="s">
        <v>7</v>
      </c>
    </row>
    <row r="20" spans="1:6" x14ac:dyDescent="0.25">
      <c r="A20" s="11" t="s">
        <v>24</v>
      </c>
      <c r="B20" s="2" t="s">
        <v>27</v>
      </c>
      <c r="C20" s="1">
        <v>-280.15442339999998</v>
      </c>
      <c r="D20" s="1">
        <v>-279.7945631</v>
      </c>
      <c r="E20" s="1">
        <f t="shared" ref="E20:E28" si="2">D20-C20</f>
        <v>0.35986029999997982</v>
      </c>
      <c r="F20" s="6">
        <f>E20*27.2114</f>
        <v>9.7923025674194513</v>
      </c>
    </row>
    <row r="21" spans="1:6" x14ac:dyDescent="0.25">
      <c r="A21" s="11" t="s">
        <v>21</v>
      </c>
      <c r="B21" s="2" t="s">
        <v>32</v>
      </c>
      <c r="C21" s="1">
        <v>-1934.9757055</v>
      </c>
      <c r="D21" s="1">
        <v>-1934.6892237</v>
      </c>
      <c r="E21" s="1">
        <f t="shared" si="2"/>
        <v>0.28648180000004686</v>
      </c>
      <c r="F21" s="6">
        <f>E21*27.2114</f>
        <v>7.7955708525212755</v>
      </c>
    </row>
    <row r="22" spans="1:6" x14ac:dyDescent="0.25">
      <c r="A22" s="11" t="s">
        <v>31</v>
      </c>
      <c r="B22" s="2" t="s">
        <v>33</v>
      </c>
      <c r="C22" s="1">
        <v>-2627.6528254999998</v>
      </c>
      <c r="D22" s="1">
        <v>-2627.3977847000001</v>
      </c>
      <c r="E22" s="1">
        <f t="shared" si="2"/>
        <v>0.25504079999973328</v>
      </c>
      <c r="F22" s="6">
        <f t="shared" ref="F22:F29" si="3">E22*27.2114</f>
        <v>6.9400172251127428</v>
      </c>
    </row>
    <row r="23" spans="1:6" x14ac:dyDescent="0.25">
      <c r="A23" s="11" t="s">
        <v>30</v>
      </c>
      <c r="B23" s="2" t="s">
        <v>34</v>
      </c>
      <c r="C23" s="1">
        <v>-2627.6565102999998</v>
      </c>
      <c r="D23" s="1">
        <v>-2627.4041008999998</v>
      </c>
      <c r="E23" s="1">
        <f t="shared" si="2"/>
        <v>0.2524094000000332</v>
      </c>
      <c r="F23" s="6">
        <f t="shared" si="3"/>
        <v>6.8684131471609033</v>
      </c>
    </row>
    <row r="24" spans="1:6" x14ac:dyDescent="0.25">
      <c r="A24" s="11" t="s">
        <v>23</v>
      </c>
      <c r="B24" s="2" t="s">
        <v>35</v>
      </c>
      <c r="C24" s="1">
        <v>-1827.9118464999999</v>
      </c>
      <c r="D24" s="1">
        <v>-1827.6516899999999</v>
      </c>
      <c r="E24" s="1">
        <f t="shared" si="2"/>
        <v>0.26015649999999368</v>
      </c>
      <c r="F24" s="6">
        <f t="shared" si="3"/>
        <v>7.0792225840998286</v>
      </c>
    </row>
    <row r="25" spans="1:6" x14ac:dyDescent="0.25">
      <c r="A25" s="11" t="s">
        <v>28</v>
      </c>
      <c r="B25" s="2" t="s">
        <v>36</v>
      </c>
      <c r="C25" s="1">
        <v>-2520.5829953000002</v>
      </c>
      <c r="D25" s="1">
        <v>-2520.3440873</v>
      </c>
      <c r="E25" s="1">
        <f t="shared" si="2"/>
        <v>0.23890800000026502</v>
      </c>
      <c r="F25" s="6">
        <f t="shared" si="3"/>
        <v>6.5010211512072118</v>
      </c>
    </row>
    <row r="26" spans="1:6" x14ac:dyDescent="0.25">
      <c r="A26" s="11" t="s">
        <v>29</v>
      </c>
      <c r="B26" s="2" t="s">
        <v>37</v>
      </c>
      <c r="C26" s="1">
        <v>-2520.5851108000002</v>
      </c>
      <c r="D26" s="1">
        <v>-2520.3464223000001</v>
      </c>
      <c r="E26" s="1">
        <f t="shared" si="2"/>
        <v>0.23868850000008024</v>
      </c>
      <c r="F26" s="6">
        <f t="shared" si="3"/>
        <v>6.4950482489021839</v>
      </c>
    </row>
    <row r="27" spans="1:6" x14ac:dyDescent="0.25">
      <c r="A27" s="11" t="s">
        <v>60</v>
      </c>
      <c r="B27" s="2" t="s">
        <v>61</v>
      </c>
      <c r="C27" s="1">
        <v>-3482.6904378999998</v>
      </c>
      <c r="D27" s="1">
        <v>-3482.4504963999998</v>
      </c>
      <c r="E27" s="1">
        <f t="shared" si="2"/>
        <v>0.23994149999998626</v>
      </c>
      <c r="F27" s="6">
        <f t="shared" si="3"/>
        <v>6.529144133099626</v>
      </c>
    </row>
    <row r="28" spans="1:6" x14ac:dyDescent="0.25">
      <c r="A28" s="11" t="s">
        <v>79</v>
      </c>
      <c r="B28" s="2" t="s">
        <v>80</v>
      </c>
      <c r="C28" s="10">
        <v>-4175.3675758999998</v>
      </c>
      <c r="D28" s="1">
        <v>-4175.1355127999996</v>
      </c>
      <c r="E28" s="1">
        <f t="shared" si="2"/>
        <v>0.23206310000023223</v>
      </c>
      <c r="F28" s="6">
        <f t="shared" si="3"/>
        <v>6.3147618393463194</v>
      </c>
    </row>
    <row r="29" spans="1:6" x14ac:dyDescent="0.25">
      <c r="A29" s="11" t="s">
        <v>63</v>
      </c>
      <c r="B29" s="2" t="s">
        <v>64</v>
      </c>
      <c r="C29" s="1">
        <v>-4175.3709765000003</v>
      </c>
      <c r="D29" s="1">
        <v>-4175.1404897000002</v>
      </c>
      <c r="E29" s="1">
        <f>D29-C29</f>
        <v>0.23048680000010791</v>
      </c>
      <c r="F29" s="6">
        <f t="shared" si="3"/>
        <v>6.2718685095229363</v>
      </c>
    </row>
  </sheetData>
  <mergeCells count="2">
    <mergeCell ref="A18:F18"/>
    <mergeCell ref="A1:F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826B-3921-44A2-94D8-10C03186E4C7}">
  <dimension ref="A1:F28"/>
  <sheetViews>
    <sheetView topLeftCell="A13" workbookViewId="0">
      <selection activeCell="C27" sqref="C27"/>
    </sheetView>
  </sheetViews>
  <sheetFormatPr defaultRowHeight="15.75" x14ac:dyDescent="0.25"/>
  <cols>
    <col min="1" max="1" width="35.28515625" bestFit="1" customWidth="1"/>
    <col min="2" max="2" width="14.85546875" bestFit="1" customWidth="1"/>
    <col min="3" max="3" width="15" customWidth="1"/>
    <col min="4" max="4" width="18.85546875" customWidth="1"/>
    <col min="5" max="5" width="18.85546875" style="1" customWidth="1"/>
    <col min="6" max="6" width="20.140625" style="1" customWidth="1"/>
    <col min="10" max="10" width="22.28515625" customWidth="1"/>
  </cols>
  <sheetData>
    <row r="1" spans="1:6" ht="18.75" x14ac:dyDescent="0.25">
      <c r="B1" s="14" t="s">
        <v>0</v>
      </c>
      <c r="C1" s="2" t="s">
        <v>3</v>
      </c>
      <c r="D1" s="2" t="s">
        <v>6</v>
      </c>
      <c r="E1" s="2" t="s">
        <v>8</v>
      </c>
      <c r="F1" s="2" t="s">
        <v>9</v>
      </c>
    </row>
    <row r="2" spans="1:6" x14ac:dyDescent="0.25">
      <c r="A2" s="11" t="s">
        <v>24</v>
      </c>
      <c r="B2" s="2" t="s">
        <v>27</v>
      </c>
      <c r="C2" s="1">
        <v>-280.05639159999998</v>
      </c>
      <c r="D2" s="1">
        <v>-280.04013120000002</v>
      </c>
      <c r="E2" s="12">
        <f t="shared" ref="E2:E9" si="0">C2-D2</f>
        <v>-1.6260399999964648E-2</v>
      </c>
      <c r="F2" s="6">
        <f t="shared" ref="F2:F11" si="1">E2*27.2114</f>
        <v>-0.44246824855903805</v>
      </c>
    </row>
    <row r="3" spans="1:6" x14ac:dyDescent="0.25">
      <c r="A3" s="11" t="s">
        <v>21</v>
      </c>
      <c r="B3" s="2" t="s">
        <v>32</v>
      </c>
      <c r="C3" s="1">
        <v>-1934.6690771000001</v>
      </c>
      <c r="D3" s="1">
        <v>-1934.6965269</v>
      </c>
      <c r="E3" s="12">
        <f t="shared" si="0"/>
        <v>2.7449799999885727E-2</v>
      </c>
      <c r="F3" s="6">
        <f t="shared" si="1"/>
        <v>0.74694748771689046</v>
      </c>
    </row>
    <row r="4" spans="1:6" x14ac:dyDescent="0.25">
      <c r="A4" s="11" t="s">
        <v>31</v>
      </c>
      <c r="B4" s="2" t="s">
        <v>33</v>
      </c>
      <c r="C4" s="1">
        <v>-2627.1175957999999</v>
      </c>
      <c r="D4" s="1">
        <v>-2627.1530155</v>
      </c>
      <c r="E4" s="12">
        <f t="shared" si="0"/>
        <v>3.5419700000147714E-2</v>
      </c>
      <c r="F4" s="6">
        <f t="shared" si="1"/>
        <v>0.96381962458401949</v>
      </c>
    </row>
    <row r="5" spans="1:6" x14ac:dyDescent="0.25">
      <c r="A5" s="11" t="s">
        <v>30</v>
      </c>
      <c r="B5" s="2" t="s">
        <v>34</v>
      </c>
      <c r="C5" s="1">
        <v>-2627.1189125000001</v>
      </c>
      <c r="D5" s="1">
        <v>-2627.1573573000001</v>
      </c>
      <c r="E5" s="12">
        <f t="shared" si="0"/>
        <v>3.8444799999979296E-2</v>
      </c>
      <c r="F5" s="6">
        <f t="shared" si="1"/>
        <v>1.0461368307194367</v>
      </c>
    </row>
    <row r="6" spans="1:6" x14ac:dyDescent="0.25">
      <c r="A6" s="11" t="s">
        <v>23</v>
      </c>
      <c r="B6" s="2" t="s">
        <v>35</v>
      </c>
      <c r="C6" s="1">
        <v>-1827.3200141</v>
      </c>
      <c r="D6" s="1">
        <v>-1827.3459963</v>
      </c>
      <c r="E6" s="12">
        <f t="shared" si="0"/>
        <v>2.5982200000044031E-2</v>
      </c>
      <c r="F6" s="6">
        <f t="shared" si="1"/>
        <v>0.7070120370811982</v>
      </c>
    </row>
    <row r="7" spans="1:6" x14ac:dyDescent="0.25">
      <c r="A7" s="11" t="s">
        <v>28</v>
      </c>
      <c r="B7" s="2" t="s">
        <v>36</v>
      </c>
      <c r="C7" s="1">
        <v>-2519.7571993000001</v>
      </c>
      <c r="D7" s="1">
        <v>-2519.8038532</v>
      </c>
      <c r="E7" s="12">
        <f t="shared" si="0"/>
        <v>4.6653899999910209E-2</v>
      </c>
      <c r="F7" s="6">
        <f t="shared" si="1"/>
        <v>1.2695179344575567</v>
      </c>
    </row>
    <row r="8" spans="1:6" x14ac:dyDescent="0.25">
      <c r="A8" s="11" t="s">
        <v>29</v>
      </c>
      <c r="B8" s="2" t="s">
        <v>37</v>
      </c>
      <c r="C8" s="1">
        <v>-2519.7566262999999</v>
      </c>
      <c r="D8" s="1">
        <v>-2519.8039008000001</v>
      </c>
      <c r="E8" s="12">
        <f t="shared" si="0"/>
        <v>4.7274500000185071E-2</v>
      </c>
      <c r="F8" s="6">
        <f t="shared" si="1"/>
        <v>1.2864053293050361</v>
      </c>
    </row>
    <row r="9" spans="1:6" x14ac:dyDescent="0.25">
      <c r="A9" s="11" t="s">
        <v>60</v>
      </c>
      <c r="B9" s="2" t="s">
        <v>61</v>
      </c>
      <c r="C9" s="1">
        <v>-3481.8827934999999</v>
      </c>
      <c r="D9" s="1">
        <v>-3481.9325675999999</v>
      </c>
      <c r="E9" s="12">
        <f t="shared" si="0"/>
        <v>4.9774099999922328E-2</v>
      </c>
      <c r="F9" s="6">
        <f t="shared" si="1"/>
        <v>1.3544229447378864</v>
      </c>
    </row>
    <row r="10" spans="1:6" x14ac:dyDescent="0.25">
      <c r="A10" s="11" t="s">
        <v>79</v>
      </c>
      <c r="B10" s="2" t="s">
        <v>80</v>
      </c>
      <c r="C10" s="1">
        <v>-4174.3318904999996</v>
      </c>
      <c r="D10" s="1">
        <v>-4174.3778372999996</v>
      </c>
      <c r="E10" s="12">
        <f>C10-D10</f>
        <v>4.5946799999910581E-2</v>
      </c>
      <c r="F10" s="6">
        <f>E10*27.2114</f>
        <v>1.250276753517567</v>
      </c>
    </row>
    <row r="11" spans="1:6" x14ac:dyDescent="0.25">
      <c r="A11" s="11" t="s">
        <v>63</v>
      </c>
      <c r="B11" s="2" t="s">
        <v>64</v>
      </c>
      <c r="C11" s="1">
        <v>-4174.3327417999999</v>
      </c>
      <c r="D11" s="1">
        <v>-4174.3824667999997</v>
      </c>
      <c r="E11" s="12">
        <f>C11-D11</f>
        <v>4.9724999999853026E-2</v>
      </c>
      <c r="F11" s="6">
        <f t="shared" si="1"/>
        <v>1.3530868649960006</v>
      </c>
    </row>
    <row r="18" spans="1:6" ht="18.75" x14ac:dyDescent="0.25">
      <c r="B18" s="14" t="s">
        <v>0</v>
      </c>
      <c r="C18" s="2" t="s">
        <v>3</v>
      </c>
      <c r="D18" s="2" t="s">
        <v>6</v>
      </c>
      <c r="E18" s="2" t="s">
        <v>8</v>
      </c>
      <c r="F18" s="2" t="s">
        <v>9</v>
      </c>
    </row>
    <row r="19" spans="1:6" x14ac:dyDescent="0.25">
      <c r="A19" s="11" t="s">
        <v>24</v>
      </c>
      <c r="B19" s="2" t="s">
        <v>27</v>
      </c>
      <c r="C19" s="1">
        <v>-280.15442339999998</v>
      </c>
      <c r="D19" s="1">
        <v>-280.1385899</v>
      </c>
      <c r="E19" s="12">
        <f>C19-D19</f>
        <v>-1.5833499999985179E-2</v>
      </c>
      <c r="F19" s="6">
        <f>E19*27.2114</f>
        <v>-0.43085170189959671</v>
      </c>
    </row>
    <row r="20" spans="1:6" x14ac:dyDescent="0.25">
      <c r="A20" s="11" t="s">
        <v>21</v>
      </c>
      <c r="B20" s="2" t="s">
        <v>32</v>
      </c>
      <c r="C20" s="1">
        <v>-1934.9757055</v>
      </c>
      <c r="D20" s="1">
        <v>-1935.005645</v>
      </c>
      <c r="E20" s="12">
        <f>C20-D20</f>
        <v>2.9939499999954933E-2</v>
      </c>
      <c r="F20" s="6">
        <f>E20*27.2114</f>
        <v>0.81469571029877375</v>
      </c>
    </row>
    <row r="21" spans="1:6" x14ac:dyDescent="0.25">
      <c r="A21" s="11" t="s">
        <v>31</v>
      </c>
      <c r="B21" s="2" t="s">
        <v>33</v>
      </c>
      <c r="C21" s="1">
        <v>-2627.6528254999998</v>
      </c>
      <c r="D21" s="1">
        <v>-2627.6929874000002</v>
      </c>
      <c r="E21" s="12">
        <f t="shared" ref="E21:E28" si="2">C21-D21</f>
        <v>4.0161900000384776E-2</v>
      </c>
      <c r="F21" s="6">
        <f t="shared" ref="F21:F28" si="3">E21*27.2114</f>
        <v>1.0928615256704703</v>
      </c>
    </row>
    <row r="22" spans="1:6" x14ac:dyDescent="0.25">
      <c r="A22" s="11" t="s">
        <v>30</v>
      </c>
      <c r="B22" s="2" t="s">
        <v>34</v>
      </c>
      <c r="C22" s="1">
        <v>-2627.6565102999998</v>
      </c>
      <c r="D22" s="1">
        <v>-2627.7025219000002</v>
      </c>
      <c r="E22" s="12">
        <f t="shared" si="2"/>
        <v>4.6011600000383623E-2</v>
      </c>
      <c r="F22" s="6">
        <f t="shared" si="3"/>
        <v>1.2520400522504389</v>
      </c>
    </row>
    <row r="23" spans="1:6" x14ac:dyDescent="0.25">
      <c r="A23" s="11" t="s">
        <v>23</v>
      </c>
      <c r="B23" s="2" t="s">
        <v>35</v>
      </c>
      <c r="C23" s="1">
        <v>-1827.9118464999999</v>
      </c>
      <c r="D23" s="1">
        <v>-1827.9411583999999</v>
      </c>
      <c r="E23" s="12">
        <f t="shared" si="2"/>
        <v>2.9311900000038804E-2</v>
      </c>
      <c r="F23" s="6">
        <f t="shared" si="3"/>
        <v>0.79761783566105593</v>
      </c>
    </row>
    <row r="24" spans="1:6" x14ac:dyDescent="0.25">
      <c r="A24" s="11" t="s">
        <v>28</v>
      </c>
      <c r="B24" s="2" t="s">
        <v>36</v>
      </c>
      <c r="C24" s="1">
        <v>-2520.5829953000002</v>
      </c>
      <c r="D24" s="1">
        <v>-2520.6345178000001</v>
      </c>
      <c r="E24" s="12">
        <f t="shared" si="2"/>
        <v>5.1522499999919091E-2</v>
      </c>
      <c r="F24" s="6">
        <f t="shared" si="3"/>
        <v>1.4019993564977984</v>
      </c>
    </row>
    <row r="25" spans="1:6" x14ac:dyDescent="0.25">
      <c r="A25" s="11" t="s">
        <v>29</v>
      </c>
      <c r="B25" s="2" t="s">
        <v>37</v>
      </c>
      <c r="C25" s="1">
        <v>-2520.5851108000002</v>
      </c>
      <c r="D25" s="1">
        <v>-2520.6368609000001</v>
      </c>
      <c r="E25" s="12">
        <f t="shared" si="2"/>
        <v>5.1750099999935628E-2</v>
      </c>
      <c r="F25" s="6">
        <f t="shared" si="3"/>
        <v>1.4081926711382484</v>
      </c>
    </row>
    <row r="26" spans="1:6" x14ac:dyDescent="0.25">
      <c r="A26" s="11" t="s">
        <v>60</v>
      </c>
      <c r="B26" s="2" t="s">
        <v>61</v>
      </c>
      <c r="C26" s="1">
        <v>-3482.6904378999998</v>
      </c>
      <c r="D26" s="1">
        <v>-3482.7426006999999</v>
      </c>
      <c r="E26" s="12">
        <f t="shared" si="2"/>
        <v>5.2162800000132847E-2</v>
      </c>
      <c r="F26" s="6">
        <f t="shared" si="3"/>
        <v>1.4194228159236151</v>
      </c>
    </row>
    <row r="27" spans="1:6" x14ac:dyDescent="0.25">
      <c r="A27" s="11" t="s">
        <v>79</v>
      </c>
      <c r="B27" s="2" t="s">
        <v>80</v>
      </c>
      <c r="C27" s="10">
        <v>-4175.3675758999998</v>
      </c>
      <c r="D27" s="1">
        <v>-4175.4191031</v>
      </c>
      <c r="E27" s="12">
        <f t="shared" si="2"/>
        <v>5.1527200000236917E-2</v>
      </c>
      <c r="F27" s="6">
        <f t="shared" si="3"/>
        <v>1.402127250086447</v>
      </c>
    </row>
    <row r="28" spans="1:6" x14ac:dyDescent="0.25">
      <c r="A28" s="11" t="s">
        <v>63</v>
      </c>
      <c r="B28" s="2" t="s">
        <v>64</v>
      </c>
      <c r="C28" s="1">
        <v>-4175.3709765000003</v>
      </c>
      <c r="D28" s="1">
        <v>-4175.4293792999997</v>
      </c>
      <c r="E28" s="12">
        <f t="shared" si="2"/>
        <v>5.8402799999385024E-2</v>
      </c>
      <c r="F28" s="6">
        <f t="shared" si="3"/>
        <v>1.5892219519032658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1E858-CA53-4352-9B2F-025AFC469003}">
  <dimension ref="A1:K29"/>
  <sheetViews>
    <sheetView topLeftCell="A13" workbookViewId="0">
      <selection activeCell="K25" sqref="K25"/>
    </sheetView>
  </sheetViews>
  <sheetFormatPr defaultRowHeight="15.75" x14ac:dyDescent="0.25"/>
  <cols>
    <col min="1" max="1" width="35.28515625" bestFit="1" customWidth="1"/>
    <col min="2" max="2" width="14.85546875" style="3" bestFit="1" customWidth="1"/>
    <col min="3" max="3" width="12.140625" style="1" bestFit="1" customWidth="1"/>
    <col min="4" max="4" width="14.7109375" style="1" bestFit="1" customWidth="1"/>
    <col min="5" max="5" width="9.5703125" style="1" bestFit="1" customWidth="1"/>
    <col min="6" max="7" width="9.5703125" style="3" bestFit="1" customWidth="1"/>
    <col min="8" max="8" width="10.85546875" style="3" bestFit="1" customWidth="1"/>
    <col min="9" max="9" width="9.5703125" style="3" bestFit="1" customWidth="1"/>
  </cols>
  <sheetData>
    <row r="1" spans="1:11" ht="15" x14ac:dyDescent="0.25">
      <c r="B1" s="32" t="s">
        <v>111</v>
      </c>
      <c r="C1" s="32"/>
      <c r="D1" s="32"/>
      <c r="E1" s="32"/>
      <c r="F1" s="32"/>
      <c r="G1" s="32"/>
      <c r="H1" s="32"/>
      <c r="I1" s="32"/>
      <c r="J1" s="32"/>
      <c r="K1" s="32"/>
    </row>
    <row r="2" spans="1:11" ht="18.75" x14ac:dyDescent="0.25">
      <c r="B2" s="14" t="s">
        <v>0</v>
      </c>
      <c r="C2" s="2" t="s">
        <v>20</v>
      </c>
      <c r="D2" s="2" t="s">
        <v>9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</row>
    <row r="3" spans="1:11" x14ac:dyDescent="0.25">
      <c r="A3" s="11" t="s">
        <v>24</v>
      </c>
      <c r="B3" s="2" t="s">
        <v>27</v>
      </c>
      <c r="C3" s="6">
        <f>'IP(a)'!F3</f>
        <v>9.9812177119188981</v>
      </c>
      <c r="D3" s="6">
        <f>EA!F2</f>
        <v>-0.44246824855903805</v>
      </c>
      <c r="E3" s="6">
        <f>(1/2)*(C3-D3)</f>
        <v>5.2118429802389681</v>
      </c>
      <c r="F3" s="6">
        <f>((C3+3*D3)^2)/(16*E3)</f>
        <v>0.8980565888429346</v>
      </c>
      <c r="G3" s="6">
        <f>((3*C3+D3)^2)/(4*E3)</f>
        <v>41.747224208811176</v>
      </c>
      <c r="H3" s="6">
        <f>((C3+D3)^2)/(4*E3)</f>
        <v>4.3644705754631223</v>
      </c>
      <c r="I3" s="6">
        <f>(C3+D3)/2</f>
        <v>4.76937473167993</v>
      </c>
    </row>
    <row r="4" spans="1:11" x14ac:dyDescent="0.25">
      <c r="A4" s="11" t="s">
        <v>21</v>
      </c>
      <c r="B4" s="2" t="s">
        <v>32</v>
      </c>
      <c r="C4" s="6">
        <f>'IP(a)'!F4</f>
        <v>8.3058635155807661</v>
      </c>
      <c r="D4" s="6">
        <f>EA!F3</f>
        <v>0.74694748771689046</v>
      </c>
      <c r="E4" s="6">
        <f t="shared" ref="E4:E12" si="0">(1/2)*(C4-D4)</f>
        <v>3.7794580139319378</v>
      </c>
      <c r="F4" s="6">
        <f t="shared" ref="F4:F12" si="1">((C4+3*D4)^2)/(16*E4)</f>
        <v>1.8394338320431698</v>
      </c>
      <c r="G4" s="6">
        <f t="shared" ref="G4:G12" si="2">((3*C4+D4)^2)/(4*E4)</f>
        <v>43.568979341363303</v>
      </c>
      <c r="H4" s="6">
        <f t="shared" ref="H4:H12" si="3">((C4+D4)^2)/(4*E4)</f>
        <v>5.4209748302090119</v>
      </c>
      <c r="I4" s="6">
        <f t="shared" ref="I4:I12" si="4">(C4+D4)/2</f>
        <v>4.5264055016488278</v>
      </c>
    </row>
    <row r="5" spans="1:11" x14ac:dyDescent="0.25">
      <c r="A5" s="11" t="s">
        <v>31</v>
      </c>
      <c r="B5" s="2" t="s">
        <v>33</v>
      </c>
      <c r="C5" s="6">
        <f>'IP(a)'!F5</f>
        <v>7.6209525775775973</v>
      </c>
      <c r="D5" s="6">
        <f>EA!F4</f>
        <v>0.96381962458401949</v>
      </c>
      <c r="E5" s="6">
        <f t="shared" si="0"/>
        <v>3.3285664764967891</v>
      </c>
      <c r="F5" s="6">
        <f t="shared" si="1"/>
        <v>2.075044829778268</v>
      </c>
      <c r="G5" s="6">
        <f t="shared" si="2"/>
        <v>42.639268127759536</v>
      </c>
      <c r="H5" s="6">
        <f t="shared" si="3"/>
        <v>5.5352893117348785</v>
      </c>
      <c r="I5" s="6">
        <f t="shared" si="4"/>
        <v>4.2923861010808082</v>
      </c>
    </row>
    <row r="6" spans="1:11" x14ac:dyDescent="0.25">
      <c r="A6" s="11" t="s">
        <v>30</v>
      </c>
      <c r="B6" s="2" t="s">
        <v>34</v>
      </c>
      <c r="C6" s="6">
        <f>'IP(a)'!F6</f>
        <v>7.8683885589168563</v>
      </c>
      <c r="D6" s="6">
        <f>EA!F5</f>
        <v>1.0461368307194367</v>
      </c>
      <c r="E6" s="6">
        <f t="shared" si="0"/>
        <v>3.4111258640987097</v>
      </c>
      <c r="F6" s="6">
        <f t="shared" si="1"/>
        <v>2.2197514504269003</v>
      </c>
      <c r="G6" s="6">
        <f t="shared" si="2"/>
        <v>44.537107360252783</v>
      </c>
      <c r="H6" s="6">
        <f t="shared" si="3"/>
        <v>5.8242326792203682</v>
      </c>
      <c r="I6" s="6">
        <f t="shared" si="4"/>
        <v>4.4572626948181462</v>
      </c>
    </row>
    <row r="7" spans="1:11" x14ac:dyDescent="0.25">
      <c r="A7" s="11" t="s">
        <v>23</v>
      </c>
      <c r="B7" s="2" t="s">
        <v>35</v>
      </c>
      <c r="C7" s="6">
        <f>'IP(a)'!F7</f>
        <v>7.5105259952419967</v>
      </c>
      <c r="D7" s="6">
        <f>EA!F6</f>
        <v>0.7070120370811982</v>
      </c>
      <c r="E7" s="6">
        <f t="shared" si="0"/>
        <v>3.4017569790803992</v>
      </c>
      <c r="F7" s="6">
        <f t="shared" si="1"/>
        <v>1.7043947653663474</v>
      </c>
      <c r="G7" s="6">
        <f t="shared" si="2"/>
        <v>39.687731190758171</v>
      </c>
      <c r="H7" s="6">
        <f t="shared" si="3"/>
        <v>4.9627245367578441</v>
      </c>
      <c r="I7" s="6">
        <f t="shared" si="4"/>
        <v>4.1087690161615971</v>
      </c>
    </row>
    <row r="8" spans="1:11" x14ac:dyDescent="0.25">
      <c r="A8" s="11" t="s">
        <v>28</v>
      </c>
      <c r="B8" s="2" t="s">
        <v>36</v>
      </c>
      <c r="C8" s="6">
        <f>'IP(a)'!F8</f>
        <v>7.256534787645986</v>
      </c>
      <c r="D8" s="6">
        <f>EA!F7</f>
        <v>1.2695179344575567</v>
      </c>
      <c r="E8" s="6">
        <f t="shared" si="0"/>
        <v>2.9935084265942145</v>
      </c>
      <c r="F8" s="6">
        <f t="shared" si="1"/>
        <v>2.5562853030446822</v>
      </c>
      <c r="G8" s="6">
        <f t="shared" si="2"/>
        <v>44.329352100592907</v>
      </c>
      <c r="H8" s="6">
        <f t="shared" si="3"/>
        <v>6.0709345574479014</v>
      </c>
      <c r="I8" s="6">
        <f t="shared" si="4"/>
        <v>4.2630263610517716</v>
      </c>
    </row>
    <row r="9" spans="1:11" x14ac:dyDescent="0.25">
      <c r="A9" s="11" t="s">
        <v>29</v>
      </c>
      <c r="B9" s="2" t="s">
        <v>37</v>
      </c>
      <c r="C9" s="6">
        <f>'IP(a)'!F9</f>
        <v>7.4785770904938742</v>
      </c>
      <c r="D9" s="6">
        <f>EA!F8</f>
        <v>1.2864053293050361</v>
      </c>
      <c r="E9" s="6">
        <f t="shared" si="0"/>
        <v>3.0960858805944191</v>
      </c>
      <c r="F9" s="6">
        <f t="shared" si="1"/>
        <v>2.5949205877676405</v>
      </c>
      <c r="G9" s="6">
        <f t="shared" si="2"/>
        <v>45.439612030266204</v>
      </c>
      <c r="H9" s="6">
        <f t="shared" si="3"/>
        <v>6.2033903275184912</v>
      </c>
      <c r="I9" s="6">
        <f t="shared" si="4"/>
        <v>4.3824912098994551</v>
      </c>
    </row>
    <row r="10" spans="1:11" x14ac:dyDescent="0.25">
      <c r="A10" s="11" t="s">
        <v>60</v>
      </c>
      <c r="B10" s="2" t="s">
        <v>61</v>
      </c>
      <c r="C10" s="6">
        <f>'IP(a)'!F10</f>
        <v>7.5298542526568175</v>
      </c>
      <c r="D10" s="6">
        <f>EA!F9</f>
        <v>1.3544229447378864</v>
      </c>
      <c r="E10" s="6">
        <f t="shared" si="0"/>
        <v>3.0877156539594655</v>
      </c>
      <c r="F10" s="6">
        <f t="shared" si="1"/>
        <v>2.7204679358789012</v>
      </c>
      <c r="G10" s="6">
        <f t="shared" si="2"/>
        <v>46.41898053309442</v>
      </c>
      <c r="H10" s="6">
        <f t="shared" si="3"/>
        <v>6.3906776210863878</v>
      </c>
      <c r="I10" s="6">
        <f t="shared" si="4"/>
        <v>4.4421385986973521</v>
      </c>
    </row>
    <row r="11" spans="1:11" x14ac:dyDescent="0.25">
      <c r="A11" s="11" t="s">
        <v>79</v>
      </c>
      <c r="B11" s="2" t="s">
        <v>80</v>
      </c>
      <c r="C11" s="6">
        <f>'IP(a)'!F11</f>
        <v>7.0421361670397271</v>
      </c>
      <c r="D11" s="6">
        <f>EA!F10</f>
        <v>1.250276753517567</v>
      </c>
      <c r="E11" s="6">
        <f>(1/2)*(C11-D11)</f>
        <v>2.8959297067610801</v>
      </c>
      <c r="F11" s="6">
        <f>((C11+3*D11)^2)/(16*E11)</f>
        <v>2.5140485116742979</v>
      </c>
      <c r="G11" s="6">
        <f>((3*C11+D11)^2)/(4*E11)</f>
        <v>43.225845728926366</v>
      </c>
      <c r="H11" s="6">
        <f>((C11+D11)^2)/(4*E11)</f>
        <v>5.9362725452626739</v>
      </c>
      <c r="I11" s="6">
        <f>(C11+D11)/2</f>
        <v>4.1462064602786466</v>
      </c>
    </row>
    <row r="12" spans="1:11" x14ac:dyDescent="0.25">
      <c r="A12" s="11" t="s">
        <v>63</v>
      </c>
      <c r="B12" s="2" t="s">
        <v>64</v>
      </c>
      <c r="C12" s="6">
        <f>'IP(a)'!F12</f>
        <v>7.0330339537271316</v>
      </c>
      <c r="D12" s="6">
        <f>EA!F11</f>
        <v>1.3530868649960006</v>
      </c>
      <c r="E12" s="6">
        <f t="shared" si="0"/>
        <v>2.8399735443655656</v>
      </c>
      <c r="F12" s="6">
        <f t="shared" si="1"/>
        <v>2.707749659313766</v>
      </c>
      <c r="G12" s="6">
        <f t="shared" si="2"/>
        <v>44.375481912147592</v>
      </c>
      <c r="H12" s="6">
        <f t="shared" si="3"/>
        <v>6.1908166825839395</v>
      </c>
      <c r="I12" s="6">
        <f t="shared" si="4"/>
        <v>4.193060409361566</v>
      </c>
    </row>
    <row r="18" spans="1:10" ht="15" x14ac:dyDescent="0.25">
      <c r="A18" s="32" t="s">
        <v>112</v>
      </c>
      <c r="B18" s="32"/>
      <c r="C18" s="32"/>
      <c r="D18" s="32"/>
      <c r="E18" s="32"/>
      <c r="F18" s="32"/>
      <c r="G18" s="32"/>
      <c r="H18" s="32"/>
      <c r="I18" s="32"/>
      <c r="J18" s="32"/>
    </row>
    <row r="19" spans="1:10" ht="18.75" x14ac:dyDescent="0.25">
      <c r="B19" s="14" t="s">
        <v>0</v>
      </c>
      <c r="C19" s="2" t="s">
        <v>20</v>
      </c>
      <c r="D19" s="2" t="s">
        <v>9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</row>
    <row r="20" spans="1:10" x14ac:dyDescent="0.25">
      <c r="A20" s="11" t="s">
        <v>24</v>
      </c>
      <c r="B20" s="2" t="s">
        <v>27</v>
      </c>
      <c r="C20" s="6">
        <f>'IP(a)'!F20</f>
        <v>9.7923025674194513</v>
      </c>
      <c r="D20" s="6">
        <f>EA!F19</f>
        <v>-0.43085170189959671</v>
      </c>
      <c r="E20" s="6">
        <f>(1/2)*(C20-D20)</f>
        <v>5.111577134659524</v>
      </c>
      <c r="F20" s="6">
        <f>((C20+3*D20)^2)/(16*E20)</f>
        <v>0.88335880748964557</v>
      </c>
      <c r="G20" s="6">
        <f>((3*C20+D20)^2)/(4*E20)</f>
        <v>40.979238692038003</v>
      </c>
      <c r="H20" s="6">
        <f>((C20+D20)^2)/(4*E20)</f>
        <v>4.2861899565846917</v>
      </c>
      <c r="I20" s="6">
        <f>(C20+D20)/2</f>
        <v>4.6807254327599273</v>
      </c>
    </row>
    <row r="21" spans="1:10" x14ac:dyDescent="0.25">
      <c r="A21" s="11" t="s">
        <v>21</v>
      </c>
      <c r="B21" s="2" t="s">
        <v>32</v>
      </c>
      <c r="C21" s="6">
        <f>'IP(a)'!F21</f>
        <v>7.7955708525212755</v>
      </c>
      <c r="D21" s="6">
        <f>EA!F20</f>
        <v>0.81469571029877375</v>
      </c>
      <c r="E21" s="6">
        <f t="shared" ref="E21:E27" si="5">(1/2)*(C21-D21)</f>
        <v>3.4904375711112507</v>
      </c>
      <c r="F21" s="6">
        <f t="shared" ref="F21:F27" si="6">((C21+3*D21)^2)/(16*E21)</f>
        <v>1.8774615195306739</v>
      </c>
      <c r="G21" s="6">
        <f t="shared" ref="G21:G27" si="7">((3*C21+D21)^2)/(4*E21)</f>
        <v>41.950912329402897</v>
      </c>
      <c r="H21" s="6">
        <f t="shared" ref="H21:H27" si="8">((C21+D21)^2)/(4*E21)</f>
        <v>5.3099854081628859</v>
      </c>
      <c r="I21" s="6">
        <f t="shared" ref="I21:I27" si="9">(C21+D21)/2</f>
        <v>4.3051332814100247</v>
      </c>
    </row>
    <row r="22" spans="1:10" x14ac:dyDescent="0.25">
      <c r="A22" s="11" t="s">
        <v>31</v>
      </c>
      <c r="B22" s="2" t="s">
        <v>33</v>
      </c>
      <c r="C22" s="6">
        <f>'IP(a)'!F22</f>
        <v>6.9400172251127428</v>
      </c>
      <c r="D22" s="6">
        <f>EA!F21</f>
        <v>1.0928615256704703</v>
      </c>
      <c r="E22" s="6">
        <f t="shared" si="5"/>
        <v>2.923577849721136</v>
      </c>
      <c r="F22" s="6">
        <f t="shared" si="6"/>
        <v>2.2322781399581815</v>
      </c>
      <c r="G22" s="6">
        <f t="shared" si="7"/>
        <v>41.060627562965585</v>
      </c>
      <c r="H22" s="6">
        <f t="shared" si="8"/>
        <v>5.5178230529195051</v>
      </c>
      <c r="I22" s="6">
        <f t="shared" si="9"/>
        <v>4.0164393753916068</v>
      </c>
    </row>
    <row r="23" spans="1:10" x14ac:dyDescent="0.25">
      <c r="A23" s="11" t="s">
        <v>30</v>
      </c>
      <c r="B23" s="2" t="s">
        <v>34</v>
      </c>
      <c r="C23" s="6">
        <f>'IP(a)'!F23</f>
        <v>6.8684131471609033</v>
      </c>
      <c r="D23" s="6">
        <f>EA!F22</f>
        <v>1.2520400522504389</v>
      </c>
      <c r="E23" s="6">
        <f t="shared" si="5"/>
        <v>2.8081865474552323</v>
      </c>
      <c r="F23" s="6">
        <f t="shared" si="6"/>
        <v>2.5123132406443927</v>
      </c>
      <c r="G23" s="6">
        <f t="shared" si="7"/>
        <v>42.531065760222937</v>
      </c>
      <c r="H23" s="6">
        <f t="shared" si="8"/>
        <v>5.8704932034862551</v>
      </c>
      <c r="I23" s="6">
        <f t="shared" si="9"/>
        <v>4.060226599705671</v>
      </c>
    </row>
    <row r="24" spans="1:10" x14ac:dyDescent="0.25">
      <c r="A24" s="11" t="s">
        <v>23</v>
      </c>
      <c r="B24" s="2" t="s">
        <v>35</v>
      </c>
      <c r="C24" s="6">
        <f>'IP(a)'!F24</f>
        <v>7.0792225840998286</v>
      </c>
      <c r="D24" s="6">
        <f>EA!F23</f>
        <v>0.79761783566105593</v>
      </c>
      <c r="E24" s="6">
        <f t="shared" si="5"/>
        <v>3.1408023742193865</v>
      </c>
      <c r="F24" s="6">
        <f t="shared" si="6"/>
        <v>1.7853762905403505</v>
      </c>
      <c r="G24" s="6">
        <f t="shared" si="7"/>
        <v>38.648866841204949</v>
      </c>
      <c r="H24" s="6">
        <f t="shared" si="8"/>
        <v>4.9385959068659462</v>
      </c>
      <c r="I24" s="6">
        <f t="shared" si="9"/>
        <v>3.9384202098804422</v>
      </c>
    </row>
    <row r="25" spans="1:10" x14ac:dyDescent="0.25">
      <c r="A25" s="11" t="s">
        <v>28</v>
      </c>
      <c r="B25" s="2" t="s">
        <v>36</v>
      </c>
      <c r="C25" s="6">
        <f>'IP(a)'!F25</f>
        <v>6.5010211512072118</v>
      </c>
      <c r="D25" s="6">
        <f>EA!F24</f>
        <v>1.4019993564977984</v>
      </c>
      <c r="E25" s="6">
        <f t="shared" si="5"/>
        <v>2.5495108973547067</v>
      </c>
      <c r="F25" s="6">
        <f t="shared" si="6"/>
        <v>2.8103493475797507</v>
      </c>
      <c r="G25" s="6">
        <f t="shared" si="7"/>
        <v>42.853479421139035</v>
      </c>
      <c r="H25" s="6">
        <f t="shared" si="8"/>
        <v>6.1244818770935794</v>
      </c>
      <c r="I25" s="6">
        <f t="shared" si="9"/>
        <v>3.9515102538525051</v>
      </c>
    </row>
    <row r="26" spans="1:10" x14ac:dyDescent="0.25">
      <c r="A26" s="11" t="s">
        <v>29</v>
      </c>
      <c r="B26" s="2" t="s">
        <v>37</v>
      </c>
      <c r="C26" s="6">
        <f>'IP(a)'!F26</f>
        <v>6.4950482489021839</v>
      </c>
      <c r="D26" s="6">
        <f>EA!F25</f>
        <v>1.4081926711382484</v>
      </c>
      <c r="E26" s="6">
        <f t="shared" si="5"/>
        <v>2.5434277888819676</v>
      </c>
      <c r="F26" s="6">
        <f t="shared" si="6"/>
        <v>2.8237087098083777</v>
      </c>
      <c r="G26" s="6">
        <f t="shared" si="7"/>
        <v>42.907798519395243</v>
      </c>
      <c r="H26" s="6">
        <f t="shared" si="8"/>
        <v>6.1394722226081022</v>
      </c>
      <c r="I26" s="6">
        <f t="shared" si="9"/>
        <v>3.9516204600202163</v>
      </c>
    </row>
    <row r="27" spans="1:10" x14ac:dyDescent="0.25">
      <c r="A27" s="11" t="s">
        <v>60</v>
      </c>
      <c r="B27" s="2" t="s">
        <v>61</v>
      </c>
      <c r="C27" s="6">
        <f>'IP(a)'!F27</f>
        <v>6.529144133099626</v>
      </c>
      <c r="D27" s="6">
        <f>EA!F26</f>
        <v>1.4194228159236151</v>
      </c>
      <c r="E27" s="6">
        <f t="shared" si="5"/>
        <v>2.5548606585880056</v>
      </c>
      <c r="F27" s="6">
        <f t="shared" si="6"/>
        <v>2.8467372036210126</v>
      </c>
      <c r="G27" s="6">
        <f t="shared" si="7"/>
        <v>43.181216610577003</v>
      </c>
      <c r="H27" s="6">
        <f t="shared" si="8"/>
        <v>6.1823055134856313</v>
      </c>
      <c r="I27" s="6">
        <f t="shared" si="9"/>
        <v>3.9742834745116205</v>
      </c>
    </row>
    <row r="28" spans="1:10" x14ac:dyDescent="0.25">
      <c r="A28" s="11" t="s">
        <v>79</v>
      </c>
      <c r="B28" s="2" t="s">
        <v>80</v>
      </c>
      <c r="C28" s="6">
        <f>'IP(a)'!F28</f>
        <v>6.3147618393463194</v>
      </c>
      <c r="D28" s="6">
        <f>EA!F27</f>
        <v>1.402127250086447</v>
      </c>
      <c r="E28" s="6">
        <f>(1/2)*(C28-D28)</f>
        <v>2.4563172946299363</v>
      </c>
      <c r="F28" s="6">
        <f>((C28+3*D28)^2)/(16*E28)</f>
        <v>2.8165758215333008</v>
      </c>
      <c r="G28" s="6">
        <f>((3*C28+D28)^2)/(4*E28)</f>
        <v>42.133859643864277</v>
      </c>
      <c r="H28" s="6">
        <f>((C28+D28)^2)/(4*E28)</f>
        <v>6.0609410425921997</v>
      </c>
      <c r="I28" s="6">
        <f>(C28+D28)/2</f>
        <v>3.8584445447163831</v>
      </c>
    </row>
    <row r="29" spans="1:10" x14ac:dyDescent="0.25">
      <c r="A29" s="11" t="s">
        <v>63</v>
      </c>
      <c r="B29" s="2" t="s">
        <v>64</v>
      </c>
      <c r="C29" s="6">
        <f>'IP(a)'!F29</f>
        <v>6.2718685095229363</v>
      </c>
      <c r="D29" s="6">
        <f>EA!F28</f>
        <v>1.5892219519032658</v>
      </c>
      <c r="E29" s="6">
        <f t="shared" ref="E29" si="10">(1/2)*(C29-D29)</f>
        <v>2.3413232788098353</v>
      </c>
      <c r="F29" s="6">
        <f t="shared" ref="F29" si="11">((C29+3*D29)^2)/(16*E29)</f>
        <v>3.2532702794652444</v>
      </c>
      <c r="G29" s="6">
        <f t="shared" ref="G29" si="12">((3*C29+D29)^2)/(4*E29)</f>
        <v>44.457442963565789</v>
      </c>
      <c r="H29" s="6">
        <f t="shared" ref="H29" si="13">((C29+D29)^2)/(4*E29)</f>
        <v>6.5984846904758871</v>
      </c>
      <c r="I29" s="6">
        <f t="shared" ref="I29" si="14">(C29+D29)/2</f>
        <v>3.930545230713101</v>
      </c>
    </row>
  </sheetData>
  <mergeCells count="2">
    <mergeCell ref="B1:K1"/>
    <mergeCell ref="A18:J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87C9-9397-4312-A582-9E96BD11F5A6}">
  <dimension ref="A1:K31"/>
  <sheetViews>
    <sheetView workbookViewId="0">
      <selection activeCell="H22" sqref="H22:H31"/>
    </sheetView>
  </sheetViews>
  <sheetFormatPr defaultRowHeight="15.75" x14ac:dyDescent="0.25"/>
  <cols>
    <col min="1" max="1" width="35.28515625" bestFit="1" customWidth="1"/>
    <col min="2" max="2" width="14.85546875" bestFit="1" customWidth="1"/>
    <col min="3" max="3" width="13.5703125" bestFit="1" customWidth="1"/>
    <col min="4" max="4" width="11.28515625" style="3" bestFit="1" customWidth="1"/>
    <col min="5" max="5" width="9.140625" style="1"/>
    <col min="6" max="6" width="12.5703125" bestFit="1" customWidth="1"/>
    <col min="7" max="7" width="13.7109375" bestFit="1" customWidth="1"/>
  </cols>
  <sheetData>
    <row r="1" spans="1:11" x14ac:dyDescent="0.25">
      <c r="C1" s="30" t="s">
        <v>55</v>
      </c>
      <c r="D1" s="30"/>
      <c r="E1" s="30"/>
      <c r="F1" s="30"/>
      <c r="G1" s="30"/>
      <c r="H1" s="30"/>
      <c r="I1" s="3"/>
      <c r="J1" s="3"/>
      <c r="K1" s="3"/>
    </row>
    <row r="2" spans="1:11" x14ac:dyDescent="0.25">
      <c r="C2" s="30" t="s">
        <v>77</v>
      </c>
      <c r="D2" s="30"/>
      <c r="E2" s="30"/>
      <c r="F2" s="30" t="s">
        <v>78</v>
      </c>
      <c r="G2" s="30"/>
      <c r="H2" s="30"/>
      <c r="I2" s="3"/>
      <c r="J2" s="3"/>
      <c r="K2" s="3"/>
    </row>
    <row r="3" spans="1:11" ht="19.5" x14ac:dyDescent="0.3">
      <c r="C3" s="2" t="s">
        <v>50</v>
      </c>
      <c r="D3" s="18" t="s">
        <v>51</v>
      </c>
      <c r="E3" s="2" t="s">
        <v>26</v>
      </c>
      <c r="F3" s="2" t="s">
        <v>62</v>
      </c>
      <c r="G3" s="18" t="s">
        <v>51</v>
      </c>
      <c r="H3" s="2" t="s">
        <v>26</v>
      </c>
    </row>
    <row r="4" spans="1:11" x14ac:dyDescent="0.25">
      <c r="A4" s="11" t="s">
        <v>24</v>
      </c>
      <c r="B4" s="2" t="s">
        <v>27</v>
      </c>
      <c r="C4" s="6">
        <v>5.7948755530000007</v>
      </c>
      <c r="D4" s="10">
        <f>C4*38.90672114</f>
        <v>225.45960718157434</v>
      </c>
      <c r="E4" s="6">
        <f>((D4)-LN(D4+0.72))/(D4+1)</f>
        <v>0.97164470306379314</v>
      </c>
      <c r="F4" s="8">
        <v>4.2644946521999998</v>
      </c>
      <c r="G4" s="10">
        <f>F4*38.90672114</f>
        <v>165.91750423616668</v>
      </c>
      <c r="H4" s="6">
        <f>((G4)-LN(G4+0.72))/(G4+1)</f>
        <v>0.9633602188826873</v>
      </c>
    </row>
    <row r="5" spans="1:11" x14ac:dyDescent="0.25">
      <c r="A5" s="11" t="s">
        <v>21</v>
      </c>
      <c r="B5" s="2" t="s">
        <v>32</v>
      </c>
      <c r="C5" s="6">
        <v>4.4868293840000018</v>
      </c>
      <c r="D5" s="10">
        <f t="shared" ref="D5:D13" si="0">C5*38.90672114</f>
        <v>174.56781964604605</v>
      </c>
      <c r="E5" s="6">
        <f t="shared" ref="E5:E13" si="1">((D5)-LN(D5+0.72))/(D5+1)</f>
        <v>0.96487722340554238</v>
      </c>
      <c r="F5" s="8">
        <v>3.6244826799999998</v>
      </c>
      <c r="G5" s="10">
        <f t="shared" ref="G5:G13" si="2">F5*38.90672114</f>
        <v>141.01673690751986</v>
      </c>
      <c r="H5" s="6">
        <f t="shared" ref="H5:H13" si="3">((G5)-LN(G5+0.72))/(G5+1)</f>
        <v>0.95807556559113571</v>
      </c>
    </row>
    <row r="6" spans="1:11" x14ac:dyDescent="0.25">
      <c r="A6" s="11" t="s">
        <v>31</v>
      </c>
      <c r="B6" s="2" t="s">
        <v>33</v>
      </c>
      <c r="C6" s="6">
        <v>3.9602887940000002</v>
      </c>
      <c r="D6" s="10">
        <f t="shared" si="0"/>
        <v>154.08185174202492</v>
      </c>
      <c r="E6" s="6">
        <f t="shared" si="1"/>
        <v>0.96103898776439145</v>
      </c>
      <c r="F6" s="8">
        <v>3.5485628739999999</v>
      </c>
      <c r="G6" s="10">
        <f t="shared" si="2"/>
        <v>138.06294618647496</v>
      </c>
      <c r="H6" s="6">
        <f t="shared" si="3"/>
        <v>0.95733650596991737</v>
      </c>
    </row>
    <row r="7" spans="1:11" x14ac:dyDescent="0.25">
      <c r="A7" s="11" t="s">
        <v>30</v>
      </c>
      <c r="B7" s="2" t="s">
        <v>34</v>
      </c>
      <c r="C7" s="6">
        <v>3.9104919319999993</v>
      </c>
      <c r="D7" s="10">
        <f t="shared" si="0"/>
        <v>152.14441911854382</v>
      </c>
      <c r="E7" s="6">
        <f t="shared" si="1"/>
        <v>0.96062833099839873</v>
      </c>
      <c r="F7" s="8">
        <v>3.43944516</v>
      </c>
      <c r="G7" s="10">
        <f t="shared" si="2"/>
        <v>133.81753371644268</v>
      </c>
      <c r="H7" s="6">
        <f t="shared" si="3"/>
        <v>0.95622347436192134</v>
      </c>
    </row>
    <row r="8" spans="1:11" x14ac:dyDescent="0.25">
      <c r="A8" s="11" t="s">
        <v>23</v>
      </c>
      <c r="B8" s="2" t="s">
        <v>35</v>
      </c>
      <c r="C8" s="6">
        <v>3.8519874220000005</v>
      </c>
      <c r="D8" s="10">
        <f t="shared" si="0"/>
        <v>149.86820046254152</v>
      </c>
      <c r="E8" s="6">
        <f t="shared" si="1"/>
        <v>0.96013375288050007</v>
      </c>
      <c r="F8" s="8">
        <v>4.0830451019999998</v>
      </c>
      <c r="G8" s="10">
        <f t="shared" si="2"/>
        <v>158.85789718555685</v>
      </c>
      <c r="H8" s="6">
        <f t="shared" si="3"/>
        <v>0.96201293590416614</v>
      </c>
    </row>
    <row r="9" spans="1:11" x14ac:dyDescent="0.25">
      <c r="A9" s="11" t="s">
        <v>28</v>
      </c>
      <c r="B9" s="2" t="s">
        <v>36</v>
      </c>
      <c r="C9" s="6">
        <v>3.4718441640000011</v>
      </c>
      <c r="D9" s="10">
        <f t="shared" si="0"/>
        <v>135.07807273028448</v>
      </c>
      <c r="E9" s="6">
        <f t="shared" si="1"/>
        <v>0.95656045897439479</v>
      </c>
      <c r="F9" s="8">
        <v>3.3142727199999999</v>
      </c>
      <c r="G9" s="10">
        <f t="shared" si="2"/>
        <v>128.94748449894931</v>
      </c>
      <c r="H9" s="6">
        <f t="shared" si="3"/>
        <v>0.9548665879548619</v>
      </c>
    </row>
    <row r="10" spans="1:11" x14ac:dyDescent="0.25">
      <c r="A10" s="11" t="s">
        <v>29</v>
      </c>
      <c r="B10" s="2" t="s">
        <v>37</v>
      </c>
      <c r="C10" s="6">
        <v>3.4957901960000006</v>
      </c>
      <c r="D10" s="10">
        <f t="shared" si="0"/>
        <v>136.00973431971798</v>
      </c>
      <c r="E10" s="6">
        <f t="shared" si="1"/>
        <v>0.95680594328131774</v>
      </c>
      <c r="F10" s="8">
        <v>3.326789964</v>
      </c>
      <c r="G10" s="10">
        <f t="shared" si="2"/>
        <v>129.43448942069864</v>
      </c>
      <c r="H10" s="6">
        <f t="shared" si="3"/>
        <v>0.95500636257239246</v>
      </c>
    </row>
    <row r="11" spans="1:11" x14ac:dyDescent="0.25">
      <c r="A11" s="11" t="s">
        <v>60</v>
      </c>
      <c r="B11" s="2" t="s">
        <v>61</v>
      </c>
      <c r="C11" s="6">
        <v>3.5714333690000002</v>
      </c>
      <c r="D11" s="10">
        <f t="shared" si="0"/>
        <v>138.95276215777375</v>
      </c>
      <c r="E11" s="6">
        <f t="shared" si="1"/>
        <v>0.95756209322442298</v>
      </c>
      <c r="F11" s="8">
        <v>3.2756329587000002</v>
      </c>
      <c r="G11" s="10">
        <f t="shared" si="2"/>
        <v>127.44413808113404</v>
      </c>
      <c r="H11" s="6">
        <f t="shared" si="3"/>
        <v>0.95442912492043963</v>
      </c>
    </row>
    <row r="12" spans="1:11" x14ac:dyDescent="0.25">
      <c r="A12" s="11" t="s">
        <v>79</v>
      </c>
      <c r="B12" s="2" t="s">
        <v>80</v>
      </c>
      <c r="C12" s="6">
        <v>3.5646350379999996</v>
      </c>
      <c r="D12" s="10">
        <f>C12*38.90672114</f>
        <v>138.68826138933929</v>
      </c>
      <c r="E12" s="6">
        <f>((D12)-LN(D12+0.72))/(D12+1)</f>
        <v>0.95749530632403179</v>
      </c>
      <c r="F12" s="8">
        <v>3.3276063059999998</v>
      </c>
      <c r="G12" s="10">
        <f>F12*38.90672114</f>
        <v>129.46625061124752</v>
      </c>
      <c r="H12" s="6">
        <f>((G12)-LN(G12+0.72))/(G12+1)</f>
        <v>0.95501544579814834</v>
      </c>
    </row>
    <row r="13" spans="1:11" x14ac:dyDescent="0.25">
      <c r="A13" s="11" t="s">
        <v>63</v>
      </c>
      <c r="B13" s="2" t="s">
        <v>64</v>
      </c>
      <c r="C13" s="6">
        <v>3.5507572240000016</v>
      </c>
      <c r="D13" s="10">
        <f t="shared" si="0"/>
        <v>138.1483211500086</v>
      </c>
      <c r="E13" s="6">
        <f t="shared" si="1"/>
        <v>0.95735826271394608</v>
      </c>
      <c r="F13" s="8">
        <v>3.208964602</v>
      </c>
      <c r="G13" s="10">
        <f t="shared" si="2"/>
        <v>124.85029091814509</v>
      </c>
      <c r="H13" s="6">
        <f t="shared" si="3"/>
        <v>0.95365234640122842</v>
      </c>
    </row>
    <row r="15" spans="1:11" x14ac:dyDescent="0.25">
      <c r="D15" s="10"/>
      <c r="E15" s="8"/>
    </row>
    <row r="19" spans="1:8" x14ac:dyDescent="0.25">
      <c r="C19" s="30" t="s">
        <v>113</v>
      </c>
      <c r="D19" s="30"/>
      <c r="E19" s="30"/>
      <c r="F19" s="30"/>
      <c r="G19" s="30"/>
      <c r="H19" s="30"/>
    </row>
    <row r="20" spans="1:8" x14ac:dyDescent="0.25">
      <c r="C20" s="30" t="s">
        <v>77</v>
      </c>
      <c r="D20" s="30"/>
      <c r="E20" s="30"/>
      <c r="F20" s="30" t="s">
        <v>78</v>
      </c>
      <c r="G20" s="30"/>
      <c r="H20" s="30"/>
    </row>
    <row r="21" spans="1:8" ht="19.5" x14ac:dyDescent="0.3">
      <c r="C21" s="2" t="s">
        <v>50</v>
      </c>
      <c r="D21" s="18" t="s">
        <v>51</v>
      </c>
      <c r="E21" s="2" t="s">
        <v>26</v>
      </c>
      <c r="F21" s="2" t="s">
        <v>62</v>
      </c>
      <c r="G21" s="18" t="s">
        <v>51</v>
      </c>
      <c r="H21" s="2" t="s">
        <v>26</v>
      </c>
    </row>
    <row r="22" spans="1:8" x14ac:dyDescent="0.25">
      <c r="A22" s="11" t="s">
        <v>24</v>
      </c>
      <c r="B22" s="2" t="s">
        <v>27</v>
      </c>
      <c r="C22" s="6">
        <v>3.5461312860000014</v>
      </c>
      <c r="D22" s="10">
        <f>C22*38.90672114</f>
        <v>137.96834107023165</v>
      </c>
      <c r="E22" s="6">
        <f>((D22)-LN(D22+0.72))/(D22+1)</f>
        <v>0.95731236899362859</v>
      </c>
      <c r="F22" s="8">
        <v>2.2533002340000001</v>
      </c>
      <c r="G22" s="10">
        <f>F22*38.90672114</f>
        <v>87.668523848934754</v>
      </c>
      <c r="H22" s="6">
        <f>((G22)-LN(G22+0.72))/(G22+1)</f>
        <v>0.93817713544163617</v>
      </c>
    </row>
    <row r="23" spans="1:8" x14ac:dyDescent="0.25">
      <c r="A23" s="11" t="s">
        <v>21</v>
      </c>
      <c r="B23" s="2" t="s">
        <v>32</v>
      </c>
      <c r="C23" s="6">
        <v>2.4399878760000009</v>
      </c>
      <c r="D23" s="10">
        <f t="shared" ref="D23:D29" si="4">C23*38.90672114</f>
        <v>94.931927876512944</v>
      </c>
      <c r="E23" s="6">
        <f t="shared" ref="E23:E29" si="5">((D23)-LN(D23+0.72))/(D23+1)</f>
        <v>0.94203477429983673</v>
      </c>
      <c r="F23" s="8">
        <v>1.9156067599999997</v>
      </c>
      <c r="G23" s="10">
        <f t="shared" ref="G23:G29" si="6">F23*38.90672114</f>
        <v>74.529978025218895</v>
      </c>
      <c r="H23" s="6">
        <f t="shared" ref="H23:H29" si="7">((G23)-LN(G23+0.72))/(G23+1)</f>
        <v>0.9295535924844478</v>
      </c>
    </row>
    <row r="24" spans="1:8" x14ac:dyDescent="0.25">
      <c r="A24" s="11" t="s">
        <v>31</v>
      </c>
      <c r="B24" s="2" t="s">
        <v>33</v>
      </c>
      <c r="C24" s="6">
        <v>1.9406586860000006</v>
      </c>
      <c r="D24" s="10">
        <f t="shared" si="4"/>
        <v>75.504666324120848</v>
      </c>
      <c r="E24" s="6">
        <f t="shared" si="5"/>
        <v>0.93028287852723113</v>
      </c>
      <c r="F24" s="8">
        <v>1.83533313</v>
      </c>
      <c r="G24" s="10">
        <f t="shared" si="6"/>
        <v>71.406794287913371</v>
      </c>
      <c r="H24" s="6">
        <f t="shared" si="7"/>
        <v>0.92710041020452494</v>
      </c>
    </row>
    <row r="25" spans="1:8" x14ac:dyDescent="0.25">
      <c r="A25" s="11" t="s">
        <v>30</v>
      </c>
      <c r="B25" s="2" t="s">
        <v>34</v>
      </c>
      <c r="C25" s="6">
        <v>1.9041954100000005</v>
      </c>
      <c r="D25" s="10">
        <f t="shared" si="4"/>
        <v>74.085999812937985</v>
      </c>
      <c r="E25" s="6">
        <f t="shared" si="5"/>
        <v>0.92921585773103355</v>
      </c>
      <c r="F25" s="8">
        <v>1.776284392</v>
      </c>
      <c r="G25" s="10">
        <f t="shared" si="6"/>
        <v>69.109401504878448</v>
      </c>
      <c r="H25" s="6">
        <f t="shared" si="7"/>
        <v>0.92517330010710186</v>
      </c>
    </row>
    <row r="26" spans="1:8" x14ac:dyDescent="0.25">
      <c r="A26" s="11" t="s">
        <v>23</v>
      </c>
      <c r="B26" s="2" t="s">
        <v>35</v>
      </c>
      <c r="C26" s="6">
        <v>1.9346721780000002</v>
      </c>
      <c r="D26" s="10">
        <f t="shared" si="4"/>
        <v>75.271750926762451</v>
      </c>
      <c r="E26" s="6">
        <f t="shared" si="5"/>
        <v>0.93011010329267751</v>
      </c>
      <c r="F26" s="8">
        <v>2.3063624640000002</v>
      </c>
      <c r="G26" s="10">
        <f t="shared" si="6"/>
        <v>89.733001234611308</v>
      </c>
      <c r="H26" s="6">
        <f t="shared" si="7"/>
        <v>0.93932934745316854</v>
      </c>
    </row>
    <row r="27" spans="1:8" x14ac:dyDescent="0.25">
      <c r="A27" s="11" t="s">
        <v>28</v>
      </c>
      <c r="B27" s="2" t="s">
        <v>36</v>
      </c>
      <c r="C27" s="6">
        <v>1.5956181340000002</v>
      </c>
      <c r="D27" s="10">
        <f t="shared" si="4"/>
        <v>62.080269785465163</v>
      </c>
      <c r="E27" s="6">
        <f t="shared" si="5"/>
        <v>0.91851716254713667</v>
      </c>
      <c r="F27" s="8">
        <v>1.566212384</v>
      </c>
      <c r="G27" s="10">
        <f t="shared" si="6"/>
        <v>60.936188470302596</v>
      </c>
      <c r="H27" s="6">
        <f t="shared" si="7"/>
        <v>0.91730886688756041</v>
      </c>
    </row>
    <row r="28" spans="1:8" x14ac:dyDescent="0.25">
      <c r="A28" s="11" t="s">
        <v>29</v>
      </c>
      <c r="B28" s="2" t="s">
        <v>37</v>
      </c>
      <c r="C28" s="6">
        <v>1.6266391300000007</v>
      </c>
      <c r="D28" s="10">
        <f t="shared" si="4"/>
        <v>63.287195026322237</v>
      </c>
      <c r="E28" s="6">
        <f t="shared" si="5"/>
        <v>0.91975080733861991</v>
      </c>
      <c r="F28" s="8">
        <v>1.6402273919999999</v>
      </c>
      <c r="G28" s="10">
        <f t="shared" si="6"/>
        <v>63.815869746733469</v>
      </c>
      <c r="H28" s="6">
        <f t="shared" si="7"/>
        <v>0.92027845634843064</v>
      </c>
    </row>
    <row r="29" spans="1:8" x14ac:dyDescent="0.25">
      <c r="A29" s="11" t="s">
        <v>60</v>
      </c>
      <c r="B29" s="2" t="s">
        <v>61</v>
      </c>
      <c r="C29" s="6">
        <v>1.6660956600000005</v>
      </c>
      <c r="D29" s="10">
        <f t="shared" si="4"/>
        <v>64.822319236184271</v>
      </c>
      <c r="E29" s="6">
        <f t="shared" si="5"/>
        <v>0.92126233032561688</v>
      </c>
      <c r="F29" s="8">
        <v>1.6353293399999997</v>
      </c>
      <c r="G29" s="10">
        <f t="shared" si="6"/>
        <v>63.62530260344024</v>
      </c>
      <c r="H29" s="6">
        <f t="shared" si="7"/>
        <v>0.92008913342423193</v>
      </c>
    </row>
    <row r="30" spans="1:8" x14ac:dyDescent="0.25">
      <c r="A30" s="11" t="s">
        <v>79</v>
      </c>
      <c r="B30" s="2" t="s">
        <v>80</v>
      </c>
      <c r="C30" s="6">
        <v>1.6652793180000003</v>
      </c>
      <c r="D30" s="10">
        <f>C30*38.90672114</f>
        <v>64.790558045635393</v>
      </c>
      <c r="E30" s="6">
        <f>((D30)-LN(D30+0.72))/(D30+1)</f>
        <v>0.9212316862004265</v>
      </c>
      <c r="F30" s="8">
        <v>1.6413158480000001</v>
      </c>
      <c r="G30" s="10">
        <f>F30*38.90672114</f>
        <v>63.85821800079863</v>
      </c>
      <c r="H30" s="6">
        <f>((G30)-LN(G30+0.72))/(G30+1)</f>
        <v>0.92032039530879661</v>
      </c>
    </row>
    <row r="31" spans="1:8" x14ac:dyDescent="0.25">
      <c r="A31" s="11" t="s">
        <v>63</v>
      </c>
      <c r="B31" s="2" t="s">
        <v>64</v>
      </c>
      <c r="C31" s="6">
        <v>1.6154824560000003</v>
      </c>
      <c r="D31" s="10">
        <f t="shared" ref="D31" si="8">C31*38.90672114</f>
        <v>62.853125422154335</v>
      </c>
      <c r="E31" s="6">
        <f t="shared" ref="E31" si="9">((D31)-LN(D31+0.72))/(D31+1)</f>
        <v>0.91931184588497838</v>
      </c>
      <c r="F31" s="8">
        <v>1.5601989779999998</v>
      </c>
      <c r="G31" s="10">
        <f t="shared" ref="G31" si="10">F31*38.90672114</f>
        <v>60.702226559958994</v>
      </c>
      <c r="H31" s="6">
        <f t="shared" ref="H31" si="11">((G31)-LN(G31+0.72))/(G31+1)</f>
        <v>0.91705693536414479</v>
      </c>
    </row>
  </sheetData>
  <mergeCells count="6">
    <mergeCell ref="C1:H1"/>
    <mergeCell ref="C2:E2"/>
    <mergeCell ref="F2:H2"/>
    <mergeCell ref="C19:H19"/>
    <mergeCell ref="C20:E20"/>
    <mergeCell ref="F20:H20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0562A-0713-451F-A593-D78313595080}">
  <dimension ref="A1:R31"/>
  <sheetViews>
    <sheetView topLeftCell="A16" workbookViewId="0">
      <selection activeCell="J27" sqref="J27:J31"/>
    </sheetView>
  </sheetViews>
  <sheetFormatPr defaultRowHeight="15" x14ac:dyDescent="0.25"/>
  <cols>
    <col min="1" max="1" width="35.28515625" bestFit="1" customWidth="1"/>
    <col min="2" max="2" width="20.5703125" bestFit="1" customWidth="1"/>
    <col min="3" max="3" width="13" bestFit="1" customWidth="1"/>
    <col min="4" max="4" width="11.7109375" bestFit="1" customWidth="1"/>
    <col min="5" max="5" width="13.85546875" bestFit="1" customWidth="1"/>
    <col min="6" max="6" width="14.28515625" bestFit="1" customWidth="1"/>
    <col min="7" max="7" width="14.28515625" customWidth="1"/>
    <col min="8" max="8" width="9.85546875" bestFit="1" customWidth="1"/>
    <col min="9" max="9" width="14.140625" bestFit="1" customWidth="1"/>
    <col min="10" max="10" width="16" bestFit="1" customWidth="1"/>
    <col min="11" max="11" width="15.7109375" customWidth="1"/>
    <col min="12" max="12" width="9.85546875" bestFit="1" customWidth="1"/>
    <col min="16" max="16" width="15.42578125" bestFit="1" customWidth="1"/>
    <col min="17" max="17" width="12.85546875" bestFit="1" customWidth="1"/>
    <col min="18" max="18" width="14.7109375" bestFit="1" customWidth="1"/>
  </cols>
  <sheetData>
    <row r="1" spans="1:18" ht="15.75" customHeight="1" x14ac:dyDescent="0.25">
      <c r="A1" s="32" t="s">
        <v>111</v>
      </c>
      <c r="B1" s="32"/>
      <c r="C1" s="32"/>
      <c r="D1" s="32"/>
      <c r="E1" s="32"/>
      <c r="F1" s="32"/>
      <c r="G1" s="32"/>
      <c r="H1" s="32"/>
      <c r="I1" s="32"/>
      <c r="J1" s="32"/>
    </row>
    <row r="2" spans="1:18" ht="19.5" x14ac:dyDescent="0.3">
      <c r="B2" s="14" t="s">
        <v>0</v>
      </c>
      <c r="C2" s="1" t="s">
        <v>1</v>
      </c>
      <c r="D2" s="1" t="s">
        <v>2</v>
      </c>
      <c r="E2" s="2" t="s">
        <v>50</v>
      </c>
      <c r="F2" s="2" t="s">
        <v>52</v>
      </c>
      <c r="G2" s="2" t="s">
        <v>83</v>
      </c>
      <c r="H2" s="2" t="s">
        <v>39</v>
      </c>
      <c r="I2" s="2" t="s">
        <v>53</v>
      </c>
      <c r="J2" s="2" t="s">
        <v>74</v>
      </c>
      <c r="L2" s="29"/>
    </row>
    <row r="3" spans="1:18" ht="15.75" x14ac:dyDescent="0.25">
      <c r="A3" s="11" t="s">
        <v>24</v>
      </c>
      <c r="B3" s="2" t="s">
        <v>27</v>
      </c>
      <c r="C3" s="10">
        <v>-9.8948755530000003</v>
      </c>
      <c r="D3" s="10">
        <v>0.26449465220000001</v>
      </c>
      <c r="E3" s="6">
        <f t="shared" ref="E3:E12" si="0">(ABS((C3)-(-3.8)))-0.3</f>
        <v>5.7948755530000007</v>
      </c>
      <c r="F3" s="6">
        <v>0.97164470306379314</v>
      </c>
      <c r="G3" s="6">
        <v>3.9200293579779664</v>
      </c>
      <c r="H3" s="10">
        <v>0.73184444027927198</v>
      </c>
      <c r="I3" s="10">
        <f>(H3*E3*F3)/100</f>
        <v>4.1206941311796898E-2</v>
      </c>
      <c r="J3" s="6">
        <f>I3*100</f>
        <v>4.1206941311796896</v>
      </c>
      <c r="L3" s="6"/>
    </row>
    <row r="4" spans="1:18" ht="15.75" x14ac:dyDescent="0.25">
      <c r="A4" s="11" t="s">
        <v>21</v>
      </c>
      <c r="B4" s="2" t="s">
        <v>32</v>
      </c>
      <c r="C4" s="10">
        <f>27.2114*(-0.31556)</f>
        <v>-8.5868293840000014</v>
      </c>
      <c r="D4" s="10">
        <f>27.2114*(-0.0138)</f>
        <v>-0.37551731999999999</v>
      </c>
      <c r="E4" s="6">
        <f t="shared" si="0"/>
        <v>4.4868293840000018</v>
      </c>
      <c r="F4" s="6">
        <v>0.96487722340554238</v>
      </c>
      <c r="G4" s="6">
        <v>4.3270275738510495</v>
      </c>
      <c r="H4" s="10">
        <v>7.7273845645992995E-12</v>
      </c>
      <c r="I4" s="10">
        <f t="shared" ref="I4:I12" si="1">(H4*E4*F4)/100</f>
        <v>3.3453698318197239E-13</v>
      </c>
      <c r="J4" s="6">
        <f t="shared" ref="J4:J12" si="2">I4*100</f>
        <v>3.3453698318197241E-11</v>
      </c>
      <c r="L4" s="6"/>
    </row>
    <row r="5" spans="1:18" ht="15.75" x14ac:dyDescent="0.25">
      <c r="A5" s="11" t="s">
        <v>31</v>
      </c>
      <c r="B5" s="2" t="s">
        <v>33</v>
      </c>
      <c r="C5" s="10">
        <f>27.2114*(-0.29621)</f>
        <v>-8.0602887939999999</v>
      </c>
      <c r="D5" s="10">
        <f>27.2114*(-0.01659)</f>
        <v>-0.45143712600000002</v>
      </c>
      <c r="E5" s="6">
        <f t="shared" si="0"/>
        <v>3.9602887940000002</v>
      </c>
      <c r="F5" s="6">
        <v>0.96103898776439145</v>
      </c>
      <c r="G5" s="6">
        <v>4.1260975077879491</v>
      </c>
      <c r="H5" s="10">
        <v>5.3826782482457401E-3</v>
      </c>
      <c r="I5" s="10">
        <f t="shared" si="1"/>
        <v>2.0486429995281584E-4</v>
      </c>
      <c r="J5" s="6">
        <f t="shared" si="2"/>
        <v>2.0486429995281583E-2</v>
      </c>
      <c r="L5" s="6"/>
    </row>
    <row r="6" spans="1:18" ht="15.75" x14ac:dyDescent="0.25">
      <c r="A6" s="11" t="s">
        <v>30</v>
      </c>
      <c r="B6" s="2" t="s">
        <v>34</v>
      </c>
      <c r="C6" s="10">
        <f>27.2114*(-0.29438)</f>
        <v>-8.010491931999999</v>
      </c>
      <c r="D6" s="10">
        <f>27.2114*(-0.0206)</f>
        <v>-0.56055484</v>
      </c>
      <c r="E6" s="6">
        <f t="shared" si="0"/>
        <v>3.9104919319999993</v>
      </c>
      <c r="F6" s="6">
        <v>0.96062833099839873</v>
      </c>
      <c r="G6" s="6">
        <v>3.802010278030294</v>
      </c>
      <c r="H6" s="10">
        <v>2.2529208011194699</v>
      </c>
      <c r="I6" s="10">
        <f t="shared" si="1"/>
        <v>8.463163085640503E-2</v>
      </c>
      <c r="J6" s="6">
        <f t="shared" si="2"/>
        <v>8.4631630856405025</v>
      </c>
      <c r="L6" s="6"/>
    </row>
    <row r="7" spans="1:18" ht="15.75" x14ac:dyDescent="0.25">
      <c r="A7" s="11" t="s">
        <v>23</v>
      </c>
      <c r="B7" s="2" t="s">
        <v>35</v>
      </c>
      <c r="C7" s="10">
        <f>27.2114*(-0.29223)</f>
        <v>-7.9519874220000002</v>
      </c>
      <c r="D7" s="10">
        <f>24.2114*(0.00343)</f>
        <v>8.3045101999999996E-2</v>
      </c>
      <c r="E7" s="6">
        <f t="shared" si="0"/>
        <v>3.8519874220000005</v>
      </c>
      <c r="F7" s="6">
        <v>0.96013375288050007</v>
      </c>
      <c r="G7" s="6">
        <v>4.0175525937608469</v>
      </c>
      <c r="H7" s="10">
        <v>0.20698681548051101</v>
      </c>
      <c r="I7" s="10">
        <f t="shared" si="1"/>
        <v>7.6552482795144029E-3</v>
      </c>
      <c r="J7" s="6">
        <f t="shared" si="2"/>
        <v>0.76552482795144028</v>
      </c>
      <c r="L7" s="6"/>
    </row>
    <row r="8" spans="1:18" ht="15.75" x14ac:dyDescent="0.25">
      <c r="A8" s="11" t="s">
        <v>28</v>
      </c>
      <c r="B8" s="2" t="s">
        <v>36</v>
      </c>
      <c r="C8" s="10">
        <f>(-0.27826)*27.2114</f>
        <v>-7.5718441640000007</v>
      </c>
      <c r="D8" s="10">
        <f>(-0.0252)*27.2114</f>
        <v>-0.68572728000000005</v>
      </c>
      <c r="E8" s="6">
        <f t="shared" si="0"/>
        <v>3.4718441640000011</v>
      </c>
      <c r="F8" s="6">
        <v>0.95656045897439479</v>
      </c>
      <c r="G8" s="6">
        <v>3.8035115309681848</v>
      </c>
      <c r="H8" s="10">
        <v>2.0127085421056701</v>
      </c>
      <c r="I8" s="10">
        <f t="shared" si="1"/>
        <v>6.6842631289431187E-2</v>
      </c>
      <c r="J8" s="6">
        <f t="shared" si="2"/>
        <v>6.6842631289431189</v>
      </c>
      <c r="L8" s="6"/>
    </row>
    <row r="9" spans="1:18" ht="15.75" x14ac:dyDescent="0.25">
      <c r="A9" s="11" t="s">
        <v>29</v>
      </c>
      <c r="B9" s="2" t="s">
        <v>37</v>
      </c>
      <c r="C9" s="10">
        <f>(-0.27914)*27.2114</f>
        <v>-7.5957901960000003</v>
      </c>
      <c r="D9" s="10">
        <f>(-0.02474)*27.2114</f>
        <v>-0.67321003600000007</v>
      </c>
      <c r="E9" s="6">
        <f t="shared" si="0"/>
        <v>3.4957901960000006</v>
      </c>
      <c r="F9" s="6">
        <v>0.95680594328131774</v>
      </c>
      <c r="G9" s="6">
        <v>3.8692994442795898</v>
      </c>
      <c r="H9" s="10">
        <v>1.2375085408228901</v>
      </c>
      <c r="I9" s="10">
        <f t="shared" si="1"/>
        <v>4.1392097018299531E-2</v>
      </c>
      <c r="J9" s="6">
        <f t="shared" si="2"/>
        <v>4.1392097018299534</v>
      </c>
      <c r="L9" s="6"/>
    </row>
    <row r="10" spans="1:18" ht="15.75" x14ac:dyDescent="0.25">
      <c r="A10" s="11" t="s">
        <v>60</v>
      </c>
      <c r="B10" s="2" t="s">
        <v>61</v>
      </c>
      <c r="C10" s="10">
        <v>-7.6714333689999998</v>
      </c>
      <c r="D10" s="10">
        <v>-0.72436704129999996</v>
      </c>
      <c r="E10" s="6">
        <f t="shared" si="0"/>
        <v>3.5714333690000002</v>
      </c>
      <c r="F10" s="6">
        <v>0.95756209322442298</v>
      </c>
      <c r="G10" s="6">
        <v>3.559731129090685</v>
      </c>
      <c r="H10" s="10">
        <v>3.2729288568699202</v>
      </c>
      <c r="I10" s="10">
        <f t="shared" si="1"/>
        <v>0.11192988632741646</v>
      </c>
      <c r="J10" s="6">
        <f t="shared" si="2"/>
        <v>11.192988632741645</v>
      </c>
      <c r="L10" s="6"/>
    </row>
    <row r="11" spans="1:18" ht="15.75" x14ac:dyDescent="0.25">
      <c r="A11" s="11" t="s">
        <v>79</v>
      </c>
      <c r="B11" s="2" t="s">
        <v>80</v>
      </c>
      <c r="C11" s="10">
        <f>(-0.28167)*27.2114</f>
        <v>-7.6646350379999992</v>
      </c>
      <c r="D11" s="10">
        <f>(-0.02471)*27.2114</f>
        <v>-0.67239369400000004</v>
      </c>
      <c r="E11" s="6">
        <f t="shared" si="0"/>
        <v>3.5646350379999996</v>
      </c>
      <c r="F11" s="6">
        <v>0.95749530632403179</v>
      </c>
      <c r="G11" s="6">
        <v>3.748290892707276</v>
      </c>
      <c r="H11" s="10">
        <v>2.4664887499139998</v>
      </c>
      <c r="I11" s="10">
        <f t="shared" si="1"/>
        <v>8.418425332058567E-2</v>
      </c>
      <c r="J11" s="6">
        <f t="shared" si="2"/>
        <v>8.4184253320585665</v>
      </c>
      <c r="L11" s="6"/>
    </row>
    <row r="12" spans="1:18" ht="15.75" x14ac:dyDescent="0.25">
      <c r="A12" s="11" t="s">
        <v>63</v>
      </c>
      <c r="B12" s="2" t="s">
        <v>64</v>
      </c>
      <c r="C12" s="10">
        <v>-7.6507572240000012</v>
      </c>
      <c r="D12" s="10">
        <v>-0.791035398</v>
      </c>
      <c r="E12" s="6">
        <f t="shared" si="0"/>
        <v>3.5507572240000016</v>
      </c>
      <c r="F12" s="6">
        <v>0.95735826271394608</v>
      </c>
      <c r="G12" s="6">
        <v>3.4628871170526021</v>
      </c>
      <c r="H12" s="10">
        <v>3.1132177300414501</v>
      </c>
      <c r="I12" s="10">
        <f t="shared" si="1"/>
        <v>0.10582906626478954</v>
      </c>
      <c r="J12" s="6">
        <f t="shared" si="2"/>
        <v>10.582906626478954</v>
      </c>
      <c r="L12" s="6"/>
    </row>
    <row r="14" spans="1:18" ht="15.75" x14ac:dyDescent="0.25">
      <c r="E14" s="6"/>
      <c r="I14" s="10"/>
      <c r="J14" s="10"/>
      <c r="P14" s="5"/>
      <c r="Q14" s="2"/>
      <c r="R14" s="2"/>
    </row>
    <row r="15" spans="1:18" ht="15.75" x14ac:dyDescent="0.25">
      <c r="B15" s="2" t="s">
        <v>58</v>
      </c>
      <c r="E15" s="6"/>
      <c r="I15" s="10"/>
      <c r="J15" s="10"/>
      <c r="P15" s="2"/>
      <c r="Q15" s="6"/>
      <c r="R15" s="6"/>
    </row>
    <row r="16" spans="1:18" ht="15.75" x14ac:dyDescent="0.25">
      <c r="A16" s="17" t="s">
        <v>59</v>
      </c>
      <c r="B16" s="21">
        <v>-3.8</v>
      </c>
      <c r="E16" s="6"/>
      <c r="I16" s="10"/>
      <c r="J16" s="10"/>
      <c r="P16" s="2"/>
      <c r="Q16" s="6"/>
      <c r="R16" s="6"/>
    </row>
    <row r="17" spans="1:18" ht="15.75" x14ac:dyDescent="0.25">
      <c r="A17" s="3" t="s">
        <v>49</v>
      </c>
      <c r="B17" s="21">
        <v>-5.93</v>
      </c>
      <c r="E17" s="6"/>
      <c r="I17" s="10"/>
      <c r="J17" s="10"/>
      <c r="P17" s="2"/>
      <c r="Q17" s="6"/>
      <c r="R17" s="6"/>
    </row>
    <row r="18" spans="1:18" ht="15.75" x14ac:dyDescent="0.25">
      <c r="E18" s="6"/>
      <c r="I18" s="10"/>
      <c r="J18" s="10"/>
      <c r="P18" s="2"/>
      <c r="Q18" s="6"/>
      <c r="R18" s="6"/>
    </row>
    <row r="19" spans="1:18" ht="15.75" x14ac:dyDescent="0.25">
      <c r="P19" s="2"/>
      <c r="Q19" s="6"/>
      <c r="R19" s="6"/>
    </row>
    <row r="20" spans="1:18" ht="15.75" x14ac:dyDescent="0.25">
      <c r="A20" s="32" t="s">
        <v>110</v>
      </c>
      <c r="B20" s="32"/>
      <c r="C20" s="32"/>
      <c r="D20" s="32"/>
      <c r="E20" s="32"/>
      <c r="F20" s="32"/>
      <c r="G20" s="32"/>
      <c r="H20" s="32"/>
      <c r="I20" s="32"/>
      <c r="J20" s="32"/>
      <c r="P20" s="2"/>
      <c r="Q20" s="6"/>
      <c r="R20" s="6"/>
    </row>
    <row r="21" spans="1:18" ht="19.5" x14ac:dyDescent="0.3">
      <c r="B21" s="14" t="s">
        <v>0</v>
      </c>
      <c r="C21" s="1" t="s">
        <v>1</v>
      </c>
      <c r="D21" s="1" t="s">
        <v>2</v>
      </c>
      <c r="E21" s="2" t="s">
        <v>50</v>
      </c>
      <c r="F21" s="2" t="s">
        <v>52</v>
      </c>
      <c r="G21" s="2" t="s">
        <v>83</v>
      </c>
      <c r="H21" s="2" t="s">
        <v>39</v>
      </c>
      <c r="I21" s="2" t="s">
        <v>53</v>
      </c>
      <c r="J21" s="2" t="s">
        <v>74</v>
      </c>
      <c r="P21" s="2"/>
      <c r="Q21" s="6"/>
      <c r="R21" s="6"/>
    </row>
    <row r="22" spans="1:18" ht="15.75" x14ac:dyDescent="0.25">
      <c r="A22" s="11" t="s">
        <v>24</v>
      </c>
      <c r="B22" s="2" t="s">
        <v>27</v>
      </c>
      <c r="C22" s="10">
        <f>(-0.28099)*27.2114</f>
        <v>-7.646131286000001</v>
      </c>
      <c r="D22" s="10">
        <f>(-0.06419)*27.2114</f>
        <v>-1.7466997660000001</v>
      </c>
      <c r="E22" s="6">
        <f t="shared" ref="E22:E31" si="3">(ABS((C22)-(-3.8)))-0.3</f>
        <v>3.5461312860000014</v>
      </c>
      <c r="F22" s="6">
        <v>0.95731236899362859</v>
      </c>
      <c r="G22" s="10">
        <f>'Absorption-Emission'!J28</f>
        <v>4.3962714187671974</v>
      </c>
      <c r="H22" s="10">
        <v>1.20177698028614E-17</v>
      </c>
      <c r="I22" s="10">
        <f>(H22*E22*F22)/100</f>
        <v>4.0797388239149929E-19</v>
      </c>
      <c r="J22" s="6">
        <f>I22*100</f>
        <v>4.079738823914993E-17</v>
      </c>
      <c r="K22" t="s">
        <v>27</v>
      </c>
      <c r="P22" s="2"/>
      <c r="Q22" s="6"/>
      <c r="R22" s="6"/>
    </row>
    <row r="23" spans="1:18" ht="15.75" x14ac:dyDescent="0.25">
      <c r="A23" s="11" t="s">
        <v>21</v>
      </c>
      <c r="B23" s="2" t="s">
        <v>32</v>
      </c>
      <c r="C23" s="10">
        <f>(-0.24034)*27.2114</f>
        <v>-6.5399878760000005</v>
      </c>
      <c r="D23" s="10">
        <f>(-0.0766)*27.2114</f>
        <v>-2.0843932400000003</v>
      </c>
      <c r="E23" s="6">
        <f t="shared" si="3"/>
        <v>2.4399878760000009</v>
      </c>
      <c r="F23" s="6">
        <v>0.94203477429983673</v>
      </c>
      <c r="G23" s="10">
        <f>'Absorption-Emission'!J29</f>
        <v>3.4538288283696295</v>
      </c>
      <c r="H23" s="10">
        <v>3.25887218051062</v>
      </c>
      <c r="I23" s="10">
        <f t="shared" ref="I23:I31" si="4">(H23*E23*F23)/100</f>
        <v>7.4906918221285673E-2</v>
      </c>
      <c r="J23" s="6">
        <f t="shared" ref="J23:J31" si="5">I23*100</f>
        <v>7.490691822128567</v>
      </c>
      <c r="K23" t="s">
        <v>32</v>
      </c>
      <c r="P23" s="2"/>
      <c r="Q23" s="6"/>
      <c r="R23" s="6"/>
    </row>
    <row r="24" spans="1:18" ht="15.75" x14ac:dyDescent="0.25">
      <c r="A24" s="11" t="s">
        <v>31</v>
      </c>
      <c r="B24" s="2" t="s">
        <v>33</v>
      </c>
      <c r="C24" s="10">
        <f>(-0.22199)*27.2114</f>
        <v>-6.0406586860000004</v>
      </c>
      <c r="D24" s="10">
        <f>(-0.07955)*27.2114</f>
        <v>-2.16466687</v>
      </c>
      <c r="E24" s="6">
        <f t="shared" si="3"/>
        <v>1.9406586860000006</v>
      </c>
      <c r="F24" s="6">
        <v>0.93028287852723113</v>
      </c>
      <c r="G24" s="10">
        <f>'Absorption-Emission'!J30</f>
        <v>3.0131994727040472</v>
      </c>
      <c r="H24" s="10">
        <v>11.911608707244801</v>
      </c>
      <c r="I24" s="10">
        <f t="shared" si="4"/>
        <v>0.21504760342635668</v>
      </c>
      <c r="J24" s="6">
        <f t="shared" si="5"/>
        <v>21.504760342635667</v>
      </c>
      <c r="K24" t="s">
        <v>33</v>
      </c>
      <c r="P24" s="2"/>
      <c r="Q24" s="6"/>
      <c r="R24" s="6"/>
    </row>
    <row r="25" spans="1:18" ht="15.75" x14ac:dyDescent="0.25">
      <c r="A25" s="11" t="s">
        <v>30</v>
      </c>
      <c r="B25" s="2" t="s">
        <v>34</v>
      </c>
      <c r="C25" s="10">
        <f>(-0.22065)*27.2114</f>
        <v>-6.0041954100000003</v>
      </c>
      <c r="D25" s="10">
        <f>(-0.08172)*27.2114</f>
        <v>-2.223715608</v>
      </c>
      <c r="E25" s="6">
        <f t="shared" si="3"/>
        <v>1.9041954100000005</v>
      </c>
      <c r="F25" s="6">
        <v>0.92921585773103355</v>
      </c>
      <c r="G25" s="10">
        <f>'Absorption-Emission'!J31</f>
        <v>3.0340583368668197</v>
      </c>
      <c r="H25" s="10">
        <v>11.5050535324492</v>
      </c>
      <c r="I25" s="10">
        <f t="shared" si="4"/>
        <v>0.20357140332322848</v>
      </c>
      <c r="J25" s="6">
        <f t="shared" si="5"/>
        <v>20.357140332322849</v>
      </c>
      <c r="K25" t="s">
        <v>34</v>
      </c>
    </row>
    <row r="26" spans="1:18" ht="15.75" x14ac:dyDescent="0.25">
      <c r="A26" s="11" t="s">
        <v>23</v>
      </c>
      <c r="B26" s="2" t="s">
        <v>35</v>
      </c>
      <c r="C26" s="10">
        <f>(-0.22177)*27.2114</f>
        <v>-6.0346721780000001</v>
      </c>
      <c r="D26" s="10">
        <f>(-0.06224)*27.2114</f>
        <v>-1.693637536</v>
      </c>
      <c r="E26" s="6">
        <f t="shared" si="3"/>
        <v>1.9346721780000002</v>
      </c>
      <c r="F26" s="6">
        <v>0.93011010329267751</v>
      </c>
      <c r="G26" s="10">
        <f>'Absorption-Emission'!J32</f>
        <v>3.0351307223768038</v>
      </c>
      <c r="H26" s="10">
        <v>11.5050535324492</v>
      </c>
      <c r="I26" s="10">
        <f t="shared" si="4"/>
        <v>0.20702862222244087</v>
      </c>
      <c r="J26" s="6">
        <f t="shared" si="5"/>
        <v>20.702862222244086</v>
      </c>
      <c r="K26" t="s">
        <v>35</v>
      </c>
    </row>
    <row r="27" spans="1:18" ht="15.75" x14ac:dyDescent="0.25">
      <c r="A27" s="11" t="s">
        <v>28</v>
      </c>
      <c r="B27" s="2" t="s">
        <v>36</v>
      </c>
      <c r="C27" s="10">
        <f>(-0.20931)*27.2114</f>
        <v>-5.6956181340000001</v>
      </c>
      <c r="D27" s="10">
        <f>(-0.08944)*27.2114</f>
        <v>-2.433787616</v>
      </c>
      <c r="E27" s="6">
        <f t="shared" si="3"/>
        <v>1.5956181340000002</v>
      </c>
      <c r="F27" s="6">
        <v>0.91851716254713667</v>
      </c>
      <c r="G27" s="10">
        <f>'Absorption-Emission'!J33</f>
        <v>2.5555844666380243</v>
      </c>
      <c r="H27" s="10">
        <v>21.162566624477801</v>
      </c>
      <c r="I27" s="10">
        <f t="shared" si="4"/>
        <v>0.3101591353412424</v>
      </c>
      <c r="J27" s="6">
        <f>I27*100</f>
        <v>31.015913534124241</v>
      </c>
      <c r="K27" t="s">
        <v>36</v>
      </c>
    </row>
    <row r="28" spans="1:18" ht="15.75" x14ac:dyDescent="0.25">
      <c r="A28" s="11" t="s">
        <v>29</v>
      </c>
      <c r="B28" s="2" t="s">
        <v>37</v>
      </c>
      <c r="C28" s="10">
        <f>(-0.21045)*27.2114</f>
        <v>-5.7266391300000006</v>
      </c>
      <c r="D28" s="10">
        <f>(-0.08672)*27.2114</f>
        <v>-2.3597726080000001</v>
      </c>
      <c r="E28" s="6">
        <f t="shared" si="3"/>
        <v>1.6266391300000007</v>
      </c>
      <c r="F28" s="6">
        <v>0.91975080733861991</v>
      </c>
      <c r="G28" s="10">
        <f>'Absorption-Emission'!J34</f>
        <v>2.6157400964445428</v>
      </c>
      <c r="H28" s="10">
        <v>21.4612297240248</v>
      </c>
      <c r="I28" s="10">
        <f t="shared" si="4"/>
        <v>0.32108202728174356</v>
      </c>
      <c r="J28" s="6">
        <f t="shared" si="5"/>
        <v>32.108202728174355</v>
      </c>
      <c r="K28" t="s">
        <v>37</v>
      </c>
    </row>
    <row r="29" spans="1:18" ht="15.75" x14ac:dyDescent="0.25">
      <c r="A29" s="11" t="s">
        <v>60</v>
      </c>
      <c r="B29" s="2" t="s">
        <v>61</v>
      </c>
      <c r="C29" s="10">
        <f>(-0.2119)*27.2114</f>
        <v>-5.7660956600000004</v>
      </c>
      <c r="D29" s="10">
        <f>(-0.0869)*27.2114</f>
        <v>-2.3646706600000003</v>
      </c>
      <c r="E29" s="6">
        <f t="shared" si="3"/>
        <v>1.6660956600000005</v>
      </c>
      <c r="F29" s="6">
        <v>0.92126233032561688</v>
      </c>
      <c r="G29" s="10">
        <f>'Absorption-Emission'!J35</f>
        <v>2.7056343560316538</v>
      </c>
      <c r="H29" s="10">
        <v>19.602046493879701</v>
      </c>
      <c r="I29" s="10">
        <f t="shared" si="4"/>
        <v>0.30087400123745001</v>
      </c>
      <c r="J29" s="6">
        <f t="shared" si="5"/>
        <v>30.087400123744999</v>
      </c>
      <c r="K29" t="s">
        <v>61</v>
      </c>
    </row>
    <row r="30" spans="1:18" ht="15.75" x14ac:dyDescent="0.25">
      <c r="A30" s="11" t="s">
        <v>79</v>
      </c>
      <c r="B30" s="2" t="s">
        <v>80</v>
      </c>
      <c r="C30" s="10">
        <f>( -0.21187)*27.2114</f>
        <v>-5.7652793180000002</v>
      </c>
      <c r="D30" s="10">
        <f>( -0.08668)*27.2114</f>
        <v>-2.3586841519999999</v>
      </c>
      <c r="E30" s="6">
        <f t="shared" si="3"/>
        <v>1.6652793180000003</v>
      </c>
      <c r="F30" s="6">
        <v>0.9212316862004265</v>
      </c>
      <c r="G30" s="10">
        <f>'Absorption-Emission'!J36</f>
        <v>2.7253141675602572</v>
      </c>
      <c r="H30" s="10">
        <v>18.969727250645398</v>
      </c>
      <c r="I30" s="10">
        <f t="shared" si="4"/>
        <v>0.29101611738990313</v>
      </c>
      <c r="J30" s="6">
        <f t="shared" si="5"/>
        <v>29.101611738990314</v>
      </c>
      <c r="K30" t="s">
        <v>80</v>
      </c>
    </row>
    <row r="31" spans="1:18" ht="15.75" x14ac:dyDescent="0.25">
      <c r="A31" s="11" t="s">
        <v>63</v>
      </c>
      <c r="B31" s="2" t="s">
        <v>64</v>
      </c>
      <c r="C31" s="10">
        <f>(-0.21004)*27.2114</f>
        <v>-5.7154824560000002</v>
      </c>
      <c r="D31" s="10">
        <f>(-0.08966)*27.2117</f>
        <v>-2.4398010220000002</v>
      </c>
      <c r="E31" s="6">
        <f t="shared" si="3"/>
        <v>1.6154824560000003</v>
      </c>
      <c r="F31" s="6">
        <v>0.91931184588497838</v>
      </c>
      <c r="G31" s="10">
        <f>'Absorption-Emission'!J37</f>
        <v>2.7656365158125427</v>
      </c>
      <c r="H31" s="10">
        <v>18.089997939985398</v>
      </c>
      <c r="I31" s="10">
        <f t="shared" si="4"/>
        <v>0.26866037690044736</v>
      </c>
      <c r="J31" s="6">
        <f t="shared" si="5"/>
        <v>26.866037690044735</v>
      </c>
      <c r="K31" t="s">
        <v>64</v>
      </c>
    </row>
  </sheetData>
  <mergeCells count="2">
    <mergeCell ref="A1:J1"/>
    <mergeCell ref="A20:J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F18A-B57A-499D-915F-E1667DBFEDF8}">
  <dimension ref="A1:K29"/>
  <sheetViews>
    <sheetView topLeftCell="A10" workbookViewId="0">
      <selection activeCell="J25" sqref="J25:J29"/>
    </sheetView>
  </sheetViews>
  <sheetFormatPr defaultRowHeight="15" x14ac:dyDescent="0.25"/>
  <cols>
    <col min="1" max="1" width="35.28515625" bestFit="1" customWidth="1"/>
    <col min="2" max="2" width="14.85546875" bestFit="1" customWidth="1"/>
    <col min="3" max="3" width="12.140625" bestFit="1" customWidth="1"/>
    <col min="4" max="4" width="11.5703125" bestFit="1" customWidth="1"/>
    <col min="9" max="9" width="9.7109375" bestFit="1" customWidth="1"/>
    <col min="10" max="10" width="13.85546875" bestFit="1" customWidth="1"/>
    <col min="11" max="11" width="15.42578125" bestFit="1" customWidth="1"/>
  </cols>
  <sheetData>
    <row r="1" spans="1:11" x14ac:dyDescent="0.25">
      <c r="A1" s="32" t="s">
        <v>111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7.25" x14ac:dyDescent="0.3">
      <c r="B2" s="14" t="s">
        <v>0</v>
      </c>
      <c r="C2" s="1" t="s">
        <v>1</v>
      </c>
      <c r="D2" s="1" t="s">
        <v>2</v>
      </c>
      <c r="E2" s="2" t="s">
        <v>12</v>
      </c>
      <c r="F2" s="2" t="s">
        <v>26</v>
      </c>
      <c r="G2" s="2" t="s">
        <v>83</v>
      </c>
      <c r="H2" s="2" t="s">
        <v>39</v>
      </c>
      <c r="I2" s="2" t="s">
        <v>75</v>
      </c>
      <c r="J2" s="2" t="s">
        <v>76</v>
      </c>
    </row>
    <row r="3" spans="1:11" ht="15.75" x14ac:dyDescent="0.25">
      <c r="A3" s="11" t="s">
        <v>24</v>
      </c>
      <c r="B3" s="2" t="s">
        <v>27</v>
      </c>
      <c r="C3" s="6">
        <v>-9.8948755530000003</v>
      </c>
      <c r="D3" s="6">
        <v>0.26449465220000001</v>
      </c>
      <c r="E3" s="6">
        <f t="shared" ref="E3:E12" si="0">ABS(D3-(-4))</f>
        <v>4.2644946521999998</v>
      </c>
      <c r="F3" s="6">
        <f>FF!H4</f>
        <v>0.9633602188826873</v>
      </c>
      <c r="G3" s="6">
        <v>3.9200293579779664</v>
      </c>
      <c r="H3" s="10">
        <v>0.73184444027927198</v>
      </c>
      <c r="I3" s="10">
        <f>(E3*F3*H3)/100</f>
        <v>3.0065958977800206E-2</v>
      </c>
      <c r="J3" s="6">
        <f>I3*100</f>
        <v>3.0065958977800205</v>
      </c>
    </row>
    <row r="4" spans="1:11" ht="15.75" x14ac:dyDescent="0.25">
      <c r="A4" s="11" t="s">
        <v>21</v>
      </c>
      <c r="B4" s="2" t="s">
        <v>32</v>
      </c>
      <c r="C4" s="6">
        <v>-8.5868293840000014</v>
      </c>
      <c r="D4" s="6">
        <v>-0.37551731999999999</v>
      </c>
      <c r="E4" s="6">
        <f t="shared" si="0"/>
        <v>3.6244826799999998</v>
      </c>
      <c r="F4" s="6">
        <f>FF!H5</f>
        <v>0.95807556559113571</v>
      </c>
      <c r="G4" s="6">
        <v>4.3270275738510495</v>
      </c>
      <c r="H4" s="10">
        <v>7.7273845645992995E-12</v>
      </c>
      <c r="I4" s="10">
        <f t="shared" ref="I4:I12" si="1">(E4*F4*H4)/100</f>
        <v>2.6833561536224751E-13</v>
      </c>
      <c r="J4" s="6">
        <f t="shared" ref="J4:J12" si="2">I4*100</f>
        <v>2.683356153622475E-11</v>
      </c>
    </row>
    <row r="5" spans="1:11" ht="15.75" x14ac:dyDescent="0.25">
      <c r="A5" s="11" t="s">
        <v>31</v>
      </c>
      <c r="B5" s="2" t="s">
        <v>33</v>
      </c>
      <c r="C5" s="6">
        <v>-8.0602887939999999</v>
      </c>
      <c r="D5" s="6">
        <v>-0.45143712600000002</v>
      </c>
      <c r="E5" s="6">
        <f t="shared" si="0"/>
        <v>3.5485628739999999</v>
      </c>
      <c r="F5" s="6">
        <f>FF!H6</f>
        <v>0.95733650596991737</v>
      </c>
      <c r="G5" s="6">
        <v>4.1260975077879491</v>
      </c>
      <c r="H5" s="10">
        <v>5.3826782482457401E-3</v>
      </c>
      <c r="I5" s="10">
        <f t="shared" si="1"/>
        <v>1.8285866513925914E-4</v>
      </c>
      <c r="J5" s="6">
        <f t="shared" si="2"/>
        <v>1.8285866513925914E-2</v>
      </c>
    </row>
    <row r="6" spans="1:11" ht="15.75" x14ac:dyDescent="0.25">
      <c r="A6" s="11" t="s">
        <v>30</v>
      </c>
      <c r="B6" s="2" t="s">
        <v>34</v>
      </c>
      <c r="C6" s="6">
        <v>-8.010491931999999</v>
      </c>
      <c r="D6" s="6">
        <v>-0.56055484</v>
      </c>
      <c r="E6" s="6">
        <f t="shared" si="0"/>
        <v>3.43944516</v>
      </c>
      <c r="F6" s="6">
        <f>FF!H7</f>
        <v>0.95622347436192134</v>
      </c>
      <c r="G6" s="6">
        <v>3.802010278030294</v>
      </c>
      <c r="H6" s="10">
        <v>2.2529208011194699</v>
      </c>
      <c r="I6" s="10">
        <f t="shared" si="1"/>
        <v>7.4095821108687301E-2</v>
      </c>
      <c r="J6" s="6">
        <f t="shared" si="2"/>
        <v>7.4095821108687305</v>
      </c>
    </row>
    <row r="7" spans="1:11" ht="15.75" x14ac:dyDescent="0.25">
      <c r="A7" s="11" t="s">
        <v>23</v>
      </c>
      <c r="B7" s="2" t="s">
        <v>35</v>
      </c>
      <c r="C7" s="6">
        <v>-7.9519874220000002</v>
      </c>
      <c r="D7" s="6">
        <v>8.3045101999999996E-2</v>
      </c>
      <c r="E7" s="6">
        <f t="shared" si="0"/>
        <v>4.0830451019999998</v>
      </c>
      <c r="F7" s="6">
        <f>FF!H8</f>
        <v>0.96201293590416614</v>
      </c>
      <c r="G7" s="6">
        <v>4.0175525937608469</v>
      </c>
      <c r="H7" s="10">
        <v>0.20698681548051101</v>
      </c>
      <c r="I7" s="10">
        <f t="shared" si="1"/>
        <v>8.1303224861229133E-3</v>
      </c>
      <c r="J7" s="6">
        <f t="shared" si="2"/>
        <v>0.81303224861229129</v>
      </c>
    </row>
    <row r="8" spans="1:11" ht="15.75" x14ac:dyDescent="0.25">
      <c r="A8" s="11" t="s">
        <v>28</v>
      </c>
      <c r="B8" s="2" t="s">
        <v>36</v>
      </c>
      <c r="C8" s="6">
        <v>-7.5718441640000007</v>
      </c>
      <c r="D8" s="6">
        <v>-0.68572728000000005</v>
      </c>
      <c r="E8" s="6">
        <f t="shared" si="0"/>
        <v>3.3142727199999999</v>
      </c>
      <c r="F8" s="6">
        <f>FF!H9</f>
        <v>0.9548665879548619</v>
      </c>
      <c r="G8" s="6">
        <v>3.8035115309681848</v>
      </c>
      <c r="H8" s="10">
        <v>2.0127085421056701</v>
      </c>
      <c r="I8" s="10">
        <f t="shared" si="1"/>
        <v>6.3695951417012592E-2</v>
      </c>
      <c r="J8" s="6">
        <f t="shared" si="2"/>
        <v>6.3695951417012591</v>
      </c>
    </row>
    <row r="9" spans="1:11" ht="15.75" x14ac:dyDescent="0.25">
      <c r="A9" s="11" t="s">
        <v>29</v>
      </c>
      <c r="B9" s="2" t="s">
        <v>37</v>
      </c>
      <c r="C9" s="6">
        <v>-7.5957901960000003</v>
      </c>
      <c r="D9" s="6">
        <v>-0.67321003600000007</v>
      </c>
      <c r="E9" s="6">
        <f t="shared" si="0"/>
        <v>3.326789964</v>
      </c>
      <c r="F9" s="6">
        <f>FF!H10</f>
        <v>0.95500636257239246</v>
      </c>
      <c r="G9" s="6">
        <v>3.8692994442795898</v>
      </c>
      <c r="H9" s="10">
        <v>1.2375085408228901</v>
      </c>
      <c r="I9" s="10">
        <f t="shared" si="1"/>
        <v>3.9316952935165343E-2</v>
      </c>
      <c r="J9" s="6">
        <f t="shared" si="2"/>
        <v>3.9316952935165341</v>
      </c>
    </row>
    <row r="10" spans="1:11" ht="15.75" x14ac:dyDescent="0.25">
      <c r="A10" s="11" t="s">
        <v>60</v>
      </c>
      <c r="B10" s="2" t="s">
        <v>61</v>
      </c>
      <c r="C10" s="19">
        <v>-7.6714333689999998</v>
      </c>
      <c r="D10" s="6">
        <v>-0.72436704129999996</v>
      </c>
      <c r="E10" s="6">
        <f t="shared" si="0"/>
        <v>3.2756329587000002</v>
      </c>
      <c r="F10" s="6">
        <f>FF!H11</f>
        <v>0.95442912492043963</v>
      </c>
      <c r="G10" s="6">
        <v>3.559731129090685</v>
      </c>
      <c r="H10" s="10">
        <v>3.2729288568699202</v>
      </c>
      <c r="I10" s="10">
        <f t="shared" si="1"/>
        <v>0.10232352219042105</v>
      </c>
      <c r="J10" s="6">
        <f t="shared" si="2"/>
        <v>10.232352219042106</v>
      </c>
    </row>
    <row r="11" spans="1:11" ht="15.75" x14ac:dyDescent="0.25">
      <c r="A11" s="11" t="s">
        <v>79</v>
      </c>
      <c r="B11" s="2" t="s">
        <v>80</v>
      </c>
      <c r="C11" s="8">
        <f>(-0.28167)*27.2114</f>
        <v>-7.6646350379999992</v>
      </c>
      <c r="D11" s="8">
        <f>(-0.02471)*27.2114</f>
        <v>-0.67239369400000004</v>
      </c>
      <c r="E11" s="6">
        <f t="shared" si="0"/>
        <v>3.3276063059999998</v>
      </c>
      <c r="F11" s="6">
        <f>FF!H12</f>
        <v>0.95501544579814834</v>
      </c>
      <c r="G11" s="6">
        <v>3.748290892707276</v>
      </c>
      <c r="H11" s="10">
        <v>2.4664887499139998</v>
      </c>
      <c r="I11" s="10">
        <f t="shared" si="1"/>
        <v>7.8382926310293866E-2</v>
      </c>
      <c r="J11" s="6">
        <f t="shared" si="2"/>
        <v>7.8382926310293861</v>
      </c>
    </row>
    <row r="12" spans="1:11" ht="15.75" x14ac:dyDescent="0.25">
      <c r="A12" s="11" t="s">
        <v>63</v>
      </c>
      <c r="B12" s="2" t="s">
        <v>64</v>
      </c>
      <c r="C12" s="8">
        <f>(-0.28116)*27.2114</f>
        <v>-7.6507572240000012</v>
      </c>
      <c r="D12" s="8">
        <f>(-0.02907)*27.2114</f>
        <v>-0.791035398</v>
      </c>
      <c r="E12" s="6">
        <f t="shared" si="0"/>
        <v>3.208964602</v>
      </c>
      <c r="F12" s="6">
        <f>FF!H13</f>
        <v>0.95365234640122842</v>
      </c>
      <c r="G12" s="6">
        <v>3.4628871170526021</v>
      </c>
      <c r="H12" s="10">
        <v>3.1132177300414501</v>
      </c>
      <c r="I12" s="10">
        <f t="shared" si="1"/>
        <v>9.5271829104043387E-2</v>
      </c>
      <c r="J12" s="6">
        <f t="shared" si="2"/>
        <v>9.5271829104043384</v>
      </c>
    </row>
    <row r="18" spans="1:11" x14ac:dyDescent="0.25">
      <c r="A18" s="32" t="s">
        <v>112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1" ht="17.25" x14ac:dyDescent="0.3">
      <c r="B19" s="14" t="s">
        <v>0</v>
      </c>
      <c r="C19" s="1" t="s">
        <v>1</v>
      </c>
      <c r="D19" s="1" t="s">
        <v>2</v>
      </c>
      <c r="E19" s="2" t="s">
        <v>12</v>
      </c>
      <c r="F19" s="2" t="s">
        <v>26</v>
      </c>
      <c r="G19" s="2" t="s">
        <v>83</v>
      </c>
      <c r="H19" s="2" t="s">
        <v>39</v>
      </c>
      <c r="I19" s="2" t="s">
        <v>75</v>
      </c>
      <c r="J19" s="2" t="s">
        <v>76</v>
      </c>
    </row>
    <row r="20" spans="1:11" ht="15.75" x14ac:dyDescent="0.25">
      <c r="A20" s="11" t="s">
        <v>24</v>
      </c>
      <c r="B20" s="2" t="s">
        <v>27</v>
      </c>
      <c r="C20" s="6">
        <v>-7.646131286000001</v>
      </c>
      <c r="D20" s="6">
        <v>-1.7466997660000001</v>
      </c>
      <c r="E20" s="6">
        <f>ABS(D20-(-4))</f>
        <v>2.2533002340000001</v>
      </c>
      <c r="F20" s="6">
        <v>0.93817713544163617</v>
      </c>
      <c r="G20" s="6">
        <f>'Absorption-Emission'!J28</f>
        <v>4.3962714187671974</v>
      </c>
      <c r="H20" s="10">
        <v>1.20177698028614E-17</v>
      </c>
      <c r="I20" s="10">
        <f>(E20*F20*H20)/100</f>
        <v>2.5405502376003395E-19</v>
      </c>
      <c r="J20" s="6">
        <f>I20*100</f>
        <v>2.5405502376003394E-17</v>
      </c>
      <c r="K20" s="2"/>
    </row>
    <row r="21" spans="1:11" ht="15.75" x14ac:dyDescent="0.25">
      <c r="A21" s="11" t="s">
        <v>21</v>
      </c>
      <c r="B21" s="2" t="s">
        <v>32</v>
      </c>
      <c r="C21" s="6">
        <v>-6.5399878760000005</v>
      </c>
      <c r="D21" s="6">
        <v>-2.0843932400000003</v>
      </c>
      <c r="E21" s="6">
        <f t="shared" ref="E21:E29" si="3">ABS(D21-(-4))</f>
        <v>1.9156067599999997</v>
      </c>
      <c r="F21" s="6">
        <v>0.9295535924844478</v>
      </c>
      <c r="G21" s="6">
        <f>'Absorption-Emission'!J29</f>
        <v>3.4538288283696295</v>
      </c>
      <c r="H21" s="10">
        <v>3.25887218051062</v>
      </c>
      <c r="I21" s="10">
        <f t="shared" ref="I21:I29" si="4">(E21*F21*H21)/100</f>
        <v>5.8029405523900186E-2</v>
      </c>
      <c r="J21" s="6">
        <f t="shared" ref="J21:J29" si="5">I21*100</f>
        <v>5.8029405523900186</v>
      </c>
      <c r="K21" s="2"/>
    </row>
    <row r="22" spans="1:11" ht="15.75" x14ac:dyDescent="0.25">
      <c r="A22" s="11" t="s">
        <v>31</v>
      </c>
      <c r="B22" s="2" t="s">
        <v>33</v>
      </c>
      <c r="C22" s="6">
        <v>-6.0406586860000004</v>
      </c>
      <c r="D22" s="6">
        <v>-2.16466687</v>
      </c>
      <c r="E22" s="6">
        <f t="shared" si="3"/>
        <v>1.83533313</v>
      </c>
      <c r="F22" s="6">
        <v>0.92710041020452494</v>
      </c>
      <c r="G22" s="6">
        <f>'Absorption-Emission'!J30</f>
        <v>3.0131994727040472</v>
      </c>
      <c r="H22" s="10">
        <v>11.911608707244801</v>
      </c>
      <c r="I22" s="10">
        <f t="shared" si="4"/>
        <v>0.20268056020092862</v>
      </c>
      <c r="J22" s="6">
        <f t="shared" si="5"/>
        <v>20.26805602009286</v>
      </c>
      <c r="K22" s="2"/>
    </row>
    <row r="23" spans="1:11" ht="15.75" x14ac:dyDescent="0.25">
      <c r="A23" s="11" t="s">
        <v>30</v>
      </c>
      <c r="B23" s="2" t="s">
        <v>34</v>
      </c>
      <c r="C23" s="6">
        <v>-6.0041954100000003</v>
      </c>
      <c r="D23" s="6">
        <v>-2.223715608</v>
      </c>
      <c r="E23" s="6">
        <f t="shared" si="3"/>
        <v>1.776284392</v>
      </c>
      <c r="F23" s="6">
        <v>0.92517330010710186</v>
      </c>
      <c r="G23" s="6">
        <f>'Absorption-Emission'!J31</f>
        <v>3.0340583368668197</v>
      </c>
      <c r="H23" s="10">
        <v>11.5050535324492</v>
      </c>
      <c r="I23" s="10">
        <f t="shared" si="4"/>
        <v>0.18907070096200052</v>
      </c>
      <c r="J23" s="6">
        <f t="shared" si="5"/>
        <v>18.907070096200052</v>
      </c>
      <c r="K23" s="2"/>
    </row>
    <row r="24" spans="1:11" ht="15.75" x14ac:dyDescent="0.25">
      <c r="A24" s="11" t="s">
        <v>23</v>
      </c>
      <c r="B24" s="2" t="s">
        <v>35</v>
      </c>
      <c r="C24" s="6">
        <v>-6.0346721780000001</v>
      </c>
      <c r="D24" s="6">
        <v>-1.693637536</v>
      </c>
      <c r="E24" s="6">
        <f t="shared" si="3"/>
        <v>2.3063624640000002</v>
      </c>
      <c r="F24" s="6">
        <v>0.93932934745316854</v>
      </c>
      <c r="G24" s="6">
        <f>'Absorption-Emission'!J32</f>
        <v>3.0351307223768038</v>
      </c>
      <c r="H24" s="10">
        <v>11.5050535324492</v>
      </c>
      <c r="I24" s="10">
        <f t="shared" si="4"/>
        <v>0.24924938549702202</v>
      </c>
      <c r="J24" s="6">
        <f t="shared" si="5"/>
        <v>24.924938549702201</v>
      </c>
      <c r="K24" s="2"/>
    </row>
    <row r="25" spans="1:11" ht="15.75" x14ac:dyDescent="0.25">
      <c r="A25" s="11" t="s">
        <v>28</v>
      </c>
      <c r="B25" s="2" t="s">
        <v>36</v>
      </c>
      <c r="C25" s="6">
        <v>-5.6956181340000001</v>
      </c>
      <c r="D25" s="6">
        <v>-2.433787616</v>
      </c>
      <c r="E25" s="6">
        <f t="shared" si="3"/>
        <v>1.566212384</v>
      </c>
      <c r="F25" s="6">
        <v>0.91730886688756041</v>
      </c>
      <c r="G25" s="6">
        <f>'Absorption-Emission'!J33</f>
        <v>2.5555844666380243</v>
      </c>
      <c r="H25" s="10">
        <v>21.162566624477801</v>
      </c>
      <c r="I25" s="10">
        <f t="shared" si="4"/>
        <v>0.30404270204571199</v>
      </c>
      <c r="J25" s="6">
        <f t="shared" si="5"/>
        <v>30.404270204571198</v>
      </c>
      <c r="K25" s="2"/>
    </row>
    <row r="26" spans="1:11" ht="15.75" x14ac:dyDescent="0.25">
      <c r="A26" s="11" t="s">
        <v>29</v>
      </c>
      <c r="B26" s="2" t="s">
        <v>37</v>
      </c>
      <c r="C26" s="6">
        <v>-5.7266391300000006</v>
      </c>
      <c r="D26" s="6">
        <v>-2.3597726080000001</v>
      </c>
      <c r="E26" s="6">
        <f t="shared" si="3"/>
        <v>1.6402273919999999</v>
      </c>
      <c r="F26" s="6">
        <v>0.92027845634843064</v>
      </c>
      <c r="G26" s="6">
        <f>'Absorption-Emission'!J34</f>
        <v>2.6157400964445428</v>
      </c>
      <c r="H26" s="10">
        <v>21.4612297240248</v>
      </c>
      <c r="I26" s="10">
        <f t="shared" si="4"/>
        <v>0.32394995135185545</v>
      </c>
      <c r="J26" s="6">
        <f t="shared" si="5"/>
        <v>32.394995135185546</v>
      </c>
      <c r="K26" s="2"/>
    </row>
    <row r="27" spans="1:11" ht="15.75" x14ac:dyDescent="0.25">
      <c r="A27" s="11" t="s">
        <v>60</v>
      </c>
      <c r="B27" s="2" t="s">
        <v>61</v>
      </c>
      <c r="C27" s="6">
        <v>-5.7660956600000004</v>
      </c>
      <c r="D27" s="6">
        <v>-2.3646706600000003</v>
      </c>
      <c r="E27" s="6">
        <f t="shared" si="3"/>
        <v>1.6353293399999997</v>
      </c>
      <c r="F27" s="6">
        <v>0.92008913342423193</v>
      </c>
      <c r="G27" s="6">
        <f>'Absorption-Emission'!J35</f>
        <v>2.7056343560316538</v>
      </c>
      <c r="H27" s="10">
        <v>19.602046493879701</v>
      </c>
      <c r="I27" s="10">
        <f t="shared" si="4"/>
        <v>0.29494194858423717</v>
      </c>
      <c r="J27" s="6">
        <f t="shared" si="5"/>
        <v>29.494194858423718</v>
      </c>
      <c r="K27" s="2"/>
    </row>
    <row r="28" spans="1:11" ht="15.75" x14ac:dyDescent="0.25">
      <c r="A28" s="11" t="s">
        <v>79</v>
      </c>
      <c r="B28" s="2" t="s">
        <v>80</v>
      </c>
      <c r="C28" s="6">
        <v>-5.7652793180000002</v>
      </c>
      <c r="D28" s="6">
        <v>-2.3586841519999999</v>
      </c>
      <c r="E28" s="6">
        <f t="shared" si="3"/>
        <v>1.6413158480000001</v>
      </c>
      <c r="F28" s="6">
        <v>0.92032039530879661</v>
      </c>
      <c r="G28" s="6">
        <f>'Absorption-Emission'!J36</f>
        <v>2.7253141675602572</v>
      </c>
      <c r="H28" s="10">
        <v>18.969727250645398</v>
      </c>
      <c r="I28" s="10">
        <f t="shared" si="4"/>
        <v>0.28654464459757512</v>
      </c>
      <c r="J28" s="6">
        <f t="shared" si="5"/>
        <v>28.654464459757513</v>
      </c>
      <c r="K28" s="2"/>
    </row>
    <row r="29" spans="1:11" ht="15.75" x14ac:dyDescent="0.25">
      <c r="A29" s="11" t="s">
        <v>63</v>
      </c>
      <c r="B29" s="2" t="s">
        <v>64</v>
      </c>
      <c r="C29" s="6">
        <v>-5.7154824560000002</v>
      </c>
      <c r="D29" s="6">
        <v>-2.4398010220000002</v>
      </c>
      <c r="E29" s="6">
        <f t="shared" si="3"/>
        <v>1.5601989779999998</v>
      </c>
      <c r="F29" s="6">
        <v>0.91705693536414479</v>
      </c>
      <c r="G29" s="6">
        <f>'Absorption-Emission'!J37</f>
        <v>2.7656365158125427</v>
      </c>
      <c r="H29" s="10">
        <v>18.089997939985398</v>
      </c>
      <c r="I29" s="10">
        <f t="shared" si="4"/>
        <v>0.2588301154876122</v>
      </c>
      <c r="J29" s="6">
        <f t="shared" si="5"/>
        <v>25.883011548761221</v>
      </c>
      <c r="K29" s="2"/>
    </row>
  </sheetData>
  <mergeCells count="2">
    <mergeCell ref="A1:K1"/>
    <mergeCell ref="A18:K1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D894-281C-4D8E-A207-BE79A4F95C6D}">
  <dimension ref="A1:M46"/>
  <sheetViews>
    <sheetView topLeftCell="A22" workbookViewId="0">
      <selection activeCell="G52" sqref="G52"/>
    </sheetView>
  </sheetViews>
  <sheetFormatPr defaultRowHeight="15.75" x14ac:dyDescent="0.25"/>
  <cols>
    <col min="1" max="1" width="35.28515625" bestFit="1" customWidth="1"/>
    <col min="2" max="2" width="19.5703125" customWidth="1"/>
    <col min="3" max="4" width="15.140625" style="1" bestFit="1" customWidth="1"/>
    <col min="5" max="5" width="15.140625" style="1" customWidth="1"/>
    <col min="6" max="6" width="15.140625" style="1" bestFit="1" customWidth="1"/>
    <col min="7" max="7" width="15.140625" style="1" customWidth="1"/>
    <col min="8" max="8" width="15.140625" style="1" bestFit="1" customWidth="1"/>
    <col min="9" max="9" width="15.140625" style="1" customWidth="1"/>
    <col min="10" max="10" width="13.140625" style="1" bestFit="1" customWidth="1"/>
    <col min="11" max="11" width="13.42578125" style="1" bestFit="1" customWidth="1"/>
    <col min="12" max="12" width="13.7109375" style="1" bestFit="1" customWidth="1"/>
    <col min="13" max="13" width="11.28515625" style="1" bestFit="1" customWidth="1"/>
  </cols>
  <sheetData>
    <row r="1" spans="1:13" s="16" customFormat="1" x14ac:dyDescent="0.25">
      <c r="C1" s="33" t="s">
        <v>40</v>
      </c>
      <c r="D1" s="33"/>
      <c r="E1" s="33"/>
      <c r="F1" s="33"/>
      <c r="G1" s="33"/>
      <c r="H1" s="33"/>
      <c r="I1" s="7"/>
      <c r="J1" s="33" t="s">
        <v>41</v>
      </c>
      <c r="K1" s="33"/>
      <c r="L1" s="33"/>
      <c r="M1" s="7"/>
    </row>
    <row r="2" spans="1:13" s="4" customFormat="1" ht="19.5" x14ac:dyDescent="0.3">
      <c r="B2" s="14" t="s">
        <v>0</v>
      </c>
      <c r="C2" s="2" t="s">
        <v>42</v>
      </c>
      <c r="D2" s="2" t="s">
        <v>43</v>
      </c>
      <c r="E2" s="9" t="s">
        <v>54</v>
      </c>
      <c r="F2" s="2" t="s">
        <v>44</v>
      </c>
      <c r="G2" s="9" t="s">
        <v>54</v>
      </c>
      <c r="H2" s="2" t="s">
        <v>45</v>
      </c>
      <c r="I2" s="2" t="s">
        <v>56</v>
      </c>
      <c r="J2" s="2" t="s">
        <v>48</v>
      </c>
      <c r="K2" s="2" t="s">
        <v>46</v>
      </c>
      <c r="L2" s="2" t="s">
        <v>47</v>
      </c>
      <c r="M2" s="2" t="s">
        <v>65</v>
      </c>
    </row>
    <row r="3" spans="1:13" x14ac:dyDescent="0.25">
      <c r="A3" s="11" t="s">
        <v>24</v>
      </c>
      <c r="B3" s="2" t="s">
        <v>27</v>
      </c>
      <c r="C3" s="8">
        <v>-280.05639159999998</v>
      </c>
      <c r="D3" s="8">
        <v>-279.88451267400001</v>
      </c>
      <c r="E3" s="10">
        <v>0</v>
      </c>
      <c r="F3" s="8">
        <v>-279.91233325100001</v>
      </c>
      <c r="G3" s="8">
        <v>0</v>
      </c>
      <c r="H3" s="8">
        <v>-280.02366110000003</v>
      </c>
      <c r="I3" s="8">
        <v>-279.92263617999998</v>
      </c>
      <c r="J3" s="10">
        <f>(D3-C3)*27.2114</f>
        <v>4.6770662069557654</v>
      </c>
      <c r="K3" s="10">
        <f>(F3-C3)*27.2114</f>
        <v>3.9200293579779664</v>
      </c>
      <c r="L3" s="10">
        <f>(F3-H3)*27.2114</f>
        <v>3.0293866302791388</v>
      </c>
      <c r="M3" s="6">
        <f>(D3-I3)*27.2114</f>
        <v>1.0373939711677664</v>
      </c>
    </row>
    <row r="4" spans="1:13" x14ac:dyDescent="0.25">
      <c r="A4" s="11" t="s">
        <v>21</v>
      </c>
      <c r="B4" s="2" t="s">
        <v>32</v>
      </c>
      <c r="C4" s="8">
        <v>-1934.6690771000001</v>
      </c>
      <c r="D4" s="8">
        <v>-1934.50254786</v>
      </c>
      <c r="E4" s="10">
        <v>0.70920000000000005</v>
      </c>
      <c r="F4" s="8">
        <v>-1934.5100618500001</v>
      </c>
      <c r="G4" s="1">
        <v>0.60240000000000005</v>
      </c>
      <c r="H4" s="8">
        <v>-1934.6596798999999</v>
      </c>
      <c r="I4" s="8">
        <v>-1934.5671463599999</v>
      </c>
      <c r="J4" s="10">
        <f>(D4-C4)*27.2114</f>
        <v>4.5314937613372335</v>
      </c>
      <c r="K4" s="10">
        <f>(F4-C4)*27.2114</f>
        <v>4.3270275738510495</v>
      </c>
      <c r="L4" s="10">
        <f t="shared" ref="L4:L12" si="0">(F4-H4)*27.2114</f>
        <v>4.0713166057657695</v>
      </c>
      <c r="M4" s="6">
        <f t="shared" ref="M4:M12" si="1">(D4-I4)*27.2114</f>
        <v>1.7578156228965864</v>
      </c>
    </row>
    <row r="5" spans="1:13" x14ac:dyDescent="0.25">
      <c r="A5" s="11" t="s">
        <v>31</v>
      </c>
      <c r="B5" s="2" t="s">
        <v>33</v>
      </c>
      <c r="C5" s="8">
        <v>-2627.1175957999999</v>
      </c>
      <c r="D5" s="8">
        <v>-2626.9549531299999</v>
      </c>
      <c r="E5" s="10">
        <v>1E-4</v>
      </c>
      <c r="F5" s="8">
        <v>-2626.9659645900001</v>
      </c>
      <c r="G5" s="1">
        <v>7.9399999999999998E-2</v>
      </c>
      <c r="H5" s="8">
        <v>-2627.1075799999999</v>
      </c>
      <c r="I5" s="8">
        <v>-2627.0138838399998</v>
      </c>
      <c r="J5" s="10">
        <f t="shared" ref="J5:J12" si="2">(D5-C5)*27.2114</f>
        <v>4.4257347504371385</v>
      </c>
      <c r="K5" s="10">
        <f t="shared" ref="K5:K10" si="3">(F5-C5)*27.2114</f>
        <v>4.1260975077879491</v>
      </c>
      <c r="L5" s="10">
        <f t="shared" si="0"/>
        <v>3.8535535676674262</v>
      </c>
      <c r="M5" s="6">
        <f t="shared" si="1"/>
        <v>1.6035871220916391</v>
      </c>
    </row>
    <row r="6" spans="1:13" x14ac:dyDescent="0.25">
      <c r="A6" s="11" t="s">
        <v>30</v>
      </c>
      <c r="B6" s="2" t="s">
        <v>34</v>
      </c>
      <c r="C6" s="8">
        <v>-2627.1189125000001</v>
      </c>
      <c r="D6" s="8">
        <v>-2626.9667030099999</v>
      </c>
      <c r="E6" s="10">
        <v>1.5495000000000001</v>
      </c>
      <c r="F6" s="8">
        <v>-2626.9791912699998</v>
      </c>
      <c r="G6" s="1">
        <v>1.3873</v>
      </c>
      <c r="H6" s="8">
        <v>-2627.1086704999998</v>
      </c>
      <c r="I6" s="8">
        <v>-2627.0216444900002</v>
      </c>
      <c r="J6" s="10">
        <f t="shared" si="2"/>
        <v>4.1418333161895937</v>
      </c>
      <c r="K6" s="10">
        <f t="shared" si="3"/>
        <v>3.802010278030294</v>
      </c>
      <c r="L6" s="10">
        <f t="shared" si="0"/>
        <v>3.5233111192224187</v>
      </c>
      <c r="M6" s="6">
        <f t="shared" si="1"/>
        <v>1.4950345888788665</v>
      </c>
    </row>
    <row r="7" spans="1:13" x14ac:dyDescent="0.25">
      <c r="A7" s="11" t="s">
        <v>23</v>
      </c>
      <c r="B7" s="2" t="s">
        <v>35</v>
      </c>
      <c r="C7" s="8">
        <v>-1827.3200141</v>
      </c>
      <c r="D7" s="8">
        <v>-1827.15728537</v>
      </c>
      <c r="E7" s="10">
        <v>0.4667</v>
      </c>
      <c r="F7" s="8">
        <v>-1827.1723718400001</v>
      </c>
      <c r="G7" s="1">
        <v>1E-3</v>
      </c>
      <c r="H7" s="8">
        <v>-1827.2775704999999</v>
      </c>
      <c r="I7" s="8">
        <v>-1827.20427477</v>
      </c>
      <c r="J7" s="10">
        <f t="shared" si="2"/>
        <v>4.4280765635227128</v>
      </c>
      <c r="K7" s="10">
        <f t="shared" si="3"/>
        <v>4.0175525937608469</v>
      </c>
      <c r="L7" s="10">
        <f t="shared" si="0"/>
        <v>2.8626028167189519</v>
      </c>
      <c r="M7" s="6">
        <f t="shared" si="1"/>
        <v>1.2786473591608025</v>
      </c>
    </row>
    <row r="8" spans="1:13" x14ac:dyDescent="0.25">
      <c r="A8" s="11" t="s">
        <v>28</v>
      </c>
      <c r="B8" s="2" t="s">
        <v>36</v>
      </c>
      <c r="C8" s="8">
        <v>-2519.7571993000001</v>
      </c>
      <c r="D8" s="8">
        <v>-2519.6050048400002</v>
      </c>
      <c r="E8" s="10">
        <v>1.8E-3</v>
      </c>
      <c r="F8" s="10">
        <v>-2519.6174228999998</v>
      </c>
      <c r="G8" s="8">
        <v>1E-4</v>
      </c>
      <c r="H8" s="10">
        <v>-2519.728537</v>
      </c>
      <c r="I8" s="8">
        <v>-2519.6443403500002</v>
      </c>
      <c r="J8" s="10">
        <f t="shared" si="2"/>
        <v>4.14142432884179</v>
      </c>
      <c r="K8" s="10">
        <f t="shared" si="3"/>
        <v>3.8035115309681848</v>
      </c>
      <c r="L8" s="10">
        <f t="shared" si="0"/>
        <v>3.023570220743335</v>
      </c>
      <c r="M8" s="6">
        <f t="shared" si="1"/>
        <v>1.0703742968140217</v>
      </c>
    </row>
    <row r="9" spans="1:13" x14ac:dyDescent="0.25">
      <c r="A9" s="11" t="s">
        <v>29</v>
      </c>
      <c r="B9" s="2" t="s">
        <v>37</v>
      </c>
      <c r="C9" s="8">
        <v>-2519.7566262999999</v>
      </c>
      <c r="D9" s="8">
        <v>-2519.60789183</v>
      </c>
      <c r="E9" s="10">
        <v>0.95809999999999995</v>
      </c>
      <c r="F9" s="10">
        <v>-2519.61443224</v>
      </c>
      <c r="G9" s="10">
        <v>0.99909999999999999</v>
      </c>
      <c r="H9" s="10">
        <v>-2519.7494436000002</v>
      </c>
      <c r="I9" s="10">
        <v>-2519.6475334100001</v>
      </c>
      <c r="J9" s="10">
        <f t="shared" si="2"/>
        <v>4.0472731569555096</v>
      </c>
      <c r="K9" s="10">
        <f t="shared" si="3"/>
        <v>3.8692994442795898</v>
      </c>
      <c r="L9" s="10">
        <f t="shared" si="0"/>
        <v>3.6738481215076746</v>
      </c>
      <c r="M9" s="6">
        <f t="shared" si="1"/>
        <v>1.0787028900141649</v>
      </c>
    </row>
    <row r="10" spans="1:13" x14ac:dyDescent="0.25">
      <c r="A10" s="11" t="s">
        <v>60</v>
      </c>
      <c r="B10" s="2" t="s">
        <v>61</v>
      </c>
      <c r="C10" s="1">
        <v>-3481.8827934999999</v>
      </c>
      <c r="D10" s="1">
        <v>-3481.74175079</v>
      </c>
      <c r="E10" s="10">
        <v>0.877</v>
      </c>
      <c r="F10" s="10">
        <v>-3481.7519758600001</v>
      </c>
      <c r="G10" s="1">
        <v>0.95760000000000001</v>
      </c>
      <c r="H10" s="10">
        <v>-3481.8734764999999</v>
      </c>
      <c r="I10" s="10">
        <v>-3481.7872558200002</v>
      </c>
      <c r="J10" s="10">
        <f t="shared" si="2"/>
        <v>3.8379695988930518</v>
      </c>
      <c r="K10" s="10">
        <f t="shared" si="3"/>
        <v>3.559731129090685</v>
      </c>
      <c r="L10" s="10">
        <f t="shared" si="0"/>
        <v>3.3062025152904124</v>
      </c>
      <c r="M10" s="6">
        <f t="shared" si="1"/>
        <v>1.2382555733470559</v>
      </c>
    </row>
    <row r="11" spans="1:13" x14ac:dyDescent="0.25">
      <c r="A11" s="11" t="s">
        <v>79</v>
      </c>
      <c r="B11" s="2" t="s">
        <v>80</v>
      </c>
      <c r="C11" s="1">
        <v>-4174.3318904999996</v>
      </c>
      <c r="D11" s="1">
        <v>-4174.1701703799999</v>
      </c>
      <c r="E11" s="10">
        <v>0.27400000000000002</v>
      </c>
      <c r="F11" s="10">
        <v>-4174.1941434199998</v>
      </c>
      <c r="G11" s="1">
        <v>0.8962</v>
      </c>
      <c r="H11" s="10">
        <v>-4174.3167222000002</v>
      </c>
      <c r="I11" s="10">
        <v>-4174.2294742200002</v>
      </c>
      <c r="J11" s="10">
        <f t="shared" si="2"/>
        <v>4.4006308733598321</v>
      </c>
      <c r="K11" s="10">
        <f t="shared" ref="K11:K12" si="4">(F11-C11)*27.2114</f>
        <v>3.748290892707276</v>
      </c>
      <c r="L11" s="10">
        <f t="shared" si="0"/>
        <v>3.3355402141019939</v>
      </c>
      <c r="M11" s="6">
        <f t="shared" si="1"/>
        <v>1.6137405117817551</v>
      </c>
    </row>
    <row r="12" spans="1:13" x14ac:dyDescent="0.25">
      <c r="A12" s="11" t="s">
        <v>63</v>
      </c>
      <c r="B12" s="2" t="s">
        <v>64</v>
      </c>
      <c r="C12" s="1">
        <v>-4174.3327417999999</v>
      </c>
      <c r="D12" s="1">
        <v>-4174.18536098</v>
      </c>
      <c r="E12" s="10">
        <v>1.9540999999999999</v>
      </c>
      <c r="F12" s="10">
        <v>-4174.2054831100004</v>
      </c>
      <c r="G12" s="1">
        <v>1.6609</v>
      </c>
      <c r="H12" s="20">
        <v>-4174.3200770000003</v>
      </c>
      <c r="I12" s="10">
        <v>-4174.2365744099998</v>
      </c>
      <c r="J12" s="10">
        <f t="shared" si="2"/>
        <v>4.0104384453439996</v>
      </c>
      <c r="K12" s="10">
        <f t="shared" si="4"/>
        <v>3.4628871170526021</v>
      </c>
      <c r="L12" s="10">
        <f t="shared" si="0"/>
        <v>3.1182601783439239</v>
      </c>
      <c r="M12" s="6">
        <f t="shared" si="1"/>
        <v>1.3935891290947677</v>
      </c>
    </row>
    <row r="15" spans="1:13" ht="19.5" x14ac:dyDescent="0.3">
      <c r="A15" s="2" t="s">
        <v>43</v>
      </c>
      <c r="B15" t="s">
        <v>70</v>
      </c>
      <c r="C15"/>
      <c r="D15"/>
    </row>
    <row r="16" spans="1:13" ht="19.5" x14ac:dyDescent="0.3">
      <c r="A16" s="2" t="s">
        <v>56</v>
      </c>
      <c r="B16" s="34" t="s">
        <v>69</v>
      </c>
      <c r="C16" s="34"/>
      <c r="D16" s="34"/>
      <c r="J16" s="10"/>
    </row>
    <row r="17" spans="1:12" ht="17.25" x14ac:dyDescent="0.3">
      <c r="A17" s="2" t="s">
        <v>44</v>
      </c>
      <c r="B17" s="34" t="s">
        <v>68</v>
      </c>
      <c r="C17" s="34"/>
      <c r="D17" s="34"/>
      <c r="J17" s="10"/>
    </row>
    <row r="18" spans="1:12" ht="17.25" x14ac:dyDescent="0.3">
      <c r="A18" s="2" t="s">
        <v>57</v>
      </c>
      <c r="B18" s="34" t="s">
        <v>71</v>
      </c>
      <c r="C18" s="34"/>
      <c r="D18" s="34"/>
      <c r="J18" s="10"/>
    </row>
    <row r="19" spans="1:12" ht="19.5" x14ac:dyDescent="0.3">
      <c r="A19" s="2" t="s">
        <v>72</v>
      </c>
      <c r="J19" s="10"/>
    </row>
    <row r="20" spans="1:12" ht="19.5" x14ac:dyDescent="0.3">
      <c r="A20" s="2" t="s">
        <v>73</v>
      </c>
      <c r="J20" s="10"/>
    </row>
    <row r="21" spans="1:12" ht="19.5" x14ac:dyDescent="0.3">
      <c r="A21" s="2" t="s">
        <v>66</v>
      </c>
      <c r="J21" s="10"/>
    </row>
    <row r="22" spans="1:12" ht="19.5" x14ac:dyDescent="0.3">
      <c r="A22" s="2" t="s">
        <v>67</v>
      </c>
    </row>
    <row r="23" spans="1:12" x14ac:dyDescent="0.25">
      <c r="J23" s="10"/>
    </row>
    <row r="24" spans="1:12" x14ac:dyDescent="0.25">
      <c r="J24" s="10"/>
    </row>
    <row r="26" spans="1:12" x14ac:dyDescent="0.25">
      <c r="A26" s="16"/>
      <c r="B26" s="33" t="s">
        <v>40</v>
      </c>
      <c r="C26" s="33"/>
      <c r="D26" s="33"/>
      <c r="E26" s="33"/>
      <c r="F26" s="33"/>
      <c r="G26" s="33"/>
      <c r="H26" s="7"/>
      <c r="I26" s="33" t="s">
        <v>41</v>
      </c>
      <c r="J26" s="33"/>
      <c r="K26" s="33"/>
      <c r="L26" s="7"/>
    </row>
    <row r="27" spans="1:12" ht="19.5" x14ac:dyDescent="0.3">
      <c r="A27" s="14" t="s">
        <v>0</v>
      </c>
      <c r="B27" s="2" t="s">
        <v>42</v>
      </c>
      <c r="C27" s="2" t="s">
        <v>43</v>
      </c>
      <c r="D27" s="9" t="s">
        <v>54</v>
      </c>
      <c r="E27" s="2" t="s">
        <v>44</v>
      </c>
      <c r="F27" s="9" t="s">
        <v>54</v>
      </c>
      <c r="G27" s="2" t="s">
        <v>45</v>
      </c>
      <c r="H27" s="2" t="s">
        <v>56</v>
      </c>
      <c r="I27" s="2" t="s">
        <v>48</v>
      </c>
      <c r="J27" s="2" t="s">
        <v>46</v>
      </c>
      <c r="K27" s="2" t="s">
        <v>47</v>
      </c>
      <c r="L27" s="2" t="s">
        <v>65</v>
      </c>
    </row>
    <row r="28" spans="1:12" x14ac:dyDescent="0.25">
      <c r="A28" s="2" t="s">
        <v>27</v>
      </c>
      <c r="B28" s="10">
        <v>-280.15442339999998</v>
      </c>
      <c r="C28" s="10">
        <v>-279.88451267400001</v>
      </c>
      <c r="D28" s="10">
        <v>0</v>
      </c>
      <c r="E28" s="10">
        <v>-279.99286111200001</v>
      </c>
      <c r="F28" s="10">
        <v>0</v>
      </c>
      <c r="G28" s="10">
        <v>-280.12426110000001</v>
      </c>
      <c r="H28" s="8">
        <v>-280.01584045599998</v>
      </c>
      <c r="I28" s="10">
        <f>(C28-B28)*27.2114</f>
        <v>7.3446487294757956</v>
      </c>
      <c r="J28" s="10">
        <f>(E28-B28)*27.211</f>
        <v>4.3962714187671974</v>
      </c>
      <c r="K28" s="10">
        <f>(E28-G28)*27.2114</f>
        <v>3.5755776334631539</v>
      </c>
      <c r="L28" s="6">
        <f>(C28-H28)*27.2114</f>
        <v>3.5736128071140163</v>
      </c>
    </row>
    <row r="29" spans="1:12" x14ac:dyDescent="0.25">
      <c r="A29" s="2" t="s">
        <v>32</v>
      </c>
      <c r="B29" s="10">
        <v>-1934.9757055</v>
      </c>
      <c r="C29" s="10">
        <v>-1934.8388186499999</v>
      </c>
      <c r="D29" s="10">
        <v>0</v>
      </c>
      <c r="E29" s="10">
        <v>-1934.84877783</v>
      </c>
      <c r="F29" s="10">
        <v>0</v>
      </c>
      <c r="G29" s="10">
        <v>-1934.9471074999999</v>
      </c>
      <c r="H29" s="8">
        <v>-1934.8743737100001</v>
      </c>
      <c r="I29" s="10">
        <f>(C29-B29)*27.2114</f>
        <v>3.7248828300929913</v>
      </c>
      <c r="J29" s="10">
        <f>(E29-B29)*27.211</f>
        <v>3.4538288283696295</v>
      </c>
      <c r="K29" s="10">
        <f>(E29-G29)*27.2114</f>
        <v>2.6756879822348592</v>
      </c>
      <c r="L29" s="6">
        <f t="shared" ref="L29:L37" si="5">(C29-H29)*27.2114</f>
        <v>0.96750295968960942</v>
      </c>
    </row>
    <row r="30" spans="1:12" x14ac:dyDescent="0.25">
      <c r="A30" s="2" t="s">
        <v>33</v>
      </c>
      <c r="B30" s="10">
        <v>-2627.6528254999998</v>
      </c>
      <c r="C30" s="10">
        <v>-2627.52773854</v>
      </c>
      <c r="D30" s="10">
        <v>0</v>
      </c>
      <c r="E30" s="10">
        <v>-2627.5420908900001</v>
      </c>
      <c r="F30" s="10">
        <v>1.4800000000000001E-2</v>
      </c>
      <c r="G30" s="10">
        <v>-2627.6383747</v>
      </c>
      <c r="H30" s="8">
        <v>-2627.5556622700001</v>
      </c>
      <c r="I30" s="10">
        <f>(C30-B30)*27.2114</f>
        <v>3.4037913033402534</v>
      </c>
      <c r="J30" s="10">
        <f t="shared" ref="J30:J37" si="6">(E30-B30)*27.211</f>
        <v>3.0131994727040472</v>
      </c>
      <c r="K30" s="10">
        <f t="shared" ref="K30:K37" si="7">(E30-G30)*27.2114</f>
        <v>2.6200172674321411</v>
      </c>
      <c r="L30" s="6">
        <f t="shared" si="5"/>
        <v>0.75984378652503115</v>
      </c>
    </row>
    <row r="31" spans="1:12" x14ac:dyDescent="0.25">
      <c r="A31" s="2" t="s">
        <v>34</v>
      </c>
      <c r="B31" s="10">
        <v>-2627.6565102999998</v>
      </c>
      <c r="C31" s="10">
        <v>-2627.5341774600001</v>
      </c>
      <c r="D31" s="10">
        <v>0</v>
      </c>
      <c r="E31" s="10">
        <v>-2627.5450091299999</v>
      </c>
      <c r="F31" s="10">
        <v>1.83E-2</v>
      </c>
      <c r="G31" s="10">
        <v>-2627.6440220999998</v>
      </c>
      <c r="H31" s="8">
        <v>-2627.5682382599998</v>
      </c>
      <c r="I31" s="10">
        <f>(C31-B31)*27.2114</f>
        <v>3.3288478423670669</v>
      </c>
      <c r="J31" s="10">
        <f t="shared" si="6"/>
        <v>3.0340583368668197</v>
      </c>
      <c r="K31" s="10">
        <f t="shared" si="7"/>
        <v>2.694281531854628</v>
      </c>
      <c r="L31" s="6">
        <f t="shared" si="5"/>
        <v>0.92684205311126922</v>
      </c>
    </row>
    <row r="32" spans="1:12" x14ac:dyDescent="0.25">
      <c r="A32" s="2" t="s">
        <v>35</v>
      </c>
      <c r="B32" s="10">
        <v>-1827.9118464999999</v>
      </c>
      <c r="C32" s="10">
        <v>-1827.77553059</v>
      </c>
      <c r="D32" s="10">
        <v>0.31440000000000001</v>
      </c>
      <c r="E32" s="10">
        <v>-1827.80030592</v>
      </c>
      <c r="F32" s="10">
        <v>1.2999999999999999E-3</v>
      </c>
      <c r="G32" s="10">
        <v>-1827.8935243000001</v>
      </c>
      <c r="H32" s="8">
        <v>-1827.7989410499999</v>
      </c>
      <c r="I32" s="10">
        <f t="shared" ref="I32:I35" si="8">(C32-B32)*27.2114</f>
        <v>3.7093467533711117</v>
      </c>
      <c r="J32" s="10">
        <f t="shared" si="6"/>
        <v>3.0351307223768038</v>
      </c>
      <c r="K32" s="10">
        <f t="shared" si="7"/>
        <v>2.5366026255334422</v>
      </c>
      <c r="L32" s="6">
        <f t="shared" si="5"/>
        <v>0.637031391241898</v>
      </c>
    </row>
    <row r="33" spans="1:12" x14ac:dyDescent="0.25">
      <c r="A33" s="2" t="s">
        <v>36</v>
      </c>
      <c r="B33" s="10">
        <v>-2520.5829953000002</v>
      </c>
      <c r="C33" s="10">
        <v>-2520.4804908800002</v>
      </c>
      <c r="D33" s="10">
        <v>2.0000000000000001E-4</v>
      </c>
      <c r="E33" s="10">
        <v>-2520.4890779699999</v>
      </c>
      <c r="F33" s="10">
        <v>2.9999999999999997E-4</v>
      </c>
      <c r="G33" s="10">
        <v>-2520.5735764000001</v>
      </c>
      <c r="H33" s="8">
        <v>-2520.4856448800001</v>
      </c>
      <c r="I33" s="10">
        <f t="shared" si="8"/>
        <v>2.7892887743896146</v>
      </c>
      <c r="J33" s="10">
        <f t="shared" si="6"/>
        <v>2.5555844666380243</v>
      </c>
      <c r="K33" s="10">
        <f t="shared" si="7"/>
        <v>2.2993205781065442</v>
      </c>
      <c r="L33" s="6">
        <f>(C33-H33)*27.2114</f>
        <v>0.14024755559857685</v>
      </c>
    </row>
    <row r="34" spans="1:12" x14ac:dyDescent="0.25">
      <c r="A34" s="2" t="s">
        <v>37</v>
      </c>
      <c r="B34" s="10">
        <v>-2520.5851108000002</v>
      </c>
      <c r="C34" s="10">
        <v>-2520.4778513400001</v>
      </c>
      <c r="D34" s="10">
        <v>0.44440000000000002</v>
      </c>
      <c r="E34" s="10">
        <v>-2520.48898276</v>
      </c>
      <c r="F34" s="10">
        <v>0</v>
      </c>
      <c r="G34" s="10">
        <v>-2520.5756866000002</v>
      </c>
      <c r="H34" s="10">
        <v>-2520.4894828800002</v>
      </c>
      <c r="I34" s="10">
        <f t="shared" si="8"/>
        <v>2.9186800698446249</v>
      </c>
      <c r="J34" s="10">
        <f t="shared" si="6"/>
        <v>2.6157400964445428</v>
      </c>
      <c r="K34" s="10">
        <f t="shared" si="7"/>
        <v>2.3593328717802109</v>
      </c>
      <c r="L34" s="6">
        <f t="shared" si="5"/>
        <v>0.31651048755744399</v>
      </c>
    </row>
    <row r="35" spans="1:12" x14ac:dyDescent="0.25">
      <c r="A35" s="2" t="s">
        <v>61</v>
      </c>
      <c r="B35" s="10">
        <v>-3482.6904378999998</v>
      </c>
      <c r="C35" s="10">
        <v>-3482.5835275099998</v>
      </c>
      <c r="D35" s="10">
        <v>0.45739999999999997</v>
      </c>
      <c r="E35" s="10">
        <v>-3482.5910062600001</v>
      </c>
      <c r="F35" s="10">
        <v>0</v>
      </c>
      <c r="G35" s="10">
        <v>-3482.6815898</v>
      </c>
      <c r="H35" s="10">
        <v>-3482.6036771399999</v>
      </c>
      <c r="I35" s="10">
        <f t="shared" si="8"/>
        <v>2.9091813864443421</v>
      </c>
      <c r="J35" s="10">
        <f t="shared" si="6"/>
        <v>2.7056343560316538</v>
      </c>
      <c r="K35" s="10">
        <f t="shared" si="7"/>
        <v>2.4649049403532182</v>
      </c>
      <c r="L35" s="6">
        <f t="shared" si="5"/>
        <v>0.54829964178486779</v>
      </c>
    </row>
    <row r="36" spans="1:12" x14ac:dyDescent="0.25">
      <c r="A36" s="2" t="s">
        <v>80</v>
      </c>
      <c r="B36" s="10">
        <v>-4175.3675758999998</v>
      </c>
      <c r="C36" s="10">
        <v>-4175.2508505400001</v>
      </c>
      <c r="D36" s="10">
        <v>3.5999999999999999E-3</v>
      </c>
      <c r="E36" s="10">
        <v>-4175.2674210300002</v>
      </c>
      <c r="F36" s="10">
        <v>1.23E-2</v>
      </c>
      <c r="G36" s="10">
        <v>-4175.3590356000004</v>
      </c>
      <c r="H36" s="10">
        <v>-4175.2644883499997</v>
      </c>
      <c r="I36" s="10">
        <f>(C36-B36)*27.2114</f>
        <v>3.1762604610955956</v>
      </c>
      <c r="J36" s="10">
        <f t="shared" si="6"/>
        <v>2.7253141675602572</v>
      </c>
      <c r="K36" s="10">
        <f t="shared" si="7"/>
        <v>2.4929607101054669</v>
      </c>
      <c r="L36" s="6">
        <f t="shared" si="5"/>
        <v>0.37110390302410523</v>
      </c>
    </row>
    <row r="37" spans="1:12" x14ac:dyDescent="0.25">
      <c r="A37" s="2" t="s">
        <v>64</v>
      </c>
      <c r="B37" s="10">
        <v>-4175.3709765000003</v>
      </c>
      <c r="C37" s="1">
        <v>-4175.2644229400003</v>
      </c>
      <c r="D37" s="1">
        <v>0.63739999999999997</v>
      </c>
      <c r="E37" s="10">
        <v>-4175.2693397900002</v>
      </c>
      <c r="F37" s="10">
        <v>0.85799999999999998</v>
      </c>
      <c r="G37" s="10">
        <v>-4175.3670605999996</v>
      </c>
      <c r="H37" s="10">
        <v>-4175.2862702900002</v>
      </c>
      <c r="I37" s="10">
        <f>(C37-B37)*27.2114</f>
        <v>2.8994715425857898</v>
      </c>
      <c r="J37" s="10">
        <f t="shared" si="6"/>
        <v>2.7656365158125427</v>
      </c>
      <c r="K37" s="10">
        <f t="shared" si="7"/>
        <v>2.6591200492169431</v>
      </c>
      <c r="L37" s="6">
        <f t="shared" si="5"/>
        <v>0.59449697978772331</v>
      </c>
    </row>
    <row r="38" spans="1:12" x14ac:dyDescent="0.25">
      <c r="G38" s="27"/>
    </row>
    <row r="46" spans="1:12" x14ac:dyDescent="0.25">
      <c r="J46" s="10"/>
      <c r="K46" s="10"/>
    </row>
  </sheetData>
  <mergeCells count="7">
    <mergeCell ref="B26:G26"/>
    <mergeCell ref="I26:K26"/>
    <mergeCell ref="B18:D18"/>
    <mergeCell ref="C1:H1"/>
    <mergeCell ref="J1:L1"/>
    <mergeCell ref="B16:D16"/>
    <mergeCell ref="B17:D17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9EA4-7F31-47C0-A517-1B17C666BE48}">
  <dimension ref="A1:G10"/>
  <sheetViews>
    <sheetView workbookViewId="0">
      <selection activeCell="E2" sqref="E2"/>
    </sheetView>
  </sheetViews>
  <sheetFormatPr defaultRowHeight="15.75" x14ac:dyDescent="0.25"/>
  <cols>
    <col min="1" max="1" width="35.7109375" bestFit="1" customWidth="1"/>
    <col min="2" max="2" width="15.42578125" bestFit="1" customWidth="1"/>
    <col min="5" max="5" width="9.7109375" style="1" bestFit="1" customWidth="1"/>
    <col min="6" max="6" width="77.42578125" bestFit="1" customWidth="1"/>
  </cols>
  <sheetData>
    <row r="1" spans="1:7" s="4" customFormat="1" ht="17.25" x14ac:dyDescent="0.3">
      <c r="A1" s="18"/>
      <c r="B1" s="18"/>
      <c r="C1" s="9" t="s">
        <v>54</v>
      </c>
      <c r="D1" s="2" t="s">
        <v>13</v>
      </c>
      <c r="E1" s="2" t="s">
        <v>101</v>
      </c>
      <c r="F1" s="23" t="s">
        <v>100</v>
      </c>
    </row>
    <row r="2" spans="1:7" x14ac:dyDescent="0.25">
      <c r="A2" s="11" t="s">
        <v>21</v>
      </c>
      <c r="B2" s="2" t="s">
        <v>32</v>
      </c>
      <c r="C2" s="8">
        <v>0.70920000000000005</v>
      </c>
      <c r="D2" s="6">
        <f t="shared" ref="D2:D10" si="0">(1-10^(-C2))</f>
        <v>0.80465603436017441</v>
      </c>
      <c r="E2" s="1">
        <v>273</v>
      </c>
      <c r="F2" t="s">
        <v>94</v>
      </c>
      <c r="G2" s="24"/>
    </row>
    <row r="3" spans="1:7" x14ac:dyDescent="0.25">
      <c r="A3" s="11" t="s">
        <v>31</v>
      </c>
      <c r="B3" s="2" t="s">
        <v>33</v>
      </c>
      <c r="C3" s="8">
        <v>1E-4</v>
      </c>
      <c r="D3" s="6">
        <f t="shared" si="0"/>
        <v>2.3023200184335568E-4</v>
      </c>
      <c r="E3" s="1">
        <v>280</v>
      </c>
      <c r="F3" t="s">
        <v>95</v>
      </c>
      <c r="G3" s="24"/>
    </row>
    <row r="4" spans="1:7" x14ac:dyDescent="0.25">
      <c r="A4" s="11" t="s">
        <v>30</v>
      </c>
      <c r="B4" s="2" t="s">
        <v>34</v>
      </c>
      <c r="C4" s="8">
        <v>1.5495000000000001</v>
      </c>
      <c r="D4" s="6">
        <f t="shared" si="0"/>
        <v>0.97178370416909199</v>
      </c>
      <c r="E4" s="1">
        <v>299</v>
      </c>
      <c r="F4" t="s">
        <v>91</v>
      </c>
      <c r="G4" s="24"/>
    </row>
    <row r="5" spans="1:7" x14ac:dyDescent="0.25">
      <c r="A5" s="11" t="s">
        <v>23</v>
      </c>
      <c r="B5" s="2" t="s">
        <v>35</v>
      </c>
      <c r="C5" s="8">
        <v>0.4667</v>
      </c>
      <c r="D5" s="6">
        <f t="shared" si="0"/>
        <v>0.65857131924203127</v>
      </c>
      <c r="E5" s="1">
        <v>279</v>
      </c>
      <c r="F5" t="s">
        <v>96</v>
      </c>
      <c r="G5" s="24"/>
    </row>
    <row r="6" spans="1:7" x14ac:dyDescent="0.25">
      <c r="A6" s="11" t="s">
        <v>28</v>
      </c>
      <c r="B6" s="2" t="s">
        <v>36</v>
      </c>
      <c r="C6" s="1">
        <v>1.8E-3</v>
      </c>
      <c r="D6" s="6">
        <f t="shared" si="0"/>
        <v>4.1360759464106334E-3</v>
      </c>
      <c r="E6" s="1">
        <v>299</v>
      </c>
      <c r="F6" t="s">
        <v>97</v>
      </c>
      <c r="G6" s="24"/>
    </row>
    <row r="7" spans="1:7" x14ac:dyDescent="0.25">
      <c r="A7" s="11" t="s">
        <v>29</v>
      </c>
      <c r="B7" s="2" t="s">
        <v>37</v>
      </c>
      <c r="C7" s="8">
        <v>0.95809999999999995</v>
      </c>
      <c r="D7" s="6">
        <f t="shared" si="0"/>
        <v>0.88987143000589297</v>
      </c>
      <c r="E7" s="1">
        <v>306</v>
      </c>
      <c r="F7" t="s">
        <v>98</v>
      </c>
      <c r="G7" s="24"/>
    </row>
    <row r="8" spans="1:7" x14ac:dyDescent="0.25">
      <c r="A8" s="11" t="s">
        <v>60</v>
      </c>
      <c r="B8" s="2" t="s">
        <v>61</v>
      </c>
      <c r="C8" s="8">
        <v>0.877</v>
      </c>
      <c r="D8" s="6">
        <f t="shared" si="0"/>
        <v>0.86726055422702608</v>
      </c>
      <c r="E8" s="1">
        <v>323</v>
      </c>
      <c r="F8" t="s">
        <v>92</v>
      </c>
      <c r="G8" s="24"/>
    </row>
    <row r="9" spans="1:7" x14ac:dyDescent="0.25">
      <c r="A9" s="11" t="s">
        <v>79</v>
      </c>
      <c r="B9" s="2" t="s">
        <v>80</v>
      </c>
      <c r="C9" s="8">
        <v>0.27400000000000002</v>
      </c>
      <c r="D9" s="6">
        <f t="shared" si="0"/>
        <v>0.46789174073320583</v>
      </c>
      <c r="E9" s="1">
        <v>281</v>
      </c>
      <c r="F9" t="s">
        <v>99</v>
      </c>
      <c r="G9" s="24"/>
    </row>
    <row r="10" spans="1:7" x14ac:dyDescent="0.25">
      <c r="A10" s="11" t="s">
        <v>63</v>
      </c>
      <c r="B10" s="2" t="s">
        <v>64</v>
      </c>
      <c r="C10" s="8">
        <v>1.9540999999999999</v>
      </c>
      <c r="D10" s="6">
        <f t="shared" si="0"/>
        <v>0.98888524228939489</v>
      </c>
      <c r="E10" s="1">
        <v>309</v>
      </c>
      <c r="F10" t="s">
        <v>93</v>
      </c>
      <c r="G10" s="2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RESULTS</vt:lpstr>
      <vt:lpstr>IP(a)</vt:lpstr>
      <vt:lpstr>EA</vt:lpstr>
      <vt:lpstr>Molecular properties</vt:lpstr>
      <vt:lpstr>FF</vt:lpstr>
      <vt:lpstr>PCE(OSC)</vt:lpstr>
      <vt:lpstr>PCE(DSSC)</vt:lpstr>
      <vt:lpstr>Absorption-Emission</vt:lpstr>
      <vt:lpstr>LHE-wb97xD</vt:lpstr>
      <vt:lpstr>LHE-B3LYP</vt:lpstr>
      <vt:lpstr>Driving-force</vt:lpstr>
      <vt:lpstr>Functional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Nathália Magalhães Paixão</dc:creator>
  <cp:lastModifiedBy>Nathália Magalhães Paixão</cp:lastModifiedBy>
  <dcterms:created xsi:type="dcterms:W3CDTF">2023-01-17T12:39:21Z</dcterms:created>
  <dcterms:modified xsi:type="dcterms:W3CDTF">2024-09-26T18:35:34Z</dcterms:modified>
</cp:coreProperties>
</file>