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c20dd28598004d/Documents/Quin/Business Analytics/Coventry/7031SSL - Applied Marketing Analytics/CW1/"/>
    </mc:Choice>
  </mc:AlternateContent>
  <xr:revisionPtr revIDLastSave="51" documentId="8_{C49000A2-1867-4B79-99C4-C30C246978AB}" xr6:coauthVersionLast="47" xr6:coauthVersionMax="47" xr10:uidLastSave="{658F7969-7597-408C-BD54-86287BE1693E}"/>
  <bookViews>
    <workbookView xWindow="-120" yWindow="-120" windowWidth="29040" windowHeight="15720" xr2:uid="{53D89C8E-43F5-4E43-AF68-F4CDAD690114}"/>
  </bookViews>
  <sheets>
    <sheet name="Data_All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" i="1" l="1"/>
  <c r="AF25" i="1"/>
  <c r="AE25" i="1"/>
  <c r="AD25" i="1"/>
  <c r="W25" i="1"/>
  <c r="V25" i="1"/>
  <c r="U25" i="1"/>
  <c r="T25" i="1"/>
  <c r="R25" i="1"/>
  <c r="Q25" i="1"/>
  <c r="P25" i="1"/>
  <c r="O25" i="1"/>
  <c r="K25" i="1"/>
  <c r="J25" i="1"/>
  <c r="I25" i="1"/>
  <c r="H25" i="1"/>
  <c r="G25" i="1"/>
  <c r="F25" i="1"/>
  <c r="A25" i="1"/>
  <c r="AG24" i="1"/>
  <c r="AF24" i="1"/>
  <c r="AE24" i="1"/>
  <c r="AD24" i="1"/>
  <c r="W24" i="1"/>
  <c r="V24" i="1"/>
  <c r="U24" i="1"/>
  <c r="T24" i="1"/>
  <c r="N24" i="1"/>
  <c r="M24" i="1"/>
  <c r="L24" i="1"/>
  <c r="F24" i="1"/>
  <c r="AG23" i="1"/>
  <c r="AF23" i="1"/>
  <c r="AE23" i="1"/>
  <c r="AD23" i="1"/>
  <c r="W23" i="1"/>
  <c r="V23" i="1"/>
  <c r="U23" i="1"/>
  <c r="T23" i="1"/>
  <c r="N23" i="1"/>
  <c r="M23" i="1"/>
  <c r="L23" i="1"/>
  <c r="F23" i="1"/>
  <c r="AG22" i="1"/>
  <c r="AF22" i="1"/>
  <c r="AE22" i="1"/>
  <c r="AD22" i="1"/>
  <c r="W22" i="1"/>
  <c r="V22" i="1"/>
  <c r="U22" i="1"/>
  <c r="T22" i="1"/>
  <c r="N22" i="1"/>
  <c r="M22" i="1"/>
  <c r="L22" i="1"/>
  <c r="F22" i="1"/>
  <c r="AG21" i="1"/>
  <c r="AF21" i="1"/>
  <c r="AE21" i="1"/>
  <c r="AD21" i="1"/>
  <c r="W21" i="1"/>
  <c r="V21" i="1"/>
  <c r="U21" i="1"/>
  <c r="T21" i="1"/>
  <c r="R21" i="1"/>
  <c r="Q21" i="1"/>
  <c r="P21" i="1"/>
  <c r="O21" i="1"/>
  <c r="K21" i="1"/>
  <c r="J21" i="1"/>
  <c r="I21" i="1"/>
  <c r="H21" i="1"/>
  <c r="G21" i="1"/>
  <c r="F21" i="1"/>
  <c r="AG20" i="1"/>
  <c r="AF20" i="1"/>
  <c r="AE20" i="1"/>
  <c r="AD20" i="1"/>
  <c r="W20" i="1"/>
  <c r="V20" i="1"/>
  <c r="U20" i="1"/>
  <c r="T20" i="1"/>
  <c r="N20" i="1"/>
  <c r="M20" i="1"/>
  <c r="L20" i="1"/>
  <c r="F20" i="1"/>
  <c r="AG19" i="1"/>
  <c r="AF19" i="1"/>
  <c r="AE19" i="1"/>
  <c r="AD19" i="1"/>
  <c r="W19" i="1"/>
  <c r="V19" i="1"/>
  <c r="U19" i="1"/>
  <c r="T19" i="1"/>
  <c r="N19" i="1"/>
  <c r="M19" i="1"/>
  <c r="L19" i="1"/>
  <c r="F19" i="1"/>
  <c r="AG18" i="1"/>
  <c r="AF18" i="1"/>
  <c r="AE18" i="1"/>
  <c r="AD18" i="1"/>
  <c r="W18" i="1"/>
  <c r="V18" i="1"/>
  <c r="U18" i="1"/>
  <c r="T18" i="1"/>
  <c r="N18" i="1"/>
  <c r="M18" i="1"/>
  <c r="L18" i="1"/>
  <c r="F18" i="1"/>
  <c r="AG17" i="1"/>
  <c r="AF17" i="1"/>
  <c r="AE17" i="1"/>
  <c r="AD17" i="1"/>
  <c r="W17" i="1"/>
  <c r="V17" i="1"/>
  <c r="U17" i="1"/>
  <c r="T17" i="1"/>
  <c r="R17" i="1"/>
  <c r="Q17" i="1"/>
  <c r="P17" i="1"/>
  <c r="O17" i="1"/>
  <c r="K17" i="1"/>
  <c r="J17" i="1"/>
  <c r="I17" i="1"/>
  <c r="H17" i="1"/>
  <c r="G17" i="1"/>
  <c r="E17" i="1"/>
  <c r="D17" i="1"/>
  <c r="AG16" i="1"/>
  <c r="AF16" i="1"/>
  <c r="AE16" i="1"/>
  <c r="AD16" i="1"/>
  <c r="W16" i="1"/>
  <c r="V16" i="1"/>
  <c r="U16" i="1"/>
  <c r="T16" i="1"/>
  <c r="N16" i="1"/>
  <c r="M16" i="1"/>
  <c r="L16" i="1"/>
  <c r="F16" i="1"/>
  <c r="AG15" i="1"/>
  <c r="AF15" i="1"/>
  <c r="AE15" i="1"/>
  <c r="AD15" i="1"/>
  <c r="W15" i="1"/>
  <c r="V15" i="1"/>
  <c r="U15" i="1"/>
  <c r="T15" i="1"/>
  <c r="N15" i="1"/>
  <c r="M15" i="1"/>
  <c r="L15" i="1"/>
  <c r="F15" i="1"/>
  <c r="AG14" i="1"/>
  <c r="AF14" i="1"/>
  <c r="AE14" i="1"/>
  <c r="AD14" i="1"/>
  <c r="W14" i="1"/>
  <c r="V14" i="1"/>
  <c r="U14" i="1"/>
  <c r="T14" i="1"/>
  <c r="N14" i="1"/>
  <c r="M14" i="1"/>
  <c r="L14" i="1"/>
  <c r="F14" i="1"/>
  <c r="AG13" i="1"/>
  <c r="AF13" i="1"/>
  <c r="AE13" i="1"/>
  <c r="AD13" i="1"/>
  <c r="W13" i="1"/>
  <c r="V13" i="1"/>
  <c r="U13" i="1"/>
  <c r="T13" i="1"/>
  <c r="R13" i="1"/>
  <c r="Q13" i="1"/>
  <c r="P13" i="1"/>
  <c r="O13" i="1"/>
  <c r="K13" i="1"/>
  <c r="J13" i="1"/>
  <c r="I13" i="1"/>
  <c r="H13" i="1"/>
  <c r="G13" i="1"/>
  <c r="F13" i="1"/>
  <c r="AG12" i="1"/>
  <c r="AF12" i="1"/>
  <c r="AE12" i="1"/>
  <c r="AD12" i="1"/>
  <c r="W12" i="1"/>
  <c r="V12" i="1"/>
  <c r="U12" i="1"/>
  <c r="T12" i="1"/>
  <c r="N12" i="1"/>
  <c r="M12" i="1"/>
  <c r="L12" i="1"/>
  <c r="F12" i="1"/>
  <c r="AG11" i="1"/>
  <c r="AF11" i="1"/>
  <c r="AE11" i="1"/>
  <c r="AD11" i="1"/>
  <c r="W11" i="1"/>
  <c r="V11" i="1"/>
  <c r="U11" i="1"/>
  <c r="T11" i="1"/>
  <c r="N11" i="1"/>
  <c r="M11" i="1"/>
  <c r="L11" i="1"/>
  <c r="F11" i="1"/>
  <c r="AG10" i="1"/>
  <c r="AF10" i="1"/>
  <c r="AE10" i="1"/>
  <c r="AD10" i="1"/>
  <c r="W10" i="1"/>
  <c r="V10" i="1"/>
  <c r="U10" i="1"/>
  <c r="T10" i="1"/>
  <c r="N10" i="1"/>
  <c r="M10" i="1"/>
  <c r="L10" i="1"/>
  <c r="F10" i="1"/>
  <c r="AG9" i="1"/>
  <c r="AF9" i="1"/>
  <c r="AE9" i="1"/>
  <c r="AD9" i="1"/>
  <c r="W9" i="1"/>
  <c r="V9" i="1"/>
  <c r="U9" i="1"/>
  <c r="T9" i="1"/>
  <c r="R9" i="1"/>
  <c r="Q9" i="1"/>
  <c r="P9" i="1"/>
  <c r="O9" i="1"/>
  <c r="K9" i="1"/>
  <c r="J9" i="1"/>
  <c r="I9" i="1"/>
  <c r="H9" i="1"/>
  <c r="G9" i="1"/>
  <c r="E9" i="1"/>
  <c r="D9" i="1"/>
  <c r="AG8" i="1"/>
  <c r="AF8" i="1"/>
  <c r="AE8" i="1"/>
  <c r="AD8" i="1"/>
  <c r="W8" i="1"/>
  <c r="V8" i="1"/>
  <c r="U8" i="1"/>
  <c r="T8" i="1"/>
  <c r="N8" i="1"/>
  <c r="M8" i="1"/>
  <c r="L8" i="1"/>
  <c r="F8" i="1"/>
  <c r="AG7" i="1"/>
  <c r="AF7" i="1"/>
  <c r="AE7" i="1"/>
  <c r="AD7" i="1"/>
  <c r="W7" i="1"/>
  <c r="V7" i="1"/>
  <c r="U7" i="1"/>
  <c r="T7" i="1"/>
  <c r="N7" i="1"/>
  <c r="M7" i="1"/>
  <c r="L7" i="1"/>
  <c r="F7" i="1"/>
  <c r="AG6" i="1"/>
  <c r="AF6" i="1"/>
  <c r="AE6" i="1"/>
  <c r="AD6" i="1"/>
  <c r="W6" i="1"/>
  <c r="V6" i="1"/>
  <c r="U6" i="1"/>
  <c r="T6" i="1"/>
  <c r="N6" i="1"/>
  <c r="M6" i="1"/>
  <c r="L6" i="1"/>
  <c r="F6" i="1"/>
  <c r="AG5" i="1"/>
  <c r="AF5" i="1"/>
  <c r="AE5" i="1"/>
  <c r="AD5" i="1"/>
  <c r="W5" i="1"/>
  <c r="V5" i="1"/>
  <c r="U5" i="1"/>
  <c r="T5" i="1"/>
  <c r="R5" i="1"/>
  <c r="P5" i="1"/>
  <c r="O5" i="1"/>
  <c r="K5" i="1"/>
  <c r="J5" i="1"/>
  <c r="I5" i="1"/>
  <c r="H5" i="1"/>
  <c r="G5" i="1"/>
  <c r="E5" i="1"/>
  <c r="D5" i="1"/>
  <c r="AG4" i="1"/>
  <c r="AF4" i="1"/>
  <c r="AE4" i="1"/>
  <c r="AD4" i="1"/>
  <c r="W4" i="1"/>
  <c r="V4" i="1"/>
  <c r="U4" i="1"/>
  <c r="T4" i="1"/>
  <c r="N4" i="1"/>
  <c r="M4" i="1"/>
  <c r="L4" i="1"/>
  <c r="F4" i="1"/>
  <c r="AG3" i="1"/>
  <c r="AF3" i="1"/>
  <c r="AE3" i="1"/>
  <c r="AD3" i="1"/>
  <c r="W3" i="1"/>
  <c r="V3" i="1"/>
  <c r="U3" i="1"/>
  <c r="T3" i="1"/>
  <c r="N3" i="1"/>
  <c r="M3" i="1"/>
  <c r="L3" i="1"/>
  <c r="F3" i="1"/>
  <c r="AG2" i="1"/>
  <c r="AF2" i="1"/>
  <c r="AE2" i="1"/>
  <c r="AD2" i="1"/>
  <c r="W2" i="1"/>
  <c r="V2" i="1"/>
  <c r="U2" i="1"/>
  <c r="T2" i="1"/>
  <c r="N2" i="1"/>
  <c r="M2" i="1"/>
  <c r="L2" i="1"/>
  <c r="F2" i="1"/>
  <c r="M25" i="1" l="1"/>
  <c r="N5" i="1"/>
  <c r="F9" i="1"/>
  <c r="N25" i="1"/>
  <c r="M13" i="1"/>
  <c r="N9" i="1"/>
  <c r="M17" i="1"/>
  <c r="L9" i="1"/>
  <c r="F5" i="1"/>
  <c r="L17" i="1"/>
  <c r="N21" i="1"/>
  <c r="M9" i="1"/>
  <c r="L13" i="1"/>
  <c r="N17" i="1"/>
  <c r="L25" i="1"/>
  <c r="M5" i="1"/>
  <c r="N13" i="1"/>
  <c r="F17" i="1"/>
  <c r="L21" i="1"/>
  <c r="L5" i="1"/>
  <c r="M21" i="1"/>
</calcChain>
</file>

<file path=xl/sharedStrings.xml><?xml version="1.0" encoding="utf-8"?>
<sst xmlns="http://schemas.openxmlformats.org/spreadsheetml/2006/main" count="162" uniqueCount="77">
  <si>
    <t>Quarter</t>
  </si>
  <si>
    <t>Year</t>
  </si>
  <si>
    <t>Time scope</t>
  </si>
  <si>
    <t>Premium_Revenue</t>
  </si>
  <si>
    <t>Adsupported_Revenue</t>
  </si>
  <si>
    <t>Total_Revenue</t>
  </si>
  <si>
    <t>Premium_COR</t>
  </si>
  <si>
    <t>Adsupported_COR</t>
  </si>
  <si>
    <t>RnD_Exp</t>
  </si>
  <si>
    <t>Sales_Mkt_Exp</t>
  </si>
  <si>
    <t>Admin_Exp</t>
  </si>
  <si>
    <t>RnD_Exp_US</t>
  </si>
  <si>
    <t>Sales_Mkt_Exp_US</t>
  </si>
  <si>
    <t>Admin_Exp_US</t>
  </si>
  <si>
    <t>Rev_US</t>
  </si>
  <si>
    <t>Rev_UK</t>
  </si>
  <si>
    <t>Rev_Luxembourg</t>
  </si>
  <si>
    <t>Rev_Others</t>
  </si>
  <si>
    <t>MAUs</t>
  </si>
  <si>
    <t>MAUs_North_America</t>
  </si>
  <si>
    <t>MAUs_Latin_America</t>
  </si>
  <si>
    <t>MAUs_Europe</t>
  </si>
  <si>
    <t>MAUs_Others</t>
  </si>
  <si>
    <t>Adsupported_MAUs</t>
  </si>
  <si>
    <t>Premium_subscribers</t>
  </si>
  <si>
    <t>PS_North_America</t>
  </si>
  <si>
    <t>PS_Latin_America</t>
  </si>
  <si>
    <t>PS_Europe</t>
  </si>
  <si>
    <t>PS_Others</t>
  </si>
  <si>
    <t>ARPU</t>
  </si>
  <si>
    <t>PodcastsNo</t>
  </si>
  <si>
    <t>Exchange rate US/EURO</t>
  </si>
  <si>
    <t>Disposable_income_US</t>
  </si>
  <si>
    <t>Consumer_spending_US</t>
  </si>
  <si>
    <t>Q1</t>
  </si>
  <si>
    <t>Q2</t>
  </si>
  <si>
    <t>Q3</t>
  </si>
  <si>
    <t>Q4</t>
  </si>
  <si>
    <t>million euro</t>
  </si>
  <si>
    <t>Var name</t>
  </si>
  <si>
    <t>Description</t>
  </si>
  <si>
    <t>Ad-supported revenue</t>
  </si>
  <si>
    <t>Premium revenue</t>
  </si>
  <si>
    <t>Total revenue</t>
  </si>
  <si>
    <t>Premium cost of revenue</t>
  </si>
  <si>
    <t>Ad-supported cost of revenue</t>
  </si>
  <si>
    <t>Research and Development expense in the US</t>
  </si>
  <si>
    <t>Worldwide Research and Development expense</t>
  </si>
  <si>
    <t>Worldwide  Sales &amp; Marketing expense</t>
  </si>
  <si>
    <t>Worldwide Administration expense</t>
  </si>
  <si>
    <t>Sales &amp; Marketing expense in the US</t>
  </si>
  <si>
    <t>Administration expense in the US</t>
  </si>
  <si>
    <t>Revenue in the US</t>
  </si>
  <si>
    <t>Revenue in the UK</t>
  </si>
  <si>
    <t>Revenue in Luxembourg</t>
  </si>
  <si>
    <t>Revenue in Rest of the World</t>
  </si>
  <si>
    <t>Worldwide Monthly Active Users</t>
  </si>
  <si>
    <t>MAUs in North America</t>
  </si>
  <si>
    <t>MAUs in Latin America</t>
  </si>
  <si>
    <t>MAUs in Europe</t>
  </si>
  <si>
    <t>MAUs in rest of the world</t>
  </si>
  <si>
    <t>Worldwide Ad-supported MAUs</t>
  </si>
  <si>
    <t>Worldwide Premium subscribers</t>
  </si>
  <si>
    <t>Premium subscriber in North America</t>
  </si>
  <si>
    <t>Premium subscriber in Latin America</t>
  </si>
  <si>
    <t>Premium subscriber in Europe</t>
  </si>
  <si>
    <t>Premium subscriber in rest of the world</t>
  </si>
  <si>
    <t>million people</t>
  </si>
  <si>
    <t>Premium average revenue per user</t>
  </si>
  <si>
    <t>Euro</t>
  </si>
  <si>
    <t>Number of podcasts</t>
  </si>
  <si>
    <t>Podcast</t>
  </si>
  <si>
    <t>Quarterly Disposable income in the US</t>
  </si>
  <si>
    <t>Quarterly Exchange rate US/EURO</t>
  </si>
  <si>
    <t>Quarterly Consumer spending in the US</t>
  </si>
  <si>
    <t>Dollar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</si>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</sst>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8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wrapText="1"/>
    </xf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2" borderId="0" xfId="1" applyNumberFormat="1" applyFont="1" applyFill="1" applyBorder="1"/>
    <xf numFmtId="165" fontId="0" fillId="2" borderId="1" xfId="1" applyNumberFormat="1" applyFont="1" applyFill="1" applyBorder="1"/>
    <xf numFmtId="165" fontId="0" fillId="3" borderId="0" xfId="1" applyNumberFormat="1" applyFont="1" applyFill="1"/>
    <xf numFmtId="165" fontId="0" fillId="0" borderId="0" xfId="1" applyNumberFormat="1" applyFont="1" applyBorder="1"/>
    <xf numFmtId="9" fontId="0" fillId="0" borderId="0" xfId="2" applyFont="1" applyBorder="1"/>
    <xf numFmtId="9" fontId="0" fillId="0" borderId="0" xfId="2" applyFont="1"/>
    <xf numFmtId="9" fontId="0" fillId="0" borderId="1" xfId="2" applyFont="1" applyBorder="1"/>
    <xf numFmtId="164" fontId="0" fillId="0" borderId="1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2" borderId="4" xfId="1" applyNumberFormat="1" applyFont="1" applyFill="1" applyBorder="1"/>
    <xf numFmtId="165" fontId="0" fillId="2" borderId="5" xfId="1" applyNumberFormat="1" applyFont="1" applyFill="1" applyBorder="1"/>
    <xf numFmtId="165" fontId="0" fillId="3" borderId="4" xfId="1" applyNumberFormat="1" applyFont="1" applyFill="1" applyBorder="1"/>
    <xf numFmtId="9" fontId="0" fillId="0" borderId="4" xfId="2" applyFont="1" applyBorder="1"/>
    <xf numFmtId="9" fontId="0" fillId="0" borderId="5" xfId="2" applyFont="1" applyBorder="1"/>
    <xf numFmtId="164" fontId="0" fillId="0" borderId="5" xfId="1" applyNumberFormat="1" applyFont="1" applyBorder="1"/>
    <xf numFmtId="165" fontId="0" fillId="0" borderId="0" xfId="1" applyNumberFormat="1" applyFont="1" applyFill="1" applyBorder="1"/>
    <xf numFmtId="165" fontId="0" fillId="3" borderId="0" xfId="1" applyNumberFormat="1" applyFont="1" applyFill="1" applyBorder="1"/>
    <xf numFmtId="165" fontId="0" fillId="0" borderId="1" xfId="1" applyNumberFormat="1" applyFont="1" applyFill="1" applyBorder="1"/>
    <xf numFmtId="9" fontId="0" fillId="0" borderId="0" xfId="2" applyFont="1" applyFill="1" applyBorder="1"/>
    <xf numFmtId="9" fontId="0" fillId="0" borderId="1" xfId="2" applyFont="1" applyFill="1" applyBorder="1"/>
    <xf numFmtId="164" fontId="0" fillId="0" borderId="1" xfId="1" applyNumberFormat="1" applyFont="1" applyFill="1" applyBorder="1"/>
    <xf numFmtId="9" fontId="0" fillId="0" borderId="0" xfId="0" applyNumberFormat="1"/>
    <xf numFmtId="9" fontId="0" fillId="0" borderId="1" xfId="0" applyNumberFormat="1" applyBorder="1"/>
    <xf numFmtId="43" fontId="0" fillId="0" borderId="1" xfId="1" applyFont="1" applyFill="1" applyBorder="1"/>
    <xf numFmtId="164" fontId="0" fillId="0" borderId="0" xfId="1" applyNumberFormat="1" applyFont="1" applyFill="1" applyBorder="1"/>
    <xf numFmtId="0" fontId="2" fillId="0" borderId="0" xfId="0" applyFont="1"/>
    <xf numFmtId="168" fontId="0" fillId="0" borderId="1" xfId="1" applyNumberFormat="1" applyFont="1" applyBorder="1"/>
    <xf numFmtId="168" fontId="0" fillId="0" borderId="5" xfId="1" applyNumberFormat="1" applyFont="1" applyBorder="1"/>
    <xf numFmtId="168" fontId="0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C09D-7020-4615-9D6E-69D2ADCB323F}">
  <dimension ref="A1:AP25"/>
  <sheetViews>
    <sheetView tabSelected="1" zoomScale="85" zoomScaleNormal="85" workbookViewId="0">
      <pane xSplit="3" ySplit="1" topLeftCell="N2" activePane="bottomRight" state="frozen"/>
      <selection pane="topRight" activeCell="C1" sqref="C1"/>
      <selection pane="bottomLeft" activeCell="A3" sqref="A3"/>
      <selection pane="bottomRight" activeCell="Y1" sqref="Y1"/>
    </sheetView>
  </sheetViews>
  <sheetFormatPr defaultRowHeight="15" x14ac:dyDescent="0.25"/>
  <cols>
    <col min="1" max="1" width="11.5703125" bestFit="1" customWidth="1"/>
    <col min="2" max="2" width="8" customWidth="1"/>
    <col min="3" max="3" width="6.7109375" customWidth="1"/>
    <col min="4" max="4" width="12.85546875" customWidth="1"/>
    <col min="5" max="5" width="17.28515625" customWidth="1"/>
    <col min="6" max="6" width="13.140625" customWidth="1"/>
    <col min="7" max="7" width="15.42578125" customWidth="1"/>
    <col min="8" max="8" width="13" customWidth="1"/>
    <col min="9" max="9" width="11.7109375" customWidth="1"/>
    <col min="10" max="10" width="10.5703125" customWidth="1"/>
    <col min="11" max="11" width="9.28515625" bestFit="1" customWidth="1"/>
    <col min="12" max="12" width="9.28515625" customWidth="1"/>
    <col min="13" max="13" width="12.85546875" customWidth="1"/>
    <col min="14" max="14" width="9.28515625" customWidth="1"/>
    <col min="15" max="15" width="15.140625" customWidth="1"/>
    <col min="16" max="17" width="9.28515625" bestFit="1" customWidth="1"/>
    <col min="18" max="18" width="9.5703125" bestFit="1" customWidth="1"/>
    <col min="19" max="23" width="10.85546875" customWidth="1"/>
    <col min="24" max="24" width="13.42578125" customWidth="1"/>
    <col min="25" max="27" width="9.140625" customWidth="1"/>
    <col min="28" max="28" width="13.85546875" customWidth="1"/>
    <col min="29" max="29" width="11" bestFit="1" customWidth="1"/>
    <col min="30" max="32" width="11" customWidth="1"/>
    <col min="33" max="33" width="10.28515625" bestFit="1" customWidth="1"/>
    <col min="34" max="35" width="9.5703125" bestFit="1" customWidth="1"/>
    <col min="36" max="36" width="8.140625" bestFit="1" customWidth="1"/>
    <col min="37" max="37" width="8.5703125" bestFit="1" customWidth="1"/>
    <col min="38" max="38" width="14.28515625" customWidth="1"/>
    <col min="39" max="39" width="10.28515625" style="41" customWidth="1"/>
    <col min="40" max="40" width="21" customWidth="1"/>
    <col min="41" max="41" width="13.5703125" customWidth="1"/>
    <col min="42" max="42" width="13.7109375" customWidth="1"/>
  </cols>
  <sheetData>
    <row r="1" spans="1:42" s="1" customFormat="1" ht="45.75" thickBot="1" x14ac:dyDescent="0.3">
      <c r="A1" s="3" t="s">
        <v>2</v>
      </c>
      <c r="B1" s="3" t="s">
        <v>0</v>
      </c>
      <c r="C1" s="4" t="s">
        <v>1</v>
      </c>
      <c r="D1" s="5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5" t="s">
        <v>15</v>
      </c>
      <c r="Q1" s="5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19</v>
      </c>
      <c r="Y1" s="5" t="s">
        <v>20</v>
      </c>
      <c r="Z1" s="5" t="s">
        <v>21</v>
      </c>
      <c r="AA1" s="5" t="s">
        <v>22</v>
      </c>
      <c r="AB1" s="2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2" t="s">
        <v>28</v>
      </c>
      <c r="AH1" s="5" t="s">
        <v>25</v>
      </c>
      <c r="AI1" s="5" t="s">
        <v>26</v>
      </c>
      <c r="AJ1" s="5" t="s">
        <v>27</v>
      </c>
      <c r="AK1" s="2" t="s">
        <v>28</v>
      </c>
      <c r="AL1" s="2" t="s">
        <v>29</v>
      </c>
      <c r="AM1" s="9" t="s">
        <v>30</v>
      </c>
      <c r="AN1" s="10" t="s">
        <v>31</v>
      </c>
      <c r="AO1" s="10" t="s">
        <v>32</v>
      </c>
      <c r="AP1" s="10" t="s">
        <v>33</v>
      </c>
    </row>
    <row r="2" spans="1:42" x14ac:dyDescent="0.25">
      <c r="A2">
        <v>1</v>
      </c>
      <c r="B2" t="s">
        <v>34</v>
      </c>
      <c r="C2" s="11">
        <v>2017</v>
      </c>
      <c r="D2" s="12">
        <v>828</v>
      </c>
      <c r="E2" s="13">
        <v>74</v>
      </c>
      <c r="F2" s="13">
        <f>E2+D2</f>
        <v>902</v>
      </c>
      <c r="G2" s="12">
        <v>710</v>
      </c>
      <c r="H2" s="13">
        <v>87</v>
      </c>
      <c r="I2" s="12">
        <v>80</v>
      </c>
      <c r="J2" s="12">
        <v>110</v>
      </c>
      <c r="K2" s="13">
        <v>54</v>
      </c>
      <c r="L2" s="14">
        <f>$O2/SUM($O2:$R2)*I2</f>
        <v>31.130820399113084</v>
      </c>
      <c r="M2" s="14">
        <f t="shared" ref="M2:N2" si="0">$O2/SUM($O2:$R2)*J2</f>
        <v>42.804878048780488</v>
      </c>
      <c r="N2" s="15">
        <f t="shared" si="0"/>
        <v>21.013303769401332</v>
      </c>
      <c r="O2" s="16">
        <v>351</v>
      </c>
      <c r="P2" s="12">
        <v>99</v>
      </c>
      <c r="Q2" s="17">
        <v>0</v>
      </c>
      <c r="R2" s="13">
        <v>452</v>
      </c>
      <c r="S2" s="12">
        <v>131</v>
      </c>
      <c r="T2" s="12">
        <f>$S2*X2</f>
        <v>41.92</v>
      </c>
      <c r="U2" s="12">
        <f t="shared" ref="U2:W17" si="1">$S2*Y2</f>
        <v>27.509999999999998</v>
      </c>
      <c r="V2" s="12">
        <f t="shared" si="1"/>
        <v>47.16</v>
      </c>
      <c r="W2" s="12">
        <f t="shared" si="1"/>
        <v>14.41</v>
      </c>
      <c r="X2" s="18">
        <v>0.32</v>
      </c>
      <c r="Y2" s="18">
        <v>0.21</v>
      </c>
      <c r="Z2" s="18">
        <v>0.36</v>
      </c>
      <c r="AA2" s="18">
        <v>0.11</v>
      </c>
      <c r="AB2" s="11">
        <v>82</v>
      </c>
      <c r="AC2">
        <v>52</v>
      </c>
      <c r="AD2">
        <f>$AC2*AH2</f>
        <v>16.12</v>
      </c>
      <c r="AE2">
        <f t="shared" ref="AE2:AG25" si="2">$AC2*AI2</f>
        <v>10.4</v>
      </c>
      <c r="AF2">
        <f t="shared" si="2"/>
        <v>20.8</v>
      </c>
      <c r="AG2">
        <f t="shared" si="2"/>
        <v>4.68</v>
      </c>
      <c r="AH2" s="19">
        <v>0.31</v>
      </c>
      <c r="AI2" s="19">
        <v>0.2</v>
      </c>
      <c r="AJ2" s="19">
        <v>0.4</v>
      </c>
      <c r="AK2" s="20">
        <v>0.09</v>
      </c>
      <c r="AL2" s="11">
        <v>5.46</v>
      </c>
      <c r="AM2" s="21">
        <v>0</v>
      </c>
      <c r="AN2" s="43">
        <v>1.0648</v>
      </c>
      <c r="AO2" s="21">
        <v>42294.666666666664</v>
      </c>
      <c r="AP2" s="13">
        <v>40022</v>
      </c>
    </row>
    <row r="3" spans="1:42" x14ac:dyDescent="0.25">
      <c r="A3">
        <v>2</v>
      </c>
      <c r="B3" t="s">
        <v>35</v>
      </c>
      <c r="C3" s="11">
        <v>2017</v>
      </c>
      <c r="D3" s="12">
        <v>904</v>
      </c>
      <c r="E3" s="13">
        <v>103</v>
      </c>
      <c r="F3" s="13">
        <f t="shared" ref="F3:F25" si="3">E3+D3</f>
        <v>1007</v>
      </c>
      <c r="G3" s="12">
        <v>686</v>
      </c>
      <c r="H3" s="13">
        <v>89</v>
      </c>
      <c r="I3" s="12">
        <v>95</v>
      </c>
      <c r="J3" s="12">
        <v>146</v>
      </c>
      <c r="K3" s="13">
        <v>70</v>
      </c>
      <c r="L3" s="14">
        <f t="shared" ref="L3:L25" si="4">$O3/SUM($O3:$R3)*I3</f>
        <v>37.264150943396224</v>
      </c>
      <c r="M3" s="14">
        <f t="shared" ref="M3:M25" si="5">$O3/SUM($O3:$R3)*J3</f>
        <v>57.269116186693147</v>
      </c>
      <c r="N3" s="15">
        <f t="shared" ref="N3:N25" si="6">$O3/SUM($O3:$R3)*K3</f>
        <v>27.457795431976166</v>
      </c>
      <c r="O3" s="16">
        <v>395</v>
      </c>
      <c r="P3" s="12">
        <v>109</v>
      </c>
      <c r="Q3" s="17">
        <v>1</v>
      </c>
      <c r="R3" s="13">
        <v>502</v>
      </c>
      <c r="S3" s="12">
        <v>138</v>
      </c>
      <c r="T3" s="12">
        <f t="shared" ref="T3:W25" si="7">$S3*X3</f>
        <v>42.78</v>
      </c>
      <c r="U3" s="12">
        <f t="shared" si="1"/>
        <v>28.98</v>
      </c>
      <c r="V3" s="12">
        <f t="shared" si="1"/>
        <v>51.06</v>
      </c>
      <c r="W3" s="12">
        <f t="shared" si="1"/>
        <v>15.18</v>
      </c>
      <c r="X3" s="18">
        <v>0.31</v>
      </c>
      <c r="Y3" s="18">
        <v>0.21</v>
      </c>
      <c r="Z3" s="18">
        <v>0.37</v>
      </c>
      <c r="AA3" s="18">
        <v>0.11</v>
      </c>
      <c r="AB3" s="11">
        <v>83</v>
      </c>
      <c r="AC3">
        <v>59</v>
      </c>
      <c r="AD3">
        <f t="shared" ref="AD3:AD25" si="8">$AC3*AH3</f>
        <v>18.29</v>
      </c>
      <c r="AE3">
        <f t="shared" si="2"/>
        <v>11.8</v>
      </c>
      <c r="AF3">
        <f t="shared" si="2"/>
        <v>23.6</v>
      </c>
      <c r="AG3">
        <f t="shared" si="2"/>
        <v>5.31</v>
      </c>
      <c r="AH3" s="19">
        <v>0.31</v>
      </c>
      <c r="AI3" s="19">
        <v>0.2</v>
      </c>
      <c r="AJ3" s="19">
        <v>0.4</v>
      </c>
      <c r="AK3" s="20">
        <v>0.09</v>
      </c>
      <c r="AL3" s="11">
        <v>5.53</v>
      </c>
      <c r="AM3" s="21">
        <v>0</v>
      </c>
      <c r="AN3" s="43">
        <v>1.1021000000000001</v>
      </c>
      <c r="AO3" s="21">
        <v>42649</v>
      </c>
      <c r="AP3" s="13">
        <v>40220</v>
      </c>
    </row>
    <row r="4" spans="1:42" x14ac:dyDescent="0.25">
      <c r="A4">
        <v>3</v>
      </c>
      <c r="B4" t="s">
        <v>36</v>
      </c>
      <c r="C4" s="11">
        <v>2017</v>
      </c>
      <c r="D4" s="12">
        <v>923</v>
      </c>
      <c r="E4" s="13">
        <v>109</v>
      </c>
      <c r="F4" s="13">
        <f t="shared" si="3"/>
        <v>1032</v>
      </c>
      <c r="G4" s="12">
        <v>711</v>
      </c>
      <c r="H4" s="13">
        <v>91</v>
      </c>
      <c r="I4" s="12">
        <v>98</v>
      </c>
      <c r="J4" s="12">
        <v>138</v>
      </c>
      <c r="K4" s="13">
        <v>67</v>
      </c>
      <c r="L4" s="14">
        <f t="shared" si="4"/>
        <v>37.509689922480618</v>
      </c>
      <c r="M4" s="14">
        <f t="shared" si="5"/>
        <v>52.819767441860463</v>
      </c>
      <c r="N4" s="15">
        <f t="shared" si="6"/>
        <v>25.644379844961243</v>
      </c>
      <c r="O4" s="16">
        <v>395</v>
      </c>
      <c r="P4" s="12">
        <v>111</v>
      </c>
      <c r="Q4" s="17">
        <v>1</v>
      </c>
      <c r="R4" s="13">
        <v>525</v>
      </c>
      <c r="S4" s="12">
        <v>150</v>
      </c>
      <c r="T4" s="12">
        <f t="shared" si="7"/>
        <v>46.5</v>
      </c>
      <c r="U4" s="12">
        <f t="shared" si="1"/>
        <v>33</v>
      </c>
      <c r="V4" s="12">
        <f t="shared" si="1"/>
        <v>54</v>
      </c>
      <c r="W4" s="12">
        <f t="shared" si="1"/>
        <v>16.5</v>
      </c>
      <c r="X4" s="18">
        <v>0.31</v>
      </c>
      <c r="Y4" s="18">
        <v>0.22</v>
      </c>
      <c r="Z4" s="18">
        <v>0.36</v>
      </c>
      <c r="AA4" s="18">
        <v>0.11</v>
      </c>
      <c r="AB4" s="11">
        <v>91</v>
      </c>
      <c r="AC4">
        <v>62</v>
      </c>
      <c r="AD4">
        <f t="shared" si="8"/>
        <v>19.22</v>
      </c>
      <c r="AE4">
        <f t="shared" si="2"/>
        <v>12.4</v>
      </c>
      <c r="AF4">
        <f t="shared" si="2"/>
        <v>24.8</v>
      </c>
      <c r="AG4">
        <f t="shared" si="2"/>
        <v>5.58</v>
      </c>
      <c r="AH4" s="19">
        <v>0.31</v>
      </c>
      <c r="AI4" s="19">
        <v>0.2</v>
      </c>
      <c r="AJ4" s="19">
        <v>0.4</v>
      </c>
      <c r="AK4" s="20">
        <v>0.09</v>
      </c>
      <c r="AL4" s="11">
        <v>5.0599999999999996</v>
      </c>
      <c r="AM4" s="21">
        <v>0</v>
      </c>
      <c r="AN4" s="43">
        <v>1.1746000000000001</v>
      </c>
      <c r="AO4" s="21">
        <v>42816.333333333336</v>
      </c>
      <c r="AP4" s="13">
        <v>40534</v>
      </c>
    </row>
    <row r="5" spans="1:42" x14ac:dyDescent="0.25">
      <c r="A5" s="22">
        <v>4</v>
      </c>
      <c r="B5" s="22" t="s">
        <v>37</v>
      </c>
      <c r="C5" s="23">
        <v>2017</v>
      </c>
      <c r="D5" s="24">
        <f>3674-SUM(D2:D4)</f>
        <v>1019</v>
      </c>
      <c r="E5" s="25">
        <f>416-SUM(E2:E4)</f>
        <v>130</v>
      </c>
      <c r="F5" s="25">
        <f t="shared" si="3"/>
        <v>1149</v>
      </c>
      <c r="G5" s="24">
        <f>2221-SUM(G2:G4)</f>
        <v>114</v>
      </c>
      <c r="H5" s="25">
        <f>373-SUM(H2:H4)</f>
        <v>106</v>
      </c>
      <c r="I5" s="24">
        <f>396-SUM(I2:I4)</f>
        <v>123</v>
      </c>
      <c r="J5" s="24">
        <f>567-SUM(J2:J4)</f>
        <v>173</v>
      </c>
      <c r="K5" s="25">
        <f>264-SUM(K2:K4)</f>
        <v>73</v>
      </c>
      <c r="L5" s="26">
        <f t="shared" si="4"/>
        <v>46.67362924281985</v>
      </c>
      <c r="M5" s="26">
        <f t="shared" si="5"/>
        <v>65.646649260226283</v>
      </c>
      <c r="N5" s="27">
        <f t="shared" si="6"/>
        <v>27.700609225413405</v>
      </c>
      <c r="O5" s="28">
        <f>1577-SUM(O2:O4)</f>
        <v>436</v>
      </c>
      <c r="P5" s="24">
        <f>444-SUM(P2:P4)</f>
        <v>125</v>
      </c>
      <c r="Q5" s="24">
        <v>1</v>
      </c>
      <c r="R5" s="25">
        <f>2066-SUM(R2:R4)</f>
        <v>587</v>
      </c>
      <c r="S5" s="24">
        <v>157</v>
      </c>
      <c r="T5" s="24">
        <f t="shared" si="7"/>
        <v>47.1</v>
      </c>
      <c r="U5" s="24">
        <f t="shared" si="1"/>
        <v>34.54</v>
      </c>
      <c r="V5" s="24">
        <f t="shared" si="1"/>
        <v>56.519999999999996</v>
      </c>
      <c r="W5" s="24">
        <f t="shared" si="1"/>
        <v>18.84</v>
      </c>
      <c r="X5" s="29">
        <v>0.3</v>
      </c>
      <c r="Y5" s="29">
        <v>0.22</v>
      </c>
      <c r="Z5" s="29">
        <v>0.36</v>
      </c>
      <c r="AA5" s="29">
        <v>0.12</v>
      </c>
      <c r="AB5" s="23">
        <v>90</v>
      </c>
      <c r="AC5" s="22">
        <v>71</v>
      </c>
      <c r="AD5" s="22">
        <f t="shared" si="8"/>
        <v>21.3</v>
      </c>
      <c r="AE5" s="22">
        <f t="shared" si="2"/>
        <v>14.200000000000001</v>
      </c>
      <c r="AF5" s="22">
        <f t="shared" si="2"/>
        <v>28.400000000000002</v>
      </c>
      <c r="AG5" s="22">
        <f t="shared" si="2"/>
        <v>7.1000000000000005</v>
      </c>
      <c r="AH5" s="29">
        <v>0.3</v>
      </c>
      <c r="AI5" s="29">
        <v>0.2</v>
      </c>
      <c r="AJ5" s="29">
        <v>0.4</v>
      </c>
      <c r="AK5" s="30">
        <v>0.1</v>
      </c>
      <c r="AL5" s="23">
        <v>5.24</v>
      </c>
      <c r="AM5" s="31">
        <v>0</v>
      </c>
      <c r="AN5" s="44">
        <v>1.1774</v>
      </c>
      <c r="AO5" s="31">
        <v>42917.333333333336</v>
      </c>
      <c r="AP5" s="25">
        <v>41169</v>
      </c>
    </row>
    <row r="6" spans="1:42" x14ac:dyDescent="0.25">
      <c r="A6">
        <v>5</v>
      </c>
      <c r="B6" t="s">
        <v>34</v>
      </c>
      <c r="C6" s="11">
        <v>2018</v>
      </c>
      <c r="D6" s="12">
        <v>1037</v>
      </c>
      <c r="E6" s="13">
        <v>102</v>
      </c>
      <c r="F6" s="13">
        <f t="shared" si="3"/>
        <v>1139</v>
      </c>
      <c r="G6" s="12">
        <v>767</v>
      </c>
      <c r="H6" s="13">
        <v>89</v>
      </c>
      <c r="I6" s="12">
        <v>115</v>
      </c>
      <c r="J6" s="12">
        <v>138</v>
      </c>
      <c r="K6" s="13">
        <v>71</v>
      </c>
      <c r="L6" s="14">
        <f t="shared" si="4"/>
        <v>42.001755926251093</v>
      </c>
      <c r="M6" s="14">
        <f t="shared" si="5"/>
        <v>50.402107111501316</v>
      </c>
      <c r="N6" s="15">
        <f t="shared" si="6"/>
        <v>25.931518876207196</v>
      </c>
      <c r="O6" s="16">
        <v>416</v>
      </c>
      <c r="P6" s="12">
        <v>128</v>
      </c>
      <c r="Q6" s="17">
        <v>1</v>
      </c>
      <c r="R6" s="13">
        <v>594</v>
      </c>
      <c r="S6" s="12">
        <v>170</v>
      </c>
      <c r="T6" s="12">
        <f t="shared" si="7"/>
        <v>54.4</v>
      </c>
      <c r="U6" s="12">
        <f t="shared" si="1"/>
        <v>35.699999999999996</v>
      </c>
      <c r="V6" s="12">
        <f t="shared" si="1"/>
        <v>61.199999999999996</v>
      </c>
      <c r="W6" s="12">
        <f t="shared" si="1"/>
        <v>18.7</v>
      </c>
      <c r="X6" s="18">
        <v>0.32</v>
      </c>
      <c r="Y6" s="18">
        <v>0.21</v>
      </c>
      <c r="Z6" s="18">
        <v>0.36</v>
      </c>
      <c r="AA6" s="18">
        <v>0.11</v>
      </c>
      <c r="AB6" s="11">
        <v>99</v>
      </c>
      <c r="AC6">
        <v>75</v>
      </c>
      <c r="AD6">
        <f t="shared" si="8"/>
        <v>23.25</v>
      </c>
      <c r="AE6">
        <f t="shared" si="2"/>
        <v>15</v>
      </c>
      <c r="AF6">
        <f t="shared" si="2"/>
        <v>30</v>
      </c>
      <c r="AG6">
        <f t="shared" si="2"/>
        <v>6.75</v>
      </c>
      <c r="AH6" s="19">
        <v>0.31</v>
      </c>
      <c r="AI6" s="19">
        <v>0.2</v>
      </c>
      <c r="AJ6" s="19">
        <v>0.4</v>
      </c>
      <c r="AK6" s="20">
        <v>0.09</v>
      </c>
      <c r="AL6" s="11">
        <v>4.72</v>
      </c>
      <c r="AM6" s="21">
        <v>0</v>
      </c>
      <c r="AN6" s="43">
        <v>1.2292000000000001</v>
      </c>
      <c r="AO6" s="21">
        <v>43295.333333333336</v>
      </c>
      <c r="AP6" s="13">
        <v>41688</v>
      </c>
    </row>
    <row r="7" spans="1:42" x14ac:dyDescent="0.25">
      <c r="A7">
        <v>6</v>
      </c>
      <c r="B7" t="s">
        <v>35</v>
      </c>
      <c r="C7" s="11">
        <v>2018</v>
      </c>
      <c r="D7" s="12">
        <v>1150</v>
      </c>
      <c r="E7" s="13">
        <v>123</v>
      </c>
      <c r="F7" s="13">
        <f t="shared" si="3"/>
        <v>1273</v>
      </c>
      <c r="G7" s="12">
        <v>841</v>
      </c>
      <c r="H7" s="13">
        <v>103</v>
      </c>
      <c r="I7" s="12">
        <v>143</v>
      </c>
      <c r="J7" s="12">
        <v>173</v>
      </c>
      <c r="K7" s="13">
        <v>103</v>
      </c>
      <c r="L7" s="14">
        <f t="shared" si="4"/>
        <v>53.133542812254518</v>
      </c>
      <c r="M7" s="14">
        <f t="shared" si="5"/>
        <v>64.280439905734497</v>
      </c>
      <c r="N7" s="15">
        <f t="shared" si="6"/>
        <v>38.27101335428123</v>
      </c>
      <c r="O7" s="16">
        <v>473</v>
      </c>
      <c r="P7" s="12">
        <v>142</v>
      </c>
      <c r="Q7" s="17">
        <v>0</v>
      </c>
      <c r="R7" s="13">
        <v>658</v>
      </c>
      <c r="S7" s="12">
        <v>180</v>
      </c>
      <c r="T7" s="12">
        <f t="shared" si="7"/>
        <v>55.8</v>
      </c>
      <c r="U7" s="12">
        <f t="shared" si="1"/>
        <v>37.799999999999997</v>
      </c>
      <c r="V7" s="12">
        <f t="shared" si="1"/>
        <v>66.599999999999994</v>
      </c>
      <c r="W7" s="12">
        <f t="shared" si="1"/>
        <v>19.8</v>
      </c>
      <c r="X7" s="18">
        <v>0.31</v>
      </c>
      <c r="Y7" s="18">
        <v>0.21</v>
      </c>
      <c r="Z7" s="18">
        <v>0.37</v>
      </c>
      <c r="AA7" s="18">
        <v>0.11</v>
      </c>
      <c r="AB7" s="11">
        <v>101</v>
      </c>
      <c r="AC7" s="32">
        <v>83</v>
      </c>
      <c r="AD7" s="32">
        <f t="shared" si="8"/>
        <v>25.73</v>
      </c>
      <c r="AE7" s="32">
        <f t="shared" si="2"/>
        <v>16.600000000000001</v>
      </c>
      <c r="AF7" s="32">
        <f t="shared" si="2"/>
        <v>33.200000000000003</v>
      </c>
      <c r="AG7" s="32">
        <f t="shared" si="2"/>
        <v>7.47</v>
      </c>
      <c r="AH7" s="19">
        <v>0.31</v>
      </c>
      <c r="AI7" s="19">
        <v>0.2</v>
      </c>
      <c r="AJ7" s="19">
        <v>0.4</v>
      </c>
      <c r="AK7" s="20">
        <v>0.09</v>
      </c>
      <c r="AL7" s="11">
        <v>4.8899999999999997</v>
      </c>
      <c r="AM7" s="21">
        <v>0</v>
      </c>
      <c r="AN7" s="43">
        <v>1.1915</v>
      </c>
      <c r="AO7" s="21">
        <v>43600</v>
      </c>
      <c r="AP7" s="13">
        <v>42161</v>
      </c>
    </row>
    <row r="8" spans="1:42" x14ac:dyDescent="0.25">
      <c r="A8">
        <v>7</v>
      </c>
      <c r="B8" t="s">
        <v>36</v>
      </c>
      <c r="C8" s="11">
        <v>2018</v>
      </c>
      <c r="D8" s="12">
        <v>1210</v>
      </c>
      <c r="E8" s="13">
        <v>142</v>
      </c>
      <c r="F8" s="13">
        <f t="shared" si="3"/>
        <v>1352</v>
      </c>
      <c r="G8" s="12">
        <v>894</v>
      </c>
      <c r="H8" s="13">
        <v>116</v>
      </c>
      <c r="I8" s="12">
        <v>135</v>
      </c>
      <c r="J8" s="12">
        <v>146</v>
      </c>
      <c r="K8" s="13">
        <v>67</v>
      </c>
      <c r="L8" s="14">
        <f t="shared" si="4"/>
        <v>51.224112426035504</v>
      </c>
      <c r="M8" s="14">
        <f t="shared" si="5"/>
        <v>55.397928994082847</v>
      </c>
      <c r="N8" s="15">
        <f t="shared" si="6"/>
        <v>25.422337278106511</v>
      </c>
      <c r="O8" s="16">
        <v>513</v>
      </c>
      <c r="P8" s="12">
        <v>146</v>
      </c>
      <c r="Q8" s="17">
        <v>1</v>
      </c>
      <c r="R8" s="13">
        <v>692</v>
      </c>
      <c r="S8" s="12">
        <v>191</v>
      </c>
      <c r="T8" s="12">
        <f t="shared" si="7"/>
        <v>59.21</v>
      </c>
      <c r="U8" s="12">
        <f t="shared" si="1"/>
        <v>42.02</v>
      </c>
      <c r="V8" s="12">
        <f t="shared" si="1"/>
        <v>68.759999999999991</v>
      </c>
      <c r="W8" s="12">
        <f t="shared" si="1"/>
        <v>21.01</v>
      </c>
      <c r="X8" s="18">
        <v>0.31</v>
      </c>
      <c r="Y8" s="18">
        <v>0.22</v>
      </c>
      <c r="Z8" s="18">
        <v>0.36</v>
      </c>
      <c r="AA8" s="18">
        <v>0.11</v>
      </c>
      <c r="AB8" s="11">
        <v>109</v>
      </c>
      <c r="AC8" s="32">
        <v>87</v>
      </c>
      <c r="AD8" s="32">
        <f t="shared" si="8"/>
        <v>26.97</v>
      </c>
      <c r="AE8" s="32">
        <f t="shared" si="2"/>
        <v>17.400000000000002</v>
      </c>
      <c r="AF8" s="32">
        <f t="shared" si="2"/>
        <v>34.800000000000004</v>
      </c>
      <c r="AG8" s="32">
        <f t="shared" si="2"/>
        <v>7.83</v>
      </c>
      <c r="AH8" s="19">
        <v>0.31</v>
      </c>
      <c r="AI8" s="19">
        <v>0.2</v>
      </c>
      <c r="AJ8" s="19">
        <v>0.4</v>
      </c>
      <c r="AK8" s="20">
        <v>0.09</v>
      </c>
      <c r="AL8" s="11">
        <v>4.7300000000000004</v>
      </c>
      <c r="AM8" s="21">
        <v>0</v>
      </c>
      <c r="AN8" s="43">
        <v>1.1629</v>
      </c>
      <c r="AO8" s="21">
        <v>43997.666666666664</v>
      </c>
      <c r="AP8" s="13">
        <v>42514</v>
      </c>
    </row>
    <row r="9" spans="1:42" x14ac:dyDescent="0.25">
      <c r="A9" s="22">
        <v>8</v>
      </c>
      <c r="B9" s="22" t="s">
        <v>37</v>
      </c>
      <c r="C9" s="23">
        <v>2018</v>
      </c>
      <c r="D9" s="24">
        <f>4717-SUM(D6:D8)</f>
        <v>1320</v>
      </c>
      <c r="E9" s="25">
        <f>542-SUM(E6:E8)</f>
        <v>175</v>
      </c>
      <c r="F9" s="25">
        <f t="shared" si="3"/>
        <v>1495</v>
      </c>
      <c r="G9" s="24">
        <f>3461-SUM(G6:G8)</f>
        <v>959</v>
      </c>
      <c r="H9" s="25">
        <f>445-SUM(H6:H8)</f>
        <v>137</v>
      </c>
      <c r="I9" s="24">
        <f>493-SUM(I6:I8)</f>
        <v>100</v>
      </c>
      <c r="J9" s="24">
        <f>620-SUM(J6:J8)</f>
        <v>163</v>
      </c>
      <c r="K9" s="25">
        <f>283-SUM(K6:K8)</f>
        <v>42</v>
      </c>
      <c r="L9" s="26">
        <f t="shared" si="4"/>
        <v>38.19397993311037</v>
      </c>
      <c r="M9" s="26">
        <f t="shared" si="5"/>
        <v>62.256187290969898</v>
      </c>
      <c r="N9" s="27">
        <f t="shared" si="6"/>
        <v>16.041471571906353</v>
      </c>
      <c r="O9" s="28">
        <f>1973-SUM(O6:O8)</f>
        <v>571</v>
      </c>
      <c r="P9" s="24">
        <f>576-SUM(P6:P8)</f>
        <v>160</v>
      </c>
      <c r="Q9" s="24">
        <f>3-SUM(Q6:Q8)</f>
        <v>1</v>
      </c>
      <c r="R9" s="25">
        <f>2707-SUM(R6:R8)</f>
        <v>763</v>
      </c>
      <c r="S9" s="24">
        <v>207</v>
      </c>
      <c r="T9" s="24">
        <f t="shared" si="7"/>
        <v>62.099999999999994</v>
      </c>
      <c r="U9" s="24">
        <f t="shared" si="1"/>
        <v>45.54</v>
      </c>
      <c r="V9" s="24">
        <f t="shared" si="1"/>
        <v>74.52</v>
      </c>
      <c r="W9" s="24">
        <f t="shared" si="1"/>
        <v>24.84</v>
      </c>
      <c r="X9" s="29">
        <v>0.3</v>
      </c>
      <c r="Y9" s="29">
        <v>0.22</v>
      </c>
      <c r="Z9" s="29">
        <v>0.36</v>
      </c>
      <c r="AA9" s="29">
        <v>0.12</v>
      </c>
      <c r="AB9" s="23">
        <v>116</v>
      </c>
      <c r="AC9" s="22">
        <v>96</v>
      </c>
      <c r="AD9" s="22">
        <f t="shared" si="8"/>
        <v>28.799999999999997</v>
      </c>
      <c r="AE9" s="22">
        <f t="shared" si="2"/>
        <v>19.200000000000003</v>
      </c>
      <c r="AF9" s="22">
        <f t="shared" si="2"/>
        <v>38.400000000000006</v>
      </c>
      <c r="AG9" s="22">
        <f t="shared" si="2"/>
        <v>9.6000000000000014</v>
      </c>
      <c r="AH9" s="29">
        <v>0.3</v>
      </c>
      <c r="AI9" s="29">
        <v>0.2</v>
      </c>
      <c r="AJ9" s="29">
        <v>0.4</v>
      </c>
      <c r="AK9" s="30">
        <v>0.1</v>
      </c>
      <c r="AL9" s="23">
        <v>4.8899999999999997</v>
      </c>
      <c r="AM9" s="31">
        <v>0</v>
      </c>
      <c r="AN9" s="44">
        <v>1.1414</v>
      </c>
      <c r="AO9" s="31">
        <v>44412</v>
      </c>
      <c r="AP9" s="25">
        <v>42798</v>
      </c>
    </row>
    <row r="10" spans="1:42" x14ac:dyDescent="0.25">
      <c r="A10">
        <v>9</v>
      </c>
      <c r="B10" t="s">
        <v>34</v>
      </c>
      <c r="C10" s="11">
        <v>2019</v>
      </c>
      <c r="D10" s="12">
        <v>1385</v>
      </c>
      <c r="E10" s="13">
        <v>126</v>
      </c>
      <c r="F10" s="13">
        <f t="shared" si="3"/>
        <v>1511</v>
      </c>
      <c r="G10" s="12">
        <v>1023</v>
      </c>
      <c r="H10" s="13">
        <v>115</v>
      </c>
      <c r="I10" s="12">
        <v>155</v>
      </c>
      <c r="J10" s="12">
        <v>172</v>
      </c>
      <c r="K10" s="13">
        <v>93</v>
      </c>
      <c r="L10" s="14">
        <f t="shared" si="4"/>
        <v>57.342819324950369</v>
      </c>
      <c r="M10" s="14">
        <f t="shared" si="5"/>
        <v>63.632031767041696</v>
      </c>
      <c r="N10" s="15">
        <f t="shared" si="6"/>
        <v>34.405691594970222</v>
      </c>
      <c r="O10" s="16">
        <v>559</v>
      </c>
      <c r="P10" s="12">
        <v>164</v>
      </c>
      <c r="Q10" s="17">
        <v>1</v>
      </c>
      <c r="R10" s="13">
        <v>787</v>
      </c>
      <c r="S10" s="12">
        <v>217</v>
      </c>
      <c r="T10" s="12">
        <f t="shared" si="7"/>
        <v>62.929999999999993</v>
      </c>
      <c r="U10" s="12">
        <f t="shared" si="1"/>
        <v>47.74</v>
      </c>
      <c r="V10" s="12">
        <f t="shared" si="1"/>
        <v>78.11999999999999</v>
      </c>
      <c r="W10" s="12">
        <f t="shared" si="1"/>
        <v>28.21</v>
      </c>
      <c r="X10" s="18">
        <v>0.28999999999999998</v>
      </c>
      <c r="Y10" s="18">
        <v>0.22</v>
      </c>
      <c r="Z10" s="18">
        <v>0.36</v>
      </c>
      <c r="AA10" s="18">
        <v>0.13</v>
      </c>
      <c r="AB10" s="11">
        <v>123</v>
      </c>
      <c r="AC10">
        <v>100</v>
      </c>
      <c r="AD10">
        <f t="shared" si="8"/>
        <v>30</v>
      </c>
      <c r="AE10">
        <f t="shared" si="2"/>
        <v>20</v>
      </c>
      <c r="AF10">
        <f t="shared" si="2"/>
        <v>40</v>
      </c>
      <c r="AG10">
        <f t="shared" si="2"/>
        <v>10</v>
      </c>
      <c r="AH10" s="19">
        <v>0.3</v>
      </c>
      <c r="AI10" s="19">
        <v>0.2</v>
      </c>
      <c r="AJ10" s="19">
        <v>0.4</v>
      </c>
      <c r="AK10" s="20">
        <v>0.1</v>
      </c>
      <c r="AL10" s="11">
        <v>4.71</v>
      </c>
      <c r="AM10" s="21">
        <v>0.25</v>
      </c>
      <c r="AN10" s="43">
        <v>1.1357999999999999</v>
      </c>
      <c r="AO10" s="21">
        <v>44937.666666666664</v>
      </c>
      <c r="AP10" s="13">
        <v>42883</v>
      </c>
    </row>
    <row r="11" spans="1:42" x14ac:dyDescent="0.25">
      <c r="A11">
        <v>10</v>
      </c>
      <c r="B11" t="s">
        <v>35</v>
      </c>
      <c r="C11" s="11">
        <v>2019</v>
      </c>
      <c r="D11" s="12">
        <v>1502</v>
      </c>
      <c r="E11" s="13">
        <v>165</v>
      </c>
      <c r="F11" s="13">
        <f t="shared" si="3"/>
        <v>1667</v>
      </c>
      <c r="G11" s="12">
        <v>1089</v>
      </c>
      <c r="H11" s="13">
        <v>144</v>
      </c>
      <c r="I11" s="12">
        <v>151</v>
      </c>
      <c r="J11" s="12">
        <v>200</v>
      </c>
      <c r="K11" s="13">
        <v>86</v>
      </c>
      <c r="L11" s="14">
        <f t="shared" si="4"/>
        <v>56.43251349730054</v>
      </c>
      <c r="M11" s="14">
        <f t="shared" si="5"/>
        <v>74.745050989802039</v>
      </c>
      <c r="N11" s="15">
        <f t="shared" si="6"/>
        <v>32.140371925614879</v>
      </c>
      <c r="O11" s="16">
        <v>623</v>
      </c>
      <c r="P11" s="12">
        <v>181</v>
      </c>
      <c r="Q11" s="17">
        <v>1</v>
      </c>
      <c r="R11" s="13">
        <v>862</v>
      </c>
      <c r="S11" s="12">
        <v>232</v>
      </c>
      <c r="T11" s="12">
        <f t="shared" si="7"/>
        <v>64.960000000000008</v>
      </c>
      <c r="U11" s="12">
        <f t="shared" si="1"/>
        <v>48.72</v>
      </c>
      <c r="V11" s="12">
        <f t="shared" si="1"/>
        <v>83.52</v>
      </c>
      <c r="W11" s="12">
        <f t="shared" si="1"/>
        <v>34.799999999999997</v>
      </c>
      <c r="X11" s="18">
        <v>0.28000000000000003</v>
      </c>
      <c r="Y11" s="18">
        <v>0.21</v>
      </c>
      <c r="Z11" s="18">
        <v>0.36</v>
      </c>
      <c r="AA11" s="18">
        <v>0.15</v>
      </c>
      <c r="AB11" s="11">
        <v>129</v>
      </c>
      <c r="AC11" s="32">
        <v>108</v>
      </c>
      <c r="AD11" s="32">
        <f t="shared" si="8"/>
        <v>32.4</v>
      </c>
      <c r="AE11" s="32">
        <f t="shared" si="2"/>
        <v>21.6</v>
      </c>
      <c r="AF11" s="32">
        <f t="shared" si="2"/>
        <v>43.2</v>
      </c>
      <c r="AG11" s="32">
        <f t="shared" si="2"/>
        <v>10.8</v>
      </c>
      <c r="AH11" s="19">
        <v>0.3</v>
      </c>
      <c r="AI11" s="19">
        <v>0.2</v>
      </c>
      <c r="AJ11" s="19">
        <v>0.4</v>
      </c>
      <c r="AK11" s="20">
        <v>0.1</v>
      </c>
      <c r="AL11" s="11">
        <v>4.8600000000000003</v>
      </c>
      <c r="AM11" s="21">
        <v>0.28000000000000003</v>
      </c>
      <c r="AN11" s="43">
        <v>1.1236999999999999</v>
      </c>
      <c r="AO11" s="21">
        <v>44883.333333333336</v>
      </c>
      <c r="AP11" s="13">
        <v>43373</v>
      </c>
    </row>
    <row r="12" spans="1:42" x14ac:dyDescent="0.25">
      <c r="A12">
        <v>11</v>
      </c>
      <c r="B12" t="s">
        <v>36</v>
      </c>
      <c r="C12" s="11">
        <v>2019</v>
      </c>
      <c r="D12" s="12">
        <v>1561</v>
      </c>
      <c r="E12" s="13">
        <v>170</v>
      </c>
      <c r="F12" s="13">
        <f t="shared" si="3"/>
        <v>1731</v>
      </c>
      <c r="G12" s="12">
        <v>1142</v>
      </c>
      <c r="H12" s="13">
        <v>148</v>
      </c>
      <c r="I12" s="12">
        <v>136</v>
      </c>
      <c r="J12" s="12">
        <v>178</v>
      </c>
      <c r="K12" s="13">
        <v>73</v>
      </c>
      <c r="L12" s="14">
        <f t="shared" si="4"/>
        <v>50.888101265822783</v>
      </c>
      <c r="M12" s="14">
        <f t="shared" si="5"/>
        <v>66.603544303797463</v>
      </c>
      <c r="N12" s="15">
        <f t="shared" si="6"/>
        <v>27.31493670886076</v>
      </c>
      <c r="O12" s="16">
        <v>739</v>
      </c>
      <c r="P12" s="12">
        <v>208</v>
      </c>
      <c r="Q12" s="17">
        <v>1</v>
      </c>
      <c r="R12" s="13">
        <v>1027</v>
      </c>
      <c r="S12" s="12">
        <v>248</v>
      </c>
      <c r="T12" s="12">
        <f t="shared" si="7"/>
        <v>66.960000000000008</v>
      </c>
      <c r="U12" s="12">
        <f t="shared" si="1"/>
        <v>54.56</v>
      </c>
      <c r="V12" s="12">
        <f t="shared" si="1"/>
        <v>86.8</v>
      </c>
      <c r="W12" s="12">
        <f t="shared" si="1"/>
        <v>39.68</v>
      </c>
      <c r="X12" s="18">
        <v>0.27</v>
      </c>
      <c r="Y12" s="18">
        <v>0.22</v>
      </c>
      <c r="Z12" s="18">
        <v>0.35</v>
      </c>
      <c r="AA12" s="18">
        <v>0.16</v>
      </c>
      <c r="AB12" s="11">
        <v>141</v>
      </c>
      <c r="AC12" s="32">
        <v>113</v>
      </c>
      <c r="AD12" s="32">
        <f t="shared" si="8"/>
        <v>33.9</v>
      </c>
      <c r="AE12" s="32">
        <f t="shared" si="2"/>
        <v>22.6</v>
      </c>
      <c r="AF12" s="32">
        <f t="shared" si="2"/>
        <v>45.2</v>
      </c>
      <c r="AG12" s="32">
        <f t="shared" si="2"/>
        <v>11.3</v>
      </c>
      <c r="AH12" s="19">
        <v>0.3</v>
      </c>
      <c r="AI12" s="19">
        <v>0.2</v>
      </c>
      <c r="AJ12" s="19">
        <v>0.4</v>
      </c>
      <c r="AK12" s="20">
        <v>0.1</v>
      </c>
      <c r="AL12" s="11">
        <v>4.67</v>
      </c>
      <c r="AM12" s="21">
        <v>0.5</v>
      </c>
      <c r="AN12" s="43">
        <v>1.1119000000000001</v>
      </c>
      <c r="AO12" s="21">
        <v>45185.666666666664</v>
      </c>
      <c r="AP12" s="13">
        <v>43789</v>
      </c>
    </row>
    <row r="13" spans="1:42" x14ac:dyDescent="0.25">
      <c r="A13" s="22">
        <v>12</v>
      </c>
      <c r="B13" s="22" t="s">
        <v>37</v>
      </c>
      <c r="C13" s="23">
        <v>2019</v>
      </c>
      <c r="D13" s="24">
        <v>1638</v>
      </c>
      <c r="E13" s="25">
        <v>217</v>
      </c>
      <c r="F13" s="25">
        <f t="shared" si="3"/>
        <v>1855</v>
      </c>
      <c r="G13" s="24">
        <f>4465-SUM(G10:G12)</f>
        <v>1211</v>
      </c>
      <c r="H13" s="25">
        <f>577-SUM(H10:H12)</f>
        <v>170</v>
      </c>
      <c r="I13" s="24">
        <f>615-SUM(I10:I12)</f>
        <v>173</v>
      </c>
      <c r="J13" s="24">
        <f>826-SUM(J10:J12)</f>
        <v>276</v>
      </c>
      <c r="K13" s="25">
        <f>354-SUM(K10:K12)</f>
        <v>102</v>
      </c>
      <c r="L13" s="26">
        <f t="shared" si="4"/>
        <v>66.687150837988824</v>
      </c>
      <c r="M13" s="26">
        <f t="shared" si="5"/>
        <v>106.39106145251397</v>
      </c>
      <c r="N13" s="27">
        <f t="shared" si="6"/>
        <v>39.318435754189942</v>
      </c>
      <c r="O13" s="28">
        <f>2542-SUM(O10:O12)</f>
        <v>621</v>
      </c>
      <c r="P13" s="24">
        <f>727-SUM(P10:P12)</f>
        <v>174</v>
      </c>
      <c r="Q13" s="24">
        <f>4-SUM(Q10:Q12)</f>
        <v>1</v>
      </c>
      <c r="R13" s="25">
        <f>3491-SUM(R10:R12)</f>
        <v>815</v>
      </c>
      <c r="S13" s="24">
        <v>271</v>
      </c>
      <c r="T13" s="24">
        <f t="shared" si="7"/>
        <v>73.17</v>
      </c>
      <c r="U13" s="24">
        <f t="shared" si="1"/>
        <v>59.62</v>
      </c>
      <c r="V13" s="24">
        <f t="shared" si="1"/>
        <v>94.85</v>
      </c>
      <c r="W13" s="24">
        <f t="shared" si="1"/>
        <v>43.36</v>
      </c>
      <c r="X13" s="29">
        <v>0.27</v>
      </c>
      <c r="Y13" s="29">
        <v>0.22</v>
      </c>
      <c r="Z13" s="29">
        <v>0.35</v>
      </c>
      <c r="AA13" s="29">
        <v>0.16</v>
      </c>
      <c r="AB13" s="23">
        <v>153</v>
      </c>
      <c r="AC13" s="22">
        <v>124</v>
      </c>
      <c r="AD13" s="22">
        <f t="shared" si="8"/>
        <v>37.199999999999996</v>
      </c>
      <c r="AE13" s="22">
        <f t="shared" si="2"/>
        <v>24.8</v>
      </c>
      <c r="AF13" s="22">
        <f t="shared" si="2"/>
        <v>49.6</v>
      </c>
      <c r="AG13" s="22">
        <f t="shared" si="2"/>
        <v>12.4</v>
      </c>
      <c r="AH13" s="29">
        <v>0.3</v>
      </c>
      <c r="AI13" s="29">
        <v>0.2</v>
      </c>
      <c r="AJ13" s="29">
        <v>0.4</v>
      </c>
      <c r="AK13" s="30">
        <v>0.1</v>
      </c>
      <c r="AL13" s="23">
        <v>4.6500000000000004</v>
      </c>
      <c r="AM13" s="31">
        <v>0.7</v>
      </c>
      <c r="AN13" s="44">
        <v>1.1071</v>
      </c>
      <c r="AO13" s="31">
        <v>45414.333333333336</v>
      </c>
      <c r="AP13" s="25">
        <v>44139</v>
      </c>
    </row>
    <row r="14" spans="1:42" x14ac:dyDescent="0.25">
      <c r="A14">
        <v>13</v>
      </c>
      <c r="B14" t="s">
        <v>34</v>
      </c>
      <c r="C14" s="11">
        <v>2020</v>
      </c>
      <c r="D14" s="12">
        <v>1700</v>
      </c>
      <c r="E14" s="13">
        <v>148</v>
      </c>
      <c r="F14" s="13">
        <f t="shared" si="3"/>
        <v>1848</v>
      </c>
      <c r="G14" s="12">
        <v>1219</v>
      </c>
      <c r="H14" s="13">
        <v>157</v>
      </c>
      <c r="I14" s="12">
        <v>162</v>
      </c>
      <c r="J14" s="12">
        <v>231</v>
      </c>
      <c r="K14" s="13">
        <v>96</v>
      </c>
      <c r="L14" s="14">
        <f t="shared" si="4"/>
        <v>59.698051948051948</v>
      </c>
      <c r="M14" s="14">
        <f t="shared" si="5"/>
        <v>85.125</v>
      </c>
      <c r="N14" s="15">
        <f t="shared" si="6"/>
        <v>35.376623376623378</v>
      </c>
      <c r="O14" s="16">
        <v>681</v>
      </c>
      <c r="P14" s="12">
        <v>201</v>
      </c>
      <c r="Q14" s="17">
        <v>1</v>
      </c>
      <c r="R14" s="13">
        <v>965</v>
      </c>
      <c r="S14" s="12">
        <v>286</v>
      </c>
      <c r="T14" s="12">
        <f t="shared" si="7"/>
        <v>74.36</v>
      </c>
      <c r="U14" s="12">
        <f t="shared" si="1"/>
        <v>62.92</v>
      </c>
      <c r="V14" s="12">
        <f t="shared" si="1"/>
        <v>100.1</v>
      </c>
      <c r="W14" s="12">
        <f t="shared" si="1"/>
        <v>48.620000000000005</v>
      </c>
      <c r="X14" s="18">
        <v>0.26</v>
      </c>
      <c r="Y14" s="18">
        <v>0.22</v>
      </c>
      <c r="Z14" s="18">
        <v>0.35</v>
      </c>
      <c r="AA14" s="18">
        <v>0.17</v>
      </c>
      <c r="AB14" s="11">
        <v>163</v>
      </c>
      <c r="AC14">
        <v>130</v>
      </c>
      <c r="AD14">
        <f t="shared" si="8"/>
        <v>37.699999999999996</v>
      </c>
      <c r="AE14">
        <f t="shared" si="2"/>
        <v>27.3</v>
      </c>
      <c r="AF14">
        <f t="shared" si="2"/>
        <v>50.7</v>
      </c>
      <c r="AG14">
        <f t="shared" si="2"/>
        <v>14.3</v>
      </c>
      <c r="AH14" s="19">
        <v>0.28999999999999998</v>
      </c>
      <c r="AI14" s="19">
        <v>0.21</v>
      </c>
      <c r="AJ14" s="19">
        <v>0.39</v>
      </c>
      <c r="AK14" s="20">
        <v>0.11</v>
      </c>
      <c r="AL14" s="11">
        <v>4.42</v>
      </c>
      <c r="AM14" s="21">
        <v>1</v>
      </c>
      <c r="AN14" s="43">
        <v>1.1027</v>
      </c>
      <c r="AO14" s="21">
        <v>45637.333333333336</v>
      </c>
      <c r="AP14" s="13">
        <v>43556</v>
      </c>
    </row>
    <row r="15" spans="1:42" x14ac:dyDescent="0.25">
      <c r="A15">
        <v>14</v>
      </c>
      <c r="B15" t="s">
        <v>35</v>
      </c>
      <c r="C15" s="11">
        <v>2020</v>
      </c>
      <c r="D15" s="12">
        <v>1758</v>
      </c>
      <c r="E15" s="13">
        <v>131</v>
      </c>
      <c r="F15" s="13">
        <f t="shared" si="3"/>
        <v>1889</v>
      </c>
      <c r="G15" s="12">
        <v>1263</v>
      </c>
      <c r="H15" s="13">
        <v>147</v>
      </c>
      <c r="I15" s="12">
        <v>267</v>
      </c>
      <c r="J15" s="12">
        <v>248</v>
      </c>
      <c r="K15" s="13">
        <v>131</v>
      </c>
      <c r="L15" s="14">
        <f t="shared" si="4"/>
        <v>99.789306511381682</v>
      </c>
      <c r="M15" s="14">
        <f t="shared" si="5"/>
        <v>92.688194812069881</v>
      </c>
      <c r="N15" s="15">
        <f t="shared" si="6"/>
        <v>48.960296453149816</v>
      </c>
      <c r="O15" s="16">
        <v>706</v>
      </c>
      <c r="P15" s="12">
        <v>202</v>
      </c>
      <c r="Q15" s="17">
        <v>1</v>
      </c>
      <c r="R15" s="13">
        <v>980</v>
      </c>
      <c r="S15" s="12">
        <v>299</v>
      </c>
      <c r="T15" s="12">
        <f t="shared" si="7"/>
        <v>77.740000000000009</v>
      </c>
      <c r="U15" s="12">
        <f t="shared" si="1"/>
        <v>65.78</v>
      </c>
      <c r="V15" s="12">
        <f t="shared" si="1"/>
        <v>101.66000000000001</v>
      </c>
      <c r="W15" s="12">
        <f t="shared" si="1"/>
        <v>53.82</v>
      </c>
      <c r="X15" s="18">
        <v>0.26</v>
      </c>
      <c r="Y15" s="18">
        <v>0.22</v>
      </c>
      <c r="Z15" s="18">
        <v>0.34</v>
      </c>
      <c r="AA15" s="18">
        <v>0.18</v>
      </c>
      <c r="AB15" s="11">
        <v>170</v>
      </c>
      <c r="AC15" s="32">
        <v>138</v>
      </c>
      <c r="AD15" s="32">
        <f t="shared" si="8"/>
        <v>40.019999999999996</v>
      </c>
      <c r="AE15" s="32">
        <f t="shared" si="2"/>
        <v>28.98</v>
      </c>
      <c r="AF15" s="32">
        <f t="shared" si="2"/>
        <v>53.82</v>
      </c>
      <c r="AG15" s="32">
        <f t="shared" si="2"/>
        <v>15.18</v>
      </c>
      <c r="AH15" s="19">
        <v>0.28999999999999998</v>
      </c>
      <c r="AI15" s="19">
        <v>0.21</v>
      </c>
      <c r="AJ15" s="19">
        <v>0.39</v>
      </c>
      <c r="AK15" s="20">
        <v>0.11</v>
      </c>
      <c r="AL15" s="11">
        <v>4.41</v>
      </c>
      <c r="AM15" s="21">
        <v>1.5</v>
      </c>
      <c r="AN15" s="43">
        <v>1.1013999999999999</v>
      </c>
      <c r="AO15" s="21">
        <v>50188.333333333336</v>
      </c>
      <c r="AP15" s="13">
        <v>39342</v>
      </c>
    </row>
    <row r="16" spans="1:42" x14ac:dyDescent="0.25">
      <c r="A16">
        <v>15</v>
      </c>
      <c r="B16" t="s">
        <v>36</v>
      </c>
      <c r="C16" s="11">
        <v>2020</v>
      </c>
      <c r="D16" s="12">
        <v>1790</v>
      </c>
      <c r="E16" s="13">
        <v>185</v>
      </c>
      <c r="F16" s="13">
        <f t="shared" si="3"/>
        <v>1975</v>
      </c>
      <c r="G16" s="12">
        <v>1302</v>
      </c>
      <c r="H16" s="13">
        <v>184</v>
      </c>
      <c r="I16" s="12">
        <v>176</v>
      </c>
      <c r="J16" s="12">
        <v>256</v>
      </c>
      <c r="K16" s="13">
        <v>97</v>
      </c>
      <c r="L16" s="14">
        <f t="shared" si="4"/>
        <v>65.855189873417714</v>
      </c>
      <c r="M16" s="14">
        <f t="shared" si="5"/>
        <v>95.789367088607591</v>
      </c>
      <c r="N16" s="15">
        <f t="shared" si="6"/>
        <v>36.295189873417719</v>
      </c>
      <c r="O16" s="16">
        <v>739</v>
      </c>
      <c r="P16" s="12">
        <v>208</v>
      </c>
      <c r="Q16" s="17">
        <v>1</v>
      </c>
      <c r="R16" s="13">
        <v>1027</v>
      </c>
      <c r="S16" s="12">
        <v>320</v>
      </c>
      <c r="T16" s="12">
        <f t="shared" si="7"/>
        <v>80</v>
      </c>
      <c r="U16" s="12">
        <f t="shared" si="1"/>
        <v>70.400000000000006</v>
      </c>
      <c r="V16" s="12">
        <f t="shared" si="1"/>
        <v>108.80000000000001</v>
      </c>
      <c r="W16" s="12">
        <f t="shared" si="1"/>
        <v>60.8</v>
      </c>
      <c r="X16" s="18">
        <v>0.25</v>
      </c>
      <c r="Y16" s="18">
        <v>0.22</v>
      </c>
      <c r="Z16" s="18">
        <v>0.34</v>
      </c>
      <c r="AA16" s="18">
        <v>0.19</v>
      </c>
      <c r="AB16" s="11">
        <v>185</v>
      </c>
      <c r="AC16" s="32">
        <v>144</v>
      </c>
      <c r="AD16" s="32">
        <f t="shared" si="8"/>
        <v>41.76</v>
      </c>
      <c r="AE16" s="32">
        <f t="shared" si="2"/>
        <v>30.24</v>
      </c>
      <c r="AF16" s="32">
        <f t="shared" si="2"/>
        <v>57.6</v>
      </c>
      <c r="AG16" s="32">
        <f t="shared" si="2"/>
        <v>14.4</v>
      </c>
      <c r="AH16" s="19">
        <v>0.28999999999999998</v>
      </c>
      <c r="AI16" s="19">
        <v>0.21</v>
      </c>
      <c r="AJ16" s="19">
        <v>0.4</v>
      </c>
      <c r="AK16" s="20">
        <v>0.1</v>
      </c>
      <c r="AL16" s="11">
        <v>4.1900000000000004</v>
      </c>
      <c r="AM16" s="21">
        <v>1.9</v>
      </c>
      <c r="AN16" s="43">
        <v>1.1689000000000001</v>
      </c>
      <c r="AO16" s="21">
        <v>48122</v>
      </c>
      <c r="AP16" s="13">
        <v>43356</v>
      </c>
    </row>
    <row r="17" spans="1:42" x14ac:dyDescent="0.25">
      <c r="A17" s="22">
        <v>16</v>
      </c>
      <c r="B17" s="22" t="s">
        <v>37</v>
      </c>
      <c r="C17" s="23">
        <v>2020</v>
      </c>
      <c r="D17" s="24">
        <f>7135-SUM(D14:D16)</f>
        <v>1887</v>
      </c>
      <c r="E17" s="25">
        <f>745-SUM(E14:E16)</f>
        <v>281</v>
      </c>
      <c r="F17" s="25">
        <f t="shared" si="3"/>
        <v>2168</v>
      </c>
      <c r="G17" s="24">
        <f>5126-SUM(G14:G16)</f>
        <v>1342</v>
      </c>
      <c r="H17" s="25">
        <f>739-SUM(H14:H16)</f>
        <v>251</v>
      </c>
      <c r="I17" s="24">
        <f>837-SUM(I14:I16)</f>
        <v>232</v>
      </c>
      <c r="J17" s="24">
        <f>1029-SUM(J14:J16)</f>
        <v>294</v>
      </c>
      <c r="K17" s="25">
        <f>442-SUM(K14:K16)</f>
        <v>118</v>
      </c>
      <c r="L17" s="26">
        <f t="shared" si="4"/>
        <v>87.85608856088561</v>
      </c>
      <c r="M17" s="26">
        <f t="shared" si="5"/>
        <v>111.33487084870849</v>
      </c>
      <c r="N17" s="27">
        <f t="shared" si="6"/>
        <v>44.685424354243544</v>
      </c>
      <c r="O17" s="28">
        <f>2947-SUM(O14:O16)</f>
        <v>821</v>
      </c>
      <c r="P17" s="24">
        <f>836-SUM(P14:P16)</f>
        <v>225</v>
      </c>
      <c r="Q17" s="24">
        <f>5-SUM(Q14:Q16)</f>
        <v>2</v>
      </c>
      <c r="R17" s="25">
        <f>4092-SUM(R14:R16)</f>
        <v>1120</v>
      </c>
      <c r="S17" s="24">
        <v>345</v>
      </c>
      <c r="T17" s="24">
        <f t="shared" si="7"/>
        <v>75.900000000000006</v>
      </c>
      <c r="U17" s="24">
        <f t="shared" si="1"/>
        <v>82.8</v>
      </c>
      <c r="V17" s="24">
        <f t="shared" si="1"/>
        <v>120.74999999999999</v>
      </c>
      <c r="W17" s="24">
        <f t="shared" si="1"/>
        <v>65.55</v>
      </c>
      <c r="X17" s="29">
        <v>0.22</v>
      </c>
      <c r="Y17" s="29">
        <v>0.24</v>
      </c>
      <c r="Z17" s="29">
        <v>0.35</v>
      </c>
      <c r="AA17" s="29">
        <v>0.19</v>
      </c>
      <c r="AB17" s="23">
        <v>199</v>
      </c>
      <c r="AC17" s="22">
        <v>155</v>
      </c>
      <c r="AD17" s="22">
        <f t="shared" si="8"/>
        <v>44.949999999999996</v>
      </c>
      <c r="AE17" s="22">
        <f t="shared" si="2"/>
        <v>32.549999999999997</v>
      </c>
      <c r="AF17" s="22">
        <f t="shared" si="2"/>
        <v>62</v>
      </c>
      <c r="AG17" s="22">
        <f t="shared" si="2"/>
        <v>17.05</v>
      </c>
      <c r="AH17" s="29">
        <v>0.28999999999999998</v>
      </c>
      <c r="AI17" s="29">
        <v>0.21</v>
      </c>
      <c r="AJ17" s="29">
        <v>0.4</v>
      </c>
      <c r="AK17" s="30">
        <v>0.11</v>
      </c>
      <c r="AL17" s="23">
        <v>4.26</v>
      </c>
      <c r="AM17" s="31">
        <v>2.2000000000000002</v>
      </c>
      <c r="AN17" s="44">
        <v>1.1929000000000001</v>
      </c>
      <c r="AO17" s="31">
        <v>46969.333333333336</v>
      </c>
      <c r="AP17" s="25">
        <v>43928</v>
      </c>
    </row>
    <row r="18" spans="1:42" x14ac:dyDescent="0.25">
      <c r="A18">
        <v>17</v>
      </c>
      <c r="B18" t="s">
        <v>34</v>
      </c>
      <c r="C18" s="11">
        <v>2021</v>
      </c>
      <c r="D18" s="12">
        <v>1931</v>
      </c>
      <c r="E18" s="13">
        <v>216</v>
      </c>
      <c r="F18" s="13">
        <f t="shared" si="3"/>
        <v>2147</v>
      </c>
      <c r="G18" s="12">
        <v>1393</v>
      </c>
      <c r="H18" s="13">
        <v>206</v>
      </c>
      <c r="I18" s="12">
        <v>196</v>
      </c>
      <c r="J18" s="12">
        <v>236</v>
      </c>
      <c r="K18" s="13">
        <v>102</v>
      </c>
      <c r="L18" s="14">
        <f t="shared" si="4"/>
        <v>72.301816488122967</v>
      </c>
      <c r="M18" s="14">
        <f t="shared" si="5"/>
        <v>87.057289240801126</v>
      </c>
      <c r="N18" s="15">
        <f t="shared" si="6"/>
        <v>37.626455519329298</v>
      </c>
      <c r="O18" s="33">
        <v>792</v>
      </c>
      <c r="P18" s="32">
        <v>225</v>
      </c>
      <c r="Q18" s="32">
        <v>1</v>
      </c>
      <c r="R18" s="34">
        <v>1129</v>
      </c>
      <c r="S18" s="32">
        <v>356</v>
      </c>
      <c r="T18" s="32">
        <f t="shared" si="7"/>
        <v>85.44</v>
      </c>
      <c r="U18" s="32">
        <f t="shared" si="7"/>
        <v>78.320000000000007</v>
      </c>
      <c r="V18" s="32">
        <f t="shared" si="7"/>
        <v>121.04</v>
      </c>
      <c r="W18" s="32">
        <f t="shared" si="7"/>
        <v>71.2</v>
      </c>
      <c r="X18" s="18">
        <v>0.24</v>
      </c>
      <c r="Y18" s="18">
        <v>0.22</v>
      </c>
      <c r="Z18" s="18">
        <v>0.34</v>
      </c>
      <c r="AA18" s="18">
        <v>0.2</v>
      </c>
      <c r="AB18" s="11">
        <v>208</v>
      </c>
      <c r="AC18">
        <v>158</v>
      </c>
      <c r="AD18">
        <f t="shared" si="8"/>
        <v>45.82</v>
      </c>
      <c r="AE18">
        <f t="shared" si="2"/>
        <v>33.18</v>
      </c>
      <c r="AF18">
        <f t="shared" si="2"/>
        <v>63.2</v>
      </c>
      <c r="AG18">
        <f t="shared" si="2"/>
        <v>15.8</v>
      </c>
      <c r="AH18" s="35">
        <v>0.28999999999999998</v>
      </c>
      <c r="AI18" s="35">
        <v>0.21</v>
      </c>
      <c r="AJ18" s="35">
        <v>0.4</v>
      </c>
      <c r="AK18" s="36">
        <v>0.1</v>
      </c>
      <c r="AL18" s="11">
        <v>4.12</v>
      </c>
      <c r="AM18" s="37">
        <v>2.6</v>
      </c>
      <c r="AN18" s="45">
        <v>1.2048000000000001</v>
      </c>
      <c r="AO18" s="37">
        <v>52186</v>
      </c>
      <c r="AP18" s="34">
        <v>45578</v>
      </c>
    </row>
    <row r="19" spans="1:42" x14ac:dyDescent="0.25">
      <c r="A19">
        <v>18</v>
      </c>
      <c r="B19" t="s">
        <v>35</v>
      </c>
      <c r="C19" s="11">
        <v>2021</v>
      </c>
      <c r="D19" s="12">
        <v>2056</v>
      </c>
      <c r="E19" s="13">
        <v>275</v>
      </c>
      <c r="F19" s="13">
        <f t="shared" si="3"/>
        <v>2331</v>
      </c>
      <c r="G19" s="12">
        <v>1423</v>
      </c>
      <c r="H19" s="13">
        <v>245</v>
      </c>
      <c r="I19" s="12">
        <v>255</v>
      </c>
      <c r="J19" s="12">
        <v>279</v>
      </c>
      <c r="K19" s="13">
        <v>117</v>
      </c>
      <c r="L19" s="14">
        <f t="shared" si="4"/>
        <v>95.283140283140284</v>
      </c>
      <c r="M19" s="14">
        <f t="shared" si="5"/>
        <v>104.25096525096525</v>
      </c>
      <c r="N19" s="15">
        <f t="shared" si="6"/>
        <v>43.71814671814672</v>
      </c>
      <c r="O19" s="33">
        <v>871</v>
      </c>
      <c r="P19" s="32">
        <v>239</v>
      </c>
      <c r="Q19" s="32">
        <v>2</v>
      </c>
      <c r="R19" s="13">
        <v>1219</v>
      </c>
      <c r="S19" s="32">
        <v>365</v>
      </c>
      <c r="T19" s="32">
        <f t="shared" si="7"/>
        <v>87.6</v>
      </c>
      <c r="U19" s="32">
        <f t="shared" si="7"/>
        <v>80.3</v>
      </c>
      <c r="V19" s="32">
        <f t="shared" si="7"/>
        <v>124.10000000000001</v>
      </c>
      <c r="W19" s="32">
        <f t="shared" si="7"/>
        <v>73</v>
      </c>
      <c r="X19" s="35">
        <v>0.24</v>
      </c>
      <c r="Y19" s="35">
        <v>0.22</v>
      </c>
      <c r="Z19" s="35">
        <v>0.34</v>
      </c>
      <c r="AA19" s="35">
        <v>0.2</v>
      </c>
      <c r="AB19" s="11">
        <v>210</v>
      </c>
      <c r="AC19">
        <v>165</v>
      </c>
      <c r="AD19">
        <f t="shared" si="8"/>
        <v>47.849999999999994</v>
      </c>
      <c r="AE19">
        <f t="shared" si="2"/>
        <v>33</v>
      </c>
      <c r="AF19">
        <f t="shared" si="2"/>
        <v>66</v>
      </c>
      <c r="AG19">
        <f t="shared" si="2"/>
        <v>18.149999999999999</v>
      </c>
      <c r="AH19" s="35">
        <v>0.28999999999999998</v>
      </c>
      <c r="AI19" s="35">
        <v>0.2</v>
      </c>
      <c r="AJ19" s="35">
        <v>0.4</v>
      </c>
      <c r="AK19" s="36">
        <v>0.11</v>
      </c>
      <c r="AL19" s="11">
        <v>4.29</v>
      </c>
      <c r="AM19" s="37">
        <v>2.9</v>
      </c>
      <c r="AN19" s="45">
        <v>1.2058</v>
      </c>
      <c r="AO19" s="37">
        <v>47934</v>
      </c>
      <c r="AP19" s="34">
        <v>47610</v>
      </c>
    </row>
    <row r="20" spans="1:42" x14ac:dyDescent="0.25">
      <c r="A20">
        <v>19</v>
      </c>
      <c r="B20" t="s">
        <v>36</v>
      </c>
      <c r="C20" s="11">
        <v>2021</v>
      </c>
      <c r="D20" s="32">
        <v>2178</v>
      </c>
      <c r="E20" s="13">
        <v>323</v>
      </c>
      <c r="F20" s="13">
        <f t="shared" si="3"/>
        <v>2501</v>
      </c>
      <c r="G20" s="32">
        <v>1545</v>
      </c>
      <c r="H20" s="13">
        <v>288</v>
      </c>
      <c r="I20" s="32">
        <v>208</v>
      </c>
      <c r="J20" s="32">
        <v>280</v>
      </c>
      <c r="K20" s="13">
        <v>105</v>
      </c>
      <c r="L20" s="14">
        <f t="shared" si="4"/>
        <v>80.339064374250299</v>
      </c>
      <c r="M20" s="14">
        <f t="shared" si="5"/>
        <v>108.14874050379848</v>
      </c>
      <c r="N20" s="15">
        <f t="shared" si="6"/>
        <v>40.555777688924429</v>
      </c>
      <c r="O20" s="33">
        <v>966</v>
      </c>
      <c r="P20" s="32">
        <v>259</v>
      </c>
      <c r="Q20" s="32">
        <v>2</v>
      </c>
      <c r="R20" s="13">
        <v>1274</v>
      </c>
      <c r="S20" s="12">
        <v>381</v>
      </c>
      <c r="T20" s="12">
        <f t="shared" si="7"/>
        <v>91.44</v>
      </c>
      <c r="U20" s="12">
        <f t="shared" si="7"/>
        <v>83.820000000000007</v>
      </c>
      <c r="V20" s="12">
        <f t="shared" si="7"/>
        <v>129.54000000000002</v>
      </c>
      <c r="W20" s="12">
        <f t="shared" si="7"/>
        <v>80.009999999999991</v>
      </c>
      <c r="X20" s="18">
        <v>0.24</v>
      </c>
      <c r="Y20" s="18">
        <v>0.22</v>
      </c>
      <c r="Z20" s="18">
        <v>0.34</v>
      </c>
      <c r="AA20" s="18">
        <v>0.21</v>
      </c>
      <c r="AB20" s="11">
        <v>220</v>
      </c>
      <c r="AC20">
        <v>172</v>
      </c>
      <c r="AD20">
        <f t="shared" si="8"/>
        <v>49.879999999999995</v>
      </c>
      <c r="AE20">
        <f t="shared" si="2"/>
        <v>34.4</v>
      </c>
      <c r="AF20">
        <f t="shared" si="2"/>
        <v>68.8</v>
      </c>
      <c r="AG20">
        <f t="shared" si="2"/>
        <v>18.920000000000002</v>
      </c>
      <c r="AH20" s="19">
        <v>0.28999999999999998</v>
      </c>
      <c r="AI20" s="19">
        <v>0.2</v>
      </c>
      <c r="AJ20" s="19">
        <v>0.4</v>
      </c>
      <c r="AK20" s="20">
        <v>0.11</v>
      </c>
      <c r="AL20" s="11">
        <v>4.34</v>
      </c>
      <c r="AM20" s="21">
        <v>3.2</v>
      </c>
      <c r="AN20" s="43">
        <v>1.1788000000000001</v>
      </c>
      <c r="AO20" s="21">
        <v>47325.666666666664</v>
      </c>
      <c r="AP20" s="13">
        <v>48566</v>
      </c>
    </row>
    <row r="21" spans="1:42" x14ac:dyDescent="0.25">
      <c r="A21" s="22">
        <v>20</v>
      </c>
      <c r="B21" s="22" t="s">
        <v>37</v>
      </c>
      <c r="C21" s="23">
        <v>2021</v>
      </c>
      <c r="D21" s="24">
        <v>2295</v>
      </c>
      <c r="E21" s="25">
        <v>394</v>
      </c>
      <c r="F21" s="25">
        <f t="shared" si="3"/>
        <v>2689</v>
      </c>
      <c r="G21" s="24">
        <f>5986-SUM(G18:G20)</f>
        <v>1625</v>
      </c>
      <c r="H21" s="25">
        <f>1091-SUM(H18:H20)</f>
        <v>352</v>
      </c>
      <c r="I21" s="24">
        <f>912-SUM(I18:I20)</f>
        <v>253</v>
      </c>
      <c r="J21" s="24">
        <f>1135-SUM(J18:J20)</f>
        <v>340</v>
      </c>
      <c r="K21" s="25">
        <f>450-SUM(K18:K20)</f>
        <v>126</v>
      </c>
      <c r="L21" s="26">
        <f t="shared" si="4"/>
        <v>100.01450353291187</v>
      </c>
      <c r="M21" s="26">
        <f t="shared" si="5"/>
        <v>134.40684269245074</v>
      </c>
      <c r="N21" s="27">
        <f t="shared" si="6"/>
        <v>49.80959464484939</v>
      </c>
      <c r="O21" s="28">
        <f>3692-SUM(O18:O20)</f>
        <v>1063</v>
      </c>
      <c r="P21" s="24">
        <f>994-SUM(P18:P20)</f>
        <v>271</v>
      </c>
      <c r="Q21" s="24">
        <f>6-SUM(Q18:Q20)</f>
        <v>1</v>
      </c>
      <c r="R21" s="25">
        <f>4976-SUM(R18:R20)</f>
        <v>1354</v>
      </c>
      <c r="S21" s="24">
        <v>406</v>
      </c>
      <c r="T21" s="24">
        <f t="shared" si="7"/>
        <v>93.38000000000001</v>
      </c>
      <c r="U21" s="24">
        <f t="shared" si="7"/>
        <v>85.259999999999991</v>
      </c>
      <c r="V21" s="24">
        <f t="shared" si="7"/>
        <v>133.98000000000002</v>
      </c>
      <c r="W21" s="24">
        <f t="shared" si="7"/>
        <v>93.38000000000001</v>
      </c>
      <c r="X21" s="29">
        <v>0.23</v>
      </c>
      <c r="Y21" s="29">
        <v>0.21</v>
      </c>
      <c r="Z21" s="29">
        <v>0.33</v>
      </c>
      <c r="AA21" s="29">
        <v>0.23</v>
      </c>
      <c r="AB21" s="23">
        <v>236</v>
      </c>
      <c r="AC21" s="22">
        <v>180</v>
      </c>
      <c r="AD21" s="22">
        <f t="shared" si="8"/>
        <v>52.199999999999996</v>
      </c>
      <c r="AE21" s="22">
        <f t="shared" si="2"/>
        <v>36</v>
      </c>
      <c r="AF21" s="22">
        <f t="shared" si="2"/>
        <v>72</v>
      </c>
      <c r="AG21" s="22">
        <f t="shared" si="2"/>
        <v>19.8</v>
      </c>
      <c r="AH21" s="29">
        <v>0.28999999999999998</v>
      </c>
      <c r="AI21" s="29">
        <v>0.2</v>
      </c>
      <c r="AJ21" s="29">
        <v>0.4</v>
      </c>
      <c r="AK21" s="30">
        <v>0.11</v>
      </c>
      <c r="AL21" s="23">
        <v>4.4000000000000004</v>
      </c>
      <c r="AM21" s="31">
        <v>3.6</v>
      </c>
      <c r="AN21" s="44">
        <v>1.1435</v>
      </c>
      <c r="AO21" s="31">
        <v>46688.666666666664</v>
      </c>
      <c r="AP21" s="25">
        <v>49635</v>
      </c>
    </row>
    <row r="22" spans="1:42" x14ac:dyDescent="0.25">
      <c r="A22">
        <v>21</v>
      </c>
      <c r="B22" t="s">
        <v>34</v>
      </c>
      <c r="C22" s="11">
        <v>2022</v>
      </c>
      <c r="D22" s="12">
        <v>2379</v>
      </c>
      <c r="E22" s="13">
        <v>282</v>
      </c>
      <c r="F22" s="13">
        <f t="shared" si="3"/>
        <v>2661</v>
      </c>
      <c r="G22" s="12">
        <v>1704</v>
      </c>
      <c r="H22" s="13">
        <v>286</v>
      </c>
      <c r="I22" s="12">
        <v>250</v>
      </c>
      <c r="J22" s="12">
        <v>296</v>
      </c>
      <c r="K22" s="13">
        <v>131</v>
      </c>
      <c r="L22" s="14">
        <f t="shared" si="4"/>
        <v>95.828635851183776</v>
      </c>
      <c r="M22" s="14">
        <f t="shared" si="5"/>
        <v>113.46110484780158</v>
      </c>
      <c r="N22" s="15">
        <f t="shared" si="6"/>
        <v>50.214205186020294</v>
      </c>
      <c r="O22" s="33">
        <v>1020</v>
      </c>
      <c r="P22" s="32">
        <v>273</v>
      </c>
      <c r="Q22" s="32">
        <v>2</v>
      </c>
      <c r="R22" s="34">
        <v>1366</v>
      </c>
      <c r="S22" s="32">
        <v>422</v>
      </c>
      <c r="T22" s="32">
        <f t="shared" si="7"/>
        <v>97.06</v>
      </c>
      <c r="U22" s="32">
        <f t="shared" si="7"/>
        <v>92.84</v>
      </c>
      <c r="V22" s="32">
        <f t="shared" si="7"/>
        <v>139.26000000000002</v>
      </c>
      <c r="W22" s="32">
        <f t="shared" si="7"/>
        <v>92.84</v>
      </c>
      <c r="X22" s="38">
        <v>0.23</v>
      </c>
      <c r="Y22" s="38">
        <v>0.22</v>
      </c>
      <c r="Z22" s="38">
        <v>0.33</v>
      </c>
      <c r="AA22" s="38">
        <v>0.22</v>
      </c>
      <c r="AB22" s="11">
        <v>252</v>
      </c>
      <c r="AC22">
        <v>182</v>
      </c>
      <c r="AD22">
        <f t="shared" si="8"/>
        <v>52.779999999999994</v>
      </c>
      <c r="AE22">
        <f t="shared" si="2"/>
        <v>38.22</v>
      </c>
      <c r="AF22">
        <f t="shared" si="2"/>
        <v>70.98</v>
      </c>
      <c r="AG22">
        <f t="shared" si="2"/>
        <v>20.02</v>
      </c>
      <c r="AH22" s="38">
        <v>0.28999999999999998</v>
      </c>
      <c r="AI22" s="38">
        <v>0.21</v>
      </c>
      <c r="AJ22" s="38">
        <v>0.39</v>
      </c>
      <c r="AK22" s="39">
        <v>0.11</v>
      </c>
      <c r="AL22" s="40">
        <v>4.38</v>
      </c>
      <c r="AM22" s="37">
        <v>4</v>
      </c>
      <c r="AN22" s="45">
        <v>1.1216999999999999</v>
      </c>
      <c r="AO22" s="37">
        <v>45376</v>
      </c>
      <c r="AP22" s="34">
        <v>50678</v>
      </c>
    </row>
    <row r="23" spans="1:42" x14ac:dyDescent="0.25">
      <c r="A23">
        <v>22</v>
      </c>
      <c r="B23" t="s">
        <v>35</v>
      </c>
      <c r="C23" s="11">
        <v>2022</v>
      </c>
      <c r="D23" s="12">
        <v>2504</v>
      </c>
      <c r="E23" s="13">
        <v>360</v>
      </c>
      <c r="F23" s="13">
        <f t="shared" si="3"/>
        <v>2864</v>
      </c>
      <c r="G23" s="32">
        <v>1804</v>
      </c>
      <c r="H23" s="13">
        <v>356</v>
      </c>
      <c r="I23" s="12">
        <v>336</v>
      </c>
      <c r="J23" s="12">
        <v>391</v>
      </c>
      <c r="K23" s="13">
        <v>171</v>
      </c>
      <c r="L23" s="14">
        <f t="shared" si="4"/>
        <v>134.09497206703909</v>
      </c>
      <c r="M23" s="14">
        <f t="shared" si="5"/>
        <v>156.04504189944134</v>
      </c>
      <c r="N23" s="15">
        <f t="shared" si="6"/>
        <v>68.244762569832403</v>
      </c>
      <c r="O23" s="33">
        <v>1143</v>
      </c>
      <c r="P23" s="32">
        <v>273</v>
      </c>
      <c r="Q23" s="32">
        <v>2</v>
      </c>
      <c r="R23" s="13">
        <v>1446</v>
      </c>
      <c r="S23" s="32">
        <v>433</v>
      </c>
      <c r="T23" s="32">
        <f t="shared" si="7"/>
        <v>95.26</v>
      </c>
      <c r="U23" s="32">
        <f t="shared" si="7"/>
        <v>95.26</v>
      </c>
      <c r="V23" s="32">
        <f t="shared" si="7"/>
        <v>138.56</v>
      </c>
      <c r="W23" s="32">
        <f t="shared" si="7"/>
        <v>103.92</v>
      </c>
      <c r="X23" s="35">
        <v>0.22</v>
      </c>
      <c r="Y23" s="35">
        <v>0.22</v>
      </c>
      <c r="Z23" s="35">
        <v>0.32</v>
      </c>
      <c r="AA23" s="35">
        <v>0.24</v>
      </c>
      <c r="AB23" s="11">
        <v>256</v>
      </c>
      <c r="AC23">
        <v>188</v>
      </c>
      <c r="AD23">
        <f t="shared" si="8"/>
        <v>54.519999999999996</v>
      </c>
      <c r="AE23">
        <f t="shared" si="2"/>
        <v>39.479999999999997</v>
      </c>
      <c r="AF23">
        <f t="shared" si="2"/>
        <v>71.44</v>
      </c>
      <c r="AG23">
        <f t="shared" si="2"/>
        <v>22.56</v>
      </c>
      <c r="AH23" s="35">
        <v>0.28999999999999998</v>
      </c>
      <c r="AI23" s="35">
        <v>0.21</v>
      </c>
      <c r="AJ23" s="35">
        <v>0.38</v>
      </c>
      <c r="AK23" s="36">
        <v>0.12</v>
      </c>
      <c r="AL23" s="11">
        <v>4.54</v>
      </c>
      <c r="AM23" s="37">
        <v>4.4000000000000004</v>
      </c>
      <c r="AN23" s="45">
        <v>1.0647</v>
      </c>
      <c r="AO23" s="37">
        <v>45066.333333333336</v>
      </c>
      <c r="AP23" s="34">
        <v>51786</v>
      </c>
    </row>
    <row r="24" spans="1:42" x14ac:dyDescent="0.25">
      <c r="A24">
        <v>23</v>
      </c>
      <c r="B24" t="s">
        <v>36</v>
      </c>
      <c r="C24" s="11">
        <v>2022</v>
      </c>
      <c r="D24" s="12">
        <v>2651</v>
      </c>
      <c r="E24" s="13">
        <v>385</v>
      </c>
      <c r="F24" s="13">
        <f t="shared" si="3"/>
        <v>3036</v>
      </c>
      <c r="G24" s="32">
        <v>1908</v>
      </c>
      <c r="H24" s="13">
        <v>378</v>
      </c>
      <c r="I24" s="32">
        <v>386</v>
      </c>
      <c r="J24" s="32">
        <v>432</v>
      </c>
      <c r="K24" s="13">
        <v>160</v>
      </c>
      <c r="L24" s="14">
        <f t="shared" si="4"/>
        <v>159.18050065876153</v>
      </c>
      <c r="M24" s="14">
        <f t="shared" si="5"/>
        <v>178.1501976284585</v>
      </c>
      <c r="N24" s="15">
        <f t="shared" si="6"/>
        <v>65.981554677206859</v>
      </c>
      <c r="O24" s="33">
        <v>1252</v>
      </c>
      <c r="P24" s="32">
        <v>279</v>
      </c>
      <c r="Q24" s="32">
        <v>2</v>
      </c>
      <c r="R24" s="13">
        <v>1503</v>
      </c>
      <c r="S24" s="32">
        <v>456</v>
      </c>
      <c r="T24" s="32">
        <f t="shared" si="7"/>
        <v>100.32000000000001</v>
      </c>
      <c r="U24" s="32">
        <f t="shared" si="7"/>
        <v>95.759999999999991</v>
      </c>
      <c r="V24" s="32">
        <f t="shared" si="7"/>
        <v>141.35999999999999</v>
      </c>
      <c r="W24" s="32">
        <f t="shared" si="7"/>
        <v>118.56</v>
      </c>
      <c r="X24" s="35">
        <v>0.22</v>
      </c>
      <c r="Y24" s="35">
        <v>0.21</v>
      </c>
      <c r="Z24" s="35">
        <v>0.31</v>
      </c>
      <c r="AA24" s="35">
        <v>0.26</v>
      </c>
      <c r="AB24" s="11">
        <v>273</v>
      </c>
      <c r="AC24">
        <v>195</v>
      </c>
      <c r="AD24">
        <f t="shared" si="8"/>
        <v>54.600000000000009</v>
      </c>
      <c r="AE24">
        <f t="shared" si="2"/>
        <v>40.949999999999996</v>
      </c>
      <c r="AF24">
        <f t="shared" si="2"/>
        <v>76.05</v>
      </c>
      <c r="AG24">
        <f t="shared" si="2"/>
        <v>23.4</v>
      </c>
      <c r="AH24" s="35">
        <v>0.28000000000000003</v>
      </c>
      <c r="AI24" s="35">
        <v>0.21</v>
      </c>
      <c r="AJ24" s="35">
        <v>0.39</v>
      </c>
      <c r="AK24" s="36">
        <v>0.12</v>
      </c>
      <c r="AL24" s="11">
        <v>4.63</v>
      </c>
      <c r="AM24" s="37">
        <v>4.7</v>
      </c>
      <c r="AN24" s="45">
        <v>1.0069999999999999</v>
      </c>
      <c r="AO24" s="37">
        <v>45114.666666666664</v>
      </c>
      <c r="AP24" s="34">
        <v>52554</v>
      </c>
    </row>
    <row r="25" spans="1:42" x14ac:dyDescent="0.25">
      <c r="A25">
        <f>A24+1</f>
        <v>24</v>
      </c>
      <c r="B25" t="s">
        <v>37</v>
      </c>
      <c r="C25" s="11">
        <v>2022</v>
      </c>
      <c r="D25" s="12">
        <v>2717</v>
      </c>
      <c r="E25" s="13">
        <v>449</v>
      </c>
      <c r="F25" s="13">
        <f t="shared" si="3"/>
        <v>3166</v>
      </c>
      <c r="G25" s="12">
        <f>7355-SUM(G22:G24)</f>
        <v>1939</v>
      </c>
      <c r="H25" s="13">
        <f>1446-SUM(H22:H24)</f>
        <v>426</v>
      </c>
      <c r="I25" s="12">
        <f>1387-SUM(I22:I24)</f>
        <v>415</v>
      </c>
      <c r="J25" s="12">
        <f>1572-SUM(J22:J24)</f>
        <v>453</v>
      </c>
      <c r="K25" s="13">
        <f>626-SUM(K22:K24)</f>
        <v>164</v>
      </c>
      <c r="L25" s="14">
        <f t="shared" si="4"/>
        <v>170.01105495893873</v>
      </c>
      <c r="M25" s="14">
        <f t="shared" si="5"/>
        <v>185.57833228048011</v>
      </c>
      <c r="N25" s="15">
        <f t="shared" si="6"/>
        <v>67.18509159823121</v>
      </c>
      <c r="O25" s="16">
        <f>4712-SUM(O22:O24)</f>
        <v>1297</v>
      </c>
      <c r="P25" s="12">
        <f>1113-SUM(P22:P24)</f>
        <v>288</v>
      </c>
      <c r="Q25" s="17">
        <f>7-SUM(Q22:Q24)</f>
        <v>1</v>
      </c>
      <c r="R25" s="13">
        <f>5895-SUM(R22:R24)</f>
        <v>1580</v>
      </c>
      <c r="S25" s="32">
        <v>489</v>
      </c>
      <c r="T25" s="32">
        <f t="shared" si="7"/>
        <v>102.69</v>
      </c>
      <c r="U25" s="32">
        <f t="shared" si="7"/>
        <v>102.69</v>
      </c>
      <c r="V25" s="32">
        <f t="shared" si="7"/>
        <v>146.69999999999999</v>
      </c>
      <c r="W25" s="32">
        <f t="shared" si="7"/>
        <v>136.92000000000002</v>
      </c>
      <c r="X25" s="18">
        <v>0.21</v>
      </c>
      <c r="Y25" s="18">
        <v>0.21</v>
      </c>
      <c r="Z25" s="18">
        <v>0.3</v>
      </c>
      <c r="AA25" s="18">
        <v>0.28000000000000003</v>
      </c>
      <c r="AB25" s="11">
        <v>295</v>
      </c>
      <c r="AC25">
        <v>205</v>
      </c>
      <c r="AD25">
        <f t="shared" si="8"/>
        <v>57.400000000000006</v>
      </c>
      <c r="AE25">
        <f t="shared" si="2"/>
        <v>43.05</v>
      </c>
      <c r="AF25">
        <f t="shared" si="2"/>
        <v>79.95</v>
      </c>
      <c r="AG25">
        <f t="shared" si="2"/>
        <v>24.599999999999998</v>
      </c>
      <c r="AH25" s="19">
        <v>0.28000000000000003</v>
      </c>
      <c r="AI25" s="19">
        <v>0.21</v>
      </c>
      <c r="AJ25" s="19">
        <v>0.39</v>
      </c>
      <c r="AK25" s="20">
        <v>0.12</v>
      </c>
      <c r="AL25" s="11">
        <v>4.55</v>
      </c>
      <c r="AM25" s="21">
        <v>5</v>
      </c>
      <c r="AN25" s="43">
        <v>1.0205</v>
      </c>
      <c r="AO25" s="21">
        <v>45413</v>
      </c>
      <c r="AP25" s="13">
        <v>53162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5553-F813-4AC3-BCD9-44FC315AA3B6}">
  <dimension ref="A1:C32"/>
  <sheetViews>
    <sheetView workbookViewId="0">
      <selection activeCell="C2" sqref="C2"/>
    </sheetView>
  </sheetViews>
  <sheetFormatPr defaultRowHeight="15" x14ac:dyDescent="0.25"/>
  <cols>
    <col min="1" max="1" width="22.85546875" bestFit="1" customWidth="1"/>
    <col min="2" max="2" width="42.7109375" bestFit="1" customWidth="1"/>
  </cols>
  <sheetData>
    <row r="1" spans="1:3" s="42" customFormat="1" x14ac:dyDescent="0.25">
      <c r="A1" s="42" t="s">
        <v>39</v>
      </c>
      <c r="B1" s="42" t="s">
        <v>40</v>
      </c>
      <c r="C1" s="42" t="s">
        <v>76</v>
      </c>
    </row>
    <row r="2" spans="1:3" x14ac:dyDescent="0.25">
      <c r="A2" t="s">
        <v>3</v>
      </c>
      <c r="B2" t="s">
        <v>42</v>
      </c>
      <c r="C2" t="s">
        <v>38</v>
      </c>
    </row>
    <row r="3" spans="1:3" x14ac:dyDescent="0.25">
      <c r="A3" t="s">
        <v>4</v>
      </c>
      <c r="B3" t="s">
        <v>41</v>
      </c>
      <c r="C3" t="s">
        <v>38</v>
      </c>
    </row>
    <row r="4" spans="1:3" x14ac:dyDescent="0.25">
      <c r="A4" t="s">
        <v>5</v>
      </c>
      <c r="B4" t="s">
        <v>43</v>
      </c>
      <c r="C4" t="s">
        <v>38</v>
      </c>
    </row>
    <row r="5" spans="1:3" x14ac:dyDescent="0.25">
      <c r="A5" t="s">
        <v>6</v>
      </c>
      <c r="B5" t="s">
        <v>44</v>
      </c>
      <c r="C5" t="s">
        <v>38</v>
      </c>
    </row>
    <row r="6" spans="1:3" x14ac:dyDescent="0.25">
      <c r="A6" t="s">
        <v>7</v>
      </c>
      <c r="B6" t="s">
        <v>45</v>
      </c>
      <c r="C6" t="s">
        <v>38</v>
      </c>
    </row>
    <row r="7" spans="1:3" x14ac:dyDescent="0.25">
      <c r="A7" t="s">
        <v>8</v>
      </c>
      <c r="B7" t="s">
        <v>47</v>
      </c>
      <c r="C7" t="s">
        <v>38</v>
      </c>
    </row>
    <row r="8" spans="1:3" x14ac:dyDescent="0.25">
      <c r="A8" t="s">
        <v>9</v>
      </c>
      <c r="B8" t="s">
        <v>48</v>
      </c>
      <c r="C8" t="s">
        <v>38</v>
      </c>
    </row>
    <row r="9" spans="1:3" x14ac:dyDescent="0.25">
      <c r="A9" t="s">
        <v>10</v>
      </c>
      <c r="B9" t="s">
        <v>49</v>
      </c>
      <c r="C9" t="s">
        <v>38</v>
      </c>
    </row>
    <row r="10" spans="1:3" x14ac:dyDescent="0.25">
      <c r="A10" t="s">
        <v>11</v>
      </c>
      <c r="B10" t="s">
        <v>46</v>
      </c>
      <c r="C10" t="s">
        <v>38</v>
      </c>
    </row>
    <row r="11" spans="1:3" x14ac:dyDescent="0.25">
      <c r="A11" t="s">
        <v>12</v>
      </c>
      <c r="B11" t="s">
        <v>50</v>
      </c>
      <c r="C11" t="s">
        <v>38</v>
      </c>
    </row>
    <row r="12" spans="1:3" x14ac:dyDescent="0.25">
      <c r="A12" t="s">
        <v>13</v>
      </c>
      <c r="B12" t="s">
        <v>51</v>
      </c>
      <c r="C12" t="s">
        <v>38</v>
      </c>
    </row>
    <row r="13" spans="1:3" x14ac:dyDescent="0.25">
      <c r="A13" t="s">
        <v>14</v>
      </c>
      <c r="B13" t="s">
        <v>52</v>
      </c>
      <c r="C13" t="s">
        <v>38</v>
      </c>
    </row>
    <row r="14" spans="1:3" x14ac:dyDescent="0.25">
      <c r="A14" t="s">
        <v>15</v>
      </c>
      <c r="B14" t="s">
        <v>53</v>
      </c>
      <c r="C14" t="s">
        <v>38</v>
      </c>
    </row>
    <row r="15" spans="1:3" x14ac:dyDescent="0.25">
      <c r="A15" t="s">
        <v>16</v>
      </c>
      <c r="B15" t="s">
        <v>54</v>
      </c>
      <c r="C15" t="s">
        <v>38</v>
      </c>
    </row>
    <row r="16" spans="1:3" x14ac:dyDescent="0.25">
      <c r="A16" t="s">
        <v>17</v>
      </c>
      <c r="B16" t="s">
        <v>55</v>
      </c>
      <c r="C16" t="s">
        <v>38</v>
      </c>
    </row>
    <row r="17" spans="1:3" x14ac:dyDescent="0.25">
      <c r="A17" t="s">
        <v>18</v>
      </c>
      <c r="B17" t="s">
        <v>56</v>
      </c>
      <c r="C17" t="s">
        <v>67</v>
      </c>
    </row>
    <row r="18" spans="1:3" x14ac:dyDescent="0.25">
      <c r="A18" t="s">
        <v>19</v>
      </c>
      <c r="B18" t="s">
        <v>57</v>
      </c>
      <c r="C18" t="s">
        <v>67</v>
      </c>
    </row>
    <row r="19" spans="1:3" x14ac:dyDescent="0.25">
      <c r="A19" t="s">
        <v>20</v>
      </c>
      <c r="B19" t="s">
        <v>58</v>
      </c>
      <c r="C19" t="s">
        <v>67</v>
      </c>
    </row>
    <row r="20" spans="1:3" x14ac:dyDescent="0.25">
      <c r="A20" t="s">
        <v>21</v>
      </c>
      <c r="B20" t="s">
        <v>59</v>
      </c>
      <c r="C20" t="s">
        <v>67</v>
      </c>
    </row>
    <row r="21" spans="1:3" x14ac:dyDescent="0.25">
      <c r="A21" t="s">
        <v>22</v>
      </c>
      <c r="B21" t="s">
        <v>60</v>
      </c>
      <c r="C21" t="s">
        <v>67</v>
      </c>
    </row>
    <row r="22" spans="1:3" x14ac:dyDescent="0.25">
      <c r="A22" t="s">
        <v>23</v>
      </c>
      <c r="B22" t="s">
        <v>61</v>
      </c>
      <c r="C22" t="s">
        <v>67</v>
      </c>
    </row>
    <row r="23" spans="1:3" x14ac:dyDescent="0.25">
      <c r="A23" t="s">
        <v>24</v>
      </c>
      <c r="B23" t="s">
        <v>62</v>
      </c>
      <c r="C23" t="s">
        <v>67</v>
      </c>
    </row>
    <row r="24" spans="1:3" x14ac:dyDescent="0.25">
      <c r="A24" t="s">
        <v>25</v>
      </c>
      <c r="B24" t="s">
        <v>63</v>
      </c>
      <c r="C24" t="s">
        <v>67</v>
      </c>
    </row>
    <row r="25" spans="1:3" x14ac:dyDescent="0.25">
      <c r="A25" t="s">
        <v>26</v>
      </c>
      <c r="B25" t="s">
        <v>64</v>
      </c>
      <c r="C25" t="s">
        <v>67</v>
      </c>
    </row>
    <row r="26" spans="1:3" x14ac:dyDescent="0.25">
      <c r="A26" t="s">
        <v>27</v>
      </c>
      <c r="B26" t="s">
        <v>65</v>
      </c>
      <c r="C26" t="s">
        <v>67</v>
      </c>
    </row>
    <row r="27" spans="1:3" x14ac:dyDescent="0.25">
      <c r="A27" t="s">
        <v>28</v>
      </c>
      <c r="B27" t="s">
        <v>66</v>
      </c>
      <c r="C27" t="s">
        <v>67</v>
      </c>
    </row>
    <row r="28" spans="1:3" x14ac:dyDescent="0.25">
      <c r="A28" t="s">
        <v>29</v>
      </c>
      <c r="B28" t="s">
        <v>68</v>
      </c>
      <c r="C28" t="s">
        <v>69</v>
      </c>
    </row>
    <row r="29" spans="1:3" x14ac:dyDescent="0.25">
      <c r="A29" t="s">
        <v>30</v>
      </c>
      <c r="B29" t="s">
        <v>70</v>
      </c>
      <c r="C29" t="s">
        <v>71</v>
      </c>
    </row>
    <row r="30" spans="1:3" x14ac:dyDescent="0.25">
      <c r="A30" t="s">
        <v>31</v>
      </c>
      <c r="B30" t="s">
        <v>73</v>
      </c>
      <c r="C30" t="s">
        <v>75</v>
      </c>
    </row>
    <row r="31" spans="1:3" x14ac:dyDescent="0.25">
      <c r="A31" t="s">
        <v>32</v>
      </c>
      <c r="B31" t="s">
        <v>72</v>
      </c>
      <c r="C31" t="s">
        <v>75</v>
      </c>
    </row>
    <row r="32" spans="1:3" x14ac:dyDescent="0.25">
      <c r="A32" t="s">
        <v>33</v>
      </c>
      <c r="B32" t="s">
        <v>74</v>
      </c>
      <c r="C3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Data_All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Thuc Quyen Nguyen</cp:lastModifiedBy>
  <dcterms:created xsi:type="dcterms:W3CDTF">2023-06-13T14:20:59Z</dcterms:created>
  <dcterms:modified xsi:type="dcterms:W3CDTF">2023-06-13T14:35:31Z</dcterms:modified>
</cp:coreProperties>
</file>